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9680" windowHeight="8355" tabRatio="935" activeTab="5"/>
  </bookViews>
  <sheets>
    <sheet name="基础数据（不动产）" sheetId="74" r:id="rId1"/>
    <sheet name="基础数据(房地产)" sheetId="24" r:id="rId2"/>
    <sheet name="查看表" sheetId="53" r:id="rId3"/>
    <sheet name="收益法测算终值" sheetId="76" r:id="rId4"/>
    <sheet name="收益法（确定毛收益）" sheetId="75" r:id="rId5"/>
    <sheet name="比较法" sheetId="68" r:id="rId6"/>
    <sheet name="统一初评" sheetId="28" state="hidden" r:id="rId7"/>
    <sheet name="民生初评" sheetId="54" state="hidden" r:id="rId8"/>
    <sheet name="平安初评" sheetId="58" state="hidden" r:id="rId9"/>
    <sheet name="中信初评" sheetId="51" state="hidden" r:id="rId10"/>
    <sheet name="税费表（个人住宅)" sheetId="63" state="hidden" r:id="rId11"/>
    <sheet name="引用数据" sheetId="72" state="hidden" r:id="rId12"/>
    <sheet name="税费表" sheetId="52" state="hidden" r:id="rId13"/>
  </sheets>
  <externalReferences>
    <externalReference r:id="rId14"/>
    <externalReference r:id="rId15"/>
  </externalReferences>
  <definedNames>
    <definedName name="_xlnm._FilterDatabase" localSheetId="1" hidden="1">'基础数据(房地产)'!$A$1:$P$55</definedName>
    <definedName name="_xlnm.Print_Area" localSheetId="1">'基础数据(房地产)'!$A$1:$D$43</definedName>
    <definedName name="_xlnm.Print_Area" localSheetId="7">民生初评!$A$1:$D$27</definedName>
    <definedName name="_xlnm.Print_Area" localSheetId="8">平安初评!$A$1:$J$65</definedName>
    <definedName name="_xlnm.Print_Area" localSheetId="10">'税费表（个人住宅)'!$A$1:$F$21</definedName>
    <definedName name="_xlnm.Print_Area" localSheetId="9">中信初评!$A$1:$J$78</definedName>
  </definedNames>
  <calcPr calcId="124519"/>
</workbook>
</file>

<file path=xl/calcChain.xml><?xml version="1.0" encoding="utf-8"?>
<calcChain xmlns="http://schemas.openxmlformats.org/spreadsheetml/2006/main">
  <c r="B227" i="72"/>
  <c r="A227"/>
  <c r="A224"/>
  <c r="A223"/>
  <c r="A222"/>
  <c r="A221"/>
  <c r="A226"/>
  <c r="A220"/>
  <c r="A225"/>
  <c r="B226"/>
  <c r="B225"/>
  <c r="B224"/>
  <c r="B223"/>
  <c r="B222"/>
  <c r="B221"/>
  <c r="B220"/>
  <c r="B219"/>
  <c r="B218"/>
  <c r="A218"/>
  <c r="G122"/>
  <c r="D27"/>
  <c r="B217"/>
  <c r="B216"/>
  <c r="A216"/>
  <c r="A215"/>
  <c r="B33" i="74"/>
  <c r="B215" i="72" s="1"/>
  <c r="D32" i="24"/>
  <c r="A217" i="72" s="1"/>
  <c r="B32" i="24"/>
  <c r="F205" i="72"/>
  <c r="F204"/>
  <c r="F203"/>
  <c r="G201"/>
  <c r="F201"/>
  <c r="C11" i="53"/>
  <c r="D9"/>
  <c r="D6"/>
  <c r="B69" i="72"/>
  <c r="G104"/>
  <c r="A28"/>
  <c r="I23" i="76"/>
  <c r="A214" i="72" s="1"/>
  <c r="I22" i="76"/>
  <c r="A213" i="72" s="1"/>
  <c r="A212"/>
  <c r="A208"/>
  <c r="A209"/>
  <c r="A210"/>
  <c r="A211"/>
  <c r="A200"/>
  <c r="A201"/>
  <c r="A202"/>
  <c r="A203"/>
  <c r="A204"/>
  <c r="A205"/>
  <c r="A206"/>
  <c r="A207"/>
  <c r="A199"/>
  <c r="B198"/>
  <c r="C198"/>
  <c r="D198"/>
  <c r="E198"/>
  <c r="F198"/>
  <c r="G198"/>
  <c r="H198"/>
  <c r="A198"/>
  <c r="H197"/>
  <c r="B197"/>
  <c r="C197"/>
  <c r="D197"/>
  <c r="E197"/>
  <c r="F197"/>
  <c r="G197"/>
  <c r="A197"/>
  <c r="F159"/>
  <c r="F157"/>
  <c r="G15" i="24"/>
  <c r="F158" i="72" s="1"/>
  <c r="E158"/>
  <c r="E15" i="24"/>
  <c r="E157" i="72" s="1"/>
  <c r="A196"/>
  <c r="B119" i="75"/>
  <c r="A195" i="72" s="1"/>
  <c r="B118" i="75"/>
  <c r="A194" i="72" s="1"/>
  <c r="B117" i="75"/>
  <c r="A193" i="72" s="1"/>
  <c r="G161"/>
  <c r="G162"/>
  <c r="G163"/>
  <c r="G164"/>
  <c r="G165"/>
  <c r="G166"/>
  <c r="G167"/>
  <c r="G168"/>
  <c r="G169"/>
  <c r="G170"/>
  <c r="G171"/>
  <c r="G172"/>
  <c r="G173"/>
  <c r="G174"/>
  <c r="G175"/>
  <c r="G176"/>
  <c r="G177"/>
  <c r="G178"/>
  <c r="G179"/>
  <c r="G180"/>
  <c r="G181"/>
  <c r="G182"/>
  <c r="G183"/>
  <c r="G184"/>
  <c r="G185"/>
  <c r="G186"/>
  <c r="G187"/>
  <c r="G188"/>
  <c r="G189"/>
  <c r="G190"/>
  <c r="G191"/>
  <c r="G192"/>
  <c r="G160"/>
  <c r="F161"/>
  <c r="F162"/>
  <c r="F163"/>
  <c r="F164"/>
  <c r="F165"/>
  <c r="F166"/>
  <c r="F167"/>
  <c r="F168"/>
  <c r="F169"/>
  <c r="F170"/>
  <c r="F171"/>
  <c r="F172"/>
  <c r="F173"/>
  <c r="F174"/>
  <c r="F175"/>
  <c r="F176"/>
  <c r="F177"/>
  <c r="F178"/>
  <c r="F179"/>
  <c r="F180"/>
  <c r="F181"/>
  <c r="F182"/>
  <c r="F183"/>
  <c r="F184"/>
  <c r="F185"/>
  <c r="F186"/>
  <c r="F187"/>
  <c r="F188"/>
  <c r="F189"/>
  <c r="F190"/>
  <c r="F191"/>
  <c r="F192"/>
  <c r="F160"/>
  <c r="E161"/>
  <c r="E162"/>
  <c r="E163"/>
  <c r="E164"/>
  <c r="E165"/>
  <c r="E166"/>
  <c r="E167"/>
  <c r="E168"/>
  <c r="E169"/>
  <c r="E170"/>
  <c r="E171"/>
  <c r="E172"/>
  <c r="E173"/>
  <c r="E174"/>
  <c r="E175"/>
  <c r="E176"/>
  <c r="E177"/>
  <c r="E178"/>
  <c r="E179"/>
  <c r="E180"/>
  <c r="E181"/>
  <c r="E182"/>
  <c r="E183"/>
  <c r="E184"/>
  <c r="E185"/>
  <c r="E186"/>
  <c r="E187"/>
  <c r="E188"/>
  <c r="E189"/>
  <c r="E190"/>
  <c r="E191"/>
  <c r="E192"/>
  <c r="E160"/>
  <c r="B163"/>
  <c r="C163"/>
  <c r="D163"/>
  <c r="B164"/>
  <c r="C164"/>
  <c r="D164"/>
  <c r="B165"/>
  <c r="C165"/>
  <c r="D165"/>
  <c r="B166"/>
  <c r="C166"/>
  <c r="D166"/>
  <c r="B167"/>
  <c r="C167"/>
  <c r="D167"/>
  <c r="B168"/>
  <c r="C168"/>
  <c r="D168"/>
  <c r="B169"/>
  <c r="C169"/>
  <c r="D169"/>
  <c r="B170"/>
  <c r="C170"/>
  <c r="D170"/>
  <c r="B171"/>
  <c r="C171"/>
  <c r="D171"/>
  <c r="B172"/>
  <c r="C172"/>
  <c r="D172"/>
  <c r="B173"/>
  <c r="C173"/>
  <c r="D173"/>
  <c r="B174"/>
  <c r="C174"/>
  <c r="D174"/>
  <c r="B175"/>
  <c r="C175"/>
  <c r="D175"/>
  <c r="B176"/>
  <c r="C176"/>
  <c r="D176"/>
  <c r="B177"/>
  <c r="C177"/>
  <c r="D177"/>
  <c r="B178"/>
  <c r="C178"/>
  <c r="D178"/>
  <c r="B179"/>
  <c r="C179"/>
  <c r="D179"/>
  <c r="B180"/>
  <c r="C180"/>
  <c r="D180"/>
  <c r="B181"/>
  <c r="C181"/>
  <c r="D181"/>
  <c r="B182"/>
  <c r="C182"/>
  <c r="D182"/>
  <c r="B183"/>
  <c r="C183"/>
  <c r="D183"/>
  <c r="B184"/>
  <c r="C184"/>
  <c r="D184"/>
  <c r="B185"/>
  <c r="C185"/>
  <c r="D185"/>
  <c r="B186"/>
  <c r="C186"/>
  <c r="D186"/>
  <c r="B187"/>
  <c r="C187"/>
  <c r="D187"/>
  <c r="B188"/>
  <c r="C188"/>
  <c r="D188"/>
  <c r="B189"/>
  <c r="C189"/>
  <c r="D189"/>
  <c r="B190"/>
  <c r="C190"/>
  <c r="D190"/>
  <c r="B191"/>
  <c r="C191"/>
  <c r="D191"/>
  <c r="B192"/>
  <c r="C192"/>
  <c r="D192"/>
  <c r="C162"/>
  <c r="D162"/>
  <c r="C160"/>
  <c r="D160"/>
  <c r="C161"/>
  <c r="D161"/>
  <c r="B160"/>
  <c r="B161"/>
  <c r="B162"/>
  <c r="C159"/>
  <c r="D159"/>
  <c r="B159"/>
  <c r="A160"/>
  <c r="A161"/>
  <c r="A162"/>
  <c r="A163"/>
  <c r="A164"/>
  <c r="A165"/>
  <c r="A166"/>
  <c r="A167"/>
  <c r="A168"/>
  <c r="A169"/>
  <c r="A170"/>
  <c r="A171"/>
  <c r="A172"/>
  <c r="A173"/>
  <c r="A174"/>
  <c r="A175"/>
  <c r="A176"/>
  <c r="A177"/>
  <c r="A178"/>
  <c r="A179"/>
  <c r="A180"/>
  <c r="A181"/>
  <c r="A182"/>
  <c r="A183"/>
  <c r="A184"/>
  <c r="A185"/>
  <c r="A186"/>
  <c r="A187"/>
  <c r="A188"/>
  <c r="A189"/>
  <c r="A190"/>
  <c r="A191"/>
  <c r="A192"/>
  <c r="A159"/>
  <c r="B158"/>
  <c r="C158"/>
  <c r="D158"/>
  <c r="A158"/>
  <c r="B157"/>
  <c r="C157"/>
  <c r="D157"/>
  <c r="A157"/>
  <c r="H146"/>
  <c r="G120"/>
  <c r="G119"/>
  <c r="I108"/>
  <c r="I109"/>
  <c r="I110"/>
  <c r="I111"/>
  <c r="I113"/>
  <c r="I114"/>
  <c r="I115"/>
  <c r="I116"/>
  <c r="I117"/>
  <c r="G127"/>
  <c r="G128"/>
  <c r="G129"/>
  <c r="G130"/>
  <c r="G131"/>
  <c r="G132"/>
  <c r="G133"/>
  <c r="G134"/>
  <c r="G135"/>
  <c r="G136"/>
  <c r="G137"/>
  <c r="G138"/>
  <c r="G139"/>
  <c r="G140"/>
  <c r="G141"/>
  <c r="G142"/>
  <c r="G143"/>
  <c r="G144"/>
  <c r="G145"/>
  <c r="G146"/>
  <c r="G147"/>
  <c r="G148"/>
  <c r="G149"/>
  <c r="G150"/>
  <c r="G151"/>
  <c r="G152"/>
  <c r="G153"/>
  <c r="G154"/>
  <c r="G155"/>
  <c r="G156"/>
  <c r="G126"/>
  <c r="E127"/>
  <c r="E128"/>
  <c r="E129"/>
  <c r="E130"/>
  <c r="E131"/>
  <c r="E132"/>
  <c r="E133"/>
  <c r="E134"/>
  <c r="E135"/>
  <c r="E136"/>
  <c r="E137"/>
  <c r="E138"/>
  <c r="E139"/>
  <c r="E140"/>
  <c r="E141"/>
  <c r="E142"/>
  <c r="E143"/>
  <c r="E144"/>
  <c r="E145"/>
  <c r="E146"/>
  <c r="E147"/>
  <c r="E148"/>
  <c r="E149"/>
  <c r="E150"/>
  <c r="E151"/>
  <c r="E152"/>
  <c r="E153"/>
  <c r="E154"/>
  <c r="E155"/>
  <c r="E156"/>
  <c r="E126"/>
  <c r="C127"/>
  <c r="C128"/>
  <c r="C129"/>
  <c r="C130"/>
  <c r="C131"/>
  <c r="C132"/>
  <c r="C133"/>
  <c r="C134"/>
  <c r="C135"/>
  <c r="C136"/>
  <c r="C137"/>
  <c r="C138"/>
  <c r="C139"/>
  <c r="C140"/>
  <c r="C141"/>
  <c r="C142"/>
  <c r="C143"/>
  <c r="C144"/>
  <c r="C145"/>
  <c r="C146"/>
  <c r="C147"/>
  <c r="C148"/>
  <c r="C149"/>
  <c r="C150"/>
  <c r="C151"/>
  <c r="C152"/>
  <c r="C153"/>
  <c r="C154"/>
  <c r="C155"/>
  <c r="C156"/>
  <c r="C126"/>
  <c r="A151"/>
  <c r="A152"/>
  <c r="A153"/>
  <c r="A154"/>
  <c r="A155"/>
  <c r="A156"/>
  <c r="A127"/>
  <c r="A128"/>
  <c r="A129"/>
  <c r="A130"/>
  <c r="A131"/>
  <c r="A132"/>
  <c r="A133"/>
  <c r="A134"/>
  <c r="A135"/>
  <c r="A136"/>
  <c r="A137"/>
  <c r="A138"/>
  <c r="A139"/>
  <c r="A140"/>
  <c r="A141"/>
  <c r="A142"/>
  <c r="A143"/>
  <c r="A144"/>
  <c r="A145"/>
  <c r="A146"/>
  <c r="A147"/>
  <c r="A148"/>
  <c r="A149"/>
  <c r="A150"/>
  <c r="A126"/>
  <c r="A124"/>
  <c r="F121"/>
  <c r="F122"/>
  <c r="F120"/>
  <c r="F108"/>
  <c r="F109"/>
  <c r="F110"/>
  <c r="F111"/>
  <c r="F112"/>
  <c r="F113"/>
  <c r="F114"/>
  <c r="F115"/>
  <c r="F116"/>
  <c r="F117"/>
  <c r="F118"/>
  <c r="F107"/>
  <c r="A123"/>
  <c r="C121"/>
  <c r="C122"/>
  <c r="C120"/>
  <c r="C108"/>
  <c r="C109"/>
  <c r="C110"/>
  <c r="C111"/>
  <c r="C112"/>
  <c r="C113"/>
  <c r="C114"/>
  <c r="C115"/>
  <c r="C116"/>
  <c r="C117"/>
  <c r="C118"/>
  <c r="C107"/>
  <c r="A122"/>
  <c r="A108"/>
  <c r="A109"/>
  <c r="A110"/>
  <c r="A111"/>
  <c r="A112"/>
  <c r="A113"/>
  <c r="A114"/>
  <c r="A115"/>
  <c r="A116"/>
  <c r="A117"/>
  <c r="A118"/>
  <c r="A119"/>
  <c r="A120"/>
  <c r="A121"/>
  <c r="A107"/>
  <c r="O47" i="75"/>
  <c r="N47"/>
  <c r="E94" s="1"/>
  <c r="M47"/>
  <c r="L47"/>
  <c r="M49" i="68"/>
  <c r="N49"/>
  <c r="O49"/>
  <c r="L49"/>
  <c r="M48"/>
  <c r="N48"/>
  <c r="O48"/>
  <c r="L48"/>
  <c r="D21" i="72"/>
  <c r="D20"/>
  <c r="D19"/>
  <c r="I66" i="76"/>
  <c r="M46" i="75"/>
  <c r="N46"/>
  <c r="O46"/>
  <c r="L46"/>
  <c r="M37"/>
  <c r="D84" s="1"/>
  <c r="N37"/>
  <c r="O37"/>
  <c r="L37"/>
  <c r="E28"/>
  <c r="E27" i="24"/>
  <c r="P52" i="76"/>
  <c r="R52" s="1"/>
  <c r="R51"/>
  <c r="P51"/>
  <c r="P50"/>
  <c r="R50" s="1"/>
  <c r="P49"/>
  <c r="H44"/>
  <c r="J44" s="1"/>
  <c r="J43"/>
  <c r="H43"/>
  <c r="H42"/>
  <c r="J42" s="1"/>
  <c r="E41"/>
  <c r="D41"/>
  <c r="C41"/>
  <c r="R40"/>
  <c r="R41" s="1"/>
  <c r="R43" s="1"/>
  <c r="R46" s="1"/>
  <c r="R38"/>
  <c r="R37"/>
  <c r="R36"/>
  <c r="I36"/>
  <c r="H36"/>
  <c r="G36"/>
  <c r="F36"/>
  <c r="E36"/>
  <c r="D36"/>
  <c r="C36"/>
  <c r="J32"/>
  <c r="I32"/>
  <c r="H32"/>
  <c r="G32"/>
  <c r="E32"/>
  <c r="C32"/>
  <c r="D32" s="1"/>
  <c r="D13"/>
  <c r="I13" s="1"/>
  <c r="I12"/>
  <c r="D12"/>
  <c r="G9"/>
  <c r="H8"/>
  <c r="G8"/>
  <c r="C114" i="75"/>
  <c r="C113"/>
  <c r="C112"/>
  <c r="C111"/>
  <c r="C110"/>
  <c r="C109"/>
  <c r="F108"/>
  <c r="E108"/>
  <c r="D108"/>
  <c r="C108"/>
  <c r="C107"/>
  <c r="C106"/>
  <c r="C105"/>
  <c r="C104"/>
  <c r="C103"/>
  <c r="C102"/>
  <c r="C101"/>
  <c r="C100"/>
  <c r="C99"/>
  <c r="F98"/>
  <c r="C98"/>
  <c r="C97"/>
  <c r="C96"/>
  <c r="F95"/>
  <c r="C95"/>
  <c r="C94"/>
  <c r="C93"/>
  <c r="F92"/>
  <c r="E92"/>
  <c r="D92"/>
  <c r="C92"/>
  <c r="C91"/>
  <c r="C90"/>
  <c r="C89"/>
  <c r="C88"/>
  <c r="C87"/>
  <c r="C86"/>
  <c r="C85"/>
  <c r="C84"/>
  <c r="B83"/>
  <c r="F82"/>
  <c r="E82"/>
  <c r="D82"/>
  <c r="B82"/>
  <c r="F81"/>
  <c r="E81"/>
  <c r="D81"/>
  <c r="F80"/>
  <c r="E80"/>
  <c r="D80"/>
  <c r="B80"/>
  <c r="M78"/>
  <c r="M77"/>
  <c r="M75"/>
  <c r="M74"/>
  <c r="M73"/>
  <c r="O67"/>
  <c r="N67"/>
  <c r="M67"/>
  <c r="L67"/>
  <c r="K67"/>
  <c r="O66"/>
  <c r="N66"/>
  <c r="M66"/>
  <c r="L66"/>
  <c r="K66"/>
  <c r="O65"/>
  <c r="F112" s="1"/>
  <c r="N65"/>
  <c r="M65"/>
  <c r="L65"/>
  <c r="K65"/>
  <c r="O64"/>
  <c r="N64"/>
  <c r="M64"/>
  <c r="L64"/>
  <c r="D111" s="1"/>
  <c r="K64"/>
  <c r="O63"/>
  <c r="N63"/>
  <c r="M63"/>
  <c r="L63"/>
  <c r="K63"/>
  <c r="O62"/>
  <c r="N62"/>
  <c r="M62"/>
  <c r="L62"/>
  <c r="K62"/>
  <c r="K61"/>
  <c r="O60"/>
  <c r="N60"/>
  <c r="M60"/>
  <c r="L60"/>
  <c r="D107" s="1"/>
  <c r="K60"/>
  <c r="O59"/>
  <c r="N59"/>
  <c r="M59"/>
  <c r="L59"/>
  <c r="K59"/>
  <c r="O58"/>
  <c r="N58"/>
  <c r="M58"/>
  <c r="L58"/>
  <c r="F105" s="1"/>
  <c r="K58"/>
  <c r="O57"/>
  <c r="N57"/>
  <c r="M57"/>
  <c r="L57"/>
  <c r="K57"/>
  <c r="O56"/>
  <c r="N56"/>
  <c r="M56"/>
  <c r="L56"/>
  <c r="D103" s="1"/>
  <c r="K56"/>
  <c r="O55"/>
  <c r="N55"/>
  <c r="M55"/>
  <c r="L55"/>
  <c r="K55"/>
  <c r="L54"/>
  <c r="E101" s="1"/>
  <c r="K54"/>
  <c r="G54"/>
  <c r="O54" s="1"/>
  <c r="F54"/>
  <c r="N54" s="1"/>
  <c r="E54"/>
  <c r="M54" s="1"/>
  <c r="O53"/>
  <c r="N53"/>
  <c r="M53"/>
  <c r="L53"/>
  <c r="D100" s="1"/>
  <c r="K53"/>
  <c r="O52"/>
  <c r="N52"/>
  <c r="M52"/>
  <c r="L52"/>
  <c r="E99" s="1"/>
  <c r="K52"/>
  <c r="O51"/>
  <c r="N51"/>
  <c r="E98" s="1"/>
  <c r="M51"/>
  <c r="L51"/>
  <c r="K51"/>
  <c r="O50"/>
  <c r="F97" s="1"/>
  <c r="N50"/>
  <c r="E97" s="1"/>
  <c r="M50"/>
  <c r="L50"/>
  <c r="K50"/>
  <c r="O49"/>
  <c r="N49"/>
  <c r="M49"/>
  <c r="L49"/>
  <c r="E96" s="1"/>
  <c r="K49"/>
  <c r="O48"/>
  <c r="N48"/>
  <c r="M48"/>
  <c r="L48"/>
  <c r="K48"/>
  <c r="K47"/>
  <c r="K46"/>
  <c r="K45"/>
  <c r="G45"/>
  <c r="F45"/>
  <c r="E45"/>
  <c r="L44"/>
  <c r="K44"/>
  <c r="G44"/>
  <c r="O44" s="1"/>
  <c r="F44"/>
  <c r="N44" s="1"/>
  <c r="E44"/>
  <c r="M44" s="1"/>
  <c r="O43"/>
  <c r="N43"/>
  <c r="M43"/>
  <c r="L43"/>
  <c r="K43"/>
  <c r="O42"/>
  <c r="N42"/>
  <c r="M42"/>
  <c r="L42"/>
  <c r="K42"/>
  <c r="O41"/>
  <c r="N41"/>
  <c r="M41"/>
  <c r="L41"/>
  <c r="D88" s="1"/>
  <c r="K41"/>
  <c r="O40"/>
  <c r="N40"/>
  <c r="M40"/>
  <c r="L40"/>
  <c r="K40"/>
  <c r="O39"/>
  <c r="N39"/>
  <c r="M39"/>
  <c r="L39"/>
  <c r="K39"/>
  <c r="O38"/>
  <c r="F85" s="1"/>
  <c r="N38"/>
  <c r="M38"/>
  <c r="L38"/>
  <c r="K38"/>
  <c r="K37"/>
  <c r="O36"/>
  <c r="N36"/>
  <c r="M36"/>
  <c r="L36"/>
  <c r="J36"/>
  <c r="G36"/>
  <c r="O13" s="1"/>
  <c r="F36"/>
  <c r="E36"/>
  <c r="J35"/>
  <c r="G35"/>
  <c r="F35"/>
  <c r="E35"/>
  <c r="O34"/>
  <c r="N34"/>
  <c r="M34"/>
  <c r="G34"/>
  <c r="F34"/>
  <c r="E34"/>
  <c r="B34"/>
  <c r="J34" s="1"/>
  <c r="J33"/>
  <c r="G33"/>
  <c r="F33"/>
  <c r="E33"/>
  <c r="D33"/>
  <c r="B33"/>
  <c r="G32"/>
  <c r="F32"/>
  <c r="E32"/>
  <c r="D32"/>
  <c r="B32"/>
  <c r="G31"/>
  <c r="F31"/>
  <c r="E31"/>
  <c r="D31"/>
  <c r="B31"/>
  <c r="G30"/>
  <c r="F30"/>
  <c r="E30"/>
  <c r="D30"/>
  <c r="B30"/>
  <c r="G29"/>
  <c r="F29"/>
  <c r="E29"/>
  <c r="D29"/>
  <c r="B29"/>
  <c r="R28"/>
  <c r="G28"/>
  <c r="O33" s="1"/>
  <c r="F28"/>
  <c r="N33" s="1"/>
  <c r="M33"/>
  <c r="D28"/>
  <c r="L33" s="1"/>
  <c r="N13"/>
  <c r="M13"/>
  <c r="L13"/>
  <c r="G12"/>
  <c r="F12"/>
  <c r="E12"/>
  <c r="M38" i="68"/>
  <c r="N38"/>
  <c r="O38"/>
  <c r="L38"/>
  <c r="A64" i="72" s="1"/>
  <c r="M47" i="68"/>
  <c r="N47"/>
  <c r="O47"/>
  <c r="L47"/>
  <c r="M58"/>
  <c r="N58"/>
  <c r="O58"/>
  <c r="L58"/>
  <c r="E105" i="72"/>
  <c r="E104"/>
  <c r="G97"/>
  <c r="B28" i="74"/>
  <c r="G95" i="72"/>
  <c r="C105"/>
  <c r="A105"/>
  <c r="G100"/>
  <c r="G99"/>
  <c r="F99"/>
  <c r="F98"/>
  <c r="A104"/>
  <c r="E103"/>
  <c r="D103"/>
  <c r="B103"/>
  <c r="A103"/>
  <c r="E96"/>
  <c r="M80" i="75" l="1"/>
  <c r="D33" i="74"/>
  <c r="I107" i="72"/>
  <c r="R54" i="76"/>
  <c r="R55" s="1"/>
  <c r="F93" i="75"/>
  <c r="E93"/>
  <c r="M68"/>
  <c r="D83"/>
  <c r="D106"/>
  <c r="D110"/>
  <c r="D114"/>
  <c r="F88"/>
  <c r="D85"/>
  <c r="E87"/>
  <c r="D89"/>
  <c r="D93"/>
  <c r="D97"/>
  <c r="E102"/>
  <c r="D104"/>
  <c r="E106"/>
  <c r="E110"/>
  <c r="E112"/>
  <c r="E114"/>
  <c r="F84"/>
  <c r="F89"/>
  <c r="F104"/>
  <c r="F107"/>
  <c r="F111"/>
  <c r="D87"/>
  <c r="D95"/>
  <c r="D102"/>
  <c r="F103"/>
  <c r="O68"/>
  <c r="F83"/>
  <c r="E84"/>
  <c r="D86"/>
  <c r="F87"/>
  <c r="E88"/>
  <c r="D90"/>
  <c r="D94"/>
  <c r="D98"/>
  <c r="F102"/>
  <c r="E103"/>
  <c r="F106"/>
  <c r="E107"/>
  <c r="E109"/>
  <c r="F110"/>
  <c r="E111"/>
  <c r="E113"/>
  <c r="F114"/>
  <c r="F94"/>
  <c r="F99"/>
  <c r="R57" i="76"/>
  <c r="F41" s="1"/>
  <c r="H41" s="1"/>
  <c r="J41" s="1"/>
  <c r="R45"/>
  <c r="F24"/>
  <c r="R44"/>
  <c r="L41"/>
  <c r="M41" s="1"/>
  <c r="M83" i="75"/>
  <c r="M81"/>
  <c r="M82"/>
  <c r="N68"/>
  <c r="D91"/>
  <c r="F86"/>
  <c r="F90"/>
  <c r="F91"/>
  <c r="F100"/>
  <c r="E85"/>
  <c r="E86"/>
  <c r="E89"/>
  <c r="E90"/>
  <c r="E91"/>
  <c r="E95"/>
  <c r="E100"/>
  <c r="E104"/>
  <c r="E105"/>
  <c r="B81"/>
  <c r="E83"/>
  <c r="D96"/>
  <c r="D99"/>
  <c r="D101"/>
  <c r="D105"/>
  <c r="D109"/>
  <c r="D112"/>
  <c r="D113"/>
  <c r="F96"/>
  <c r="F101"/>
  <c r="F109"/>
  <c r="F113"/>
  <c r="F102" i="72"/>
  <c r="D102"/>
  <c r="B102"/>
  <c r="A102"/>
  <c r="B47" i="74"/>
  <c r="B22"/>
  <c r="B101" i="72" s="1"/>
  <c r="D47" i="74"/>
  <c r="C47"/>
  <c r="E47"/>
  <c r="A101" i="72"/>
  <c r="C100"/>
  <c r="B100"/>
  <c r="A100"/>
  <c r="C99"/>
  <c r="B99"/>
  <c r="A99"/>
  <c r="C98"/>
  <c r="C97"/>
  <c r="A98"/>
  <c r="A97"/>
  <c r="E95"/>
  <c r="D96"/>
  <c r="A96"/>
  <c r="D95"/>
  <c r="C95"/>
  <c r="A95"/>
  <c r="C43" i="74"/>
  <c r="B98" i="72" s="1"/>
  <c r="C42" i="74"/>
  <c r="B97" i="72" s="1"/>
  <c r="E25" i="74"/>
  <c r="D17"/>
  <c r="M69" i="75" l="1"/>
  <c r="L69" s="1"/>
  <c r="J36" i="76"/>
  <c r="D24"/>
  <c r="L70" i="75" l="1"/>
  <c r="L71" s="1"/>
  <c r="D7" i="76"/>
  <c r="B121" i="75"/>
  <c r="K7"/>
  <c r="L22" i="53"/>
  <c r="L24"/>
  <c r="I79" i="72" s="1"/>
  <c r="L23" i="53"/>
  <c r="H63" i="72"/>
  <c r="H66"/>
  <c r="H67"/>
  <c r="H68"/>
  <c r="H69"/>
  <c r="H70"/>
  <c r="H71"/>
  <c r="H76"/>
  <c r="H77"/>
  <c r="H79"/>
  <c r="H80"/>
  <c r="H82"/>
  <c r="H83"/>
  <c r="H85"/>
  <c r="H86"/>
  <c r="H87"/>
  <c r="H88"/>
  <c r="H90"/>
  <c r="H91"/>
  <c r="H93"/>
  <c r="H94"/>
  <c r="H62"/>
  <c r="F63"/>
  <c r="F65"/>
  <c r="F66"/>
  <c r="F67"/>
  <c r="F68"/>
  <c r="F69"/>
  <c r="F70"/>
  <c r="F71"/>
  <c r="F76"/>
  <c r="F77"/>
  <c r="F79"/>
  <c r="F80"/>
  <c r="F82"/>
  <c r="F83"/>
  <c r="F85"/>
  <c r="F86"/>
  <c r="F88"/>
  <c r="F89"/>
  <c r="F90"/>
  <c r="F91"/>
  <c r="F92"/>
  <c r="F93"/>
  <c r="F94"/>
  <c r="F62"/>
  <c r="E63"/>
  <c r="E65"/>
  <c r="E66"/>
  <c r="E67"/>
  <c r="E68"/>
  <c r="E69"/>
  <c r="E70"/>
  <c r="E71"/>
  <c r="E79"/>
  <c r="E80"/>
  <c r="E82"/>
  <c r="E83"/>
  <c r="E85"/>
  <c r="E86"/>
  <c r="E88"/>
  <c r="E89"/>
  <c r="E90"/>
  <c r="E91"/>
  <c r="E92"/>
  <c r="E93"/>
  <c r="E62"/>
  <c r="D63"/>
  <c r="D66"/>
  <c r="D67"/>
  <c r="D68"/>
  <c r="D69"/>
  <c r="D70"/>
  <c r="D71"/>
  <c r="D72"/>
  <c r="D75"/>
  <c r="D76"/>
  <c r="D77"/>
  <c r="D79"/>
  <c r="D80"/>
  <c r="D81"/>
  <c r="D82"/>
  <c r="D83"/>
  <c r="D85"/>
  <c r="D86"/>
  <c r="D87"/>
  <c r="D88"/>
  <c r="D90"/>
  <c r="D91"/>
  <c r="D93"/>
  <c r="D94"/>
  <c r="D62"/>
  <c r="C63"/>
  <c r="C65"/>
  <c r="C66"/>
  <c r="C67"/>
  <c r="C68"/>
  <c r="C69"/>
  <c r="C70"/>
  <c r="C71"/>
  <c r="C72"/>
  <c r="C75"/>
  <c r="C76"/>
  <c r="C77"/>
  <c r="C79"/>
  <c r="C80"/>
  <c r="C81"/>
  <c r="C82"/>
  <c r="C83"/>
  <c r="C85"/>
  <c r="C86"/>
  <c r="C88"/>
  <c r="C89"/>
  <c r="C90"/>
  <c r="C91"/>
  <c r="C92"/>
  <c r="C93"/>
  <c r="C94"/>
  <c r="C62"/>
  <c r="B63"/>
  <c r="B65"/>
  <c r="B66"/>
  <c r="B67"/>
  <c r="B68"/>
  <c r="B70"/>
  <c r="B71"/>
  <c r="B72"/>
  <c r="B75"/>
  <c r="B79"/>
  <c r="B80"/>
  <c r="B82"/>
  <c r="B83"/>
  <c r="B85"/>
  <c r="B86"/>
  <c r="B88"/>
  <c r="B89"/>
  <c r="B90"/>
  <c r="B91"/>
  <c r="B92"/>
  <c r="B93"/>
  <c r="B62"/>
  <c r="A94"/>
  <c r="A92"/>
  <c r="A93"/>
  <c r="A63"/>
  <c r="A65"/>
  <c r="A66"/>
  <c r="A67"/>
  <c r="A68"/>
  <c r="A69"/>
  <c r="A70"/>
  <c r="A71"/>
  <c r="A72"/>
  <c r="A73"/>
  <c r="A75"/>
  <c r="A76"/>
  <c r="A77"/>
  <c r="A79"/>
  <c r="A80"/>
  <c r="A82"/>
  <c r="A83"/>
  <c r="A84"/>
  <c r="A85"/>
  <c r="A86"/>
  <c r="A87"/>
  <c r="A88"/>
  <c r="A89"/>
  <c r="A90"/>
  <c r="A91"/>
  <c r="A62"/>
  <c r="B60"/>
  <c r="C60"/>
  <c r="D60"/>
  <c r="A60"/>
  <c r="D59"/>
  <c r="A59"/>
  <c r="T43"/>
  <c r="T44"/>
  <c r="T45"/>
  <c r="T46"/>
  <c r="T47"/>
  <c r="T48"/>
  <c r="T49"/>
  <c r="T51"/>
  <c r="T52"/>
  <c r="T53"/>
  <c r="T54"/>
  <c r="T55"/>
  <c r="T56"/>
  <c r="T57"/>
  <c r="T58"/>
  <c r="T59"/>
  <c r="T60"/>
  <c r="T61"/>
  <c r="T62"/>
  <c r="T63"/>
  <c r="T64"/>
  <c r="T65"/>
  <c r="T66"/>
  <c r="T67"/>
  <c r="T68"/>
  <c r="T69"/>
  <c r="T70"/>
  <c r="T71"/>
  <c r="T72"/>
  <c r="T42"/>
  <c r="P43"/>
  <c r="P44"/>
  <c r="P45"/>
  <c r="P46"/>
  <c r="P47"/>
  <c r="P48"/>
  <c r="P49"/>
  <c r="P51"/>
  <c r="P52"/>
  <c r="P53"/>
  <c r="P54"/>
  <c r="P55"/>
  <c r="P56"/>
  <c r="P57"/>
  <c r="P58"/>
  <c r="P59"/>
  <c r="P60"/>
  <c r="P61"/>
  <c r="P62"/>
  <c r="P63"/>
  <c r="P64"/>
  <c r="P65"/>
  <c r="P66"/>
  <c r="P67"/>
  <c r="P68"/>
  <c r="P69"/>
  <c r="P70"/>
  <c r="P71"/>
  <c r="P72"/>
  <c r="P42"/>
  <c r="M43"/>
  <c r="M44"/>
  <c r="M45"/>
  <c r="M46"/>
  <c r="M47"/>
  <c r="M48"/>
  <c r="M49"/>
  <c r="M51"/>
  <c r="M52"/>
  <c r="M53"/>
  <c r="M54"/>
  <c r="M55"/>
  <c r="M56"/>
  <c r="M57"/>
  <c r="M58"/>
  <c r="M60"/>
  <c r="M61"/>
  <c r="M62"/>
  <c r="M63"/>
  <c r="M64"/>
  <c r="M65"/>
  <c r="M66"/>
  <c r="M67"/>
  <c r="M68"/>
  <c r="M69"/>
  <c r="M70"/>
  <c r="M71"/>
  <c r="M72"/>
  <c r="M42"/>
  <c r="J72"/>
  <c r="J71"/>
  <c r="J67"/>
  <c r="J68"/>
  <c r="J69"/>
  <c r="J70"/>
  <c r="J64"/>
  <c r="J65"/>
  <c r="J66"/>
  <c r="J61"/>
  <c r="J62"/>
  <c r="J63"/>
  <c r="J59"/>
  <c r="J60"/>
  <c r="J43"/>
  <c r="J44"/>
  <c r="J45"/>
  <c r="J46"/>
  <c r="J47"/>
  <c r="J48"/>
  <c r="J49"/>
  <c r="J50"/>
  <c r="J51"/>
  <c r="J52"/>
  <c r="J53"/>
  <c r="J54"/>
  <c r="J55"/>
  <c r="J56"/>
  <c r="J57"/>
  <c r="J58"/>
  <c r="J42"/>
  <c r="H43"/>
  <c r="H44"/>
  <c r="H45"/>
  <c r="H46"/>
  <c r="H47"/>
  <c r="H48"/>
  <c r="H49"/>
  <c r="H50"/>
  <c r="H51"/>
  <c r="H52"/>
  <c r="H53"/>
  <c r="H54"/>
  <c r="H55"/>
  <c r="H56"/>
  <c r="H57"/>
  <c r="H58"/>
  <c r="E43"/>
  <c r="E44"/>
  <c r="E45"/>
  <c r="E46"/>
  <c r="E48"/>
  <c r="E49"/>
  <c r="E50"/>
  <c r="E51"/>
  <c r="E52"/>
  <c r="E53"/>
  <c r="E54"/>
  <c r="E55"/>
  <c r="E56"/>
  <c r="E57"/>
  <c r="E58"/>
  <c r="E42"/>
  <c r="C43"/>
  <c r="C44"/>
  <c r="C45"/>
  <c r="C46"/>
  <c r="C48"/>
  <c r="C49"/>
  <c r="C50"/>
  <c r="C51"/>
  <c r="C52"/>
  <c r="C53"/>
  <c r="C54"/>
  <c r="C55"/>
  <c r="C56"/>
  <c r="C57"/>
  <c r="C58"/>
  <c r="C42"/>
  <c r="A43"/>
  <c r="A44"/>
  <c r="A45"/>
  <c r="A46"/>
  <c r="A48"/>
  <c r="A49"/>
  <c r="A50"/>
  <c r="A51"/>
  <c r="A52"/>
  <c r="A53"/>
  <c r="A54"/>
  <c r="A55"/>
  <c r="A56"/>
  <c r="A57"/>
  <c r="A58"/>
  <c r="A42"/>
  <c r="C12"/>
  <c r="C11"/>
  <c r="C10"/>
  <c r="C9"/>
  <c r="C8"/>
  <c r="C7"/>
  <c r="C6"/>
  <c r="C5"/>
  <c r="C4"/>
  <c r="C3"/>
  <c r="C2"/>
  <c r="F40"/>
  <c r="D40"/>
  <c r="E40"/>
  <c r="A40"/>
  <c r="B24"/>
  <c r="C39"/>
  <c r="A39"/>
  <c r="A38"/>
  <c r="B33"/>
  <c r="B32"/>
  <c r="H31"/>
  <c r="G31"/>
  <c r="F31"/>
  <c r="E31"/>
  <c r="D31"/>
  <c r="H30"/>
  <c r="G30"/>
  <c r="F30"/>
  <c r="E30"/>
  <c r="D30"/>
  <c r="C30"/>
  <c r="B30"/>
  <c r="A31"/>
  <c r="A30"/>
  <c r="C29"/>
  <c r="B29"/>
  <c r="A29"/>
  <c r="A27"/>
  <c r="A26"/>
  <c r="A25"/>
  <c r="A24"/>
  <c r="A23"/>
  <c r="A21"/>
  <c r="A20"/>
  <c r="F17"/>
  <c r="D17"/>
  <c r="B17"/>
  <c r="A17"/>
  <c r="A13"/>
  <c r="A12"/>
  <c r="A11"/>
  <c r="A10"/>
  <c r="A9"/>
  <c r="A8"/>
  <c r="A6"/>
  <c r="A5"/>
  <c r="A4"/>
  <c r="A3"/>
  <c r="A2"/>
  <c r="A1"/>
  <c r="A7"/>
  <c r="C21" i="53"/>
  <c r="C20"/>
  <c r="D26" i="72" s="1"/>
  <c r="D18" i="28"/>
  <c r="C14"/>
  <c r="G14"/>
  <c r="K62" i="68"/>
  <c r="N18" i="53"/>
  <c r="A22" i="72" s="1"/>
  <c r="A18"/>
  <c r="D8" i="76" l="1"/>
  <c r="D9"/>
  <c r="A5" i="28"/>
  <c r="A6"/>
  <c r="H9" i="52"/>
  <c r="H8"/>
  <c r="F8"/>
  <c r="E14" s="1"/>
  <c r="H7"/>
  <c r="D7"/>
  <c r="G23" i="63"/>
  <c r="G21"/>
  <c r="E12"/>
  <c r="E11"/>
  <c r="E10"/>
  <c r="D4"/>
  <c r="D3"/>
  <c r="A79" i="51"/>
  <c r="B77"/>
  <c r="B76"/>
  <c r="L73"/>
  <c r="B70" s="1"/>
  <c r="L69"/>
  <c r="H58"/>
  <c r="G58"/>
  <c r="F58"/>
  <c r="E58"/>
  <c r="D58"/>
  <c r="H57"/>
  <c r="G57"/>
  <c r="F57"/>
  <c r="E57"/>
  <c r="D57"/>
  <c r="H56"/>
  <c r="G56"/>
  <c r="F56"/>
  <c r="E56"/>
  <c r="D56"/>
  <c r="I55"/>
  <c r="H55"/>
  <c r="G55"/>
  <c r="F55"/>
  <c r="E55"/>
  <c r="D55"/>
  <c r="B55"/>
  <c r="A41"/>
  <c r="A40"/>
  <c r="A38"/>
  <c r="A36"/>
  <c r="C33"/>
  <c r="A33"/>
  <c r="D32"/>
  <c r="A32"/>
  <c r="I31"/>
  <c r="H31"/>
  <c r="G31"/>
  <c r="F31"/>
  <c r="D31"/>
  <c r="A31"/>
  <c r="I30"/>
  <c r="H30"/>
  <c r="F30"/>
  <c r="A30"/>
  <c r="I29"/>
  <c r="H29"/>
  <c r="G29"/>
  <c r="F29"/>
  <c r="D29"/>
  <c r="A29"/>
  <c r="I28"/>
  <c r="H28"/>
  <c r="G28"/>
  <c r="F28"/>
  <c r="D28"/>
  <c r="A28"/>
  <c r="H27"/>
  <c r="F27"/>
  <c r="A27"/>
  <c r="D25"/>
  <c r="B69" s="1"/>
  <c r="C25"/>
  <c r="H24"/>
  <c r="G24"/>
  <c r="D24"/>
  <c r="C24"/>
  <c r="H23"/>
  <c r="G23"/>
  <c r="D23"/>
  <c r="C23"/>
  <c r="H22"/>
  <c r="G22"/>
  <c r="D22"/>
  <c r="C22"/>
  <c r="G21"/>
  <c r="D21"/>
  <c r="C21"/>
  <c r="C20"/>
  <c r="H18"/>
  <c r="D18"/>
  <c r="H17"/>
  <c r="D17"/>
  <c r="H16"/>
  <c r="D16"/>
  <c r="H15"/>
  <c r="D15"/>
  <c r="H14"/>
  <c r="G14"/>
  <c r="D14"/>
  <c r="H13"/>
  <c r="D13"/>
  <c r="D12"/>
  <c r="D11"/>
  <c r="K10"/>
  <c r="K9"/>
  <c r="D8"/>
  <c r="C8"/>
  <c r="A5"/>
  <c r="A4"/>
  <c r="A3"/>
  <c r="M72" i="58"/>
  <c r="M65"/>
  <c r="B64"/>
  <c r="M61"/>
  <c r="H52"/>
  <c r="G52"/>
  <c r="F52"/>
  <c r="E52"/>
  <c r="D52"/>
  <c r="H51"/>
  <c r="G51"/>
  <c r="F51"/>
  <c r="E51"/>
  <c r="D51"/>
  <c r="H50"/>
  <c r="G50"/>
  <c r="F50"/>
  <c r="E50"/>
  <c r="D50"/>
  <c r="H49"/>
  <c r="G49"/>
  <c r="F49"/>
  <c r="E49"/>
  <c r="D49"/>
  <c r="B49"/>
  <c r="A43"/>
  <c r="A42"/>
  <c r="A38"/>
  <c r="C35"/>
  <c r="A35"/>
  <c r="D34"/>
  <c r="A34"/>
  <c r="I33"/>
  <c r="H33"/>
  <c r="G33"/>
  <c r="F33"/>
  <c r="D33"/>
  <c r="A33"/>
  <c r="I32"/>
  <c r="H32"/>
  <c r="F32"/>
  <c r="A32"/>
  <c r="I31"/>
  <c r="H31"/>
  <c r="G31"/>
  <c r="F31"/>
  <c r="D31"/>
  <c r="A31"/>
  <c r="I30"/>
  <c r="H30"/>
  <c r="G30"/>
  <c r="F30"/>
  <c r="D30"/>
  <c r="A30"/>
  <c r="H29"/>
  <c r="F29"/>
  <c r="A29"/>
  <c r="D27"/>
  <c r="C27"/>
  <c r="H26"/>
  <c r="G26"/>
  <c r="D26"/>
  <c r="C26"/>
  <c r="H25"/>
  <c r="G25"/>
  <c r="D25"/>
  <c r="C25"/>
  <c r="H24"/>
  <c r="G24"/>
  <c r="D24"/>
  <c r="C24"/>
  <c r="G23"/>
  <c r="D23"/>
  <c r="C23"/>
  <c r="C22"/>
  <c r="H20"/>
  <c r="D20"/>
  <c r="C20"/>
  <c r="H19"/>
  <c r="G19"/>
  <c r="D19"/>
  <c r="C19"/>
  <c r="H18"/>
  <c r="D18"/>
  <c r="H17"/>
  <c r="D17"/>
  <c r="H16"/>
  <c r="G16"/>
  <c r="D16"/>
  <c r="H15"/>
  <c r="D15"/>
  <c r="D14"/>
  <c r="D13"/>
  <c r="K12"/>
  <c r="K10"/>
  <c r="D9"/>
  <c r="C9"/>
  <c r="A6"/>
  <c r="A4"/>
  <c r="B27" i="54"/>
  <c r="B26"/>
  <c r="B14"/>
  <c r="D13"/>
  <c r="B13"/>
  <c r="B12"/>
  <c r="D11"/>
  <c r="B11"/>
  <c r="D10"/>
  <c r="B10"/>
  <c r="D9"/>
  <c r="B9"/>
  <c r="B8"/>
  <c r="B7"/>
  <c r="B6"/>
  <c r="B5"/>
  <c r="B4"/>
  <c r="A2"/>
  <c r="M63" i="28"/>
  <c r="B55"/>
  <c r="M52"/>
  <c r="B49" s="1"/>
  <c r="A42"/>
  <c r="A41"/>
  <c r="A37"/>
  <c r="C34"/>
  <c r="A34"/>
  <c r="D33"/>
  <c r="A33"/>
  <c r="I32"/>
  <c r="H32"/>
  <c r="G32"/>
  <c r="F32"/>
  <c r="D32"/>
  <c r="A32"/>
  <c r="I31"/>
  <c r="H31"/>
  <c r="F31"/>
  <c r="A31"/>
  <c r="I30"/>
  <c r="H30"/>
  <c r="G30"/>
  <c r="F30"/>
  <c r="D30"/>
  <c r="A30"/>
  <c r="I29"/>
  <c r="H29"/>
  <c r="G29"/>
  <c r="F29"/>
  <c r="D29"/>
  <c r="A29"/>
  <c r="H28"/>
  <c r="F28"/>
  <c r="A28"/>
  <c r="D26"/>
  <c r="B48" s="1"/>
  <c r="C26"/>
  <c r="H25"/>
  <c r="G25"/>
  <c r="D25"/>
  <c r="C25"/>
  <c r="H24"/>
  <c r="G24"/>
  <c r="D24"/>
  <c r="C24"/>
  <c r="H23"/>
  <c r="G23"/>
  <c r="D23"/>
  <c r="C23"/>
  <c r="G22"/>
  <c r="D22"/>
  <c r="C22"/>
  <c r="C21"/>
  <c r="H19"/>
  <c r="D19"/>
  <c r="C19"/>
  <c r="H18"/>
  <c r="G18"/>
  <c r="C18"/>
  <c r="H17"/>
  <c r="D17"/>
  <c r="H16"/>
  <c r="D16"/>
  <c r="H15"/>
  <c r="G15"/>
  <c r="D15"/>
  <c r="H14"/>
  <c r="D14"/>
  <c r="D13"/>
  <c r="D12"/>
  <c r="K11"/>
  <c r="K10"/>
  <c r="L9"/>
  <c r="D9"/>
  <c r="C9"/>
  <c r="L8"/>
  <c r="A4"/>
  <c r="F115" i="68"/>
  <c r="E115"/>
  <c r="C115"/>
  <c r="F114"/>
  <c r="E114"/>
  <c r="D114"/>
  <c r="C114"/>
  <c r="E113"/>
  <c r="D113"/>
  <c r="C113"/>
  <c r="F112"/>
  <c r="E112"/>
  <c r="D112"/>
  <c r="C112"/>
  <c r="C111"/>
  <c r="E110"/>
  <c r="D110"/>
  <c r="C110"/>
  <c r="F109"/>
  <c r="E109"/>
  <c r="D109"/>
  <c r="C109"/>
  <c r="F108"/>
  <c r="E108"/>
  <c r="F87" i="72" s="1"/>
  <c r="C108" i="68"/>
  <c r="F107"/>
  <c r="E107"/>
  <c r="D107"/>
  <c r="C107"/>
  <c r="F106"/>
  <c r="E106"/>
  <c r="D106"/>
  <c r="C106"/>
  <c r="E105"/>
  <c r="F84" i="72" s="1"/>
  <c r="D105" i="68"/>
  <c r="E84" i="72" s="1"/>
  <c r="C105" i="68"/>
  <c r="F104"/>
  <c r="E104"/>
  <c r="D104"/>
  <c r="C104"/>
  <c r="F103"/>
  <c r="E103"/>
  <c r="D103"/>
  <c r="C103"/>
  <c r="C102"/>
  <c r="F101"/>
  <c r="E101"/>
  <c r="D101"/>
  <c r="C101"/>
  <c r="F100"/>
  <c r="E100"/>
  <c r="D100"/>
  <c r="C100"/>
  <c r="C99"/>
  <c r="F98"/>
  <c r="E98"/>
  <c r="C98"/>
  <c r="F97"/>
  <c r="E97"/>
  <c r="C97"/>
  <c r="F96"/>
  <c r="H75" i="72" s="1"/>
  <c r="E96" i="68"/>
  <c r="F75" i="72" s="1"/>
  <c r="D96" i="68"/>
  <c r="E75" i="72" s="1"/>
  <c r="C96" i="68"/>
  <c r="C95"/>
  <c r="C94"/>
  <c r="F93"/>
  <c r="H72" i="72" s="1"/>
  <c r="E93" i="68"/>
  <c r="F72" i="72" s="1"/>
  <c r="D93" i="68"/>
  <c r="E72" i="72" s="1"/>
  <c r="C93" i="68"/>
  <c r="F92"/>
  <c r="E92"/>
  <c r="D92"/>
  <c r="C92"/>
  <c r="F91"/>
  <c r="E91"/>
  <c r="D91"/>
  <c r="C91"/>
  <c r="F90"/>
  <c r="E90"/>
  <c r="D90"/>
  <c r="C90"/>
  <c r="F89"/>
  <c r="E89"/>
  <c r="D89"/>
  <c r="C89"/>
  <c r="F88"/>
  <c r="E88"/>
  <c r="D88"/>
  <c r="C88"/>
  <c r="F87"/>
  <c r="E87"/>
  <c r="D87"/>
  <c r="C87"/>
  <c r="E86"/>
  <c r="D86"/>
  <c r="C86"/>
  <c r="E85"/>
  <c r="F64" i="72" s="1"/>
  <c r="D85" i="68"/>
  <c r="E64" i="72" s="1"/>
  <c r="C85" i="68"/>
  <c r="F84"/>
  <c r="E84"/>
  <c r="D84"/>
  <c r="B84"/>
  <c r="F83"/>
  <c r="E83"/>
  <c r="D83"/>
  <c r="B83"/>
  <c r="F82"/>
  <c r="E82"/>
  <c r="D82"/>
  <c r="B82"/>
  <c r="M81"/>
  <c r="M82" s="1"/>
  <c r="F81"/>
  <c r="E81"/>
  <c r="D81"/>
  <c r="B81"/>
  <c r="M79"/>
  <c r="M78"/>
  <c r="M76"/>
  <c r="M75"/>
  <c r="M74"/>
  <c r="O68"/>
  <c r="N68"/>
  <c r="M68"/>
  <c r="B94" i="72" s="1"/>
  <c r="L68" i="68"/>
  <c r="K68"/>
  <c r="O67"/>
  <c r="N67"/>
  <c r="M67"/>
  <c r="L67"/>
  <c r="K67"/>
  <c r="O66"/>
  <c r="D92" i="72" s="1"/>
  <c r="N66" i="68"/>
  <c r="M66"/>
  <c r="L66"/>
  <c r="K66"/>
  <c r="O65"/>
  <c r="N65"/>
  <c r="M65"/>
  <c r="L65"/>
  <c r="K65"/>
  <c r="O64"/>
  <c r="N64"/>
  <c r="M64"/>
  <c r="L64"/>
  <c r="K64"/>
  <c r="O63"/>
  <c r="D89" i="72" s="1"/>
  <c r="N63" i="68"/>
  <c r="M63"/>
  <c r="L63"/>
  <c r="K63"/>
  <c r="O61"/>
  <c r="N61"/>
  <c r="C87" i="72" s="1"/>
  <c r="M61" i="68"/>
  <c r="B87" i="72" s="1"/>
  <c r="L61" i="68"/>
  <c r="K61"/>
  <c r="O60"/>
  <c r="N60"/>
  <c r="M60"/>
  <c r="L60"/>
  <c r="K60"/>
  <c r="O59"/>
  <c r="N59"/>
  <c r="M59"/>
  <c r="L59"/>
  <c r="K59"/>
  <c r="D84" i="72"/>
  <c r="C84"/>
  <c r="B84"/>
  <c r="K58" i="68"/>
  <c r="O57"/>
  <c r="N57"/>
  <c r="M57"/>
  <c r="L57"/>
  <c r="K57"/>
  <c r="O56"/>
  <c r="N56"/>
  <c r="M56"/>
  <c r="L56"/>
  <c r="K56"/>
  <c r="O55"/>
  <c r="N55"/>
  <c r="L55"/>
  <c r="A81" i="72" s="1"/>
  <c r="K55" i="68"/>
  <c r="G55"/>
  <c r="F55"/>
  <c r="E55"/>
  <c r="M59" i="72" s="1"/>
  <c r="O54" i="68"/>
  <c r="N54"/>
  <c r="M54"/>
  <c r="L54"/>
  <c r="K54"/>
  <c r="O53"/>
  <c r="N53"/>
  <c r="M53"/>
  <c r="L53"/>
  <c r="K53"/>
  <c r="O52"/>
  <c r="D78" i="72" s="1"/>
  <c r="N52" i="68"/>
  <c r="C78" i="72" s="1"/>
  <c r="M52" i="68"/>
  <c r="B78" i="72" s="1"/>
  <c r="L52" i="68"/>
  <c r="A78" i="72" s="1"/>
  <c r="K52" i="68"/>
  <c r="O51"/>
  <c r="N51"/>
  <c r="M51"/>
  <c r="B77" i="72" s="1"/>
  <c r="L51" i="68"/>
  <c r="K51"/>
  <c r="O50"/>
  <c r="N50"/>
  <c r="M50"/>
  <c r="B76" i="72" s="1"/>
  <c r="L50" i="68"/>
  <c r="K50"/>
  <c r="K49"/>
  <c r="D74" i="72"/>
  <c r="C74"/>
  <c r="B74"/>
  <c r="A74"/>
  <c r="K48" i="68"/>
  <c r="D73" i="72"/>
  <c r="C73"/>
  <c r="B73"/>
  <c r="K47" i="68"/>
  <c r="K46"/>
  <c r="G46"/>
  <c r="T50" i="72" s="1"/>
  <c r="F46" i="68"/>
  <c r="P50" i="72" s="1"/>
  <c r="E46" i="68"/>
  <c r="M50" i="72" s="1"/>
  <c r="O45" i="68"/>
  <c r="N45"/>
  <c r="M45"/>
  <c r="L45"/>
  <c r="K45"/>
  <c r="G45"/>
  <c r="F45"/>
  <c r="E45"/>
  <c r="O44"/>
  <c r="N44"/>
  <c r="M44"/>
  <c r="L44"/>
  <c r="K44"/>
  <c r="O43"/>
  <c r="N43"/>
  <c r="M43"/>
  <c r="L43"/>
  <c r="K43"/>
  <c r="O42"/>
  <c r="N42"/>
  <c r="M42"/>
  <c r="L42"/>
  <c r="K42"/>
  <c r="O41"/>
  <c r="N41"/>
  <c r="M41"/>
  <c r="L41"/>
  <c r="K41"/>
  <c r="O40"/>
  <c r="N40"/>
  <c r="M40"/>
  <c r="L40"/>
  <c r="K40"/>
  <c r="O39"/>
  <c r="D65" i="72" s="1"/>
  <c r="N39" i="68"/>
  <c r="M39"/>
  <c r="L39"/>
  <c r="K39"/>
  <c r="D64" i="72"/>
  <c r="C64"/>
  <c r="B64"/>
  <c r="K38" i="68"/>
  <c r="O37"/>
  <c r="N37"/>
  <c r="M37"/>
  <c r="L37"/>
  <c r="J37"/>
  <c r="G37"/>
  <c r="F37"/>
  <c r="N13" s="1"/>
  <c r="C59" i="72" s="1"/>
  <c r="E37" i="68"/>
  <c r="L13"/>
  <c r="J36"/>
  <c r="G36"/>
  <c r="F36"/>
  <c r="E36"/>
  <c r="O35"/>
  <c r="N35"/>
  <c r="M35"/>
  <c r="J35"/>
  <c r="G35"/>
  <c r="F35"/>
  <c r="E35"/>
  <c r="B35"/>
  <c r="O34"/>
  <c r="N34"/>
  <c r="J34"/>
  <c r="G34"/>
  <c r="F34"/>
  <c r="E34"/>
  <c r="D34"/>
  <c r="B34"/>
  <c r="G33"/>
  <c r="F33"/>
  <c r="E33"/>
  <c r="D33"/>
  <c r="B33"/>
  <c r="G32"/>
  <c r="F32"/>
  <c r="E32"/>
  <c r="D32"/>
  <c r="B32"/>
  <c r="G31"/>
  <c r="F31"/>
  <c r="E31"/>
  <c r="D31"/>
  <c r="B31"/>
  <c r="G30"/>
  <c r="F30"/>
  <c r="E30"/>
  <c r="D30"/>
  <c r="B30"/>
  <c r="R29"/>
  <c r="G29"/>
  <c r="F29"/>
  <c r="E29"/>
  <c r="M34" s="1"/>
  <c r="D29"/>
  <c r="H42" i="72" s="1"/>
  <c r="O13" i="68"/>
  <c r="M13"/>
  <c r="B59" i="72" s="1"/>
  <c r="G12" i="68"/>
  <c r="E47" i="72" s="1"/>
  <c r="F12" i="68"/>
  <c r="C47" i="72" s="1"/>
  <c r="E12" i="68"/>
  <c r="A47" i="72" s="1"/>
  <c r="I58" i="51"/>
  <c r="C19" i="53"/>
  <c r="A37" i="72" s="1"/>
  <c r="C18" i="53"/>
  <c r="A36" i="72" s="1"/>
  <c r="L17" i="53"/>
  <c r="C16"/>
  <c r="A35" i="72" s="1"/>
  <c r="C14" i="53"/>
  <c r="B34" i="72" s="1"/>
  <c r="O12" i="53"/>
  <c r="K12"/>
  <c r="G8"/>
  <c r="D8"/>
  <c r="I5"/>
  <c r="G5"/>
  <c r="A33" i="72" s="1"/>
  <c r="D5" i="53"/>
  <c r="A32" i="72" s="1"/>
  <c r="C50" i="24"/>
  <c r="B50"/>
  <c r="E48"/>
  <c r="D48"/>
  <c r="C48"/>
  <c r="B48"/>
  <c r="C47"/>
  <c r="B47"/>
  <c r="C42"/>
  <c r="C41"/>
  <c r="B4" i="72" s="1"/>
  <c r="D39" i="24"/>
  <c r="D20" i="51"/>
  <c r="B22" i="24"/>
  <c r="E19"/>
  <c r="F12"/>
  <c r="F11"/>
  <c r="E8"/>
  <c r="M84" i="68" l="1"/>
  <c r="M83"/>
  <c r="E102"/>
  <c r="F81" i="72" s="1"/>
  <c r="F102" i="68"/>
  <c r="H81" i="72" s="1"/>
  <c r="D115" i="68"/>
  <c r="E94" i="72" s="1"/>
  <c r="F113" i="68"/>
  <c r="H92" i="72" s="1"/>
  <c r="F110" i="68"/>
  <c r="H89" i="72" s="1"/>
  <c r="D108" i="68"/>
  <c r="E87" i="72" s="1"/>
  <c r="E99" i="68"/>
  <c r="F78" i="72" s="1"/>
  <c r="M55" i="68"/>
  <c r="B81" i="72" s="1"/>
  <c r="C42" i="28"/>
  <c r="C43" i="58"/>
  <c r="C41" i="51"/>
  <c r="C42" i="58"/>
  <c r="C40" i="51"/>
  <c r="C41" i="28"/>
  <c r="C40" i="58"/>
  <c r="C39" i="28"/>
  <c r="C38" i="51"/>
  <c r="F86" i="68"/>
  <c r="H65" i="72" s="1"/>
  <c r="D18" i="76"/>
  <c r="I18" s="1"/>
  <c r="D15"/>
  <c r="I15" s="1"/>
  <c r="D14"/>
  <c r="D11"/>
  <c r="I10"/>
  <c r="D10"/>
  <c r="I8"/>
  <c r="I9"/>
  <c r="D95" i="68"/>
  <c r="E74" i="72" s="1"/>
  <c r="F95" i="68"/>
  <c r="H74" i="72" s="1"/>
  <c r="E95" i="68"/>
  <c r="F74" i="72" s="1"/>
  <c r="D30" i="51"/>
  <c r="B31" i="72"/>
  <c r="G30" i="51"/>
  <c r="C31" i="72"/>
  <c r="I29" i="58"/>
  <c r="A34" i="72"/>
  <c r="H21" i="51"/>
  <c r="A19" i="72"/>
  <c r="F85" i="68"/>
  <c r="H64" i="72" s="1"/>
  <c r="D94" i="68"/>
  <c r="F94"/>
  <c r="E94"/>
  <c r="F105"/>
  <c r="H84" i="72" s="1"/>
  <c r="D98" i="68"/>
  <c r="D97"/>
  <c r="E76" i="72" s="1"/>
  <c r="M56" i="58"/>
  <c r="F8" i="24"/>
  <c r="B5" i="72"/>
  <c r="H23" i="58"/>
  <c r="I56" i="51"/>
  <c r="D32" i="58"/>
  <c r="H22" i="28"/>
  <c r="M57" i="58"/>
  <c r="B16" i="24"/>
  <c r="C36" i="51"/>
  <c r="B57"/>
  <c r="D28" i="28"/>
  <c r="L34" i="68"/>
  <c r="C37" i="28"/>
  <c r="D27" i="51"/>
  <c r="E111" i="68"/>
  <c r="D111"/>
  <c r="F111"/>
  <c r="O69"/>
  <c r="N69"/>
  <c r="F99"/>
  <c r="H78" i="72" s="1"/>
  <c r="D99" i="68"/>
  <c r="E78" i="72" s="1"/>
  <c r="I28" i="28"/>
  <c r="I27" i="51"/>
  <c r="B62"/>
  <c r="M47" i="28"/>
  <c r="D29" i="58"/>
  <c r="C38"/>
  <c r="B50"/>
  <c r="B56" i="51"/>
  <c r="B15" i="54"/>
  <c r="D31" i="28"/>
  <c r="D21"/>
  <c r="D22" i="58"/>
  <c r="G32"/>
  <c r="I57" i="51"/>
  <c r="G31" i="28"/>
  <c r="G27" i="51"/>
  <c r="G28" i="28"/>
  <c r="G29" i="58"/>
  <c r="B119" i="68" l="1"/>
  <c r="I76" i="72" s="1"/>
  <c r="H73"/>
  <c r="G21"/>
  <c r="F73"/>
  <c r="F21"/>
  <c r="E73"/>
  <c r="E21"/>
  <c r="M69" i="68"/>
  <c r="M70" s="1"/>
  <c r="B122" s="1"/>
  <c r="I78" i="72" s="1"/>
  <c r="D102" i="68"/>
  <c r="E81" i="72" s="1"/>
  <c r="D16" i="76"/>
  <c r="I16" s="1"/>
  <c r="D17"/>
  <c r="I17" s="1"/>
  <c r="I14"/>
  <c r="I11"/>
  <c r="E77" i="72"/>
  <c r="A16"/>
  <c r="D21" i="58"/>
  <c r="D19" i="51"/>
  <c r="D20" i="28"/>
  <c r="B16" i="54"/>
  <c r="B51" i="58"/>
  <c r="B120" i="68"/>
  <c r="I77" i="72" s="1"/>
  <c r="B61" i="51"/>
  <c r="B118" i="68" l="1"/>
  <c r="I75" i="72" s="1"/>
  <c r="D19" i="76"/>
  <c r="I19" s="1"/>
  <c r="B52" i="58"/>
  <c r="B58" i="51"/>
  <c r="B17" i="54"/>
  <c r="L70" i="68"/>
  <c r="K7"/>
  <c r="B60" i="51"/>
  <c r="D20" i="76" l="1"/>
  <c r="D21" s="1"/>
  <c r="E63"/>
  <c r="I63" s="1"/>
  <c r="L71" i="68"/>
  <c r="E33" i="74"/>
  <c r="A15" i="72"/>
  <c r="E9" i="28"/>
  <c r="I20" i="76" l="1"/>
  <c r="I21"/>
  <c r="D23"/>
  <c r="A14" i="72"/>
  <c r="F9" i="28"/>
  <c r="L72" i="68"/>
  <c r="B14" i="72" s="1"/>
  <c r="B63" i="51"/>
  <c r="E64" i="76" l="1"/>
  <c r="I64" s="1"/>
  <c r="I65" s="1"/>
  <c r="I67" s="1"/>
  <c r="E68" s="1"/>
  <c r="E34" i="74"/>
  <c r="B34"/>
  <c r="B35"/>
  <c r="E35" s="1"/>
  <c r="H9" i="28"/>
  <c r="K8" s="1"/>
  <c r="K9" s="1"/>
  <c r="B34" i="24"/>
  <c r="B33" s="1"/>
  <c r="E10" i="28"/>
  <c r="M56"/>
  <c r="L70" i="51" l="1"/>
  <c r="L71"/>
  <c r="M59" i="28"/>
  <c r="D5" i="63"/>
  <c r="F9" i="52"/>
  <c r="E18" i="63" l="1"/>
  <c r="D6"/>
  <c r="E19"/>
  <c r="K7" i="51"/>
  <c r="K8" s="1"/>
  <c r="E9" s="1"/>
  <c r="K8" i="58"/>
  <c r="K9" s="1"/>
  <c r="E10" s="1"/>
  <c r="F8" i="51"/>
  <c r="H8" s="1"/>
  <c r="F9" i="58"/>
  <c r="A19" i="54"/>
  <c r="E12" i="52"/>
  <c r="G11"/>
  <c r="E15"/>
  <c r="M68" i="58"/>
  <c r="C19" i="54" l="1"/>
  <c r="E8" i="51"/>
  <c r="E9" i="58"/>
  <c r="I12" i="63"/>
  <c r="E15" s="1"/>
  <c r="E14" s="1"/>
  <c r="E16" i="52"/>
  <c r="I15" i="63" l="1"/>
  <c r="I17" s="1"/>
  <c r="G16" i="52"/>
  <c r="I20" s="1"/>
  <c r="H16"/>
  <c r="H17" s="1"/>
  <c r="I16" i="63" l="1"/>
  <c r="E16" s="1"/>
  <c r="E17" s="1"/>
  <c r="E20" s="1"/>
  <c r="H18" i="52"/>
  <c r="I17"/>
  <c r="I19" s="1"/>
  <c r="G17" i="63" l="1"/>
  <c r="G4"/>
  <c r="H9" i="58" s="1"/>
  <c r="G20" i="63"/>
  <c r="G22" s="1"/>
  <c r="F22"/>
  <c r="D21"/>
  <c r="G5" s="1"/>
  <c r="I9" i="58" s="1"/>
  <c r="L8" l="1"/>
  <c r="L9" s="1"/>
  <c r="E11" s="1"/>
  <c r="M60" l="1"/>
  <c r="B58" s="1"/>
</calcChain>
</file>

<file path=xl/comments1.xml><?xml version="1.0" encoding="utf-8"?>
<comments xmlns="http://schemas.openxmlformats.org/spreadsheetml/2006/main">
  <authors>
    <author>taoye</author>
    <author>wa00566</author>
  </authors>
  <commentList>
    <comment ref="B3" authorId="0">
      <text>
        <r>
          <rPr>
            <b/>
            <sz val="9"/>
            <color indexed="81"/>
            <rFont val="Tahoma"/>
            <family val="2"/>
          </rPr>
          <t>taoye:</t>
        </r>
        <r>
          <rPr>
            <sz val="9"/>
            <color indexed="81"/>
            <rFont val="Tahoma"/>
            <family val="2"/>
          </rPr>
          <t xml:space="preserve">
</t>
        </r>
        <r>
          <rPr>
            <sz val="9"/>
            <color indexed="81"/>
            <rFont val="宋体"/>
            <family val="3"/>
            <charset val="134"/>
          </rPr>
          <t>个人报告选择“苏海估</t>
        </r>
        <r>
          <rPr>
            <sz val="9"/>
            <color indexed="81"/>
            <rFont val="Tahoma"/>
            <family val="2"/>
          </rPr>
          <t>CDQ</t>
        </r>
        <r>
          <rPr>
            <sz val="9"/>
            <color indexed="81"/>
            <rFont val="宋体"/>
            <family val="3"/>
            <charset val="134"/>
          </rPr>
          <t>字［</t>
        </r>
        <r>
          <rPr>
            <sz val="9"/>
            <color indexed="81"/>
            <rFont val="Tahoma"/>
            <family val="2"/>
          </rPr>
          <t>2017</t>
        </r>
        <r>
          <rPr>
            <sz val="9"/>
            <color indexed="81"/>
            <rFont val="宋体"/>
            <family val="3"/>
            <charset val="134"/>
          </rPr>
          <t>］”对公报告选择“苏海估</t>
        </r>
        <r>
          <rPr>
            <sz val="9"/>
            <color indexed="81"/>
            <rFont val="Tahoma"/>
            <family val="2"/>
          </rPr>
          <t>CDy</t>
        </r>
        <r>
          <rPr>
            <sz val="9"/>
            <color indexed="81"/>
            <rFont val="宋体"/>
            <family val="3"/>
            <charset val="134"/>
          </rPr>
          <t>字［</t>
        </r>
        <r>
          <rPr>
            <sz val="9"/>
            <color indexed="81"/>
            <rFont val="Tahoma"/>
            <family val="2"/>
          </rPr>
          <t>2017</t>
        </r>
        <r>
          <rPr>
            <sz val="9"/>
            <color indexed="81"/>
            <rFont val="宋体"/>
            <family val="3"/>
            <charset val="134"/>
          </rPr>
          <t>］”</t>
        </r>
      </text>
    </comment>
    <comment ref="D8" authorId="1">
      <text>
        <r>
          <rPr>
            <b/>
            <sz val="9"/>
            <rFont val="宋体"/>
            <family val="3"/>
            <charset val="134"/>
          </rPr>
          <t>初评时委托方填写银行，精确至支行；出具报告时填写《房地产估价委托书》确定的委托方。</t>
        </r>
        <r>
          <rPr>
            <sz val="9"/>
            <rFont val="Tahoma"/>
            <family val="2"/>
          </rPr>
          <t xml:space="preserve">
</t>
        </r>
      </text>
    </comment>
    <comment ref="B10" authorId="1">
      <text>
        <r>
          <rPr>
            <b/>
            <sz val="9"/>
            <rFont val="宋体"/>
            <family val="3"/>
            <charset val="134"/>
          </rPr>
          <t>按房屋所有权证登记信息填写</t>
        </r>
        <r>
          <rPr>
            <sz val="9"/>
            <rFont val="Tahoma"/>
            <family val="2"/>
          </rPr>
          <t xml:space="preserve">
</t>
        </r>
      </text>
    </comment>
    <comment ref="A13" authorId="0">
      <text>
        <r>
          <rPr>
            <b/>
            <sz val="9"/>
            <rFont val="宋体"/>
            <family val="3"/>
            <charset val="134"/>
          </rPr>
          <t>taoye:</t>
        </r>
        <r>
          <rPr>
            <sz val="9"/>
            <rFont val="宋体"/>
            <family val="3"/>
            <charset val="134"/>
          </rPr>
          <t xml:space="preserve">
下拉菜单可选</t>
        </r>
      </text>
    </comment>
    <comment ref="C13" authorId="0">
      <text>
        <r>
          <rPr>
            <b/>
            <sz val="9"/>
            <rFont val="宋体"/>
            <family val="3"/>
            <charset val="134"/>
          </rPr>
          <t>taoye:</t>
        </r>
        <r>
          <rPr>
            <sz val="9"/>
            <rFont val="宋体"/>
            <family val="3"/>
            <charset val="134"/>
          </rPr>
          <t xml:space="preserve">
下拉菜单可选</t>
        </r>
      </text>
    </comment>
    <comment ref="A14" authorId="0">
      <text>
        <r>
          <rPr>
            <b/>
            <sz val="9"/>
            <rFont val="宋体"/>
            <family val="3"/>
            <charset val="134"/>
          </rPr>
          <t>taoye:</t>
        </r>
        <r>
          <rPr>
            <sz val="9"/>
            <rFont val="宋体"/>
            <family val="3"/>
            <charset val="134"/>
          </rPr>
          <t xml:space="preserve">
下拉菜单可选</t>
        </r>
      </text>
    </comment>
    <comment ref="C16" authorId="1">
      <text>
        <r>
          <rPr>
            <b/>
            <sz val="9"/>
            <rFont val="宋体"/>
            <family val="3"/>
            <charset val="134"/>
          </rPr>
          <t>若无该项则填—，如有则按证书记载填写</t>
        </r>
      </text>
    </comment>
    <comment ref="B22" authorId="1">
      <text>
        <r>
          <rPr>
            <b/>
            <sz val="9"/>
            <rFont val="宋体"/>
            <family val="3"/>
            <charset val="134"/>
          </rPr>
          <t xml:space="preserve">下面可选
</t>
        </r>
      </text>
    </comment>
    <comment ref="B23" authorId="1">
      <text>
        <r>
          <rPr>
            <b/>
            <sz val="9"/>
            <rFont val="宋体"/>
            <family val="3"/>
            <charset val="134"/>
          </rPr>
          <t>如无该类事项，填写</t>
        </r>
        <r>
          <rPr>
            <b/>
            <sz val="9"/>
            <rFont val="Tahoma"/>
            <family val="2"/>
          </rPr>
          <t>“</t>
        </r>
        <r>
          <rPr>
            <b/>
            <sz val="9"/>
            <rFont val="宋体"/>
            <family val="3"/>
            <charset val="134"/>
          </rPr>
          <t>无</t>
        </r>
        <r>
          <rPr>
            <b/>
            <sz val="9"/>
            <rFont val="Tahoma"/>
            <family val="2"/>
          </rPr>
          <t>”</t>
        </r>
      </text>
    </comment>
    <comment ref="A36" authorId="0">
      <text>
        <r>
          <rPr>
            <b/>
            <sz val="9"/>
            <rFont val="宋体"/>
            <family val="3"/>
            <charset val="134"/>
          </rPr>
          <t>taoye:</t>
        </r>
        <r>
          <rPr>
            <sz val="9"/>
            <rFont val="宋体"/>
            <family val="3"/>
            <charset val="134"/>
          </rPr>
          <t xml:space="preserve">
下拉菜单可选</t>
        </r>
      </text>
    </comment>
    <comment ref="D41" authorId="1">
      <text>
        <r>
          <rPr>
            <b/>
            <sz val="9"/>
            <rFont val="宋体"/>
            <family val="3"/>
            <charset val="134"/>
          </rPr>
          <t>需写至支行</t>
        </r>
        <r>
          <rPr>
            <sz val="9"/>
            <rFont val="Tahoma"/>
            <family val="2"/>
          </rPr>
          <t xml:space="preserve">
</t>
        </r>
      </text>
    </comment>
    <comment ref="B47" authorId="0">
      <text>
        <r>
          <rPr>
            <b/>
            <sz val="9"/>
            <rFont val="宋体"/>
            <family val="3"/>
            <charset val="134"/>
          </rPr>
          <t>taoye:</t>
        </r>
        <r>
          <rPr>
            <sz val="9"/>
            <rFont val="宋体"/>
            <family val="3"/>
            <charset val="134"/>
          </rPr>
          <t xml:space="preserve">
</t>
        </r>
        <r>
          <rPr>
            <sz val="8"/>
            <rFont val="宋体"/>
            <family val="3"/>
            <charset val="134"/>
          </rPr>
          <t>所有“号”（街道号、栋号、单元号、房号）都有，但是与产权登记不一致且未提供《地址变更证明》的情况选用</t>
        </r>
      </text>
    </comment>
    <comment ref="C47" authorId="0">
      <text>
        <r>
          <rPr>
            <b/>
            <sz val="9"/>
            <rFont val="宋体"/>
            <family val="3"/>
            <charset val="134"/>
          </rPr>
          <t>taoye:</t>
        </r>
        <r>
          <rPr>
            <sz val="9"/>
            <rFont val="宋体"/>
            <family val="3"/>
            <charset val="134"/>
          </rPr>
          <t xml:space="preserve">
</t>
        </r>
        <r>
          <rPr>
            <sz val="8"/>
            <rFont val="宋体"/>
            <family val="3"/>
            <charset val="134"/>
          </rPr>
          <t>“号”（街道号、栋号、单元号、房号）不齐全，且估价委托人未提供《地址证明》的情况选用</t>
        </r>
      </text>
    </comment>
    <comment ref="D47" authorId="0">
      <text>
        <r>
          <rPr>
            <b/>
            <sz val="9"/>
            <rFont val="宋体"/>
            <family val="3"/>
            <charset val="134"/>
          </rPr>
          <t>taoye:</t>
        </r>
        <r>
          <rPr>
            <sz val="9"/>
            <rFont val="宋体"/>
            <family val="3"/>
            <charset val="134"/>
          </rPr>
          <t xml:space="preserve">
</t>
        </r>
        <r>
          <rPr>
            <sz val="8"/>
            <rFont val="宋体"/>
            <family val="3"/>
            <charset val="134"/>
          </rPr>
          <t xml:space="preserve">所有“号”（街道号、栋号、单元号、房号）都有，但是与产权登记不一致，已提供《地址变更证明》的情况选用
</t>
        </r>
      </text>
    </comment>
    <comment ref="E47" authorId="0">
      <text>
        <r>
          <rPr>
            <b/>
            <sz val="9"/>
            <rFont val="宋体"/>
            <family val="3"/>
            <charset val="134"/>
          </rPr>
          <t>taoye:</t>
        </r>
        <r>
          <rPr>
            <sz val="9"/>
            <rFont val="宋体"/>
            <family val="3"/>
            <charset val="134"/>
          </rPr>
          <t xml:space="preserve">
</t>
        </r>
        <r>
          <rPr>
            <sz val="8"/>
            <rFont val="宋体"/>
            <family val="3"/>
            <charset val="134"/>
          </rPr>
          <t xml:space="preserve">“号”（街道号、栋号、单元号、房号）不齐全，估价委托人已提供《地址证明》的情况选用
</t>
        </r>
      </text>
    </comment>
  </commentList>
</comments>
</file>

<file path=xl/comments10.xml><?xml version="1.0" encoding="utf-8"?>
<comments xmlns="http://schemas.openxmlformats.org/spreadsheetml/2006/main">
  <authors>
    <author>作者</author>
    <author>WA01784</author>
    <author>wa00675</author>
  </authors>
  <commentList>
    <comment ref="C9" authorId="0">
      <text>
        <r>
          <rPr>
            <b/>
            <sz val="9"/>
            <color indexed="10"/>
            <rFont val="宋体"/>
            <family val="3"/>
            <charset val="134"/>
          </rPr>
          <t>作者:</t>
        </r>
        <r>
          <rPr>
            <sz val="9"/>
            <color indexed="10"/>
            <rFont val="宋体"/>
            <family val="3"/>
            <charset val="134"/>
          </rPr>
          <t xml:space="preserve">
对个人购买住房2年内转手交易的，全额缴纳营业税。 对个人购买住宅超过2年以上的，普通住宅免征，非普通住宅差额缴纳营业税。  
对住房以外的物业以购置的不动产或受让的土地使用权进行销售和转让的全部按差额计征。   
个人销售自建自用住房符合免税条件的免征营业税。  
对非房地产开发单位销售自建房或接受由个人赠与的非购置不动产再销售的，以取得的全部收入征收营业税。
营业税中购买时间与普通住宅的认定：
1、住房购买时间确认 ：房屋产权证上注明的登记日期；  购买日期（可向登记部门核查购房时间），安居房及二级转移登记以购买合同日期为准，三级转移登记以申请购房日期为主；  契税完税证明；  契税免税批件上注明的时间；
2、普通住宅标准（同时满足）：小区建筑容积率在1.0以上；  单套住房建筑面积在144平方米以下（含144平方米）； 成交价低于同级别土地住房平均价1.44倍以下。</t>
        </r>
      </text>
    </comment>
    <comment ref="E9" authorId="1">
      <text>
        <r>
          <rPr>
            <b/>
            <sz val="9"/>
            <rFont val="Tahoma"/>
            <family val="2"/>
          </rPr>
          <t>WA01784:</t>
        </r>
        <r>
          <rPr>
            <sz val="9"/>
            <rFont val="Tahoma"/>
            <family val="2"/>
          </rPr>
          <t xml:space="preserve">
</t>
        </r>
        <r>
          <rPr>
            <sz val="9"/>
            <rFont val="宋体"/>
            <family val="3"/>
            <charset val="134"/>
          </rPr>
          <t>请注意是否满</t>
        </r>
        <r>
          <rPr>
            <sz val="9"/>
            <rFont val="Tahoma"/>
            <family val="2"/>
          </rPr>
          <t>2</t>
        </r>
        <r>
          <rPr>
            <sz val="9"/>
            <rFont val="宋体"/>
            <family val="3"/>
            <charset val="134"/>
          </rPr>
          <t>年，如果满</t>
        </r>
        <r>
          <rPr>
            <sz val="9"/>
            <rFont val="Tahoma"/>
            <family val="2"/>
          </rPr>
          <t>2</t>
        </r>
        <r>
          <rPr>
            <sz val="9"/>
            <rFont val="宋体"/>
            <family val="3"/>
            <charset val="134"/>
          </rPr>
          <t xml:space="preserve">年，则免征
</t>
        </r>
      </text>
    </comment>
    <comment ref="C10" authorId="0">
      <text>
        <r>
          <rPr>
            <b/>
            <sz val="9"/>
            <rFont val="宋体"/>
            <family val="3"/>
            <charset val="134"/>
          </rPr>
          <t>作者:</t>
        </r>
        <r>
          <rPr>
            <sz val="9"/>
            <rFont val="宋体"/>
            <family val="3"/>
            <charset val="134"/>
          </rPr>
          <t xml:space="preserve">
与营业税同时缴纳。</t>
        </r>
      </text>
    </comment>
    <comment ref="C11" authorId="0">
      <text>
        <r>
          <rPr>
            <b/>
            <sz val="9"/>
            <rFont val="宋体"/>
            <family val="3"/>
            <charset val="134"/>
          </rPr>
          <t>作者:</t>
        </r>
        <r>
          <rPr>
            <sz val="9"/>
            <rFont val="宋体"/>
            <family val="3"/>
            <charset val="134"/>
          </rPr>
          <t xml:space="preserve">
与营业税同时缴纳。对外商投资企业和外国企业暂不征收教育费附加。</t>
        </r>
      </text>
    </comment>
    <comment ref="I12" authorId="2">
      <text>
        <r>
          <rPr>
            <b/>
            <sz val="9"/>
            <rFont val="Tahoma"/>
            <family val="2"/>
          </rPr>
          <t>wa00675:</t>
        </r>
        <r>
          <rPr>
            <sz val="9"/>
            <rFont val="Tahoma"/>
            <family val="2"/>
          </rPr>
          <t xml:space="preserve">
</t>
        </r>
        <r>
          <rPr>
            <sz val="9"/>
            <rFont val="宋体"/>
            <family val="3"/>
            <charset val="134"/>
          </rPr>
          <t>凡能够按转让房地产项目计算分摊并提供金融机构证明的，允许据实扣除，但最高不能超过按商业银行同类同期贷款利率计算的金额。凡不能按转让房地产项目计算分摊利息支出或不能提供金融机构证明的，房地产开发费用按土地价、建安费用的金额之和的百分之十以内计算扣除。</t>
        </r>
      </text>
    </comment>
    <comment ref="I13" authorId="2">
      <text>
        <r>
          <rPr>
            <b/>
            <sz val="9"/>
            <rFont val="Tahoma"/>
            <family val="2"/>
          </rPr>
          <t>wa00675:</t>
        </r>
        <r>
          <rPr>
            <sz val="9"/>
            <rFont val="Tahoma"/>
            <family val="2"/>
          </rPr>
          <t xml:space="preserve">
</t>
        </r>
        <r>
          <rPr>
            <sz val="9"/>
            <rFont val="宋体"/>
            <family val="3"/>
            <charset val="134"/>
          </rPr>
          <t>凡能够按转让房地产项目计算分摊并提供金融机构证明的，允许据实扣除，但最高不能超过按商业银行同类同期贷款利率计算的金额。凡不能按转让房地产项目计算分摊利息支出或不能提供金融机构证明的，房地产开发费用按土地价、建安费用的金额之和的百分之十以内计算扣除。</t>
        </r>
      </text>
    </comment>
    <comment ref="C16" authorId="0">
      <text>
        <r>
          <rPr>
            <b/>
            <sz val="9"/>
            <color indexed="10"/>
            <rFont val="宋体"/>
            <family val="3"/>
            <charset val="134"/>
          </rPr>
          <t xml:space="preserve">作者:
土地增值税实行四级超率累进税率：
1) 增值额未超过扣除项目金额50%的部分，税率为30%。
2) 增值额超过扣除项目金额50%、未超过扣除项目金额100%的部分，税率为40%。
3) 增值额超过扣除项目金额100%、未超过扣除项目金额200%的部分，税率为50%。
4) 增值额超过扣除项目金额200%的部分，税率为60%。
上述所列四级超率累进税率，每级“增值额未超过扣除项目金额”的比例，均包括本比例数。
</t>
        </r>
        <r>
          <rPr>
            <sz val="9"/>
            <color indexed="10"/>
            <rFont val="宋体"/>
            <family val="3"/>
            <charset val="134"/>
          </rPr>
          <t xml:space="preserve">
</t>
        </r>
      </text>
    </comment>
    <comment ref="C17" authorId="0">
      <text>
        <r>
          <rPr>
            <b/>
            <sz val="9"/>
            <rFont val="宋体"/>
            <family val="3"/>
            <charset val="134"/>
          </rPr>
          <t>作者:</t>
        </r>
        <r>
          <rPr>
            <sz val="9"/>
            <rFont val="宋体"/>
            <family val="3"/>
            <charset val="134"/>
          </rPr>
          <t xml:space="preserve">
1、税率：个人：20％，企业：15％
2、个人转让自用达五年以上的安居房取得的所得暂免征个人所得税。 
3、个人转让自用5年以上并且是家庭唯一生活用房取得的所得，免征个人所得税。
</t>
        </r>
      </text>
    </comment>
    <comment ref="E19" authorId="1">
      <text>
        <r>
          <rPr>
            <b/>
            <sz val="9"/>
            <rFont val="Tahoma"/>
            <family val="2"/>
          </rPr>
          <t>WA01784:</t>
        </r>
        <r>
          <rPr>
            <sz val="9"/>
            <rFont val="Tahoma"/>
            <family val="2"/>
          </rPr>
          <t xml:space="preserve">
</t>
        </r>
        <r>
          <rPr>
            <sz val="9"/>
            <rFont val="宋体"/>
            <family val="3"/>
            <charset val="134"/>
          </rPr>
          <t>平安银行要求计算处置费用，其他银行可不考虑这部分</t>
        </r>
      </text>
    </comment>
    <comment ref="I20" authorId="0">
      <text>
        <r>
          <rPr>
            <b/>
            <sz val="9"/>
            <rFont val="宋体"/>
            <family val="3"/>
            <charset val="134"/>
          </rPr>
          <t>WA01784:</t>
        </r>
        <r>
          <rPr>
            <sz val="9"/>
            <rFont val="宋体"/>
            <family val="3"/>
            <charset val="134"/>
          </rPr>
          <t xml:space="preserve">
1、税率：个人：20％，企业：25％
2、个人转让自用达五年以上的安居房取得的所得暂免征个人所得税。 
3、个人转让自用5年以上并且是家庭唯一生活用房取得的所得，免征个人所得税。</t>
        </r>
      </text>
    </comment>
    <comment ref="I21" authorId="0">
      <text>
        <r>
          <rPr>
            <b/>
            <sz val="9"/>
            <color indexed="10"/>
            <rFont val="宋体"/>
            <family val="3"/>
            <charset val="134"/>
          </rPr>
          <t>作者:</t>
        </r>
        <r>
          <rPr>
            <sz val="9"/>
            <color indexed="10"/>
            <rFont val="宋体"/>
            <family val="3"/>
            <charset val="134"/>
          </rPr>
          <t xml:space="preserve">
新建成商品住房按3元/平方米收取；经济适用房的房地产交易服务费减半计收；住房以外按6元/平方米收取，由交易双方各承担50%。 </t>
        </r>
      </text>
    </comment>
  </commentList>
</comments>
</file>

<file path=xl/comments2.xml><?xml version="1.0" encoding="utf-8"?>
<comments xmlns="http://schemas.openxmlformats.org/spreadsheetml/2006/main">
  <authors>
    <author>taoye</author>
    <author>wa00566</author>
  </authors>
  <commentList>
    <comment ref="B3" authorId="0">
      <text>
        <r>
          <rPr>
            <b/>
            <sz val="9"/>
            <color indexed="81"/>
            <rFont val="Tahoma"/>
            <family val="2"/>
          </rPr>
          <t>taoye:</t>
        </r>
        <r>
          <rPr>
            <sz val="9"/>
            <color indexed="81"/>
            <rFont val="Tahoma"/>
            <family val="2"/>
          </rPr>
          <t xml:space="preserve">
</t>
        </r>
        <r>
          <rPr>
            <sz val="9"/>
            <color indexed="81"/>
            <rFont val="宋体"/>
            <family val="3"/>
            <charset val="134"/>
          </rPr>
          <t>个人报告选择“苏海估</t>
        </r>
        <r>
          <rPr>
            <sz val="9"/>
            <color indexed="81"/>
            <rFont val="Tahoma"/>
            <family val="2"/>
          </rPr>
          <t>CDQ</t>
        </r>
        <r>
          <rPr>
            <sz val="9"/>
            <color indexed="81"/>
            <rFont val="宋体"/>
            <family val="3"/>
            <charset val="134"/>
          </rPr>
          <t>字［</t>
        </r>
        <r>
          <rPr>
            <sz val="9"/>
            <color indexed="81"/>
            <rFont val="Tahoma"/>
            <family val="2"/>
          </rPr>
          <t>2017</t>
        </r>
        <r>
          <rPr>
            <sz val="9"/>
            <color indexed="81"/>
            <rFont val="宋体"/>
            <family val="3"/>
            <charset val="134"/>
          </rPr>
          <t>］”对公报告选择“苏海估</t>
        </r>
        <r>
          <rPr>
            <sz val="9"/>
            <color indexed="81"/>
            <rFont val="Tahoma"/>
            <family val="2"/>
          </rPr>
          <t>CDy</t>
        </r>
        <r>
          <rPr>
            <sz val="9"/>
            <color indexed="81"/>
            <rFont val="宋体"/>
            <family val="3"/>
            <charset val="134"/>
          </rPr>
          <t>字［</t>
        </r>
        <r>
          <rPr>
            <sz val="9"/>
            <color indexed="81"/>
            <rFont val="Tahoma"/>
            <family val="2"/>
          </rPr>
          <t>2017</t>
        </r>
        <r>
          <rPr>
            <sz val="9"/>
            <color indexed="81"/>
            <rFont val="宋体"/>
            <family val="3"/>
            <charset val="134"/>
          </rPr>
          <t>］”</t>
        </r>
      </text>
    </comment>
    <comment ref="D7" authorId="1">
      <text>
        <r>
          <rPr>
            <b/>
            <sz val="9"/>
            <rFont val="宋体"/>
            <family val="3"/>
            <charset val="134"/>
          </rPr>
          <t>初评时委托方填写银行，精确至支行；出具报告时填写《房地产估价委托书》确定的委托方。</t>
        </r>
        <r>
          <rPr>
            <sz val="9"/>
            <rFont val="Tahoma"/>
            <family val="2"/>
          </rPr>
          <t xml:space="preserve">
</t>
        </r>
      </text>
    </comment>
    <comment ref="B8" authorId="1">
      <text>
        <r>
          <rPr>
            <b/>
            <sz val="9"/>
            <rFont val="宋体"/>
            <family val="3"/>
            <charset val="134"/>
          </rPr>
          <t>按房屋所有权证登记信息填写</t>
        </r>
        <r>
          <rPr>
            <sz val="9"/>
            <rFont val="Tahoma"/>
            <family val="2"/>
          </rPr>
          <t xml:space="preserve">
</t>
        </r>
      </text>
    </comment>
    <comment ref="A10" authorId="0">
      <text>
        <r>
          <rPr>
            <b/>
            <sz val="9"/>
            <rFont val="宋体"/>
            <family val="3"/>
            <charset val="134"/>
          </rPr>
          <t>taoye:</t>
        </r>
        <r>
          <rPr>
            <sz val="9"/>
            <rFont val="宋体"/>
            <family val="3"/>
            <charset val="134"/>
          </rPr>
          <t xml:space="preserve">
下拉菜单可选</t>
        </r>
      </text>
    </comment>
    <comment ref="C10" authorId="0">
      <text>
        <r>
          <rPr>
            <b/>
            <sz val="9"/>
            <rFont val="宋体"/>
            <family val="3"/>
            <charset val="134"/>
          </rPr>
          <t>taoye:</t>
        </r>
        <r>
          <rPr>
            <sz val="9"/>
            <rFont val="宋体"/>
            <family val="3"/>
            <charset val="134"/>
          </rPr>
          <t xml:space="preserve">
下拉菜单可选</t>
        </r>
      </text>
    </comment>
    <comment ref="A11" authorId="0">
      <text>
        <r>
          <rPr>
            <b/>
            <sz val="9"/>
            <rFont val="宋体"/>
            <family val="3"/>
            <charset val="134"/>
          </rPr>
          <t>taoye:</t>
        </r>
        <r>
          <rPr>
            <sz val="9"/>
            <rFont val="宋体"/>
            <family val="3"/>
            <charset val="134"/>
          </rPr>
          <t xml:space="preserve">
下拉菜单可选</t>
        </r>
      </text>
    </comment>
    <comment ref="D11" authorId="1">
      <text>
        <r>
          <rPr>
            <b/>
            <sz val="9"/>
            <rFont val="宋体"/>
            <family val="3"/>
            <charset val="134"/>
          </rPr>
          <t>根据市场调查及现场查勘确定,除东亚银行外其他需填写建成年代</t>
        </r>
        <r>
          <rPr>
            <sz val="9"/>
            <rFont val="Tahoma"/>
            <family val="2"/>
          </rPr>
          <t xml:space="preserve">
</t>
        </r>
      </text>
    </comment>
    <comment ref="C13" authorId="1">
      <text>
        <r>
          <rPr>
            <b/>
            <sz val="9"/>
            <rFont val="宋体"/>
            <family val="3"/>
            <charset val="134"/>
          </rPr>
          <t>若无该项则填—，如有则按证书记载填写</t>
        </r>
      </text>
    </comment>
    <comment ref="B16" authorId="1">
      <text>
        <r>
          <rPr>
            <b/>
            <sz val="9"/>
            <rFont val="宋体"/>
            <family val="3"/>
            <charset val="134"/>
          </rPr>
          <t xml:space="preserve">下面可选
</t>
        </r>
      </text>
    </comment>
    <comment ref="B17" authorId="1">
      <text>
        <r>
          <rPr>
            <b/>
            <sz val="9"/>
            <rFont val="宋体"/>
            <family val="3"/>
            <charset val="134"/>
          </rPr>
          <t>如无该类事项，填写</t>
        </r>
        <r>
          <rPr>
            <b/>
            <sz val="9"/>
            <rFont val="Tahoma"/>
            <family val="2"/>
          </rPr>
          <t>“</t>
        </r>
        <r>
          <rPr>
            <b/>
            <sz val="9"/>
            <rFont val="宋体"/>
            <family val="3"/>
            <charset val="134"/>
          </rPr>
          <t>无</t>
        </r>
        <r>
          <rPr>
            <b/>
            <sz val="9"/>
            <rFont val="Tahoma"/>
            <family val="2"/>
          </rPr>
          <t>”</t>
        </r>
      </text>
    </comment>
    <comment ref="B21" authorId="1">
      <text>
        <r>
          <rPr>
            <b/>
            <sz val="9"/>
            <rFont val="宋体"/>
            <family val="3"/>
            <charset val="134"/>
          </rPr>
          <t>按国有土地使用证登记信息填写</t>
        </r>
        <r>
          <rPr>
            <sz val="9"/>
            <rFont val="Tahoma"/>
            <family val="2"/>
          </rPr>
          <t xml:space="preserve">
</t>
        </r>
      </text>
    </comment>
    <comment ref="C21" authorId="1">
      <text>
        <r>
          <rPr>
            <b/>
            <sz val="9"/>
            <rFont val="宋体"/>
            <family val="3"/>
            <charset val="134"/>
          </rPr>
          <t xml:space="preserve">
</t>
        </r>
        <r>
          <rPr>
            <sz val="9"/>
            <rFont val="Tahoma"/>
            <family val="2"/>
          </rPr>
          <t xml:space="preserve">
</t>
        </r>
        <r>
          <rPr>
            <b/>
            <sz val="9"/>
            <rFont val="宋体"/>
            <family val="3"/>
            <charset val="134"/>
          </rPr>
          <t>若无该项则填</t>
        </r>
        <r>
          <rPr>
            <b/>
            <sz val="9"/>
            <rFont val="Tahoma"/>
            <family val="2"/>
          </rPr>
          <t>—</t>
        </r>
        <r>
          <rPr>
            <b/>
            <sz val="9"/>
            <rFont val="宋体"/>
            <family val="3"/>
            <charset val="134"/>
          </rPr>
          <t>，如有则按证书记载填写</t>
        </r>
      </text>
    </comment>
    <comment ref="D21" authorId="1">
      <text>
        <r>
          <rPr>
            <b/>
            <sz val="9"/>
            <rFont val="宋体"/>
            <family val="3"/>
            <charset val="134"/>
          </rPr>
          <t>按国有土地使用证登记信息填写</t>
        </r>
        <r>
          <rPr>
            <sz val="9"/>
            <rFont val="Tahoma"/>
            <family val="2"/>
          </rPr>
          <t xml:space="preserve">
</t>
        </r>
      </text>
    </comment>
    <comment ref="D22" authorId="1">
      <text>
        <r>
          <rPr>
            <b/>
            <sz val="9"/>
            <rFont val="宋体"/>
            <family val="3"/>
            <charset val="134"/>
          </rPr>
          <t>按国有土地使用证登记信息填写</t>
        </r>
        <r>
          <rPr>
            <sz val="9"/>
            <rFont val="Tahoma"/>
            <family val="2"/>
          </rPr>
          <t xml:space="preserve">
</t>
        </r>
      </text>
    </comment>
    <comment ref="D24" authorId="1">
      <text>
        <r>
          <rPr>
            <b/>
            <sz val="9"/>
            <rFont val="宋体"/>
            <family val="3"/>
            <charset val="134"/>
          </rPr>
          <t>按国有土地使用证登记信息填写</t>
        </r>
        <r>
          <rPr>
            <sz val="9"/>
            <rFont val="Tahoma"/>
            <family val="2"/>
          </rPr>
          <t xml:space="preserve">
</t>
        </r>
      </text>
    </comment>
    <comment ref="D25" authorId="1">
      <text>
        <r>
          <rPr>
            <b/>
            <sz val="9"/>
            <rFont val="宋体"/>
            <family val="3"/>
            <charset val="134"/>
          </rPr>
          <t>按国有土地使用证登记信息填写</t>
        </r>
        <r>
          <rPr>
            <sz val="9"/>
            <rFont val="Tahoma"/>
            <family val="2"/>
          </rPr>
          <t xml:space="preserve">
</t>
        </r>
      </text>
    </comment>
    <comment ref="B26" authorId="1">
      <text>
        <r>
          <rPr>
            <b/>
            <sz val="9"/>
            <rFont val="宋体"/>
            <family val="3"/>
            <charset val="134"/>
          </rPr>
          <t>按国有土地使用证登记信息填写</t>
        </r>
        <r>
          <rPr>
            <sz val="9"/>
            <rFont val="Tahoma"/>
            <family val="2"/>
          </rPr>
          <t xml:space="preserve">
</t>
        </r>
      </text>
    </comment>
    <comment ref="D26" authorId="0">
      <text>
        <r>
          <rPr>
            <b/>
            <sz val="9"/>
            <rFont val="宋体"/>
            <family val="3"/>
            <charset val="134"/>
          </rPr>
          <t>taoye:</t>
        </r>
        <r>
          <rPr>
            <sz val="9"/>
            <rFont val="宋体"/>
            <family val="3"/>
            <charset val="134"/>
          </rPr>
          <t xml:space="preserve">
右边可以选</t>
        </r>
      </text>
    </comment>
    <comment ref="B27" authorId="1">
      <text>
        <r>
          <rPr>
            <b/>
            <sz val="9"/>
            <rFont val="宋体"/>
            <family val="3"/>
            <charset val="134"/>
          </rPr>
          <t>按国有土地使用证登记信息填写</t>
        </r>
        <r>
          <rPr>
            <sz val="9"/>
            <rFont val="Tahoma"/>
            <family val="2"/>
          </rPr>
          <t xml:space="preserve">
</t>
        </r>
      </text>
    </comment>
    <comment ref="C27" authorId="1">
      <text>
        <r>
          <rPr>
            <b/>
            <sz val="9"/>
            <rFont val="宋体"/>
            <family val="3"/>
            <charset val="134"/>
          </rPr>
          <t xml:space="preserve">
</t>
        </r>
        <r>
          <rPr>
            <sz val="9"/>
            <rFont val="Tahoma"/>
            <family val="2"/>
          </rPr>
          <t xml:space="preserve">
</t>
        </r>
        <r>
          <rPr>
            <b/>
            <sz val="9"/>
            <rFont val="宋体"/>
            <family val="3"/>
            <charset val="134"/>
          </rPr>
          <t>若无该项则填</t>
        </r>
        <r>
          <rPr>
            <b/>
            <sz val="9"/>
            <rFont val="Tahoma"/>
            <family val="2"/>
          </rPr>
          <t>—</t>
        </r>
        <r>
          <rPr>
            <b/>
            <sz val="9"/>
            <rFont val="宋体"/>
            <family val="3"/>
            <charset val="134"/>
          </rPr>
          <t>，如有则按证书记载填写</t>
        </r>
      </text>
    </comment>
    <comment ref="D27" authorId="1">
      <text>
        <r>
          <rPr>
            <b/>
            <sz val="9"/>
            <rFont val="宋体"/>
            <family val="3"/>
            <charset val="134"/>
          </rPr>
          <t>按国有土地使用证登记信息填写</t>
        </r>
        <r>
          <rPr>
            <sz val="9"/>
            <rFont val="Tahoma"/>
            <family val="2"/>
          </rPr>
          <t xml:space="preserve">
</t>
        </r>
      </text>
    </comment>
    <comment ref="B30" authorId="1">
      <text>
        <r>
          <rPr>
            <sz val="9"/>
            <rFont val="Tahoma"/>
            <family val="2"/>
          </rPr>
          <t xml:space="preserve">下面可选
</t>
        </r>
      </text>
    </comment>
    <comment ref="B32" authorId="0">
      <text>
        <r>
          <rPr>
            <b/>
            <sz val="9"/>
            <color indexed="81"/>
            <rFont val="Tahoma"/>
            <family val="2"/>
          </rPr>
          <t>taoye:</t>
        </r>
        <r>
          <rPr>
            <sz val="9"/>
            <color indexed="81"/>
            <rFont val="Tahoma"/>
            <family val="2"/>
          </rPr>
          <t xml:space="preserve">
</t>
        </r>
        <r>
          <rPr>
            <b/>
            <sz val="9"/>
            <color indexed="81"/>
            <rFont val="宋体"/>
            <family val="3"/>
            <charset val="134"/>
          </rPr>
          <t>这个需要直接从测算表中等过来</t>
        </r>
        <r>
          <rPr>
            <b/>
            <sz val="9"/>
            <color indexed="81"/>
            <rFont val="Tahoma"/>
            <family val="2"/>
          </rPr>
          <t xml:space="preserve"> !!!!!!!</t>
        </r>
      </text>
    </comment>
    <comment ref="A35" authorId="0">
      <text>
        <r>
          <rPr>
            <b/>
            <sz val="9"/>
            <rFont val="宋体"/>
            <family val="3"/>
            <charset val="134"/>
          </rPr>
          <t>taoye:</t>
        </r>
        <r>
          <rPr>
            <sz val="9"/>
            <rFont val="宋体"/>
            <family val="3"/>
            <charset val="134"/>
          </rPr>
          <t xml:space="preserve">
下拉菜单可选</t>
        </r>
      </text>
    </comment>
    <comment ref="D40" authorId="1">
      <text>
        <r>
          <rPr>
            <b/>
            <sz val="9"/>
            <rFont val="宋体"/>
            <family val="3"/>
            <charset val="134"/>
          </rPr>
          <t>需写至支行</t>
        </r>
        <r>
          <rPr>
            <sz val="9"/>
            <rFont val="Tahoma"/>
            <family val="2"/>
          </rPr>
          <t xml:space="preserve">
</t>
        </r>
      </text>
    </comment>
    <comment ref="B47" authorId="0">
      <text>
        <r>
          <rPr>
            <b/>
            <sz val="9"/>
            <rFont val="宋体"/>
            <family val="3"/>
            <charset val="134"/>
          </rPr>
          <t>taoye:</t>
        </r>
        <r>
          <rPr>
            <sz val="9"/>
            <rFont val="宋体"/>
            <family val="3"/>
            <charset val="134"/>
          </rPr>
          <t xml:space="preserve">
纯自己调查的选用</t>
        </r>
      </text>
    </comment>
    <comment ref="C47" authorId="0">
      <text>
        <r>
          <rPr>
            <b/>
            <sz val="9"/>
            <rFont val="宋体"/>
            <family val="3"/>
            <charset val="134"/>
          </rPr>
          <t>taoye:</t>
        </r>
        <r>
          <rPr>
            <sz val="9"/>
            <rFont val="宋体"/>
            <family val="3"/>
            <charset val="134"/>
          </rPr>
          <t xml:space="preserve">
以前做过，并且收到过相关资料，能证明房屋建成年代的选用</t>
        </r>
      </text>
    </comment>
    <comment ref="B48" authorId="0">
      <text>
        <r>
          <rPr>
            <b/>
            <sz val="9"/>
            <rFont val="宋体"/>
            <family val="3"/>
            <charset val="134"/>
          </rPr>
          <t>taoye:</t>
        </r>
        <r>
          <rPr>
            <sz val="9"/>
            <rFont val="宋体"/>
            <family val="3"/>
            <charset val="134"/>
          </rPr>
          <t xml:space="preserve">
</t>
        </r>
        <r>
          <rPr>
            <sz val="8"/>
            <rFont val="宋体"/>
            <family val="3"/>
            <charset val="134"/>
          </rPr>
          <t>所有“号”（街道号、栋号、单元号、房号）都有，但是与产权登记不一致且未提供《地址变更证明》的情况选用</t>
        </r>
      </text>
    </comment>
    <comment ref="C48" authorId="0">
      <text>
        <r>
          <rPr>
            <b/>
            <sz val="9"/>
            <rFont val="宋体"/>
            <family val="3"/>
            <charset val="134"/>
          </rPr>
          <t>taoye:</t>
        </r>
        <r>
          <rPr>
            <sz val="9"/>
            <rFont val="宋体"/>
            <family val="3"/>
            <charset val="134"/>
          </rPr>
          <t xml:space="preserve">
</t>
        </r>
        <r>
          <rPr>
            <sz val="8"/>
            <rFont val="宋体"/>
            <family val="3"/>
            <charset val="134"/>
          </rPr>
          <t>“号”（街道号、栋号、单元号、房号）不齐全，且估价委托人未提供《地址证明》的情况选用</t>
        </r>
      </text>
    </comment>
    <comment ref="D48" authorId="0">
      <text>
        <r>
          <rPr>
            <b/>
            <sz val="9"/>
            <rFont val="宋体"/>
            <family val="3"/>
            <charset val="134"/>
          </rPr>
          <t>taoye:</t>
        </r>
        <r>
          <rPr>
            <sz val="9"/>
            <rFont val="宋体"/>
            <family val="3"/>
            <charset val="134"/>
          </rPr>
          <t xml:space="preserve">
</t>
        </r>
        <r>
          <rPr>
            <sz val="8"/>
            <rFont val="宋体"/>
            <family val="3"/>
            <charset val="134"/>
          </rPr>
          <t xml:space="preserve">所有“号”（街道号、栋号、单元号、房号）都有，但是与产权登记不一致，已提供《地址变更证明》的情况选用
</t>
        </r>
      </text>
    </comment>
    <comment ref="E48" authorId="0">
      <text>
        <r>
          <rPr>
            <b/>
            <sz val="9"/>
            <rFont val="宋体"/>
            <family val="3"/>
            <charset val="134"/>
          </rPr>
          <t>taoye:</t>
        </r>
        <r>
          <rPr>
            <sz val="9"/>
            <rFont val="宋体"/>
            <family val="3"/>
            <charset val="134"/>
          </rPr>
          <t xml:space="preserve">
</t>
        </r>
        <r>
          <rPr>
            <sz val="8"/>
            <rFont val="宋体"/>
            <family val="3"/>
            <charset val="134"/>
          </rPr>
          <t xml:space="preserve">“号”（街道号、栋号、单元号、房号）不齐全，估价委托人已提供《地址证明》的情况选用
</t>
        </r>
      </text>
    </comment>
    <comment ref="B50" authorId="0">
      <text>
        <r>
          <rPr>
            <b/>
            <sz val="9"/>
            <rFont val="宋体"/>
            <family val="3"/>
            <charset val="134"/>
          </rPr>
          <t>taoye:</t>
        </r>
        <r>
          <rPr>
            <sz val="9"/>
            <rFont val="宋体"/>
            <family val="3"/>
            <charset val="134"/>
          </rPr>
          <t xml:space="preserve">
</t>
        </r>
        <r>
          <rPr>
            <sz val="8"/>
            <rFont val="宋体"/>
            <family val="3"/>
            <charset val="134"/>
          </rPr>
          <t>适用于客户对价值时点有要求的。不能偷懒直接改现场查看时间</t>
        </r>
      </text>
    </comment>
    <comment ref="C50" authorId="0">
      <text>
        <r>
          <rPr>
            <b/>
            <sz val="9"/>
            <rFont val="宋体"/>
            <family val="3"/>
            <charset val="134"/>
          </rPr>
          <t>taoye:</t>
        </r>
        <r>
          <rPr>
            <sz val="9"/>
            <rFont val="宋体"/>
            <family val="3"/>
            <charset val="134"/>
          </rPr>
          <t xml:space="preserve">
</t>
        </r>
        <r>
          <rPr>
            <sz val="8"/>
            <rFont val="宋体"/>
            <family val="3"/>
            <charset val="134"/>
          </rPr>
          <t>适用于换新房产证的情况，特别是二手房按揭评估，每一户都是一样的情况，除非有银行要求按老产权证出报告的，没有例外！</t>
        </r>
      </text>
    </comment>
  </commentList>
</comments>
</file>

<file path=xl/comments3.xml><?xml version="1.0" encoding="utf-8"?>
<comments xmlns="http://schemas.openxmlformats.org/spreadsheetml/2006/main">
  <authors>
    <author>taoye</author>
  </authors>
  <commentList>
    <comment ref="M2" authorId="0">
      <text>
        <r>
          <rPr>
            <b/>
            <sz val="9"/>
            <color indexed="81"/>
            <rFont val="Tahoma"/>
            <family val="2"/>
          </rPr>
          <t>taoye:</t>
        </r>
        <r>
          <rPr>
            <sz val="9"/>
            <color indexed="81"/>
            <rFont val="Tahoma"/>
            <family val="2"/>
          </rPr>
          <t xml:space="preserve">
</t>
        </r>
        <r>
          <rPr>
            <sz val="9"/>
            <color indexed="81"/>
            <rFont val="宋体"/>
            <family val="3"/>
            <charset val="134"/>
          </rPr>
          <t>这个地方千万千万要填</t>
        </r>
      </text>
    </comment>
    <comment ref="A6" authorId="0">
      <text>
        <r>
          <rPr>
            <b/>
            <sz val="9"/>
            <color indexed="81"/>
            <rFont val="Tahoma"/>
            <family val="2"/>
          </rPr>
          <t>taoye:</t>
        </r>
        <r>
          <rPr>
            <sz val="9"/>
            <color indexed="81"/>
            <rFont val="Tahoma"/>
            <family val="2"/>
          </rPr>
          <t xml:space="preserve">
</t>
        </r>
        <r>
          <rPr>
            <sz val="9"/>
            <color indexed="81"/>
            <rFont val="宋体"/>
            <family val="3"/>
            <charset val="134"/>
          </rPr>
          <t>这里一定要注意，住宅选“户型”，商业选“深宽比”，办公选“写字楼级别”</t>
        </r>
      </text>
    </comment>
    <comment ref="D6" authorId="0">
      <text>
        <r>
          <rPr>
            <b/>
            <sz val="9"/>
            <color indexed="81"/>
            <rFont val="Tahoma"/>
            <family val="2"/>
          </rPr>
          <t>taoye:</t>
        </r>
        <r>
          <rPr>
            <sz val="9"/>
            <color indexed="81"/>
            <rFont val="Tahoma"/>
            <family val="2"/>
          </rPr>
          <t xml:space="preserve">
</t>
        </r>
        <r>
          <rPr>
            <sz val="9"/>
            <color indexed="81"/>
            <rFont val="宋体"/>
            <family val="3"/>
            <charset val="134"/>
          </rPr>
          <t xml:space="preserve">链接在右上角对应颜色的表格内容
</t>
        </r>
      </text>
    </comment>
    <comment ref="A9" authorId="0">
      <text>
        <r>
          <rPr>
            <b/>
            <sz val="9"/>
            <color indexed="81"/>
            <rFont val="Tahoma"/>
            <family val="2"/>
          </rPr>
          <t>taoye:</t>
        </r>
        <r>
          <rPr>
            <sz val="9"/>
            <color indexed="81"/>
            <rFont val="Tahoma"/>
            <family val="2"/>
          </rPr>
          <t xml:space="preserve">
</t>
        </r>
        <r>
          <rPr>
            <sz val="9"/>
            <color indexed="81"/>
            <rFont val="宋体"/>
            <family val="3"/>
            <charset val="134"/>
          </rPr>
          <t>住宅选“单元户数”，商业选“临街类型”，办公选“车位配比”</t>
        </r>
      </text>
    </comment>
    <comment ref="C11" authorId="0">
      <text>
        <r>
          <rPr>
            <b/>
            <sz val="9"/>
            <rFont val="宋体"/>
            <family val="3"/>
            <charset val="134"/>
          </rPr>
          <t>taoye:</t>
        </r>
        <r>
          <rPr>
            <sz val="9"/>
            <rFont val="宋体"/>
            <family val="3"/>
            <charset val="134"/>
          </rPr>
          <t xml:space="preserve">
在右边选</t>
        </r>
      </text>
    </comment>
    <comment ref="C18" authorId="0">
      <text>
        <r>
          <rPr>
            <b/>
            <sz val="9"/>
            <rFont val="宋体"/>
            <family val="3"/>
            <charset val="134"/>
          </rPr>
          <t>taoye:填在下面“超市、学校、银行、医院”表格中</t>
        </r>
      </text>
    </comment>
    <comment ref="C19" authorId="0">
      <text>
        <r>
          <rPr>
            <b/>
            <sz val="9"/>
            <rFont val="宋体"/>
            <family val="3"/>
            <charset val="134"/>
          </rPr>
          <t>taoye:</t>
        </r>
        <r>
          <rPr>
            <sz val="9"/>
            <rFont val="宋体"/>
            <family val="3"/>
            <charset val="134"/>
          </rPr>
          <t xml:space="preserve">
填在下面“小区”中</t>
        </r>
      </text>
    </comment>
    <comment ref="L22" authorId="0">
      <text>
        <r>
          <rPr>
            <b/>
            <sz val="9"/>
            <color indexed="81"/>
            <rFont val="Tahoma"/>
            <family val="2"/>
          </rPr>
          <t>taoye:</t>
        </r>
        <r>
          <rPr>
            <sz val="9"/>
            <color indexed="81"/>
            <rFont val="Tahoma"/>
            <family val="2"/>
          </rPr>
          <t xml:space="preserve">
</t>
        </r>
        <r>
          <rPr>
            <sz val="9"/>
            <color indexed="81"/>
            <rFont val="宋体"/>
            <family val="3"/>
            <charset val="134"/>
          </rPr>
          <t>在下面选，未提供土地证选第一条，提供了土地证选第二条</t>
        </r>
      </text>
    </comment>
  </commentList>
</comments>
</file>

<file path=xl/comments4.xml><?xml version="1.0" encoding="utf-8"?>
<comments xmlns="http://schemas.openxmlformats.org/spreadsheetml/2006/main">
  <authors>
    <author>雨林木风</author>
  </authors>
  <commentList>
    <comment ref="E8" authorId="0">
      <text>
        <r>
          <rPr>
            <sz val="9"/>
            <color indexed="81"/>
            <rFont val="宋体"/>
            <family val="3"/>
            <charset val="134"/>
          </rPr>
          <t xml:space="preserve">空租率
</t>
        </r>
      </text>
    </comment>
    <comment ref="F8" authorId="0">
      <text>
        <r>
          <rPr>
            <b/>
            <sz val="9"/>
            <color indexed="81"/>
            <rFont val="宋体"/>
            <family val="3"/>
            <charset val="134"/>
          </rPr>
          <t>可出租面积比率</t>
        </r>
        <r>
          <rPr>
            <sz val="9"/>
            <color indexed="81"/>
            <rFont val="宋体"/>
            <family val="3"/>
            <charset val="134"/>
          </rPr>
          <t xml:space="preserve">
</t>
        </r>
      </text>
    </comment>
    <comment ref="E9" authorId="0">
      <text>
        <r>
          <rPr>
            <sz val="9"/>
            <color indexed="81"/>
            <rFont val="宋体"/>
            <family val="3"/>
            <charset val="134"/>
          </rPr>
          <t xml:space="preserve">一年定期利率
</t>
        </r>
      </text>
    </comment>
    <comment ref="F12" authorId="0">
      <text>
        <r>
          <rPr>
            <b/>
            <sz val="9"/>
            <color indexed="81"/>
            <rFont val="宋体"/>
            <family val="3"/>
            <charset val="134"/>
          </rPr>
          <t xml:space="preserve">重置价格可以变动
</t>
        </r>
      </text>
    </comment>
    <comment ref="F24" authorId="0">
      <text>
        <r>
          <rPr>
            <b/>
            <sz val="9"/>
            <color indexed="81"/>
            <rFont val="宋体"/>
            <family val="3"/>
            <charset val="134"/>
          </rPr>
          <t>雨林木风:</t>
        </r>
        <r>
          <rPr>
            <sz val="9"/>
            <color indexed="81"/>
            <rFont val="宋体"/>
            <family val="3"/>
            <charset val="134"/>
          </rPr>
          <t xml:space="preserve">
土地剩余年限
</t>
        </r>
      </text>
    </comment>
  </commentList>
</comments>
</file>

<file path=xl/comments5.xml><?xml version="1.0" encoding="utf-8"?>
<comments xmlns="http://schemas.openxmlformats.org/spreadsheetml/2006/main">
  <authors>
    <author>taoye</author>
  </authors>
  <commentList>
    <comment ref="C46" authorId="0">
      <text>
        <r>
          <rPr>
            <b/>
            <sz val="9"/>
            <color indexed="81"/>
            <rFont val="Tahoma"/>
            <family val="2"/>
          </rPr>
          <t>taoye:</t>
        </r>
        <r>
          <rPr>
            <sz val="9"/>
            <color indexed="81"/>
            <rFont val="Tahoma"/>
            <family val="2"/>
          </rPr>
          <t xml:space="preserve">
</t>
        </r>
        <r>
          <rPr>
            <sz val="9"/>
            <color indexed="81"/>
            <rFont val="宋体"/>
            <family val="3"/>
            <charset val="134"/>
          </rPr>
          <t>商业这里是临街状况</t>
        </r>
        <r>
          <rPr>
            <sz val="9"/>
            <color indexed="81"/>
            <rFont val="Tahoma"/>
            <family val="2"/>
          </rPr>
          <t>,</t>
        </r>
        <r>
          <rPr>
            <sz val="9"/>
            <color indexed="81"/>
            <rFont val="宋体"/>
            <family val="3"/>
            <charset val="134"/>
          </rPr>
          <t>办公为写字楼级别</t>
        </r>
      </text>
    </comment>
    <comment ref="C57" authorId="0">
      <text>
        <r>
          <rPr>
            <b/>
            <sz val="9"/>
            <color indexed="81"/>
            <rFont val="Tahoma"/>
            <family val="2"/>
          </rPr>
          <t>taoye:</t>
        </r>
        <r>
          <rPr>
            <sz val="9"/>
            <color indexed="81"/>
            <rFont val="Tahoma"/>
            <family val="2"/>
          </rPr>
          <t xml:space="preserve">
</t>
        </r>
        <r>
          <rPr>
            <sz val="9"/>
            <color indexed="81"/>
            <rFont val="宋体"/>
            <family val="3"/>
            <charset val="134"/>
          </rPr>
          <t>商业这里是深宽比，办公是物业管理</t>
        </r>
      </text>
    </comment>
  </commentList>
</comments>
</file>

<file path=xl/comments6.xml><?xml version="1.0" encoding="utf-8"?>
<comments xmlns="http://schemas.openxmlformats.org/spreadsheetml/2006/main">
  <authors>
    <author>taoye</author>
  </authors>
  <commentList>
    <comment ref="G23" authorId="0">
      <text>
        <r>
          <rPr>
            <b/>
            <sz val="9"/>
            <color indexed="81"/>
            <rFont val="Tahoma"/>
            <family val="2"/>
          </rPr>
          <t>taoye:</t>
        </r>
        <r>
          <rPr>
            <b/>
            <sz val="9"/>
            <color indexed="81"/>
            <rFont val="宋体"/>
            <family val="3"/>
            <charset val="134"/>
          </rPr>
          <t>商业、办公没有这一栏</t>
        </r>
      </text>
    </comment>
    <comment ref="C38" authorId="0">
      <text>
        <r>
          <rPr>
            <b/>
            <sz val="9"/>
            <color indexed="81"/>
            <rFont val="Tahoma"/>
            <family val="2"/>
          </rPr>
          <t>taoye:</t>
        </r>
        <r>
          <rPr>
            <sz val="9"/>
            <color indexed="81"/>
            <rFont val="Tahoma"/>
            <family val="2"/>
          </rPr>
          <t xml:space="preserve">
</t>
        </r>
        <r>
          <rPr>
            <sz val="9"/>
            <color indexed="81"/>
            <rFont val="宋体"/>
            <family val="3"/>
            <charset val="134"/>
          </rPr>
          <t>商业、办公这里是“商业繁华程度”，住宅是离区域中心点距离</t>
        </r>
      </text>
    </comment>
    <comment ref="C47" authorId="0">
      <text>
        <r>
          <rPr>
            <b/>
            <sz val="9"/>
            <color indexed="81"/>
            <rFont val="Tahoma"/>
            <family val="2"/>
          </rPr>
          <t>taoye:</t>
        </r>
        <r>
          <rPr>
            <sz val="9"/>
            <color indexed="81"/>
            <rFont val="Tahoma"/>
            <family val="2"/>
          </rPr>
          <t xml:space="preserve">
</t>
        </r>
        <r>
          <rPr>
            <sz val="9"/>
            <color indexed="81"/>
            <rFont val="宋体"/>
            <family val="3"/>
            <charset val="134"/>
          </rPr>
          <t>商业这里是临街状况</t>
        </r>
        <r>
          <rPr>
            <sz val="9"/>
            <color indexed="81"/>
            <rFont val="Tahoma"/>
            <family val="2"/>
          </rPr>
          <t>,</t>
        </r>
        <r>
          <rPr>
            <sz val="9"/>
            <color indexed="81"/>
            <rFont val="宋体"/>
            <family val="3"/>
            <charset val="134"/>
          </rPr>
          <t>办公为写字楼级别，住宅是楼幢的位置</t>
        </r>
      </text>
    </comment>
    <comment ref="C58" authorId="0">
      <text>
        <r>
          <rPr>
            <b/>
            <sz val="9"/>
            <color indexed="81"/>
            <rFont val="Tahoma"/>
            <family val="2"/>
          </rPr>
          <t>taoye:</t>
        </r>
        <r>
          <rPr>
            <sz val="9"/>
            <color indexed="81"/>
            <rFont val="Tahoma"/>
            <family val="2"/>
          </rPr>
          <t xml:space="preserve">
</t>
        </r>
        <r>
          <rPr>
            <sz val="9"/>
            <color indexed="81"/>
            <rFont val="宋体"/>
            <family val="3"/>
            <charset val="134"/>
          </rPr>
          <t>商业这里是深宽比，办公，住宅是物业管理</t>
        </r>
      </text>
    </comment>
  </commentList>
</comments>
</file>

<file path=xl/comments7.xml><?xml version="1.0" encoding="utf-8"?>
<comments xmlns="http://schemas.openxmlformats.org/spreadsheetml/2006/main">
  <authors>
    <author>wa01279</author>
    <author>wa00566</author>
  </authors>
  <commentList>
    <comment ref="G17" authorId="0">
      <text>
        <r>
          <rPr>
            <b/>
            <sz val="9"/>
            <rFont val="Tahoma"/>
            <family val="2"/>
          </rPr>
          <t>wa01279:</t>
        </r>
        <r>
          <rPr>
            <sz val="9"/>
            <rFont val="Tahoma"/>
            <family val="2"/>
          </rPr>
          <t xml:space="preserve">
</t>
        </r>
        <r>
          <rPr>
            <sz val="9"/>
            <rFont val="宋体"/>
            <family val="3"/>
            <charset val="134"/>
          </rPr>
          <t xml:space="preserve">根据产权证实际情况修改填写
</t>
        </r>
      </text>
    </comment>
    <comment ref="M46" authorId="1">
      <text>
        <r>
          <rPr>
            <b/>
            <sz val="9"/>
            <rFont val="宋体"/>
            <family val="3"/>
            <charset val="134"/>
          </rPr>
          <t>根据实际情况填写，注意与正式报告的区别。</t>
        </r>
        <r>
          <rPr>
            <sz val="9"/>
            <rFont val="Tahoma"/>
            <family val="2"/>
          </rPr>
          <t xml:space="preserve">
</t>
        </r>
      </text>
    </comment>
  </commentList>
</comments>
</file>

<file path=xl/comments8.xml><?xml version="1.0" encoding="utf-8"?>
<comments xmlns="http://schemas.openxmlformats.org/spreadsheetml/2006/main">
  <authors>
    <author>wa01279</author>
    <author>wa00566</author>
  </authors>
  <commentList>
    <comment ref="G18" authorId="0">
      <text>
        <r>
          <rPr>
            <b/>
            <sz val="9"/>
            <rFont val="Tahoma"/>
            <family val="2"/>
          </rPr>
          <t>wa01279:</t>
        </r>
        <r>
          <rPr>
            <sz val="9"/>
            <rFont val="Tahoma"/>
            <family val="2"/>
          </rPr>
          <t xml:space="preserve">
</t>
        </r>
        <r>
          <rPr>
            <sz val="9"/>
            <rFont val="宋体"/>
            <family val="3"/>
            <charset val="134"/>
          </rPr>
          <t xml:space="preserve">根据产权证实际情况修改填写
</t>
        </r>
      </text>
    </comment>
    <comment ref="M56" authorId="1">
      <text>
        <r>
          <rPr>
            <b/>
            <sz val="9"/>
            <rFont val="宋体"/>
            <family val="3"/>
            <charset val="134"/>
          </rPr>
          <t>根据实际情况填写，注意与正式报告的区别。</t>
        </r>
        <r>
          <rPr>
            <sz val="9"/>
            <rFont val="Tahoma"/>
            <family val="2"/>
          </rPr>
          <t xml:space="preserve">
</t>
        </r>
      </text>
    </comment>
  </commentList>
</comments>
</file>

<file path=xl/comments9.xml><?xml version="1.0" encoding="utf-8"?>
<comments xmlns="http://schemas.openxmlformats.org/spreadsheetml/2006/main">
  <authors>
    <author>wa01279</author>
    <author>wa00566</author>
  </authors>
  <commentList>
    <comment ref="G16" authorId="0">
      <text>
        <r>
          <rPr>
            <b/>
            <sz val="9"/>
            <rFont val="Tahoma"/>
            <family val="2"/>
          </rPr>
          <t>wa01279:</t>
        </r>
        <r>
          <rPr>
            <sz val="9"/>
            <rFont val="Tahoma"/>
            <family val="2"/>
          </rPr>
          <t xml:space="preserve">
</t>
        </r>
        <r>
          <rPr>
            <sz val="9"/>
            <rFont val="宋体"/>
            <family val="3"/>
            <charset val="134"/>
          </rPr>
          <t xml:space="preserve">根据产权证实际情况修改填写
</t>
        </r>
      </text>
    </comment>
    <comment ref="L69" authorId="1">
      <text>
        <r>
          <rPr>
            <b/>
            <sz val="9"/>
            <rFont val="宋体"/>
            <family val="3"/>
            <charset val="134"/>
          </rPr>
          <t>根据实际情况填写，注意与正式报告的区别。</t>
        </r>
        <r>
          <rPr>
            <sz val="9"/>
            <rFont val="Tahoma"/>
            <family val="2"/>
          </rPr>
          <t xml:space="preserve">
</t>
        </r>
      </text>
    </comment>
  </commentList>
</comments>
</file>

<file path=xl/sharedStrings.xml><?xml version="1.0" encoding="utf-8"?>
<sst xmlns="http://schemas.openxmlformats.org/spreadsheetml/2006/main" count="17700" uniqueCount="833">
  <si>
    <t>产权状况</t>
  </si>
  <si>
    <t>初评编号</t>
  </si>
  <si>
    <t>报告编号</t>
  </si>
  <si>
    <t>苏海估CDQ字［2017］</t>
  </si>
  <si>
    <t>10001</t>
  </si>
  <si>
    <t>小区名称</t>
  </si>
  <si>
    <t>房屋实际坐落</t>
  </si>
  <si>
    <t>房屋所有权人</t>
  </si>
  <si>
    <t>袁桃</t>
  </si>
  <si>
    <t>《房屋所有权证》编号</t>
  </si>
  <si>
    <t>房屋所有权证共有证</t>
  </si>
  <si>
    <t>-</t>
  </si>
  <si>
    <t>规划用途</t>
  </si>
  <si>
    <t>住宅</t>
  </si>
  <si>
    <t>共有情况</t>
  </si>
  <si>
    <t>单独所有</t>
  </si>
  <si>
    <t>结构</t>
  </si>
  <si>
    <t>框剪</t>
  </si>
  <si>
    <t>建成年代</t>
  </si>
  <si>
    <t>土地剩余年限</t>
  </si>
  <si>
    <t>建筑面积（㎡）</t>
  </si>
  <si>
    <t>套内建筑面积（㎡）</t>
  </si>
  <si>
    <t>得房率</t>
  </si>
  <si>
    <t>登记日期</t>
  </si>
  <si>
    <t>购买年限</t>
  </si>
  <si>
    <t>房屋所在层数</t>
  </si>
  <si>
    <t>房屋总层数</t>
  </si>
  <si>
    <t>备注</t>
  </si>
  <si>
    <t>他项权利情况</t>
  </si>
  <si>
    <t>无</t>
  </si>
  <si>
    <t>抵押权利人</t>
  </si>
  <si>
    <t>抵押权设定日期</t>
  </si>
  <si>
    <t xml:space="preserve">  </t>
  </si>
  <si>
    <t xml:space="preserve">  
</t>
  </si>
  <si>
    <t>抵押权利价值</t>
  </si>
  <si>
    <t>约定期限</t>
  </si>
  <si>
    <t>国有土地使用证共用证</t>
  </si>
  <si>
    <t>土地使用权人</t>
  </si>
  <si>
    <t>地号/图号</t>
  </si>
  <si>
    <t>土地坐落</t>
  </si>
  <si>
    <t>地类（用途）</t>
  </si>
  <si>
    <t>终止日期</t>
  </si>
  <si>
    <t>使用权类型</t>
  </si>
  <si>
    <t>使用权面积（㎡）</t>
  </si>
  <si>
    <t>其中分摊面积（㎡）</t>
  </si>
  <si>
    <t>剩余土地使用年限</t>
  </si>
  <si>
    <t>国有土地使用证登记日期</t>
  </si>
  <si>
    <t>价值时点</t>
  </si>
  <si>
    <t xml:space="preserve">
</t>
  </si>
  <si>
    <t>估价结果</t>
  </si>
  <si>
    <t>评估单价</t>
  </si>
  <si>
    <t>评估总值</t>
  </si>
  <si>
    <t>评估总值（大写）</t>
  </si>
  <si>
    <t>抵押价值</t>
  </si>
  <si>
    <t>估价方法</t>
  </si>
  <si>
    <t>业务跟踪</t>
  </si>
  <si>
    <t>温健</t>
  </si>
  <si>
    <t>评估目的：</t>
  </si>
  <si>
    <t>1、</t>
  </si>
  <si>
    <t>报告撰写人：</t>
  </si>
  <si>
    <t>审核校对：</t>
  </si>
  <si>
    <t>勘查人：</t>
  </si>
  <si>
    <t>勘查时间：</t>
  </si>
  <si>
    <t>2017/6/22</t>
  </si>
  <si>
    <t>出报告份数：</t>
  </si>
  <si>
    <t>贷款银行：</t>
  </si>
  <si>
    <t>邮政银行成都市分行</t>
  </si>
  <si>
    <t>估价师1</t>
  </si>
  <si>
    <t>估价师2</t>
  </si>
  <si>
    <t>出具报告日期</t>
  </si>
  <si>
    <t>注：蓝色字体为可修改部分</t>
  </si>
  <si>
    <r>
      <rPr>
        <sz val="8"/>
        <rFont val="宋体"/>
        <family val="3"/>
        <charset val="134"/>
      </rPr>
      <t>未提供土地证，假设土地性质为出让的</t>
    </r>
    <r>
      <rPr>
        <b/>
        <sz val="8"/>
        <color rgb="FFFF0000"/>
        <rFont val="宋体"/>
        <family val="3"/>
        <charset val="134"/>
      </rPr>
      <t>（1、只要没有提供土地证，都要选一个添在“未定事项假设中”及</t>
    </r>
    <r>
      <rPr>
        <b/>
        <sz val="8"/>
        <color rgb="FF00B0F0"/>
        <rFont val="宋体"/>
        <family val="3"/>
        <charset val="134"/>
      </rPr>
      <t>上表土地部分（第29行）</t>
    </r>
    <r>
      <rPr>
        <b/>
        <sz val="8"/>
        <color rgb="FFFF0000"/>
        <rFont val="宋体"/>
        <family val="3"/>
        <charset val="134"/>
      </rPr>
      <t>“备注栏”中，2、</t>
    </r>
    <r>
      <rPr>
        <b/>
        <sz val="8"/>
        <color rgb="FF0000FF"/>
        <rFont val="宋体"/>
        <family val="3"/>
        <charset val="134"/>
      </rPr>
      <t>去掉红字部分</t>
    </r>
    <r>
      <rPr>
        <b/>
        <sz val="8"/>
        <color rgb="FFFF0000"/>
        <rFont val="宋体"/>
        <family val="3"/>
        <charset val="134"/>
      </rPr>
      <t>）</t>
    </r>
  </si>
  <si>
    <r>
      <rPr>
        <sz val="8"/>
        <rFont val="宋体"/>
        <family val="3"/>
        <charset val="134"/>
      </rPr>
      <t>因委托方未提供估价对象《国有土地使用证》复印件，根据委托方提供的《房屋所有权证》复印件等相关资料。由于估价对象为商品住宅，根据《招标拍卖挂牌出让国有土地使用权规定》（ 国土资源部令[2002]第11号），商品住宅用地为出让取得，本次评估以估价对象占用土地系出让方式取得为假设前提，提请报告使用人注意。</t>
    </r>
    <r>
      <rPr>
        <b/>
        <sz val="8"/>
        <color rgb="FFFF0000"/>
        <rFont val="宋体"/>
        <family val="3"/>
        <charset val="134"/>
      </rPr>
      <t>(2002年以后的房子选用)</t>
    </r>
  </si>
  <si>
    <r>
      <rPr>
        <sz val="8"/>
        <rFont val="宋体"/>
        <family val="3"/>
        <charset val="134"/>
      </rPr>
      <t>因委托方未提供估价对象《国有土地使用证》复印件，根据估价对象《房屋所有权证》复印件登记估价对象为规划用途为住宅。且估价对象经过二次买卖，根据相关规定，二次买卖如原为划拨需补缴土地出让金，本次评估以估价对象占用土地系出让方式取得为假设前提，提请报告使用人注意。</t>
    </r>
    <r>
      <rPr>
        <b/>
        <sz val="8"/>
        <color rgb="FFFF0000"/>
        <rFont val="宋体"/>
        <family val="3"/>
        <charset val="134"/>
      </rPr>
      <t>（有足够理由证明经过二次交易的选用）</t>
    </r>
  </si>
  <si>
    <r>
      <rPr>
        <sz val="8"/>
        <rFont val="宋体"/>
        <family val="3"/>
        <charset val="134"/>
      </rPr>
      <t>因委托方未提供估价对象《国有土地使用证》，根据委托方提供的《房屋所有权证》等相关资料，经委托方介绍，估价对象所属宗地系划拨方式取得，提请报告使用人注意。</t>
    </r>
    <r>
      <rPr>
        <b/>
        <sz val="8"/>
        <color rgb="FFFF0000"/>
        <rFont val="宋体"/>
        <family val="3"/>
        <charset val="134"/>
      </rPr>
      <t>（有理由证明土地为划拨的选用）</t>
    </r>
  </si>
  <si>
    <r>
      <rPr>
        <sz val="8"/>
        <rFont val="宋体"/>
        <family val="3"/>
        <charset val="134"/>
      </rPr>
      <t>未核对估价对象权属资料原件，假设复印件资料属实</t>
    </r>
    <r>
      <rPr>
        <b/>
        <sz val="8"/>
        <color rgb="FFFF0000"/>
        <rFont val="宋体"/>
        <family val="3"/>
        <charset val="134"/>
      </rPr>
      <t>（1、只要未核对原件的，都要选一个添在“依据不足假设”，2、成都市内的必须上网查询房产证真实性，3、</t>
    </r>
    <r>
      <rPr>
        <b/>
        <sz val="8"/>
        <color rgb="FF0000FF"/>
        <rFont val="宋体"/>
        <family val="3"/>
        <charset val="134"/>
      </rPr>
      <t>去掉红字部分</t>
    </r>
    <r>
      <rPr>
        <b/>
        <sz val="8"/>
        <color rgb="FFFF0000"/>
        <rFont val="宋体"/>
        <family val="3"/>
        <charset val="134"/>
      </rPr>
      <t>）。主城区：http://www.cdfgj.gov.cn/BusinessQuery/BusSearch.aspx?action=ucSencondCX&amp;Class=11；大成都：http://qxwq.zw.cdfgj.gov.cn/login.html</t>
    </r>
  </si>
  <si>
    <r>
      <rPr>
        <sz val="8"/>
        <rFont val="宋体"/>
        <family val="3"/>
        <charset val="134"/>
      </rPr>
      <t>估价委托人未能提供估价对象《房屋所有权证》原件，估价师进行了相关的尽职调查，仍未能获取相关材料，限于估价师工作能力范围，本次评估以委托方提供的估价对象《房屋所有权证》复印件作为产权资料。</t>
    </r>
    <r>
      <rPr>
        <b/>
        <sz val="8"/>
        <color rgb="FFFF0000"/>
        <rFont val="宋体"/>
        <family val="3"/>
        <charset val="134"/>
      </rPr>
      <t>（成都市以外的地方选用）</t>
    </r>
  </si>
  <si>
    <r>
      <rPr>
        <sz val="8"/>
        <rFont val="宋体"/>
        <family val="3"/>
        <charset val="134"/>
      </rPr>
      <t>此次评估估价委托人仅向我公司提供了估价对象权属资料复印件，我们未取得估价对象权属资料原件进行比对，本公司注册房地产估价师通过“成都市城乡房产管理局”网站查询，估价对象权属、面积、用途等数据与估价委托人向我公司提供的复印件一致。</t>
    </r>
    <r>
      <rPr>
        <b/>
        <sz val="8"/>
        <color rgb="FFFF0000"/>
        <rFont val="宋体"/>
        <family val="3"/>
        <charset val="134"/>
      </rPr>
      <t>（成都市主城区选用）</t>
    </r>
  </si>
  <si>
    <r>
      <rPr>
        <sz val="8"/>
        <rFont val="宋体"/>
        <family val="3"/>
        <charset val="134"/>
      </rPr>
      <t>此次评估估价委托人仅向我公司提供了估价对象权属资料复印件，我们未取得估价对象权属资料原件进行比对，本公司注册房地产估价师通过“成都市城乡房产管理局”/“成都数字房产网上政务大厅”网站查询，估价对象权属、面积、用途等数据与估价委托人向我公司提供的复印件一致。</t>
    </r>
    <r>
      <rPr>
        <b/>
        <sz val="8"/>
        <color rgb="FFFF0000"/>
        <rFont val="宋体"/>
        <family val="3"/>
        <charset val="134"/>
      </rPr>
      <t>（成都市郊县选用）</t>
    </r>
  </si>
  <si>
    <r>
      <rPr>
        <sz val="8"/>
        <rFont val="宋体"/>
        <family val="3"/>
        <charset val="134"/>
      </rPr>
      <t>估价对象建成年代为自己调查的，假设自己调查的属实</t>
    </r>
    <r>
      <rPr>
        <b/>
        <sz val="8"/>
        <color rgb="FFFF0000"/>
        <rFont val="宋体"/>
        <family val="3"/>
        <charset val="134"/>
      </rPr>
      <t>（1、只要没有官方数据证明的，都选用一个添在“依据不足假设”，2、</t>
    </r>
    <r>
      <rPr>
        <b/>
        <sz val="8"/>
        <color rgb="FF0000FF"/>
        <rFont val="宋体"/>
        <family val="3"/>
        <charset val="134"/>
      </rPr>
      <t>注意看批注</t>
    </r>
    <r>
      <rPr>
        <b/>
        <sz val="8"/>
        <color rgb="FFFF0000"/>
        <rFont val="宋体"/>
        <family val="3"/>
        <charset val="134"/>
      </rPr>
      <t>）</t>
    </r>
  </si>
  <si>
    <r>
      <rPr>
        <sz val="8"/>
        <rFont val="宋体"/>
        <family val="3"/>
        <charset val="134"/>
      </rPr>
      <t>地址不一致</t>
    </r>
    <r>
      <rPr>
        <b/>
        <sz val="8"/>
        <color rgb="FFFF0000"/>
        <rFont val="宋体"/>
        <family val="3"/>
        <charset val="134"/>
      </rPr>
      <t>（1、只要地址不一致，都要选用一个添在“不相一致假设”中及</t>
    </r>
    <r>
      <rPr>
        <b/>
        <sz val="8"/>
        <color rgb="FF00B0F0"/>
        <rFont val="宋体"/>
        <family val="3"/>
        <charset val="134"/>
      </rPr>
      <t>上表建筑部分（第15行）“备注”栏中</t>
    </r>
    <r>
      <rPr>
        <b/>
        <sz val="8"/>
        <color rgb="FFFF0000"/>
        <rFont val="宋体"/>
        <family val="3"/>
        <charset val="134"/>
      </rPr>
      <t>，2、</t>
    </r>
    <r>
      <rPr>
        <b/>
        <sz val="8"/>
        <color rgb="FF0000FF"/>
        <rFont val="宋体"/>
        <family val="3"/>
        <charset val="134"/>
      </rPr>
      <t>注意看批注</t>
    </r>
    <r>
      <rPr>
        <b/>
        <sz val="8"/>
        <color rgb="FFFF0000"/>
        <rFont val="宋体"/>
        <family val="3"/>
        <charset val="134"/>
      </rPr>
      <t>）</t>
    </r>
  </si>
  <si>
    <r>
      <rPr>
        <sz val="8"/>
        <rFont val="宋体"/>
        <family val="3"/>
        <charset val="134"/>
      </rPr>
      <t>实际用途与产权登记用途不一致（</t>
    </r>
    <r>
      <rPr>
        <b/>
        <sz val="8"/>
        <color rgb="FFFF0000"/>
        <rFont val="宋体"/>
        <family val="3"/>
        <charset val="134"/>
      </rPr>
      <t>1、用途不一致选一条添在“不相一致假设中”</t>
    </r>
    <r>
      <rPr>
        <b/>
        <sz val="8"/>
        <color rgb="FF0000FF"/>
        <rFont val="宋体"/>
        <family val="3"/>
        <charset val="134"/>
      </rPr>
      <t>2、去掉红字部分，</t>
    </r>
    <r>
      <rPr>
        <b/>
        <sz val="8"/>
        <color rgb="FF7030A0"/>
        <rFont val="宋体"/>
        <family val="3"/>
        <charset val="134"/>
      </rPr>
      <t>3、注意紫色字体，实际查看是什么就写什么</t>
    </r>
    <r>
      <rPr>
        <sz val="8"/>
        <rFont val="宋体"/>
        <family val="3"/>
        <charset val="134"/>
      </rPr>
      <t>）</t>
    </r>
  </si>
  <si>
    <r>
      <rPr>
        <sz val="8"/>
        <rFont val="宋体"/>
        <family val="3"/>
        <charset val="134"/>
      </rPr>
      <t>据实地查勘，估价对象现作为</t>
    </r>
    <r>
      <rPr>
        <b/>
        <sz val="8"/>
        <color rgb="FF7030A0"/>
        <rFont val="宋体"/>
        <family val="3"/>
        <charset val="134"/>
      </rPr>
      <t>办公</t>
    </r>
    <r>
      <rPr>
        <sz val="8"/>
        <rFont val="宋体"/>
        <family val="3"/>
        <charset val="134"/>
      </rPr>
      <t>用途使用，与《房屋所有权证》登记用途（住宅用途）不一致，本次评估设定估价对象用途与《房屋所有权证》登记用途一致，为住宅。（</t>
    </r>
    <r>
      <rPr>
        <b/>
        <sz val="8"/>
        <color rgb="FFFF0000"/>
        <rFont val="宋体"/>
        <family val="3"/>
        <charset val="134"/>
      </rPr>
      <t>抵押评估原则上必须按产权登记用途设立</t>
    </r>
    <r>
      <rPr>
        <sz val="8"/>
        <rFont val="宋体"/>
        <family val="3"/>
        <charset val="134"/>
      </rPr>
      <t>）</t>
    </r>
  </si>
  <si>
    <r>
      <rPr>
        <sz val="8"/>
        <rFont val="宋体"/>
        <family val="3"/>
        <charset val="134"/>
      </rPr>
      <t>据实地查勘，估价对象现作为办公用途使用，与《房屋所有权证》登记用途（住宅用途）不一致，本次评估根据最高最佳使用原则，设定估价对象用途为办公。</t>
    </r>
    <r>
      <rPr>
        <b/>
        <sz val="8"/>
        <color rgb="FFFF0000"/>
        <rFont val="宋体"/>
        <family val="3"/>
        <charset val="134"/>
      </rPr>
      <t>（公开市场价值评估可选用，慎用！！！）</t>
    </r>
  </si>
  <si>
    <r>
      <rPr>
        <sz val="8"/>
        <rFont val="宋体"/>
        <family val="3"/>
        <charset val="134"/>
      </rPr>
      <t>因估价委托人提供的《房屋所有权证》估价对象未登记房屋规划用途，根据估价委托人提供的《国有土地使用证》记载，估价对象所占用的土地用途为住宅，根据注册房地产估价师现场查看，估价对象利用现状为</t>
    </r>
    <r>
      <rPr>
        <b/>
        <sz val="8"/>
        <color rgb="FF7030A0"/>
        <rFont val="宋体"/>
        <family val="3"/>
        <charset val="134"/>
      </rPr>
      <t>住宅</t>
    </r>
    <r>
      <rPr>
        <sz val="8"/>
        <rFont val="宋体"/>
        <family val="3"/>
        <charset val="134"/>
      </rPr>
      <t>，本次评估设定估价对象用途与《国有土地使用证》登记用途一致，为住宅。</t>
    </r>
    <r>
      <rPr>
        <b/>
        <sz val="8"/>
        <color rgb="FFFF0000"/>
        <rFont val="宋体"/>
        <family val="3"/>
        <charset val="134"/>
      </rPr>
      <t>（产权证没有登记用途，土地证有的，按土地正上面的用途设立用途的情况选用）</t>
    </r>
  </si>
  <si>
    <r>
      <rPr>
        <sz val="8"/>
        <rFont val="宋体"/>
        <family val="3"/>
        <charset val="134"/>
      </rPr>
      <t>因估价委托人提供的《房屋所有权证》估价对象未登记房屋规划用途，根据注册房地产估价师现场查看，估价对象利用现状为</t>
    </r>
    <r>
      <rPr>
        <b/>
        <sz val="8"/>
        <color rgb="FF7030A0"/>
        <rFont val="宋体"/>
        <family val="3"/>
        <charset val="134"/>
      </rPr>
      <t>住宅</t>
    </r>
    <r>
      <rPr>
        <sz val="8"/>
        <rFont val="宋体"/>
        <family val="3"/>
        <charset val="134"/>
      </rPr>
      <t>，本次评估根据最高最佳使用原则，设定估价对象用途与实际用途一致，为住宅，提请报告使用人注意。</t>
    </r>
    <r>
      <rPr>
        <b/>
        <sz val="8"/>
        <color rgb="FFFF0000"/>
        <rFont val="宋体"/>
        <family val="3"/>
        <charset val="134"/>
      </rPr>
      <t>（产权证没有登记用途，未提供土地证，按实际用途设立用途的情况选用）</t>
    </r>
  </si>
  <si>
    <r>
      <rPr>
        <sz val="8"/>
        <rFont val="宋体"/>
        <family val="3"/>
        <charset val="134"/>
      </rPr>
      <t>价值时点与现场查看时间不一致</t>
    </r>
    <r>
      <rPr>
        <b/>
        <sz val="8"/>
        <color rgb="FFFF0000"/>
        <rFont val="宋体"/>
        <family val="3"/>
        <charset val="134"/>
      </rPr>
      <t>（1、选用一条添在“不相一致假设”中，</t>
    </r>
    <r>
      <rPr>
        <b/>
        <sz val="8"/>
        <color rgb="FF0000FF"/>
        <rFont val="宋体"/>
        <family val="3"/>
        <charset val="134"/>
      </rPr>
      <t>2、注意看批注）</t>
    </r>
  </si>
  <si>
    <t>特别要注意“一般假设中的1.10”哈，他跟这个只能有一个哈</t>
  </si>
  <si>
    <r>
      <rPr>
        <sz val="8"/>
        <rFont val="宋体"/>
        <family val="3"/>
        <charset val="134"/>
      </rPr>
      <t>房屋所有权人与估价委托人不一致</t>
    </r>
    <r>
      <rPr>
        <b/>
        <sz val="8"/>
        <color rgb="FFFF0000"/>
        <rFont val="宋体"/>
        <family val="3"/>
        <charset val="134"/>
      </rPr>
      <t>（遇到这样的情况，直接把后面的话复制到“不相一致假设”中）</t>
    </r>
  </si>
  <si>
    <t>比较法</t>
  </si>
  <si>
    <t xml:space="preserve">    比较法，是指选取一定数量的可比实例，将它们与估价对象进行比较，根据其间的差异对可比实例成交价格进行处理后得到估价对象价值或价格的方法。                                  </t>
  </si>
  <si>
    <t>收益法</t>
  </si>
  <si>
    <t>成本法</t>
  </si>
  <si>
    <t>成本法，是测算估价对象在价值时点的重置成本或重建成本和折旧，将重置成本或重建成本减去折旧得到估价对象价值或价格的方法</t>
  </si>
  <si>
    <t>假设开发法</t>
  </si>
  <si>
    <t>假设开发法，求得估价对象后续开发的必要支出及折现率或后续开发的必要支出及应得利润和开发完成后的价值，将开发完成后的价值和后续开发的必要支出折现到价值时点后相减，或将开发完成后的价值减去后续开发的必要支出及应得利润得到估价对象价值或价格的方法。</t>
  </si>
  <si>
    <t>蓝色字体部分手动输入</t>
  </si>
  <si>
    <t>查看情况</t>
  </si>
  <si>
    <t>室内装修情况在这里选</t>
  </si>
  <si>
    <t>楼盘名称</t>
  </si>
  <si>
    <t>建筑结构</t>
  </si>
  <si>
    <t>外墙</t>
  </si>
  <si>
    <t>厨卫地面</t>
  </si>
  <si>
    <t>防滑地砖</t>
  </si>
  <si>
    <t>朝向</t>
  </si>
  <si>
    <t>空间布局</t>
  </si>
  <si>
    <t>入户门</t>
  </si>
  <si>
    <t>防盗门</t>
  </si>
  <si>
    <t>厨卫墙面</t>
  </si>
  <si>
    <t>位置状况</t>
  </si>
  <si>
    <t>不临街</t>
  </si>
  <si>
    <t>层高</t>
  </si>
  <si>
    <t>约3米</t>
  </si>
  <si>
    <t>利用现状</t>
  </si>
  <si>
    <t>自用</t>
  </si>
  <si>
    <t>室内门</t>
  </si>
  <si>
    <t>厨卫天棚</t>
  </si>
  <si>
    <t>塑料扣板</t>
  </si>
  <si>
    <t>总层数</t>
  </si>
  <si>
    <t>所在层数</t>
  </si>
  <si>
    <t>实际用途</t>
  </si>
  <si>
    <t>窗</t>
  </si>
  <si>
    <t>成新率</t>
  </si>
  <si>
    <t>90%</t>
  </si>
  <si>
    <t>维护保养状况</t>
  </si>
  <si>
    <t>完好房</t>
  </si>
  <si>
    <t>客卧地面</t>
  </si>
  <si>
    <t>设施设备</t>
  </si>
  <si>
    <t>2部电梯、地下停车位、电话接口、专用宽带、有线电视接口、管道天然气</t>
  </si>
  <si>
    <t>客卧墙面</t>
  </si>
  <si>
    <t>装修状况</t>
  </si>
  <si>
    <t>住宅选</t>
  </si>
  <si>
    <t>客卧顶棚</t>
  </si>
  <si>
    <t>商业写字楼选</t>
  </si>
  <si>
    <t>3、</t>
  </si>
  <si>
    <t>估价对象区位状况</t>
  </si>
  <si>
    <t>区域位置</t>
  </si>
  <si>
    <t>东临</t>
  </si>
  <si>
    <t>南临</t>
  </si>
  <si>
    <t>西临</t>
  </si>
  <si>
    <t>北临</t>
  </si>
  <si>
    <t>公交线路</t>
  </si>
  <si>
    <t>交通状况</t>
  </si>
  <si>
    <t>东近</t>
  </si>
  <si>
    <t>南近</t>
  </si>
  <si>
    <t>西近</t>
  </si>
  <si>
    <t>北近</t>
  </si>
  <si>
    <t>较好</t>
  </si>
  <si>
    <t>较高</t>
  </si>
  <si>
    <t>生活服务设施</t>
  </si>
  <si>
    <t>居住氛围</t>
  </si>
  <si>
    <t>超市</t>
  </si>
  <si>
    <t>周边配套填在这儿，至少一样三个</t>
  </si>
  <si>
    <t>学校</t>
  </si>
  <si>
    <t>银行</t>
  </si>
  <si>
    <t>农业银行</t>
  </si>
  <si>
    <t>医院</t>
  </si>
  <si>
    <t>小区</t>
  </si>
  <si>
    <t>物业名称</t>
  </si>
  <si>
    <t>户型结构</t>
  </si>
  <si>
    <t>建筑面积(㎡)</t>
  </si>
  <si>
    <t>平层</t>
  </si>
  <si>
    <t>4</t>
  </si>
  <si>
    <t>比较因素条件说明表</t>
  </si>
  <si>
    <t>估价对象</t>
  </si>
  <si>
    <t>交易情况</t>
  </si>
  <si>
    <t>区位状况</t>
  </si>
  <si>
    <t>实物状况</t>
  </si>
  <si>
    <t>权益状况</t>
  </si>
  <si>
    <t>比较因素条件指数表</t>
  </si>
  <si>
    <t>2-2 比较法-住宅</t>
  </si>
  <si>
    <t>可比实例情况表</t>
  </si>
  <si>
    <t>同一小区可比实例较多的，ABC都用同一小区的</t>
  </si>
  <si>
    <t>比较因素         可比实例</t>
  </si>
  <si>
    <t>可比实例A</t>
  </si>
  <si>
    <t>可比实例B</t>
  </si>
  <si>
    <t>可比实例C</t>
  </si>
  <si>
    <t>最终评估单价</t>
  </si>
  <si>
    <t>可比实例的来源</t>
  </si>
  <si>
    <t>市场调查走访</t>
  </si>
  <si>
    <t>可比实例的位置</t>
  </si>
  <si>
    <t>与估价对象位于同一项目</t>
  </si>
  <si>
    <t>位于估价对象西侧</t>
  </si>
  <si>
    <t>位于估价对象南侧</t>
  </si>
  <si>
    <t>单价（人民币，元/㎡）</t>
  </si>
  <si>
    <t>商业房地产价格指数表（定基）</t>
  </si>
  <si>
    <t>总价（人民币，万元）</t>
  </si>
  <si>
    <t>正常交易</t>
  </si>
  <si>
    <t>时  间</t>
  </si>
  <si>
    <t>2016.1.1</t>
  </si>
  <si>
    <t>交易时间</t>
  </si>
  <si>
    <t>价格指数</t>
  </si>
  <si>
    <t>房地产用途</t>
  </si>
  <si>
    <t>以上指数的方向、幅度要与市场背景分析一至</t>
  </si>
  <si>
    <t>财产范围</t>
  </si>
  <si>
    <t>房地产及配套设施、装潢</t>
  </si>
  <si>
    <t>付款方式</t>
  </si>
  <si>
    <t>一次性付款</t>
  </si>
  <si>
    <t>融资条件</t>
  </si>
  <si>
    <t>可正常融资</t>
  </si>
  <si>
    <t>税费负担情况</t>
  </si>
  <si>
    <t>税费各担</t>
  </si>
  <si>
    <t>所在楼层</t>
  </si>
  <si>
    <t>南</t>
  </si>
  <si>
    <t>装饰装修</t>
  </si>
  <si>
    <t>一般装潢</t>
  </si>
  <si>
    <t>豪华装潢</t>
  </si>
  <si>
    <t>一、可比实例选择--《比较因素条件说明表》</t>
  </si>
  <si>
    <t>二、《比较因素条件指数表》</t>
  </si>
  <si>
    <t>可比实例成交日期千万要在报告出具日期之前！！！</t>
  </si>
  <si>
    <t xml:space="preserve">   比较因素     可比实例</t>
  </si>
  <si>
    <t>不用比</t>
  </si>
  <si>
    <t>比较因素             可比实例</t>
  </si>
  <si>
    <t>待估</t>
  </si>
  <si>
    <t>市场状况(交易时间)</t>
  </si>
  <si>
    <t>区位状况调整</t>
  </si>
  <si>
    <r>
      <rPr>
        <sz val="10"/>
        <rFont val="仿宋_GB2312"/>
        <charset val="134"/>
      </rPr>
      <t>*</t>
    </r>
    <r>
      <rPr>
        <sz val="10"/>
        <rFont val="宋体"/>
        <family val="3"/>
        <charset val="134"/>
      </rPr>
      <t>离区域中心点距离：以估价对象为基准（</t>
    </r>
    <r>
      <rPr>
        <sz val="10"/>
        <rFont val="Arial"/>
        <family val="2"/>
      </rPr>
      <t>100%</t>
    </r>
    <r>
      <rPr>
        <sz val="10"/>
        <rFont val="宋体"/>
        <family val="3"/>
        <charset val="134"/>
      </rPr>
      <t>），分为近、较近、较远、远四个等级，相差一个等级，房价修正</t>
    </r>
    <r>
      <rPr>
        <sz val="10"/>
        <rFont val="Arial"/>
        <family val="2"/>
      </rPr>
      <t>±2%</t>
    </r>
    <r>
      <rPr>
        <sz val="10"/>
        <rFont val="宋体"/>
        <family val="3"/>
        <charset val="134"/>
      </rPr>
      <t>。</t>
    </r>
  </si>
  <si>
    <t>交通管制（单行、禁行）</t>
  </si>
  <si>
    <t>无特殊管制</t>
  </si>
  <si>
    <t>*交通管制（单行线、禁行）：以估价对象为基准（100%），分为无特殊管制、有交通管制（节假日禁行）、有交通管制（单行）3个等级，以估价对象环境质量为基准（100%），相差一个等级，房价修正±2%。</t>
  </si>
  <si>
    <t>公交便捷度</t>
  </si>
  <si>
    <t>较优</t>
  </si>
  <si>
    <t>差</t>
  </si>
  <si>
    <t>*公交便捷度：以估价对象所临地铁、公交站点距离、线路数为基准（100%），分为优、较优、较差、差4个等级，相差一个等级，房价修正±3%。</t>
  </si>
  <si>
    <t>基础设施</t>
  </si>
  <si>
    <t>六通一平</t>
  </si>
  <si>
    <t>三通一平</t>
  </si>
  <si>
    <t>*基础设施：以估价对象为基准（100%），分为七通一平、六通一平、五通一平、三通一平4个等级，相差一个等级，房价修正±1%。</t>
  </si>
  <si>
    <t>公共服务设施完善度</t>
  </si>
  <si>
    <t>完善</t>
  </si>
  <si>
    <t>一般</t>
  </si>
  <si>
    <t>*公共服务设施完善度：以估价对象为基准（100%），分为 完善、一般、不完善3个等级，相差一个等级，房价修正±1%。</t>
  </si>
  <si>
    <t>周围环境状况</t>
  </si>
  <si>
    <t>*周围环境状况：以估价对象为基准（100%），分为较优、一般、 差3个等级，相差一个等级，房价修正±1%。</t>
  </si>
  <si>
    <t>停车位</t>
  </si>
  <si>
    <t>充足</t>
  </si>
  <si>
    <t>*停车位：以估价对象为基准（100%），分为充足、一般、不足3个等级，相差一个等级，房价修正±2%。</t>
  </si>
  <si>
    <t>*朝向：以估价对象为基准（100%），分为南北、南、东南、东、西南、西、西北、东北、北9个等级，相差一个等级，房价修正±1%。</t>
  </si>
  <si>
    <t>9层</t>
  </si>
  <si>
    <t>按实</t>
  </si>
  <si>
    <t xml:space="preserve">*所在楼层：以估价对象为基准（100%），按实际情况调整。 </t>
  </si>
  <si>
    <t>适中</t>
  </si>
  <si>
    <t>实物状况调整</t>
  </si>
  <si>
    <t>估价对象及实例规模</t>
  </si>
  <si>
    <t>*估价对象及实例规模：以估价对象为基准（100%），分为适中、偏大、偏小、超大四个等级，相差一个等级，房价修正±1%。</t>
  </si>
  <si>
    <t>钢混</t>
  </si>
  <si>
    <t>*建筑结构：以估价对象为基准（100%），分为钢混、砖混、砖木、简易4个等级，相差一个等级，房价修正±2%。</t>
  </si>
  <si>
    <t>建筑外观</t>
  </si>
  <si>
    <t>美观大方</t>
  </si>
  <si>
    <t>*建筑外观：以估价对象为基准（100%），分为美观大方、一般、差3个等级，相差一个等级，房价修正±1%。</t>
  </si>
  <si>
    <t>新旧程度</t>
  </si>
  <si>
    <t>十成新</t>
  </si>
  <si>
    <t>*新旧程度:以全新房屋(期房作为全新房屋)为基准100%，成新度每±1成，房价修正±2%。</t>
  </si>
  <si>
    <t>建筑使用功能</t>
  </si>
  <si>
    <t>优</t>
  </si>
  <si>
    <t>*建筑使用功能：以估价对象为基准（100%），分为优、较优、差3个等级，相差一个等级，房价修正±1%。</t>
  </si>
  <si>
    <t>小区环境</t>
  </si>
  <si>
    <t>合理</t>
  </si>
  <si>
    <t>*空间布局：以估价对象为基准（100%），分为合理、较合理、不合理三个等级，相差一个等级，房价修正±1%。</t>
  </si>
  <si>
    <t>小区绿化</t>
  </si>
  <si>
    <t>毛坯</t>
  </si>
  <si>
    <t>*装饰装修：以估价对象为基准（100%），分为豪华装潢、一般装潢、毛坯、简易装潢四个等级，相差一个等级，房价修正±1%。</t>
  </si>
  <si>
    <t>无设施设备</t>
  </si>
  <si>
    <t>设施设备齐全</t>
  </si>
  <si>
    <t>*设施设备水平：以估价对象为基准（100%），分为设施设备齐全、有设施设备但不齐全、无设施设备三个等级，相差一个等级，房价修正±1%。</t>
  </si>
  <si>
    <t>层高（米）</t>
  </si>
  <si>
    <t>2.8米至4.7米之间</t>
  </si>
  <si>
    <t>5.5米以上</t>
  </si>
  <si>
    <t>小于2.8米</t>
  </si>
  <si>
    <t>4.7米至5.5米之间</t>
  </si>
  <si>
    <t>*层高（米）：以估价对象为基准（100%），分为5.5米以上、4.7米至5.5米之间、4.7米以下3个等级，相差一个等级，房价修正±3%。</t>
  </si>
  <si>
    <t>好</t>
  </si>
  <si>
    <t>*物业管理：以估价对象为基准（100%），分为物业管理情况好、较好、一般、较差、差（或无物业管理）五个等级，相差一个等级，房价修正±2%。</t>
  </si>
  <si>
    <t>规划条件</t>
  </si>
  <si>
    <t>按规划条件建设</t>
  </si>
  <si>
    <t>权益状况调整</t>
  </si>
  <si>
    <t>*规划条件：以估价对象为基准（100%），分为按规划条件建设、未按规划条件建设2个等级，相差一个等级，房价修正±2%。</t>
  </si>
  <si>
    <t>权属清晰情况</t>
  </si>
  <si>
    <t>已登记，权属清晰</t>
  </si>
  <si>
    <t>*权属清晰情况：以估价对象为基准（100%），分为 已登记，权属清晰；未登记，权属清晰 ；未登记，权属不清晰 3个等级，相差一个等级，房价修正±5%。</t>
  </si>
  <si>
    <t>土地使用权性质</t>
  </si>
  <si>
    <t>国有出让</t>
  </si>
  <si>
    <t>国有划拨</t>
  </si>
  <si>
    <t>*土地使用权性质：以估价对象为基准（100%），分为 国有出让、国有划拨、集体土地、租赁土地4个等级，相差一个等级，房价修正±3%。</t>
  </si>
  <si>
    <t>土地剩余使用年限（年）</t>
  </si>
  <si>
    <t>？年</t>
  </si>
  <si>
    <t>与估价对象相近</t>
  </si>
  <si>
    <t>*土地剩余使用年限（年）：以估价对象为基准（100%），按实际调整。</t>
  </si>
  <si>
    <t>无其他共有权人</t>
  </si>
  <si>
    <t>有三个及以上共有权人</t>
  </si>
  <si>
    <t>*共有情况：以估价对象为基准（100%），分为 无其他共有权人、有三个及以上共有权人2个等级，相差一个等级，房价修正±1%。</t>
  </si>
  <si>
    <t>用益物权设立情况</t>
  </si>
  <si>
    <t>无用益物权</t>
  </si>
  <si>
    <t>*用益物权设立情况：以估价对象为基准（100%），分为无用益物权、有用益物权2个等级，相差一个等级，房价修正±3%。</t>
  </si>
  <si>
    <t>担保物权设立情况</t>
  </si>
  <si>
    <t>无担保物权</t>
  </si>
  <si>
    <t>*担保物权设立情况：以估价对象为基准（100%），分为无担保物权、有担保物权2个等级，相差一个等级，房价修正±1%。</t>
  </si>
  <si>
    <t>租赁或占用情况</t>
  </si>
  <si>
    <t>无租赁或短期租赁、正常租金</t>
  </si>
  <si>
    <t>长期租赁、租金偏低</t>
  </si>
  <si>
    <t>*租赁或占用情况：以估价对象为基准（100%），分为无租赁或短期租赁、正常租金；长期租赁、租金偏低2个等级，相差一个等级，房价修正±3%。</t>
  </si>
  <si>
    <t>拖欠税费情况</t>
  </si>
  <si>
    <t>不拖欠税费</t>
  </si>
  <si>
    <t>*拖欠税费情况：以估价对象为基准（100%），分为不拖欠税费、拖欠税费2个等级，相差一个等级，房价修正±5%。</t>
  </si>
  <si>
    <t>查封等形式限制权利情况</t>
  </si>
  <si>
    <t>无查封</t>
  </si>
  <si>
    <t>有查封</t>
  </si>
  <si>
    <t>*查封等形式限制权利情况：以估价对象为基准（100%），分为无查封、有查封2个等级，相差一个等级，房价修正±5%。</t>
  </si>
  <si>
    <t xml:space="preserve"> </t>
  </si>
  <si>
    <t>修正后价格</t>
  </si>
  <si>
    <t>评估总价</t>
  </si>
  <si>
    <t>*离区域中心点距离：以估价对象为基准（100%），分为近、较近、较远、远四个等级，相差一个等级，房价修正±2%。</t>
  </si>
  <si>
    <t>总价大写</t>
  </si>
  <si>
    <t>*离距公交站点距离：以估价对象为基准（100%），分为近、较近、较远、远四个等级，相差一个等级，房价修正±1%。</t>
  </si>
  <si>
    <t>剩余年月日</t>
  </si>
  <si>
    <t>*临街类型：以估价对象为基准（100%），分为一面临街、多面临街个二等级，相差一个等级，房价修正±3%。</t>
  </si>
  <si>
    <t>年</t>
  </si>
  <si>
    <t>月</t>
  </si>
  <si>
    <t>三、《比较因素修正系数表》</t>
  </si>
  <si>
    <t>日</t>
  </si>
  <si>
    <t>比较因素修正系数表</t>
  </si>
  <si>
    <t>比较因素        可比实例</t>
  </si>
  <si>
    <t>剩余年限</t>
  </si>
  <si>
    <t>工业地已使用年限</t>
  </si>
  <si>
    <t>商业地已使用年限</t>
  </si>
  <si>
    <t>居住地已使用年限</t>
  </si>
  <si>
    <t xml:space="preserve">     三者价格相当，取三者的简单算术平均值作为委估房地产的单位市场价格：</t>
  </si>
  <si>
    <t>简易评估报告</t>
  </si>
  <si>
    <t>在未设立法定优先受偿权利下的市场价值</t>
  </si>
  <si>
    <t>估价师知悉的法定优先受偿款（万元）</t>
  </si>
  <si>
    <t>抵押价值（万元）</t>
  </si>
  <si>
    <t>评估单价（元/㎡）</t>
  </si>
  <si>
    <t>评估市值（万元）</t>
  </si>
  <si>
    <t>抵押价值人民币大写：</t>
  </si>
  <si>
    <t>估价对象权益状况</t>
  </si>
  <si>
    <t>房屋产权证记载明细</t>
  </si>
  <si>
    <t>证载地址</t>
  </si>
  <si>
    <t>现场查看地址</t>
  </si>
  <si>
    <t>房屋所有权证号</t>
  </si>
  <si>
    <t>他项权利</t>
  </si>
  <si>
    <t>国土证记载明细</t>
  </si>
  <si>
    <t>2、</t>
  </si>
  <si>
    <t>估价对象实物状况</t>
  </si>
  <si>
    <t>说明：</t>
  </si>
  <si>
    <t>估值的确定因条件限制，其估值与最终出具的正式评估报告若有一定范围的调整，以最终出具的正式报告为准。</t>
  </si>
  <si>
    <t>本预评报告书所依据的有关资料由委托方提供，其真实性、合法性和完整性由委托方负责。</t>
  </si>
  <si>
    <t>根据委托方提供的资料显示，估价对象无法定优先受偿款，我们以此为假设前提，本次评估不考虑法定优先受偿款对物业价值的影响。</t>
  </si>
  <si>
    <t>抵押</t>
  </si>
  <si>
    <t>6、</t>
  </si>
  <si>
    <t>根据委托方提供的《房屋所有权证》复印件记载，估价对象已于设定了抵押权，抵押期限为，担保债权价值为元。根据委托方提供的《房地产估价委托书》，经委托方确认，委托方拟以清偿债权后的估价对象作为抵押物再次申请贷款，并做出书面承诺：以该房地产作为抵押担保物向有关机构贷款和办理抵押登记前清偿该房地产已抵押担保的所有债权并注销抵押的他项权利登记，保证该房地产未设定他项权利。本次评估以估价对象未设定抵押权为假设前提。</t>
  </si>
  <si>
    <t>4、</t>
  </si>
  <si>
    <t>本初评结果已包含土地和建筑物的价值。评估总值取整到百位。</t>
  </si>
  <si>
    <t>地址不一致</t>
  </si>
  <si>
    <t>7、</t>
  </si>
  <si>
    <t>5、</t>
  </si>
  <si>
    <t>换证：</t>
  </si>
  <si>
    <t>估价对象于价值时点（2017年6月1日）后更换了新证，现《不动产权证》证号为：川（2017）龙泉驿区不动产权第0027353号，原《房屋所有权证》证号为：龙房权证监证字第0094041号，更换新证前后产权登记坐落及权利人无变更，提请报告使用者注意。</t>
  </si>
  <si>
    <t>8、</t>
  </si>
  <si>
    <t>因委托方未提供估价对象《国有土地使用证》复印件，根据委托方提供的《房屋所有权证》复印件、《房地产估价委托书》等相关资料，经委托方介绍，估价对象所属宗地系划拨方式取得，本次评估已扣除估价对象预计处分时应缴纳的土地出让金或相当于出让金的价款￥：相同元（人民币元）。</t>
  </si>
  <si>
    <t>估价人员：</t>
  </si>
  <si>
    <t>联系电话：</t>
  </si>
  <si>
    <t>税费</t>
  </si>
  <si>
    <t>评估净值是指评估价值减去预期实现抵押权的费用和税金（预计税费）后的价值。经测算，估价对象的预计税费为人民币元，大写人民币元整。评估净值为人民币元，大写人民币元整。</t>
  </si>
  <si>
    <t>注册房地产估价师：</t>
  </si>
  <si>
    <t>地址变更</t>
  </si>
  <si>
    <t>江苏海正土地房地产评估有限公司</t>
  </si>
  <si>
    <t>附件：估价对象照片、位置示意图；</t>
  </si>
  <si>
    <t>出让金</t>
  </si>
  <si>
    <t xml:space="preserve">   </t>
  </si>
  <si>
    <t>国土划拨出让金</t>
  </si>
  <si>
    <t>地址变更提供证明</t>
  </si>
  <si>
    <t>估价对象价值时点下分割出租，本公司人员现场查看估价对象室内有两间卧室因租客不在未能进入拍照，本次评估以未能进入室内的两间卧室能正常使用为假设前提，提请报告使用者注意。</t>
  </si>
  <si>
    <t>未进入室内</t>
  </si>
  <si>
    <t>2、价值时点下本公司人员现场查勘估价对象室内有一间套房（套房内包括一间卧室、一间衣帽间、一间卫生间）未能进入现场拍照，本次评估以未能进入室内的套房能正常使用为假设前提，提请报告使用人注意。</t>
  </si>
  <si>
    <t>预评估报告</t>
  </si>
  <si>
    <t>一、估价对象概况</t>
  </si>
  <si>
    <t>抵押项目名称</t>
  </si>
  <si>
    <t>抵押物所有人名称</t>
  </si>
  <si>
    <t>权属证号</t>
  </si>
  <si>
    <t>抵押物地址</t>
  </si>
  <si>
    <t>实地查勘地址</t>
  </si>
  <si>
    <t>建筑年代</t>
  </si>
  <si>
    <t>房屋用途</t>
  </si>
  <si>
    <t>土地用途</t>
  </si>
  <si>
    <t>是否连通使用</t>
  </si>
  <si>
    <t>否</t>
  </si>
  <si>
    <t>土地终止日期</t>
  </si>
  <si>
    <t>土地性质</t>
  </si>
  <si>
    <t>黄色底纹手动录入</t>
  </si>
  <si>
    <t>交易实例说明</t>
  </si>
  <si>
    <t>二、估价结果</t>
  </si>
  <si>
    <t>估价人员联系方式：028-61812001转813</t>
  </si>
  <si>
    <t xml:space="preserve">   请与我司客服人员联系，获取电子版下载提取码，并登录Http://doc.egujia.com网站，获得本预评估报告的电子防伪版本。</t>
  </si>
  <si>
    <t xml:space="preserve">   请用手机扫描左上角二维码查询本报告的摘要信息，进行报告的有效性验证。
</t>
  </si>
  <si>
    <t>估价师知悉的法定优先受偿款（元）</t>
  </si>
  <si>
    <t>抵押价值（元）</t>
  </si>
  <si>
    <t>平均单价（元/㎡）</t>
  </si>
  <si>
    <t>评估市值（元）</t>
  </si>
  <si>
    <t>本答复书所依据的有关资料由委托方提供，其真实性、合法性和完整性由委托方负责。</t>
  </si>
  <si>
    <t>028-6181 4212</t>
  </si>
  <si>
    <t>深圳市世联土地房地产评估有限公司成都分公司</t>
  </si>
  <si>
    <t>平安银行成都分行</t>
  </si>
  <si>
    <t>预计税费（元）</t>
  </si>
  <si>
    <t>抵押净值（元）</t>
  </si>
  <si>
    <t>评估价值人民币大写：</t>
  </si>
  <si>
    <t>抵押净值人民币大写：</t>
  </si>
  <si>
    <t>4、估价对象变现能力分析</t>
  </si>
  <si>
    <t>变现能力分析</t>
  </si>
  <si>
    <t>1、估价对象为高层住宅，室内平面布局合理，中等装修，其所在小区环境较好，周边配套设施完善，流通性较好，通用性较强，估价对象为成套住宅用房，权属清晰，不受相邻或毗邻物业转让或处置影响，独立使用性较强，不可分割转让。综上，估价对象变现能力较强。</t>
  </si>
  <si>
    <t xml:space="preserve">2、由于抵押权的实现一般需要经过司法程序，再公告拍卖，所需时间一般在6个月左右。
3、受偿顺序：a处置费用及有关税费（见预计处置时需缴纳的各项地价、税费清单计算明细表），b偿还其它法定优先受偿款项及抵押债务，c剩余金额归权利人所有。
</t>
  </si>
  <si>
    <t>快速变现价值</t>
  </si>
  <si>
    <t>假定在价值时点强制处分估价对象，因卖方价外手续费、竞价空间、双方无合理的谈判周期、快速变现的付款方式及目前拍卖市场成交活跃程度等因素，将会产生一定的价格减损。根据估价对象的具体情况，预计估价对象可实现的快速变现价值为市场价值的七成。</t>
  </si>
  <si>
    <t xml:space="preserve"> 4、        我们调查的近期市场实例有：</t>
  </si>
  <si>
    <t>平均单价（元/m2）</t>
  </si>
  <si>
    <t>房屋所有权证登记日期</t>
  </si>
  <si>
    <t>产别</t>
  </si>
  <si>
    <t>4、估价的假设和限制条件及初评报告使用说明</t>
  </si>
  <si>
    <t>估价的假设</t>
  </si>
  <si>
    <t xml:space="preserve">1、估价对象未设立抵押等他项权利；
2、估价对象保持规划用途持续使用；
3、估价对象能够合法的进入市场交易；
4、房屋的主体结构及相关的隐蔽工程符合国家的质量规范。
</t>
  </si>
  <si>
    <t>估价的限制条件</t>
  </si>
  <si>
    <t xml:space="preserve">1、估价委托人提供的相关资料是完整真实合法的，并承担相应责任，否则该初评无效；
2、本初评受估价的假设限制，若发现并证实事实和假设不符合时本初评无效；  
3、本初评仅用于确定抵押贷款额度使用，不得用于其他用途。
</t>
  </si>
  <si>
    <t>使用报告说明</t>
  </si>
  <si>
    <t xml:space="preserve">1、报告的使用者在确定抵押贷款额度时应综合考虑估价对象的变现能力和未来市场变化的风险合理确定贷款额度； 
2、本初评有效期为三个月，若在有效期内市场环境和估价对象的实物状况与价值时点对比发生较大变化时，应重新估价，并调整贷款额度。
</t>
  </si>
  <si>
    <t>5、估价对象变现能力分析</t>
  </si>
  <si>
    <t>1、估价对象为多高层住宅，室内平面布局合理，中等装修，其所在小区环境较好，周边配套设施完善，流通性较好，通用性较强，估价对象为成套住宅用房，权属清晰，不受相邻或毗邻物业转让或处置影响，独立使用性较强，不可分割转让。综上，估价对象变现能力较强。</t>
  </si>
  <si>
    <t>6、估价方法选用及估价原理</t>
  </si>
  <si>
    <t xml:space="preserve">        区域内有类似房地产交易，交易实例易收集，市场依据充分，故可采用比较法进行评估；区域内，类似房地产租赁活动活跃，租赁案例较多，但租金中不易剥离相关设施设备及家具家电等收益，客观租金不易把握 ，故不采用收益法进行评估；因估价对象系已建成具备合法权属的住宅物业，不存在后续投入，加之住宅物业价值受临路、楼层高低、朝向等影响较大，不宜采用假设开发法和成本法进行评估。故我们采用比较法对其价值进行评估。</t>
  </si>
  <si>
    <t xml:space="preserve">       比较法定义：是指在求取估价对象房地产价格时，选取一定数量的可比实例，将它们与估价对象进行比较，根据其间的差异对可比实例成交价格进行处理后得到估价对象价值或价格的方法。</t>
  </si>
  <si>
    <t xml:space="preserve"> 7、简易测算过程：</t>
  </si>
  <si>
    <t>对三个可比实例进行认真的分析，对各影响房地产市场价值的因素进行比较修正，计算出三个可比实例的比准价格：</t>
  </si>
  <si>
    <t>本答复书所依据的有关资料由估价估价委托人提供，其真实性、合法性和完整性由估价委托人负责。</t>
  </si>
  <si>
    <t>根据估价估价委托人提供的资料显示，估价对象无法定优先受偿款，我们以此为假设前提，本次评估不考虑法定优先受偿款对物业价值的影响。</t>
  </si>
  <si>
    <t>本初评结果已包含土地和建筑物的价值。评估总值取整到佰位。</t>
  </si>
  <si>
    <t>6、抵押情况</t>
  </si>
  <si>
    <t>国土划拨：</t>
  </si>
  <si>
    <t>8、出让金：</t>
  </si>
  <si>
    <t>审核人：</t>
  </si>
  <si>
    <t>7、地址变更：</t>
  </si>
  <si>
    <t>农商抵押</t>
  </si>
  <si>
    <t>附件：估价对象照片、位置示意图、所有权证复印件；</t>
  </si>
  <si>
    <t>价值时点下，估价对象为自用，根据委托方提供的资料我们在成都市城乡房产管理局查询到估价对象房屋已设定抵押等；但根据委托方提供的《房屋所有权证》复印件记载，估价对象所设定抵押权已于2011年4月21日注销。根据委托方介绍估价对象未设置租赁权、地役权、典权等其他他项权利。本次评估假设估价对象未设定其他他项权利为前提，在此提请报告使用者加以关注。</t>
  </si>
  <si>
    <t>价值时点下，估价对象为自用，根据委托方提供的资料我们未能在成都市城乡房产管理局查询到估价对象房屋登记、抵押等信息。根据委托方介绍估价对象未设置抵押权、租赁权、地役权、典权等其他他项权利。本次评估假设估价对象未设定其他他项权利为前提，在此提请报告使用者加以关注。</t>
  </si>
  <si>
    <t>估价对象为高层住宅，室内平面布局合理，中等装修，周边配套设施完善。估价对象为成套住宅用房，权属清晰，不受相邻或毗邻物业转让或处置影响，独立使用性较强，不可分割转让。但估价对象所在小区类似物业实际用作办公使用较多，居住环境较差，且估价对象体量偏大。故其流通性一般，通用性一般。综上，估价对象变现能力一般。</t>
  </si>
  <si>
    <t>预计税费计算表</t>
  </si>
  <si>
    <t>物业地址</t>
  </si>
  <si>
    <t>评估总值(元)</t>
  </si>
  <si>
    <t>原建购价(元)</t>
  </si>
  <si>
    <t>应补地价(元)</t>
  </si>
  <si>
    <t>税费名称</t>
  </si>
  <si>
    <t>税费计算方法</t>
  </si>
  <si>
    <t>税费金额（元）</t>
  </si>
  <si>
    <t>⑴</t>
  </si>
  <si>
    <t>增值税</t>
  </si>
  <si>
    <t>评估总值÷（1+5%）×5%，2年内全额征收，2年以上免征</t>
  </si>
  <si>
    <t>⑵</t>
  </si>
  <si>
    <t>城建税</t>
  </si>
  <si>
    <t>增值税×7%</t>
  </si>
  <si>
    <t>⑶</t>
  </si>
  <si>
    <t>教育费附加</t>
  </si>
  <si>
    <t>增值税×3%</t>
  </si>
  <si>
    <t>⑷</t>
  </si>
  <si>
    <t>地方教育附加</t>
  </si>
  <si>
    <r>
      <rPr>
        <sz val="10"/>
        <rFont val="华文细黑"/>
        <family val="3"/>
        <charset val="134"/>
      </rPr>
      <t>增值税×</t>
    </r>
    <r>
      <rPr>
        <sz val="10"/>
        <color theme="1"/>
        <rFont val="华文细黑"/>
        <family val="3"/>
        <charset val="134"/>
      </rPr>
      <t>2%</t>
    </r>
  </si>
  <si>
    <t>财务费用</t>
  </si>
  <si>
    <t>需手动调整</t>
  </si>
  <si>
    <t>⑸</t>
  </si>
  <si>
    <t>印花税</t>
  </si>
  <si>
    <t>转让额×0.05%，个人住宅免征</t>
  </si>
  <si>
    <t>其他开发费用</t>
  </si>
  <si>
    <t>土地增值额</t>
  </si>
  <si>
    <t>转让额-扣除项目金额</t>
  </si>
  <si>
    <t>扣除项目金额</t>
  </si>
  <si>
    <t>参照《中华人民共和国土地增值税暂行条例》执行</t>
  </si>
  <si>
    <t>增值率＝</t>
  </si>
  <si>
    <t>⑹</t>
  </si>
  <si>
    <t>土地增值税</t>
  </si>
  <si>
    <t>住宅免征</t>
  </si>
  <si>
    <t>适用税率＝</t>
  </si>
  <si>
    <t>⑺</t>
  </si>
  <si>
    <t>所得税</t>
  </si>
  <si>
    <t>按1%核征</t>
  </si>
  <si>
    <t>速算扣除系数＝</t>
  </si>
  <si>
    <t>⑻</t>
  </si>
  <si>
    <t>交易服务费</t>
  </si>
  <si>
    <t>成交价×0.8%*50%，最高不超2万元</t>
  </si>
  <si>
    <t>⑼</t>
  </si>
  <si>
    <t>处置费用</t>
  </si>
  <si>
    <t>包括诉讼、拍卖和评估费用，预计处置费大约为评估价的3%</t>
  </si>
  <si>
    <t>⑽</t>
  </si>
  <si>
    <t>税费合计</t>
  </si>
  <si>
    <t>⑴+⑵+⑶+⑷+⑸+⑹+⑺+⑻+⑼</t>
  </si>
  <si>
    <t>所得税率＝</t>
  </si>
  <si>
    <t>评估净值（元）</t>
  </si>
  <si>
    <t>交易费＝</t>
  </si>
  <si>
    <t>备注：</t>
  </si>
  <si>
    <t>1、对估价对象市场价值实现过程中所涉及到的各项税费、服务费用等进行估计，为计算估价对象净值提供依据。表中各税费及标准的厘定依据国家及地方相关税收规定，费用厘定标准为行政收费标准及行业经验。</t>
  </si>
  <si>
    <t xml:space="preserve">2、纳税人销售其2016年5月1日后取得（不含自建）的不动产，应适用一般计税方法，以取得的全部价款和价外费用为销售额计算应纳税额。纳税人应以取得的全部价款和价外费用减去该项不动产购置原价或者取得不动产时的作价后的余额，按照5%的预征率在不动产所在地预缴税款后，向机构所在地主管税务机关进行纳税申报。纳税人销售其2016年5月1日后自建的不动产，应适用一般计税方法，以取得的全部价款和价外费用为销售额计算应纳税额。纳税人应以取得的全部价款和价外费用，按照5%的预征率在不动产所在地预缴税款后，向机构所在地主管税务机关进行纳税申报。
</t>
  </si>
  <si>
    <t>3、个人将购买不足2年的住房对外销售的，全额征收增值税；个人将购买2年以上（含2年）的住房对外销售的，免征增值税。</t>
  </si>
  <si>
    <t xml:space="preserve">4、城市维护建设税采取地区差别比例税率。根据纳税人所在地区不同而适用不同税率，具体如下： 纳税人所在地在市区的，税率为７％； 纳税人所在地在县城、镇的，税率为５％； 纳税人所在地不在市区、县城或镇的，税率为１％。 纳税人所在地为工矿区的，应根据行政区划分别按照７％、５％、１％的税率缴纳城市维护建设税。县政府设在城市市区，其在市区办的企业，按市区的规定税率计算纳税。
</t>
  </si>
  <si>
    <t>5、 农业、乡镇企业，由乡镇人民政府征收农村教育事业附加，不再征收教育费附加。国务院（国发[2010]35号）和财政部、国家税务总局（财税[2010]103号）文件明确了外商投资企业、外国企业和外籍人员适用于现行有效的城市维护建设税和教育费附加政策规定，凡是缴纳增值税、消费税和营业税的外商投资企业、外国企业和外籍人员纳税人均需按规定缴纳城市维护建设税和教育费附加。教育费附加的征收率为3%。</t>
  </si>
  <si>
    <t>6、为贯彻落实《国家中长期教育改革和发展规划纲要 （2010—2020 年）》，财政部下发了《关于统一地方教育附加政策有关问题的 ”通知 》（ 财综[2010]98号）。 财综[2010]98号要求，各地统一征收地方教育附加，地方教育附加征收标准为单位和个人实际缴纳的增值税、营业税和消费税税额的2%。已经报财政部审批且征收标准低于2%的省份，应将地方教育附加的征收标准调整为2%。具体的开征时间由各省自己制定方案后于2010年12月31日前报财政部审批。文件下发后， 全国已经有20多个省（自治区、直辖市）开征了地方教育附加。地方教育附加=（增值税+消费税+营业税）×2%</t>
  </si>
  <si>
    <t xml:space="preserve">7、产权转移书据，包括财产所有权和版权、商标专用权、专利权、专有技术使用权等转移书据，按所载金额万分之五贴花 。自2008年11月1日起对个人销售住房暂免征收“产权转移书据”印花税。自2008年11月1日起对个人销售住房暂免征收“产权转移书据”印花税。
</t>
  </si>
  <si>
    <t xml:space="preserve">8、土地增值税实行四级超率累进税率： 增值额未超过扣除项目金额 50% 的部分，税率为 30% 。 增值额超过扣除项目金额 50% 、未超过扣除项目金额 100% 的部分，税率为４０％。 增值额超过扣除项目金额 100% 、未超过扣除项目金额 200% 的部分，税率为 50% 。 增值额超过扣除项目金额 200% 的部分，税率为 60% 。 土地增值税按照纳税人转让房地产所取得的增值额和适用的税率计算征收。从事房地产开发的纳税人，对其转让的房地产，可实行按取得收入的 1% 到 3% 预征土地增值税。 开发商销售普通标准住宅，增值额未超过扣除项目金额20%的，免征土地增值税。   </t>
  </si>
  <si>
    <t xml:space="preserve">9、自2008年11月1日起，对个人销售住房暂免征收土地增值税。个人转让除住房以外的房产，按照土地增值税暂行条例的规定，应按规定申报缴纳土地增值税。
</t>
  </si>
  <si>
    <t xml:space="preserve">9、企业所得税的具体征收是按季度预征，年终汇算清缴，评估时不计；企业所得税的税率为25%；非居民企业在中国境内未设立机构、场所的，或者虽设立机构、场所但取得的所得与其所设机构、场所没有实际联系的，应当就其来源于中国境内的所得缴纳企业所得税，适用税率为20%。符合条件的小型微利企业，减按20%的税率征收企业所得税。国家需要重点扶持的高新技术企业，减按15％的税率征收企业所得税。
</t>
  </si>
  <si>
    <t xml:space="preserve">10、个人所得税征税对象：财产转让所得，是指个人转让有价证券、股权、建筑物、土地使用权、机器设备、车船以及其他财产取得的所得。财产转让所得，以转让财产的收入额减除财产原值和合理费用后的余额，为应纳税所得额。特许权使用费所得、财产租赁所得、财产转让所得、利息、股息、红利所得、偶然所得和其他所得，适用20%的比例税率。1、个人转让自用5年以上并且是家庭唯一生活用房取得的所得，免征个人所得税，“自用5年以上”，是指个人购房至转让房屋的时间达5年以上。 2、征收规定：个人转让住房，按照“财产转让所得”项目缴纳个人所得税，可采取据实征收或核定征收。（国税发〔2006〕108号、成地税函〔2006〕179号）其中：（1）对能提供完整、准确的房屋原值凭证，能正确计算房屋原值和应纳税额的，实行据实征收：以财产转让收入减除房屋原值、转让住房过程中缴纳的税金及有关合理费用后的余额为应纳税所得额，按20%的适用税率计算缴纳个人所得税。（2）对不能提供完整、准确的房屋原值凭证，不能正确计算房屋原值和应纳税额的，实行核定征收：按住房转让收入额的1％计算缴纳个人所得税。
</t>
  </si>
  <si>
    <t>11、房地产转让手续费：新建商品住房3元/㎡，由转让方缴纳；存量住房6元/㎡，转让双方各承担50%；非住房为成交价的0.8%，双方各承担50%，转让手续费最高不超过2万元。（川发改价格【2013】1315号）</t>
  </si>
  <si>
    <t>12、如登记价为外币或港币，在税费计算中按估价时点的国家外汇牌价折算为人民币。</t>
  </si>
  <si>
    <t>序号</t>
  </si>
  <si>
    <t>1</t>
  </si>
  <si>
    <t>5</t>
  </si>
  <si>
    <t>6</t>
  </si>
  <si>
    <t>权利人</t>
  </si>
  <si>
    <t>清晰</t>
  </si>
  <si>
    <t>附表：</t>
  </si>
  <si>
    <t xml:space="preserve">        根据成都市政府及地税局相关规定，房地产转让当事人应当依法缴纳税费，若估价对象以市场价值发生转让，预计应纳税费如下:</t>
  </si>
  <si>
    <t>单位:元</t>
  </si>
  <si>
    <t>税(费)种</t>
  </si>
  <si>
    <t>税(费)计算方法</t>
  </si>
  <si>
    <t>评估依据</t>
  </si>
  <si>
    <r>
      <rPr>
        <sz val="11"/>
        <rFont val="华文细黑"/>
        <family val="3"/>
        <charset val="134"/>
      </rPr>
      <t>建筑面积（m</t>
    </r>
    <r>
      <rPr>
        <vertAlign val="superscript"/>
        <sz val="11"/>
        <rFont val="华文细黑"/>
        <family val="3"/>
        <charset val="134"/>
      </rPr>
      <t>2</t>
    </r>
    <r>
      <rPr>
        <sz val="11"/>
        <rFont val="华文细黑"/>
        <family val="3"/>
        <charset val="134"/>
      </rPr>
      <t>）</t>
    </r>
  </si>
  <si>
    <t>原建购价（元）</t>
  </si>
  <si>
    <t>营业税及附加</t>
  </si>
  <si>
    <t>根据国家及当地政策执行</t>
  </si>
  <si>
    <t>购房满五年的普通住房免征营业税，满两年的非普通住房按差额征收：（市场价值-原建购价）*5.6%，购房时间不足五年的住房全额征收营业税：市场总值*5.6%</t>
  </si>
  <si>
    <t>2</t>
  </si>
  <si>
    <t>个人所得税</t>
  </si>
  <si>
    <t>成交价*1%</t>
  </si>
  <si>
    <t>3</t>
  </si>
  <si>
    <t>成交价*0.05%</t>
  </si>
  <si>
    <t>自2008年11月1日起，对个人销售或购买住房暂免征印花税</t>
  </si>
  <si>
    <t>交易手续费</t>
  </si>
  <si>
    <t>建筑面积*3元/㎡</t>
  </si>
  <si>
    <t>其他税费</t>
  </si>
  <si>
    <t>预计处置费用</t>
  </si>
  <si>
    <t>预计处置费包括诉讼、拍卖和评估等费用，预计处置费为市场价值的3%</t>
  </si>
  <si>
    <t>净值</t>
  </si>
  <si>
    <t>1+2+3+4+5</t>
  </si>
  <si>
    <t>表中各税费及标准依据成都市政府及地税局相关规定，为转让方（卖方）应缴的税费，并未计入买方应缴的税费。</t>
  </si>
  <si>
    <t>净值大写</t>
  </si>
  <si>
    <t>税费大写</t>
  </si>
  <si>
    <t>《土地使用证》编</t>
    <phoneticPr fontId="23" type="noConversion"/>
  </si>
  <si>
    <t>简易评估报告</t>
    <phoneticPr fontId="23" type="noConversion"/>
  </si>
  <si>
    <t>估价委托人</t>
    <phoneticPr fontId="23" type="noConversion"/>
  </si>
  <si>
    <t>建成年代</t>
    <phoneticPr fontId="23" type="noConversion"/>
  </si>
  <si>
    <t>房屋所在层数</t>
    <phoneticPr fontId="23" type="noConversion"/>
  </si>
  <si>
    <t>法定优先受偿款（元）</t>
    <phoneticPr fontId="23" type="noConversion"/>
  </si>
  <si>
    <t>使用说明：红色字体需估价师手动录入或修改，蓝色字体的单元格有下拉菜单，黄色底纹提示是请注意看批注，灰色底纹是属于自动生成部分不要动。打印报告或预评时要把打印区底纹全部变成无底纹</t>
    <phoneticPr fontId="23" type="noConversion"/>
  </si>
  <si>
    <t>房屋坐落</t>
    <phoneticPr fontId="23" type="noConversion"/>
  </si>
  <si>
    <t>装饰装修</t>
    <phoneticPr fontId="23" type="noConversion"/>
  </si>
  <si>
    <t>建筑面积（㎡）</t>
    <phoneticPr fontId="23" type="noConversion"/>
  </si>
  <si>
    <t>高卫国</t>
  </si>
  <si>
    <t>*楼幢在小区中的位置：以估价对象所为基准（100%），分为好、较好、一般、较差、差5个等级，相差一个等级，房价修正±1%。</t>
    <phoneticPr fontId="23" type="noConversion"/>
  </si>
  <si>
    <t>苏海CD预估字[2017]</t>
    <phoneticPr fontId="23" type="noConversion"/>
  </si>
  <si>
    <t xml:space="preserve">   收益法, 预测估价对象的未来收益，利用报酬率或资本化率、收益乘数将未来收益转换为价值得到估价对象价值或价格的方法。</t>
    <phoneticPr fontId="23" type="noConversion"/>
  </si>
  <si>
    <t>户型</t>
    <phoneticPr fontId="23" type="noConversion"/>
  </si>
  <si>
    <t>写字楼</t>
    <phoneticPr fontId="23" type="noConversion"/>
  </si>
  <si>
    <t>超甲级写字楼</t>
  </si>
  <si>
    <t>商业氛围</t>
    <phoneticPr fontId="23" type="noConversion"/>
  </si>
  <si>
    <t>办公聚集度</t>
    <phoneticPr fontId="23" type="noConversion"/>
  </si>
  <si>
    <t>时代八号</t>
    <phoneticPr fontId="23" type="noConversion"/>
  </si>
  <si>
    <t>ifs国际金融中心</t>
    <phoneticPr fontId="23" type="noConversion"/>
  </si>
  <si>
    <t>时代1号</t>
    <phoneticPr fontId="23" type="noConversion"/>
  </si>
  <si>
    <t>深宽比</t>
    <phoneticPr fontId="23" type="noConversion"/>
  </si>
  <si>
    <t>写字楼级别</t>
    <phoneticPr fontId="23" type="noConversion"/>
  </si>
  <si>
    <t>单元户数</t>
    <phoneticPr fontId="23" type="noConversion"/>
  </si>
  <si>
    <t>临街类型</t>
    <phoneticPr fontId="23" type="noConversion"/>
  </si>
  <si>
    <t>车位配比</t>
    <phoneticPr fontId="23" type="noConversion"/>
  </si>
  <si>
    <t>步行街</t>
  </si>
  <si>
    <t>土地形状</t>
    <phoneticPr fontId="23" type="noConversion"/>
  </si>
  <si>
    <t>规则，呈标准四边形</t>
  </si>
  <si>
    <t>温健</t>
    <phoneticPr fontId="23" type="noConversion"/>
  </si>
  <si>
    <t>使用说明：红色字体需估价师手动录入或修改，蓝色字体的单元格有下拉菜单，黄色底纹提示是请注意看批注，灰色底纹是属于自动生成部分不要动。</t>
    <phoneticPr fontId="23" type="noConversion"/>
  </si>
  <si>
    <r>
      <t>四川省仪陇县朝阳大道1</t>
    </r>
    <r>
      <rPr>
        <sz val="12"/>
        <color rgb="FFFF0000"/>
        <rFont val="宋体"/>
        <family val="3"/>
        <charset val="134"/>
      </rPr>
      <t>2号</t>
    </r>
    <phoneticPr fontId="23" type="noConversion"/>
  </si>
  <si>
    <t>身份证住址</t>
  </si>
  <si>
    <t>统一社会信用代码</t>
  </si>
  <si>
    <t>91510108MA6DED458T</t>
    <phoneticPr fontId="23" type="noConversion"/>
  </si>
  <si>
    <t>土地开发程度</t>
    <phoneticPr fontId="23" type="noConversion"/>
  </si>
  <si>
    <t>地形地势</t>
    <phoneticPr fontId="23" type="noConversion"/>
  </si>
  <si>
    <t>地质条件</t>
    <phoneticPr fontId="23" type="noConversion"/>
  </si>
  <si>
    <t>平坦</t>
  </si>
  <si>
    <t>价值大小</t>
    <phoneticPr fontId="23" type="noConversion"/>
  </si>
  <si>
    <t>房地产价值量较小，容易寻找到适当的买主，对变现有利。</t>
  </si>
  <si>
    <t>变现时间</t>
    <phoneticPr fontId="23" type="noConversion"/>
  </si>
  <si>
    <t>变现成数</t>
    <phoneticPr fontId="23" type="noConversion"/>
  </si>
  <si>
    <t>8个月</t>
  </si>
  <si>
    <t>八成</t>
  </si>
  <si>
    <t>苏海估CDQ技字［2017］</t>
  </si>
  <si>
    <t>技术报告编号</t>
    <phoneticPr fontId="23" type="noConversion"/>
  </si>
  <si>
    <t>担保</t>
    <phoneticPr fontId="23" type="noConversion"/>
  </si>
  <si>
    <t>用益物权</t>
    <phoneticPr fontId="23" type="noConversion"/>
  </si>
  <si>
    <t>租赁权</t>
    <phoneticPr fontId="23" type="noConversion"/>
  </si>
  <si>
    <t>税费</t>
    <phoneticPr fontId="23" type="noConversion"/>
  </si>
  <si>
    <t>权属</t>
    <phoneticPr fontId="23" type="noConversion"/>
  </si>
  <si>
    <t>他项权利</t>
    <phoneticPr fontId="23" type="noConversion"/>
  </si>
  <si>
    <t>土地未对外出租，未设定抵押，不存在抵押等他项权利</t>
  </si>
  <si>
    <t>查封</t>
    <phoneticPr fontId="23" type="noConversion"/>
  </si>
  <si>
    <t>简易</t>
  </si>
  <si>
    <t>土地证情况</t>
    <phoneticPr fontId="23" type="noConversion"/>
  </si>
  <si>
    <t>坐落</t>
    <phoneticPr fontId="23" type="noConversion"/>
  </si>
  <si>
    <t>《不动产权证》编号</t>
    <phoneticPr fontId="23" type="noConversion"/>
  </si>
  <si>
    <t>川（2017）成都市不动产权第0251900号</t>
    <phoneticPr fontId="23" type="noConversion"/>
  </si>
  <si>
    <t>共有情况</t>
    <phoneticPr fontId="23" type="noConversion"/>
  </si>
  <si>
    <t>共同共有</t>
  </si>
  <si>
    <t>不动产单元号</t>
    <phoneticPr fontId="23" type="noConversion"/>
  </si>
  <si>
    <t>权利类型</t>
    <phoneticPr fontId="23" type="noConversion"/>
  </si>
  <si>
    <t>国有建设用地使用权/房屋（构筑物）所有权</t>
    <phoneticPr fontId="23" type="noConversion"/>
  </si>
  <si>
    <t>权利性质</t>
  </si>
  <si>
    <t>用途</t>
    <phoneticPr fontId="23" type="noConversion"/>
  </si>
  <si>
    <t>住宅用地/住宅</t>
    <phoneticPr fontId="23" type="noConversion"/>
  </si>
  <si>
    <t>共有宗地面积（㎡）</t>
    <phoneticPr fontId="23" type="noConversion"/>
  </si>
  <si>
    <t>房屋建筑面积（㎡）</t>
    <phoneticPr fontId="23" type="noConversion"/>
  </si>
  <si>
    <t>89.12</t>
    <phoneticPr fontId="23" type="noConversion"/>
  </si>
  <si>
    <t>使用期限</t>
    <phoneticPr fontId="23" type="noConversion"/>
  </si>
  <si>
    <t>国有建设用地使用权：</t>
    <phoneticPr fontId="23" type="noConversion"/>
  </si>
  <si>
    <t>二零五八年十二月十四日</t>
    <phoneticPr fontId="23" type="noConversion"/>
  </si>
  <si>
    <t>分摊土地使用权面积（㎡)</t>
    <phoneticPr fontId="23" type="noConversion"/>
  </si>
  <si>
    <t>房屋结构</t>
    <phoneticPr fontId="23" type="noConversion"/>
  </si>
  <si>
    <t>专有建筑面积（㎡）</t>
    <phoneticPr fontId="23" type="noConversion"/>
  </si>
  <si>
    <t>分摊建筑面积（㎡）</t>
    <phoneticPr fontId="23" type="noConversion"/>
  </si>
  <si>
    <t>估价师知悉的优先受偿款</t>
    <phoneticPr fontId="23" type="noConversion"/>
  </si>
  <si>
    <t>0</t>
    <phoneticPr fontId="23" type="noConversion"/>
  </si>
  <si>
    <t>房屋总层数</t>
    <phoneticPr fontId="23" type="noConversion"/>
  </si>
  <si>
    <t>6</t>
    <phoneticPr fontId="23" type="noConversion"/>
  </si>
  <si>
    <t>业务号</t>
    <phoneticPr fontId="23" type="noConversion"/>
  </si>
  <si>
    <t>201707288F00018</t>
    <phoneticPr fontId="23" type="noConversion"/>
  </si>
  <si>
    <t>登记日期</t>
    <phoneticPr fontId="23" type="noConversion"/>
  </si>
  <si>
    <t>附记</t>
    <phoneticPr fontId="23" type="noConversion"/>
  </si>
  <si>
    <t>房改集资建房</t>
    <phoneticPr fontId="23" type="noConversion"/>
  </si>
  <si>
    <t>信和御龙山</t>
  </si>
  <si>
    <t>估价委托人未能提供估价对象《不动产权证》原件，估价师进行了相关的尽职调查，仍未能获取相关材料，限于估价师工作能力范围，本次评估以委托方提供的估价对象《不动产权证》复印件作为产权资料。（成都市以外的地方选用）</t>
  </si>
  <si>
    <t>查看日期</t>
    <phoneticPr fontId="23" type="noConversion"/>
  </si>
  <si>
    <t>价值时点</t>
    <phoneticPr fontId="23" type="noConversion"/>
  </si>
  <si>
    <t>查看日期</t>
    <phoneticPr fontId="23" type="noConversion"/>
  </si>
  <si>
    <t>二〇一七年六月二十二日</t>
    <phoneticPr fontId="23" type="noConversion"/>
  </si>
  <si>
    <t>有一定起伏利于造景</t>
    <phoneticPr fontId="23" type="noConversion"/>
  </si>
  <si>
    <t>单房屋用途</t>
    <phoneticPr fontId="23" type="noConversion"/>
  </si>
  <si>
    <t>住宅</t>
    <phoneticPr fontId="23" type="noConversion"/>
  </si>
  <si>
    <t>成都市成华区御风二路99号1栋1单元25楼7号</t>
    <phoneticPr fontId="23" type="noConversion"/>
  </si>
  <si>
    <t xml:space="preserve"> 二0一七年十月十七日</t>
    <phoneticPr fontId="23" type="noConversion"/>
  </si>
  <si>
    <t>510104008001GB00030F00010002</t>
    <phoneticPr fontId="23" type="noConversion"/>
  </si>
  <si>
    <t>剩余土地使用年限</t>
    <phoneticPr fontId="23" type="noConversion"/>
  </si>
  <si>
    <t>地质承载力较强，利于建设</t>
  </si>
  <si>
    <t>朝向</t>
    <phoneticPr fontId="23" type="noConversion"/>
  </si>
  <si>
    <t>超甲级</t>
  </si>
  <si>
    <t>市级商业中心</t>
  </si>
  <si>
    <t>纪做-2016-9-3</t>
    <phoneticPr fontId="23" type="noConversion"/>
  </si>
  <si>
    <t>建成日期</t>
    <phoneticPr fontId="23" type="noConversion"/>
  </si>
  <si>
    <t>剩余年月日</t>
    <phoneticPr fontId="23" type="noConversion"/>
  </si>
  <si>
    <t>收益法---3-2</t>
    <phoneticPr fontId="23" type="noConversion"/>
  </si>
  <si>
    <r>
      <t>2014-10-22</t>
    </r>
    <r>
      <rPr>
        <sz val="10"/>
        <rFont val="宋体"/>
        <family val="3"/>
        <charset val="134"/>
      </rPr>
      <t>袁先做</t>
    </r>
    <phoneticPr fontId="23" type="noConversion"/>
  </si>
  <si>
    <t>租赁保证金收入</t>
    <phoneticPr fontId="23" type="noConversion"/>
  </si>
  <si>
    <t>此表如从其他表上复制得来，左上第一个数字就不会变动</t>
    <phoneticPr fontId="23" type="noConversion"/>
  </si>
  <si>
    <t>二、测算过程</t>
    <phoneticPr fontId="23" type="noConversion"/>
  </si>
  <si>
    <t>毛收入</t>
    <phoneticPr fontId="23" type="noConversion"/>
  </si>
  <si>
    <t>《收益法评估测算过程》</t>
    <phoneticPr fontId="23" type="noConversion"/>
  </si>
  <si>
    <t>年毛租金收入</t>
    <phoneticPr fontId="23" type="noConversion"/>
  </si>
  <si>
    <t>其他（押金）收入</t>
    <phoneticPr fontId="23" type="noConversion"/>
  </si>
  <si>
    <t>年有效毛收入合计</t>
    <phoneticPr fontId="23" type="noConversion"/>
  </si>
  <si>
    <t>管理费</t>
    <phoneticPr fontId="23" type="noConversion"/>
  </si>
  <si>
    <t>维修费</t>
    <phoneticPr fontId="23" type="noConversion"/>
  </si>
  <si>
    <t>保险费</t>
    <phoneticPr fontId="23" type="noConversion"/>
  </si>
  <si>
    <t>房产税</t>
    <phoneticPr fontId="23" type="noConversion"/>
  </si>
  <si>
    <t>增值税</t>
    <phoneticPr fontId="23" type="noConversion"/>
  </si>
  <si>
    <r>
      <t>此为小规模纳税人，如一般纳税人：税率</t>
    </r>
    <r>
      <rPr>
        <sz val="10"/>
        <rFont val="Arial"/>
        <family val="2"/>
      </rPr>
      <t>11%</t>
    </r>
    <r>
      <rPr>
        <sz val="10"/>
        <rFont val="宋体"/>
        <family val="3"/>
        <charset val="134"/>
      </rPr>
      <t>、预征率</t>
    </r>
    <r>
      <rPr>
        <sz val="10"/>
        <rFont val="Arial"/>
        <family val="2"/>
      </rPr>
      <t>3%</t>
    </r>
    <r>
      <rPr>
        <sz val="10"/>
        <rFont val="宋体"/>
        <family val="3"/>
        <charset val="134"/>
      </rPr>
      <t>。</t>
    </r>
    <r>
      <rPr>
        <sz val="10"/>
        <rFont val="Arial"/>
        <family val="2"/>
      </rPr>
      <t xml:space="preserve">  </t>
    </r>
    <r>
      <rPr>
        <sz val="10"/>
        <rFont val="宋体"/>
        <family val="3"/>
        <charset val="134"/>
      </rPr>
      <t>如为个人：税率</t>
    </r>
    <r>
      <rPr>
        <sz val="10"/>
        <rFont val="Arial"/>
        <family val="2"/>
      </rPr>
      <t>5%</t>
    </r>
    <r>
      <rPr>
        <sz val="10"/>
        <rFont val="宋体"/>
        <family val="3"/>
        <charset val="134"/>
      </rPr>
      <t>、预征率</t>
    </r>
    <r>
      <rPr>
        <sz val="10"/>
        <rFont val="Arial"/>
        <family val="2"/>
      </rPr>
      <t xml:space="preserve">1.5% </t>
    </r>
    <r>
      <rPr>
        <sz val="10"/>
        <rFont val="宋体"/>
        <family val="3"/>
        <charset val="134"/>
      </rPr>
      <t>。</t>
    </r>
    <phoneticPr fontId="23" type="noConversion"/>
  </si>
  <si>
    <t>城市维护建设税</t>
    <phoneticPr fontId="23" type="noConversion"/>
  </si>
  <si>
    <t>教育费附加</t>
    <phoneticPr fontId="23" type="noConversion"/>
  </si>
  <si>
    <t>印花税</t>
    <phoneticPr fontId="23" type="noConversion"/>
  </si>
  <si>
    <t>税金</t>
    <phoneticPr fontId="23" type="noConversion"/>
  </si>
  <si>
    <t>运营费用合计</t>
    <phoneticPr fontId="23" type="noConversion"/>
  </si>
  <si>
    <t>净收益</t>
    <phoneticPr fontId="23" type="noConversion"/>
  </si>
  <si>
    <t>租金增长率</t>
    <phoneticPr fontId="23" type="noConversion"/>
  </si>
  <si>
    <t>房地产评估价格</t>
    <phoneticPr fontId="23" type="noConversion"/>
  </si>
  <si>
    <t>系数</t>
    <phoneticPr fontId="23" type="noConversion"/>
  </si>
  <si>
    <t>《收益法评估各项参数确定表》</t>
    <phoneticPr fontId="23" type="noConversion"/>
  </si>
  <si>
    <t>空租率</t>
    <phoneticPr fontId="23" type="noConversion"/>
  </si>
  <si>
    <t>出租率</t>
    <phoneticPr fontId="23" type="noConversion"/>
  </si>
  <si>
    <t>可出租面积比率</t>
    <phoneticPr fontId="23" type="noConversion"/>
  </si>
  <si>
    <t>一年期存款利率</t>
    <phoneticPr fontId="23" type="noConversion"/>
  </si>
  <si>
    <t>管理费用率</t>
    <phoneticPr fontId="23" type="noConversion"/>
  </si>
  <si>
    <t>重置成本</t>
    <phoneticPr fontId="23" type="noConversion"/>
  </si>
  <si>
    <t>维修费用率</t>
    <phoneticPr fontId="23" type="noConversion"/>
  </si>
  <si>
    <t>保险费率</t>
    <phoneticPr fontId="23" type="noConversion"/>
  </si>
  <si>
    <t>个人综合税率</t>
    <phoneticPr fontId="23" type="noConversion"/>
  </si>
  <si>
    <t>房产税税率</t>
    <phoneticPr fontId="23" type="noConversion"/>
  </si>
  <si>
    <t>增值税税率</t>
    <phoneticPr fontId="23" type="noConversion"/>
  </si>
  <si>
    <t>城建税税率</t>
    <phoneticPr fontId="23" type="noConversion"/>
  </si>
  <si>
    <t>印花税税率</t>
    <phoneticPr fontId="23" type="noConversion"/>
  </si>
  <si>
    <t>报酬率</t>
    <phoneticPr fontId="23" type="noConversion"/>
  </si>
  <si>
    <t>土地剩余年限（年）</t>
    <phoneticPr fontId="23" type="noConversion"/>
  </si>
  <si>
    <t>土地</t>
    <phoneticPr fontId="23" type="noConversion"/>
  </si>
  <si>
    <t>价值时点</t>
    <phoneticPr fontId="23" type="noConversion"/>
  </si>
  <si>
    <t>终止日期</t>
    <phoneticPr fontId="23" type="noConversion"/>
  </si>
  <si>
    <t>剩余年月日</t>
    <phoneticPr fontId="23" type="noConversion"/>
  </si>
  <si>
    <t>年</t>
    <phoneticPr fontId="23" type="noConversion"/>
  </si>
  <si>
    <t>月</t>
    <phoneticPr fontId="23" type="noConversion"/>
  </si>
  <si>
    <t>日</t>
    <phoneticPr fontId="23" type="noConversion"/>
  </si>
  <si>
    <t>算作已用的年数</t>
    <phoneticPr fontId="23" type="noConversion"/>
  </si>
  <si>
    <t>幢号</t>
    <phoneticPr fontId="23" type="noConversion"/>
  </si>
  <si>
    <t>房产用途</t>
    <phoneticPr fontId="23" type="noConversion"/>
  </si>
  <si>
    <t>建筑结构</t>
    <phoneticPr fontId="23" type="noConversion"/>
  </si>
  <si>
    <t>建成年代</t>
    <phoneticPr fontId="23" type="noConversion"/>
  </si>
  <si>
    <t>建筑物实际年龄(年)</t>
    <phoneticPr fontId="23" type="noConversion"/>
  </si>
  <si>
    <t>建筑物实际年龄调整值(年)</t>
    <phoneticPr fontId="23" type="noConversion"/>
  </si>
  <si>
    <t>建筑物有效年龄(年)</t>
    <phoneticPr fontId="23" type="noConversion"/>
  </si>
  <si>
    <t>该类房产设计使用年限（年）</t>
    <phoneticPr fontId="23" type="noConversion"/>
  </si>
  <si>
    <t>建筑物剩余经济寿命(年)</t>
    <phoneticPr fontId="23" type="noConversion"/>
  </si>
  <si>
    <t>土地使用权最高使用年限(年)</t>
    <phoneticPr fontId="23" type="noConversion"/>
  </si>
  <si>
    <t>土地使用权剩余使用年限(年)</t>
    <phoneticPr fontId="23" type="noConversion"/>
  </si>
  <si>
    <t>剩余收益期(年)</t>
    <phoneticPr fontId="23" type="noConversion"/>
  </si>
  <si>
    <t>1#</t>
  </si>
  <si>
    <t>2#</t>
  </si>
  <si>
    <t>3#</t>
  </si>
  <si>
    <t>剩余年限</t>
    <phoneticPr fontId="23" type="noConversion"/>
  </si>
  <si>
    <t>4#</t>
  </si>
  <si>
    <t>工业地已使用年限</t>
    <phoneticPr fontId="23" type="noConversion"/>
  </si>
  <si>
    <t>商业地已使用年限</t>
    <phoneticPr fontId="23" type="noConversion"/>
  </si>
  <si>
    <t>居住地已使用年限</t>
    <phoneticPr fontId="23" type="noConversion"/>
  </si>
  <si>
    <t>房产</t>
    <phoneticPr fontId="23" type="noConversion"/>
  </si>
  <si>
    <t>已使用年期</t>
    <phoneticPr fontId="23" type="noConversion"/>
  </si>
  <si>
    <t>收益法</t>
    <phoneticPr fontId="23" type="noConversion"/>
  </si>
  <si>
    <t>最终单价</t>
    <phoneticPr fontId="23" type="noConversion"/>
  </si>
  <si>
    <t>身份证号</t>
  </si>
  <si>
    <t>业务件号</t>
  </si>
  <si>
    <r>
      <t>-</t>
    </r>
    <r>
      <rPr>
        <sz val="12"/>
        <color rgb="FFFF0000"/>
        <rFont val="宋体"/>
        <family val="3"/>
        <charset val="134"/>
      </rPr>
      <t>---</t>
    </r>
    <phoneticPr fontId="23" type="noConversion"/>
  </si>
  <si>
    <t>出让</t>
  </si>
  <si>
    <t>二〇一七年十一月十日</t>
    <phoneticPr fontId="23" type="noConversion"/>
  </si>
  <si>
    <t>绵阳商厦</t>
    <phoneticPr fontId="23" type="noConversion"/>
  </si>
  <si>
    <t>年租金（人民币，元/㎡·年）</t>
    <phoneticPr fontId="23" type="noConversion"/>
  </si>
  <si>
    <t>年总租金（人民币，万元）</t>
    <phoneticPr fontId="23" type="noConversion"/>
  </si>
  <si>
    <t>商业</t>
    <phoneticPr fontId="23" type="noConversion"/>
  </si>
  <si>
    <t>按年支付、租金已修正为年末一次性支付</t>
    <phoneticPr fontId="23" type="noConversion"/>
  </si>
  <si>
    <t>税金承担情况</t>
    <phoneticPr fontId="23" type="noConversion"/>
  </si>
  <si>
    <t>名义租金中含增值税</t>
    <phoneticPr fontId="23" type="noConversion"/>
  </si>
  <si>
    <t>费用负担</t>
    <phoneticPr fontId="23" type="noConversion"/>
  </si>
  <si>
    <t>出租方承担管理、维修责任及费用，并支付保险费；承租人承担物业管理费、水电费用等其他所有费用</t>
    <phoneticPr fontId="23" type="noConversion"/>
  </si>
  <si>
    <t>1层</t>
    <phoneticPr fontId="23" type="noConversion"/>
  </si>
  <si>
    <t>1层</t>
    <phoneticPr fontId="23" type="noConversion"/>
  </si>
  <si>
    <t>*交通管制（单行线、禁行）：以估价对象为基准（100%），分为无特殊管制、有交通管制（节假日禁行）、有交通管制（单行）3个等级，以估价对象环境质量为基准（100%），相差一个等级，房价修正±3%。</t>
    <phoneticPr fontId="23" type="noConversion"/>
  </si>
  <si>
    <r>
      <t>*商业繁华程度</t>
    </r>
    <r>
      <rPr>
        <sz val="10"/>
        <rFont val="宋体"/>
        <family val="3"/>
        <charset val="134"/>
      </rPr>
      <t>：以</t>
    </r>
    <r>
      <rPr>
        <sz val="10"/>
        <rFont val="仿宋_GB2312"/>
        <charset val="134"/>
      </rPr>
      <t>区域级商业中心</t>
    </r>
    <r>
      <rPr>
        <sz val="10"/>
        <rFont val="宋体"/>
        <family val="3"/>
        <charset val="134"/>
      </rPr>
      <t>为基准（</t>
    </r>
    <r>
      <rPr>
        <sz val="10"/>
        <rFont val="Arial"/>
        <family val="2"/>
      </rPr>
      <t>100%</t>
    </r>
    <r>
      <rPr>
        <sz val="10"/>
        <rFont val="宋体"/>
        <family val="3"/>
        <charset val="134"/>
      </rPr>
      <t>），分为市级商业中心、专业市场、区域级商业中心、小区级商业中心四个等级，相差一个等级，房价修正</t>
    </r>
    <r>
      <rPr>
        <sz val="10"/>
        <rFont val="Arial"/>
        <family val="2"/>
      </rPr>
      <t>±3%</t>
    </r>
    <r>
      <rPr>
        <sz val="10"/>
        <rFont val="宋体"/>
        <family val="3"/>
        <charset val="134"/>
      </rPr>
      <t>。</t>
    </r>
    <phoneticPr fontId="23" type="noConversion"/>
  </si>
  <si>
    <t>建筑面积</t>
    <phoneticPr fontId="23" type="noConversion"/>
  </si>
  <si>
    <t>评估总价</t>
    <phoneticPr fontId="23" type="noConversion"/>
  </si>
  <si>
    <t>总价大写</t>
    <phoneticPr fontId="23" type="noConversion"/>
  </si>
  <si>
    <t>比较法</t>
    <phoneticPr fontId="23" type="noConversion"/>
  </si>
  <si>
    <t>临街道路类型</t>
    <phoneticPr fontId="23" type="noConversion"/>
  </si>
  <si>
    <t>生活型次干道</t>
  </si>
  <si>
    <t>生活型主干道</t>
  </si>
  <si>
    <t>交通型次干道</t>
  </si>
  <si>
    <t>*临街道路类型：分为步行街、生活型主干道、生活型次干道、交通型次干道、交通型主干道5个等级，以“生活型次干道”为基准（100%），相差一个等级，房价修正±2%。</t>
    <phoneticPr fontId="23" type="noConversion"/>
  </si>
  <si>
    <t>无特殊管制</t>
    <phoneticPr fontId="23" type="noConversion"/>
  </si>
  <si>
    <t>*层高（米）：以估价对象为基准（100%），分为小于2.8米，2.8-4.7米，4.7-5.5米，5.5米以上以下4个等级，相差一个等级，房价修正±3%。</t>
    <phoneticPr fontId="23" type="noConversion"/>
  </si>
  <si>
    <t>两面临街</t>
  </si>
  <si>
    <t>0.25-0.5</t>
  </si>
  <si>
    <t>加权平均法</t>
  </si>
  <si>
    <t>s</t>
    <phoneticPr fontId="23" type="noConversion"/>
  </si>
  <si>
    <t>楼幢在小区中的位置</t>
    <phoneticPr fontId="23" type="noConversion"/>
  </si>
  <si>
    <t>杨骞</t>
    <phoneticPr fontId="23" type="noConversion"/>
  </si>
  <si>
    <t>陆巍</t>
  </si>
  <si>
    <t>出让/普通</t>
  </si>
  <si>
    <t>比较法、成本法</t>
  </si>
  <si>
    <r>
      <t>1</t>
    </r>
    <r>
      <rPr>
        <sz val="12"/>
        <color rgb="FFFF0000"/>
        <rFont val="宋体"/>
        <family val="3"/>
        <charset val="134"/>
      </rPr>
      <t>1001</t>
    </r>
    <phoneticPr fontId="23" type="noConversion"/>
  </si>
  <si>
    <t>苏海估CDY字［2017］</t>
  </si>
  <si>
    <t>苏海估CDY技字［2017］</t>
  </si>
  <si>
    <t>中海城南一号</t>
    <phoneticPr fontId="23" type="noConversion"/>
  </si>
  <si>
    <t>成都市高新区交子大道199号16栋1单元9层902号</t>
    <phoneticPr fontId="23" type="noConversion"/>
  </si>
  <si>
    <t>成都市高新区交子大道中海城南一号16栋1单元9层，未见街道门牌号及房号</t>
    <phoneticPr fontId="23" type="noConversion"/>
  </si>
  <si>
    <t>杜沛鸿</t>
    <phoneticPr fontId="23" type="noConversion"/>
  </si>
  <si>
    <t>成房权证监证字第3796950号</t>
    <phoneticPr fontId="23" type="noConversion"/>
  </si>
  <si>
    <t>成都市高新区神仙树南路8号16栋2单元301号</t>
    <phoneticPr fontId="23" type="noConversion"/>
  </si>
  <si>
    <t>512901196809200854</t>
    <phoneticPr fontId="23" type="noConversion"/>
  </si>
  <si>
    <t>2011-10-1</t>
    <phoneticPr fontId="23" type="noConversion"/>
  </si>
  <si>
    <t>权2459043</t>
    <phoneticPr fontId="23" type="noConversion"/>
  </si>
  <si>
    <t>9</t>
    <phoneticPr fontId="23" type="noConversion"/>
  </si>
  <si>
    <t>28</t>
    <phoneticPr fontId="23" type="noConversion"/>
  </si>
  <si>
    <t>-</t>
    <phoneticPr fontId="23" type="noConversion"/>
  </si>
  <si>
    <t>-</t>
    <phoneticPr fontId="23" type="noConversion"/>
  </si>
  <si>
    <t>假设住宅</t>
  </si>
  <si>
    <r>
      <t>因委托方未提供估价对象《国有土地使用证》复印件，根据委托方提供的《房屋所有权证》复印件记载，土地使用权取得方式：出让，提请报告使用人注意。</t>
    </r>
    <r>
      <rPr>
        <b/>
        <sz val="8"/>
        <color rgb="FFFF0000"/>
        <rFont val="宋体"/>
        <family val="3"/>
        <charset val="134"/>
      </rPr>
      <t>（房产证上登记了土地性质的选用）</t>
    </r>
    <phoneticPr fontId="23" type="noConversion"/>
  </si>
  <si>
    <t>因委托方未提供估价对象《国有土地使用证》复印件，根据委托方提供的《房屋所有权证》复印件记载，土地使用权取得方式：出让，提请报告使用人注意。</t>
    <phoneticPr fontId="23" type="noConversion"/>
  </si>
  <si>
    <r>
      <t>未核对估价对象权属资料原件，假设复印件资料属实</t>
    </r>
    <r>
      <rPr>
        <b/>
        <sz val="8"/>
        <color rgb="FFFF0000"/>
        <rFont val="宋体"/>
        <family val="3"/>
        <charset val="134"/>
      </rPr>
      <t>（1、只要未核对原件的，都要选一个添在“依据不足假设”，2、成都市内的必须上网查询房产证真实性，3、</t>
    </r>
    <r>
      <rPr>
        <b/>
        <sz val="8"/>
        <color rgb="FF0000FF"/>
        <rFont val="宋体"/>
        <family val="3"/>
        <charset val="134"/>
      </rPr>
      <t>去掉红字部分</t>
    </r>
    <r>
      <rPr>
        <b/>
        <sz val="8"/>
        <color rgb="FFFF0000"/>
        <rFont val="宋体"/>
        <family val="3"/>
        <charset val="134"/>
      </rPr>
      <t>）。主城区：http://www.cdfgj.gov.cn/BusinessQuery/BusSearch.aspx?action=ucSencondCX&amp;Class=11；大成都：http://qxwq.zw.cdfgj.gov.cn/login.html</t>
    </r>
    <phoneticPr fontId="23" type="noConversion"/>
  </si>
  <si>
    <t>户型</t>
  </si>
  <si>
    <t>4室2厅1厨3卫</t>
  </si>
  <si>
    <t>单元户数</t>
  </si>
  <si>
    <t>两梯四户</t>
    <phoneticPr fontId="23" type="noConversion"/>
  </si>
  <si>
    <t>条形砖</t>
  </si>
  <si>
    <t>实木门</t>
  </si>
  <si>
    <t>塑钢窗</t>
  </si>
  <si>
    <t>花岗石</t>
  </si>
  <si>
    <t>墙纸</t>
  </si>
  <si>
    <t>瓷砖满贴</t>
  </si>
  <si>
    <t>成都市南面，三环路外</t>
    <phoneticPr fontId="23" type="noConversion"/>
  </si>
  <si>
    <t>成汉南路</t>
    <phoneticPr fontId="23" type="noConversion"/>
  </si>
  <si>
    <t>交子大道</t>
    <phoneticPr fontId="23" type="noConversion"/>
  </si>
  <si>
    <t>锦悦西二街</t>
    <phoneticPr fontId="23" type="noConversion"/>
  </si>
  <si>
    <t>益州大道</t>
    <phoneticPr fontId="23" type="noConversion"/>
  </si>
  <si>
    <r>
      <t>8</t>
    </r>
    <r>
      <rPr>
        <sz val="12"/>
        <color rgb="FFFF0000"/>
        <rFont val="宋体"/>
        <family val="3"/>
        <charset val="134"/>
      </rPr>
      <t>4</t>
    </r>
    <r>
      <rPr>
        <sz val="12"/>
        <color rgb="FFFF0000"/>
        <rFont val="宋体"/>
        <family val="3"/>
        <charset val="134"/>
      </rPr>
      <t>、</t>
    </r>
    <r>
      <rPr>
        <sz val="12"/>
        <color rgb="FFFF0000"/>
        <rFont val="宋体"/>
        <family val="3"/>
        <charset val="134"/>
      </rPr>
      <t>115</t>
    </r>
    <r>
      <rPr>
        <sz val="12"/>
        <color rgb="FFFF0000"/>
        <rFont val="宋体"/>
        <family val="3"/>
        <charset val="134"/>
      </rPr>
      <t>、</t>
    </r>
    <r>
      <rPr>
        <sz val="12"/>
        <color rgb="FFFF0000"/>
        <rFont val="宋体"/>
        <family val="3"/>
        <charset val="134"/>
      </rPr>
      <t>188</t>
    </r>
    <r>
      <rPr>
        <sz val="12"/>
        <color rgb="FFFF0000"/>
        <rFont val="宋体"/>
        <family val="3"/>
        <charset val="134"/>
      </rPr>
      <t>、</t>
    </r>
    <r>
      <rPr>
        <sz val="12"/>
        <color rgb="FFFF0000"/>
        <rFont val="宋体"/>
        <family val="3"/>
        <charset val="134"/>
      </rPr>
      <t>236、505</t>
    </r>
    <r>
      <rPr>
        <sz val="12"/>
        <color rgb="FFFF0000"/>
        <rFont val="宋体"/>
        <family val="3"/>
        <charset val="134"/>
      </rPr>
      <t>路</t>
    </r>
    <phoneticPr fontId="23" type="noConversion"/>
  </si>
  <si>
    <t>宗地红线内外均达到“六通”（通路、通上水、通下水、通电、通气、通讯）的开发水平</t>
  </si>
  <si>
    <t>红旗超市</t>
    <phoneticPr fontId="23" type="noConversion"/>
  </si>
  <si>
    <t>二十四时便利店</t>
    <phoneticPr fontId="23" type="noConversion"/>
  </si>
  <si>
    <t>七十一便利店</t>
    <phoneticPr fontId="23" type="noConversion"/>
  </si>
  <si>
    <t>宋庆龄国际幼稚园</t>
    <phoneticPr fontId="23" type="noConversion"/>
  </si>
  <si>
    <t>泡桐树小学天府校区</t>
    <phoneticPr fontId="23" type="noConversion"/>
  </si>
  <si>
    <t>成都市石室天府中学</t>
    <phoneticPr fontId="23" type="noConversion"/>
  </si>
  <si>
    <t>乐山商业银行</t>
    <phoneticPr fontId="23" type="noConversion"/>
  </si>
  <si>
    <t>成都农商银行</t>
    <phoneticPr fontId="23" type="noConversion"/>
  </si>
  <si>
    <t>成都市第一人民医院</t>
    <phoneticPr fontId="23" type="noConversion"/>
  </si>
  <si>
    <t>成都高薪民爱医院</t>
    <phoneticPr fontId="23" type="noConversion"/>
  </si>
  <si>
    <t>成都市中西医结合医院</t>
    <phoneticPr fontId="23" type="noConversion"/>
  </si>
  <si>
    <t>誉峰</t>
    <phoneticPr fontId="23" type="noConversion"/>
  </si>
  <si>
    <t>仁和春天国际公寓</t>
    <phoneticPr fontId="23" type="noConversion"/>
  </si>
  <si>
    <t>天府新谷</t>
    <phoneticPr fontId="23" type="noConversion"/>
  </si>
  <si>
    <t>25层/28层</t>
    <phoneticPr fontId="23" type="noConversion"/>
  </si>
  <si>
    <t>16层/28层</t>
    <phoneticPr fontId="23" type="noConversion"/>
  </si>
  <si>
    <t>12层/28层</t>
    <phoneticPr fontId="23" type="noConversion"/>
  </si>
  <si>
    <t>离区域中心点距离</t>
  </si>
  <si>
    <t>较近</t>
  </si>
  <si>
    <t>9层</t>
    <phoneticPr fontId="23" type="noConversion"/>
  </si>
  <si>
    <t>九五成新</t>
  </si>
  <si>
    <t>物业管理</t>
  </si>
  <si>
    <t>一面临街</t>
  </si>
  <si>
    <t>小于0.25</t>
  </si>
  <si>
    <t>商业繁华程度</t>
    <phoneticPr fontId="23" type="noConversion"/>
  </si>
  <si>
    <t>临街状况</t>
  </si>
  <si>
    <t>出具预评时间</t>
    <phoneticPr fontId="23" type="noConversion"/>
  </si>
  <si>
    <t xml:space="preserve"> 二0一七年十月十八日</t>
    <phoneticPr fontId="23" type="noConversion"/>
  </si>
  <si>
    <t>二0一七年十月十八日</t>
    <phoneticPr fontId="23" type="noConversion"/>
  </si>
  <si>
    <t>二0一七年十月十七日</t>
    <phoneticPr fontId="23" type="noConversion"/>
  </si>
  <si>
    <t>业务员：</t>
    <phoneticPr fontId="23" type="noConversion"/>
  </si>
  <si>
    <t>业务来源：</t>
    <phoneticPr fontId="23" type="noConversion"/>
  </si>
  <si>
    <t>预评完成时间</t>
    <phoneticPr fontId="23" type="noConversion"/>
  </si>
  <si>
    <t>二〇一七年六月二十八日</t>
    <phoneticPr fontId="23" type="noConversion"/>
  </si>
  <si>
    <t>现场查看</t>
    <phoneticPr fontId="23" type="noConversion"/>
  </si>
  <si>
    <t>二〇一七年十一月十一日</t>
    <phoneticPr fontId="23" type="noConversion"/>
  </si>
</sst>
</file>

<file path=xl/styles.xml><?xml version="1.0" encoding="utf-8"?>
<styleSheet xmlns="http://schemas.openxmlformats.org/spreadsheetml/2006/main">
  <numFmts count="16">
    <numFmt numFmtId="43" formatCode="_ * #,##0.00_ ;_ * \-#,##0.00_ ;_ * &quot;-&quot;??_ ;_ @_ "/>
    <numFmt numFmtId="176" formatCode="yyyy&quot;年&quot;m&quot;月&quot;d&quot;日&quot;;@"/>
    <numFmt numFmtId="177" formatCode="0_ "/>
    <numFmt numFmtId="178" formatCode="[$-F800]dddd\,\ mmmm\ dd\,\ yyyy"/>
    <numFmt numFmtId="179" formatCode="#,##0.00_ "/>
    <numFmt numFmtId="180" formatCode="#,##0_);[Red]\(#,##0\)"/>
    <numFmt numFmtId="181" formatCode="#,##0.00_);[Red]\(#,##0.00\)"/>
    <numFmt numFmtId="182" formatCode="0.0000_ "/>
    <numFmt numFmtId="183" formatCode="0.00_ "/>
    <numFmt numFmtId="184" formatCode="yyyy/m/d;@"/>
    <numFmt numFmtId="185" formatCode="#,##0_ "/>
    <numFmt numFmtId="186" formatCode="0.00_);[Red]\(0.00\)"/>
    <numFmt numFmtId="187" formatCode="0.0_ "/>
    <numFmt numFmtId="188" formatCode="0_);[Red]\(0\)"/>
    <numFmt numFmtId="189" formatCode="[DBNum2][$-804]General"/>
    <numFmt numFmtId="190" formatCode="0.00000_ "/>
  </numFmts>
  <fonts count="104">
    <font>
      <sz val="12"/>
      <name val="宋体"/>
      <charset val="134"/>
    </font>
    <font>
      <b/>
      <sz val="12"/>
      <name val="华文细黑"/>
      <family val="3"/>
      <charset val="134"/>
    </font>
    <font>
      <sz val="12"/>
      <name val="华文细黑"/>
      <family val="3"/>
      <charset val="134"/>
    </font>
    <font>
      <sz val="10"/>
      <name val="华文细黑"/>
      <family val="3"/>
      <charset val="134"/>
    </font>
    <font>
      <b/>
      <sz val="12"/>
      <name val="宋体"/>
      <family val="3"/>
      <charset val="134"/>
    </font>
    <font>
      <b/>
      <sz val="14"/>
      <color rgb="FFFF0000"/>
      <name val="宋体"/>
      <family val="3"/>
      <charset val="134"/>
    </font>
    <font>
      <sz val="12"/>
      <color rgb="FFFF0000"/>
      <name val="宋体"/>
      <family val="3"/>
      <charset val="134"/>
    </font>
    <font>
      <sz val="10"/>
      <color indexed="10"/>
      <name val="华文细黑"/>
      <family val="3"/>
      <charset val="134"/>
    </font>
    <font>
      <b/>
      <sz val="13"/>
      <name val="华文细黑"/>
      <family val="3"/>
      <charset val="134"/>
    </font>
    <font>
      <sz val="11"/>
      <name val="华文细黑"/>
      <family val="3"/>
      <charset val="134"/>
    </font>
    <font>
      <sz val="11"/>
      <color theme="1"/>
      <name val="华文细黑"/>
      <family val="3"/>
      <charset val="134"/>
    </font>
    <font>
      <sz val="11"/>
      <color indexed="56"/>
      <name val="华文细黑"/>
      <family val="3"/>
      <charset val="134"/>
    </font>
    <font>
      <b/>
      <sz val="11"/>
      <name val="华文细黑"/>
      <family val="3"/>
      <charset val="134"/>
    </font>
    <font>
      <b/>
      <sz val="12"/>
      <color rgb="FFFF0000"/>
      <name val="华文细黑"/>
      <family val="3"/>
      <charset val="134"/>
    </font>
    <font>
      <b/>
      <sz val="10"/>
      <name val="华文细黑"/>
      <family val="3"/>
      <charset val="134"/>
    </font>
    <font>
      <vertAlign val="subscript"/>
      <sz val="8"/>
      <name val="仿宋_GB2312"/>
      <charset val="134"/>
    </font>
    <font>
      <sz val="8"/>
      <name val="仿宋_GB2312"/>
      <charset val="134"/>
    </font>
    <font>
      <sz val="8"/>
      <name val="华文细黑"/>
      <family val="3"/>
      <charset val="134"/>
    </font>
    <font>
      <b/>
      <sz val="16"/>
      <name val="华文细黑"/>
      <family val="3"/>
      <charset val="134"/>
    </font>
    <font>
      <b/>
      <sz val="8"/>
      <name val="华文细黑"/>
      <family val="3"/>
      <charset val="134"/>
    </font>
    <font>
      <sz val="8"/>
      <color theme="1"/>
      <name val="华文细黑"/>
      <family val="3"/>
      <charset val="134"/>
    </font>
    <font>
      <sz val="9"/>
      <color theme="1"/>
      <name val="华文细黑"/>
      <family val="3"/>
      <charset val="134"/>
    </font>
    <font>
      <b/>
      <sz val="9"/>
      <name val="华文细黑"/>
      <family val="3"/>
      <charset val="134"/>
    </font>
    <font>
      <sz val="9"/>
      <name val="宋体"/>
      <family val="3"/>
      <charset val="134"/>
    </font>
    <font>
      <sz val="8"/>
      <name val="宋体"/>
      <family val="3"/>
      <charset val="134"/>
    </font>
    <font>
      <sz val="12"/>
      <color theme="1"/>
      <name val="宋体"/>
      <family val="3"/>
      <charset val="134"/>
    </font>
    <font>
      <sz val="10"/>
      <color theme="1"/>
      <name val="华文细黑"/>
      <family val="3"/>
      <charset val="134"/>
    </font>
    <font>
      <sz val="10"/>
      <name val="宋体"/>
      <family val="3"/>
      <charset val="134"/>
    </font>
    <font>
      <b/>
      <sz val="12"/>
      <color rgb="FFFF0000"/>
      <name val="宋体"/>
      <family val="3"/>
      <charset val="134"/>
    </font>
    <font>
      <sz val="10"/>
      <color rgb="FF0000FF"/>
      <name val="华文细黑"/>
      <family val="3"/>
      <charset val="134"/>
    </font>
    <font>
      <sz val="11"/>
      <color theme="1"/>
      <name val="宋体"/>
      <family val="3"/>
      <charset val="134"/>
      <scheme val="minor"/>
    </font>
    <font>
      <b/>
      <sz val="14"/>
      <name val="华文细黑"/>
      <family val="3"/>
      <charset val="134"/>
    </font>
    <font>
      <sz val="11"/>
      <color rgb="FFFF0000"/>
      <name val="宋体"/>
      <family val="3"/>
      <charset val="134"/>
      <scheme val="minor"/>
    </font>
    <font>
      <sz val="10"/>
      <color indexed="12"/>
      <name val="华文细黑"/>
      <family val="3"/>
      <charset val="134"/>
    </font>
    <font>
      <sz val="11"/>
      <name val="宋体"/>
      <family val="3"/>
      <charset val="134"/>
    </font>
    <font>
      <b/>
      <sz val="18"/>
      <name val="宋体"/>
      <family val="3"/>
      <charset val="134"/>
    </font>
    <font>
      <sz val="10.5"/>
      <name val="宋体"/>
      <family val="3"/>
      <charset val="134"/>
    </font>
    <font>
      <sz val="7"/>
      <name val="仿宋_GB2312"/>
      <charset val="134"/>
    </font>
    <font>
      <sz val="10"/>
      <name val="仿宋_GB2312"/>
      <charset val="134"/>
    </font>
    <font>
      <b/>
      <sz val="12"/>
      <name val="仿宋_GB2312"/>
      <charset val="134"/>
    </font>
    <font>
      <b/>
      <sz val="14"/>
      <name val="仿宋_GB2312"/>
      <charset val="134"/>
    </font>
    <font>
      <sz val="12"/>
      <name val="仿宋_GB2312"/>
      <charset val="134"/>
    </font>
    <font>
      <b/>
      <sz val="8"/>
      <name val="仿宋_GB2312"/>
      <charset val="134"/>
    </font>
    <font>
      <vertAlign val="subscript"/>
      <sz val="10"/>
      <name val="仿宋_GB2312"/>
      <charset val="134"/>
    </font>
    <font>
      <sz val="6"/>
      <name val="仿宋_GB2312"/>
      <charset val="134"/>
    </font>
    <font>
      <sz val="14"/>
      <name val="仿宋_GB2312"/>
      <charset val="134"/>
    </font>
    <font>
      <sz val="12"/>
      <color indexed="8"/>
      <name val="宋体"/>
      <family val="3"/>
      <charset val="134"/>
    </font>
    <font>
      <sz val="7"/>
      <name val="宋体"/>
      <family val="3"/>
      <charset val="134"/>
    </font>
    <font>
      <sz val="7"/>
      <color indexed="8"/>
      <name val="宋体"/>
      <family val="3"/>
      <charset val="134"/>
    </font>
    <font>
      <sz val="12"/>
      <color rgb="FF0000FF"/>
      <name val="宋体"/>
      <family val="3"/>
      <charset val="134"/>
    </font>
    <font>
      <sz val="11"/>
      <color rgb="FF0000FF"/>
      <name val="华文细黑"/>
      <family val="3"/>
      <charset val="134"/>
    </font>
    <font>
      <sz val="11"/>
      <color rgb="FF0000FF"/>
      <name val="宋体"/>
      <family val="3"/>
      <charset val="134"/>
    </font>
    <font>
      <b/>
      <sz val="14"/>
      <name val="宋体"/>
      <family val="3"/>
      <charset val="134"/>
    </font>
    <font>
      <sz val="12"/>
      <color indexed="12"/>
      <name val="宋体"/>
      <family val="3"/>
      <charset val="134"/>
    </font>
    <font>
      <sz val="11"/>
      <color indexed="12"/>
      <name val="宋体"/>
      <family val="3"/>
      <charset val="134"/>
    </font>
    <font>
      <b/>
      <sz val="12"/>
      <color indexed="8"/>
      <name val="宋体"/>
      <family val="3"/>
      <charset val="134"/>
    </font>
    <font>
      <sz val="12"/>
      <color indexed="10"/>
      <name val="宋体"/>
      <family val="3"/>
      <charset val="134"/>
    </font>
    <font>
      <b/>
      <sz val="8"/>
      <color rgb="FFFF0000"/>
      <name val="宋体"/>
      <family val="3"/>
      <charset val="134"/>
    </font>
    <font>
      <vertAlign val="superscript"/>
      <sz val="11"/>
      <name val="华文细黑"/>
      <family val="3"/>
      <charset val="134"/>
    </font>
    <font>
      <sz val="10"/>
      <name val="Arial"/>
      <family val="2"/>
    </font>
    <font>
      <b/>
      <sz val="8"/>
      <color rgb="FF00B0F0"/>
      <name val="宋体"/>
      <family val="3"/>
      <charset val="134"/>
    </font>
    <font>
      <b/>
      <sz val="8"/>
      <color rgb="FF0000FF"/>
      <name val="宋体"/>
      <family val="3"/>
      <charset val="134"/>
    </font>
    <font>
      <b/>
      <sz val="8"/>
      <color rgb="FF7030A0"/>
      <name val="宋体"/>
      <family val="3"/>
      <charset val="134"/>
    </font>
    <font>
      <sz val="12"/>
      <name val="宋体"/>
      <family val="3"/>
      <charset val="134"/>
    </font>
    <font>
      <b/>
      <sz val="12"/>
      <name val="宋体"/>
      <family val="3"/>
      <charset val="134"/>
    </font>
    <font>
      <sz val="11"/>
      <name val="华文细黑"/>
      <family val="3"/>
      <charset val="134"/>
    </font>
    <font>
      <b/>
      <sz val="9"/>
      <name val="宋体"/>
      <family val="3"/>
      <charset val="134"/>
    </font>
    <font>
      <sz val="9"/>
      <name val="Tahoma"/>
      <family val="2"/>
    </font>
    <font>
      <b/>
      <sz val="9"/>
      <name val="Tahoma"/>
      <family val="2"/>
    </font>
    <font>
      <b/>
      <sz val="9"/>
      <color indexed="10"/>
      <name val="宋体"/>
      <family val="3"/>
      <charset val="134"/>
    </font>
    <font>
      <sz val="9"/>
      <color indexed="10"/>
      <name val="宋体"/>
      <family val="3"/>
      <charset val="134"/>
    </font>
    <font>
      <b/>
      <sz val="12"/>
      <color rgb="FF0000FF"/>
      <name val="宋体"/>
      <family val="3"/>
      <charset val="134"/>
    </font>
    <font>
      <sz val="12"/>
      <color rgb="FFFF0000"/>
      <name val="宋体"/>
      <family val="3"/>
      <charset val="134"/>
    </font>
    <font>
      <sz val="11"/>
      <color rgb="FFFF0000"/>
      <name val="华文细黑"/>
      <family val="3"/>
      <charset val="134"/>
    </font>
    <font>
      <sz val="11"/>
      <color rgb="FFFF0000"/>
      <name val="宋体"/>
      <family val="3"/>
      <charset val="134"/>
    </font>
    <font>
      <sz val="8"/>
      <color rgb="FF0000FF"/>
      <name val="宋体"/>
      <family val="3"/>
      <charset val="134"/>
    </font>
    <font>
      <b/>
      <sz val="11"/>
      <name val="华文细黑"/>
      <family val="3"/>
      <charset val="134"/>
    </font>
    <font>
      <sz val="9"/>
      <color rgb="FFFF0000"/>
      <name val="宋体"/>
      <family val="3"/>
      <charset val="134"/>
    </font>
    <font>
      <sz val="8"/>
      <color rgb="FFFF0000"/>
      <name val="仿宋_GB2312"/>
      <charset val="134"/>
    </font>
    <font>
      <sz val="8"/>
      <color rgb="FF0000FF"/>
      <name val="仿宋_GB2312"/>
      <charset val="134"/>
    </font>
    <font>
      <sz val="7"/>
      <color rgb="FF0000FF"/>
      <name val="仿宋_GB2312"/>
      <charset val="134"/>
    </font>
    <font>
      <sz val="9"/>
      <color indexed="81"/>
      <name val="Tahoma"/>
      <family val="2"/>
    </font>
    <font>
      <b/>
      <sz val="9"/>
      <color indexed="81"/>
      <name val="Tahoma"/>
      <family val="2"/>
    </font>
    <font>
      <sz val="9"/>
      <color indexed="81"/>
      <name val="宋体"/>
      <family val="3"/>
      <charset val="134"/>
    </font>
    <font>
      <b/>
      <sz val="11"/>
      <color rgb="FF0000FF"/>
      <name val="华文细黑"/>
      <family val="3"/>
      <charset val="134"/>
    </font>
    <font>
      <b/>
      <sz val="12"/>
      <color theme="1"/>
      <name val="宋体"/>
      <family val="3"/>
      <charset val="134"/>
    </font>
    <font>
      <sz val="9"/>
      <name val="仿宋"/>
      <family val="3"/>
      <charset val="134"/>
    </font>
    <font>
      <sz val="10"/>
      <color rgb="FF0000FF"/>
      <name val="仿宋_GB2312"/>
      <charset val="134"/>
    </font>
    <font>
      <sz val="8"/>
      <color theme="1"/>
      <name val="宋体"/>
      <family val="3"/>
      <charset val="134"/>
    </font>
    <font>
      <sz val="10.5"/>
      <name val="仿宋"/>
      <family val="3"/>
      <charset val="134"/>
    </font>
    <font>
      <b/>
      <sz val="14"/>
      <color rgb="FF0000FF"/>
      <name val="宋体"/>
      <family val="3"/>
      <charset val="134"/>
    </font>
    <font>
      <b/>
      <sz val="9"/>
      <color indexed="81"/>
      <name val="宋体"/>
      <family val="3"/>
      <charset val="134"/>
    </font>
    <font>
      <sz val="10"/>
      <name val="仿宋_GB2312"/>
      <family val="3"/>
      <charset val="134"/>
    </font>
    <font>
      <b/>
      <sz val="14"/>
      <name val="仿宋_GB2312"/>
      <family val="3"/>
      <charset val="134"/>
    </font>
    <font>
      <sz val="12"/>
      <name val="仿宋_GB2312"/>
      <family val="3"/>
      <charset val="134"/>
    </font>
    <font>
      <sz val="9"/>
      <name val="仿宋_GB2312"/>
      <family val="3"/>
      <charset val="134"/>
    </font>
    <font>
      <sz val="14"/>
      <name val="仿宋_GB2312"/>
      <family val="3"/>
      <charset val="134"/>
    </font>
    <font>
      <sz val="10"/>
      <color indexed="8"/>
      <name val="仿宋_GB2312"/>
      <family val="3"/>
      <charset val="134"/>
    </font>
    <font>
      <b/>
      <sz val="16"/>
      <name val="仿宋_GB2312"/>
      <family val="3"/>
      <charset val="134"/>
    </font>
    <font>
      <b/>
      <sz val="10"/>
      <name val="仿宋_GB2312"/>
      <family val="3"/>
      <charset val="134"/>
    </font>
    <font>
      <b/>
      <sz val="14"/>
      <name val="Arial"/>
      <family val="2"/>
    </font>
    <font>
      <b/>
      <sz val="9"/>
      <name val="仿宋_GB2312"/>
      <family val="3"/>
      <charset val="134"/>
    </font>
    <font>
      <b/>
      <sz val="10"/>
      <color indexed="8"/>
      <name val="仿宋_GB2312"/>
      <family val="3"/>
      <charset val="134"/>
    </font>
    <font>
      <sz val="10"/>
      <color rgb="FFFF0000"/>
      <name val="Arial"/>
      <family val="2"/>
    </font>
  </fonts>
  <fills count="31">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rgb="FFE7F6FE"/>
        <bgColor indexed="64"/>
      </patternFill>
    </fill>
    <fill>
      <patternFill patternType="solid">
        <fgColor theme="0" tint="-0.249977111117893"/>
        <bgColor indexed="64"/>
      </patternFill>
    </fill>
    <fill>
      <patternFill patternType="solid">
        <fgColor indexed="14"/>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40"/>
        <bgColor indexed="64"/>
      </patternFill>
    </fill>
    <fill>
      <patternFill patternType="solid">
        <fgColor indexed="13"/>
        <bgColor indexed="64"/>
      </patternFill>
    </fill>
    <fill>
      <patternFill patternType="solid">
        <fgColor indexed="22"/>
        <bgColor indexed="49"/>
      </patternFill>
    </fill>
    <fill>
      <patternFill patternType="solid">
        <fgColor indexed="55"/>
        <bgColor indexed="64"/>
      </patternFill>
    </fill>
    <fill>
      <patternFill patternType="solid">
        <fgColor indexed="11"/>
        <bgColor indexed="64"/>
      </patternFill>
    </fill>
    <fill>
      <patternFill patternType="solid">
        <fgColor indexed="46"/>
        <bgColor indexed="64"/>
      </patternFill>
    </fill>
    <fill>
      <patternFill patternType="solid">
        <fgColor indexed="55"/>
        <bgColor indexed="23"/>
      </patternFill>
    </fill>
    <fill>
      <patternFill patternType="solid">
        <fgColor rgb="FFFF00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66FFFF"/>
        <bgColor indexed="64"/>
      </patternFill>
    </fill>
    <fill>
      <patternFill patternType="solid">
        <fgColor theme="0" tint="-0.499984740745262"/>
        <bgColor indexed="64"/>
      </patternFill>
    </fill>
    <fill>
      <patternFill patternType="solid">
        <fgColor theme="6"/>
        <bgColor indexed="64"/>
      </patternFill>
    </fill>
    <fill>
      <patternFill patternType="solid">
        <fgColor theme="8" tint="0.39997558519241921"/>
        <bgColor indexed="64"/>
      </patternFill>
    </fill>
    <fill>
      <patternFill patternType="solid">
        <fgColor indexed="48"/>
        <bgColor indexed="64"/>
      </patternFill>
    </fill>
    <fill>
      <patternFill patternType="solid">
        <fgColor indexed="51"/>
        <bgColor indexed="64"/>
      </patternFill>
    </fill>
    <fill>
      <patternFill patternType="solid">
        <fgColor indexed="10"/>
        <bgColor indexed="64"/>
      </patternFill>
    </fill>
    <fill>
      <patternFill patternType="solid">
        <fgColor indexed="52"/>
        <bgColor indexed="64"/>
      </patternFill>
    </fill>
    <fill>
      <patternFill patternType="solid">
        <fgColor indexed="45"/>
        <bgColor indexed="64"/>
      </patternFill>
    </fill>
    <fill>
      <patternFill patternType="solid">
        <fgColor indexed="41"/>
        <bgColor indexed="64"/>
      </patternFill>
    </fill>
  </fills>
  <borders count="6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diagonalDown="1">
      <left style="thin">
        <color auto="1"/>
      </left>
      <right/>
      <top style="thin">
        <color auto="1"/>
      </top>
      <bottom/>
      <diagonal style="thin">
        <color auto="1"/>
      </diagonal>
    </border>
    <border diagonalDown="1">
      <left style="thin">
        <color auto="1"/>
      </left>
      <right/>
      <top/>
      <bottom style="thin">
        <color auto="1"/>
      </bottom>
      <diagonal style="thin">
        <color auto="1"/>
      </diagonal>
    </border>
    <border diagonalDown="1">
      <left/>
      <right style="thin">
        <color auto="1"/>
      </right>
      <top style="thin">
        <color auto="1"/>
      </top>
      <bottom/>
      <diagonal style="thin">
        <color auto="1"/>
      </diagonal>
    </border>
    <border diagonalDown="1">
      <left/>
      <right style="thin">
        <color auto="1"/>
      </right>
      <top/>
      <bottom style="thin">
        <color auto="1"/>
      </bottom>
      <diagonal style="thin">
        <color auto="1"/>
      </diagonal>
    </border>
    <border>
      <left style="thin">
        <color indexed="8"/>
      </left>
      <right style="thin">
        <color indexed="8"/>
      </right>
      <top style="thin">
        <color indexed="8"/>
      </top>
      <bottom style="thin">
        <color indexed="8"/>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medium">
        <color auto="1"/>
      </bottom>
      <diagonal/>
    </border>
    <border>
      <left/>
      <right style="medium">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178" fontId="0" fillId="0" borderId="0"/>
    <xf numFmtId="43" fontId="63" fillId="0" borderId="0" applyFont="0" applyFill="0" applyBorder="0" applyAlignment="0" applyProtection="0">
      <alignment vertical="center"/>
    </xf>
    <xf numFmtId="178" fontId="63" fillId="0" borderId="0"/>
    <xf numFmtId="178" fontId="30" fillId="0" borderId="0">
      <alignment vertical="center"/>
    </xf>
  </cellStyleXfs>
  <cellXfs count="1122">
    <xf numFmtId="178" fontId="0" fillId="0" borderId="0" xfId="0"/>
    <xf numFmtId="178" fontId="2" fillId="0" borderId="0" xfId="2" applyFont="1" applyAlignment="1">
      <alignment vertical="center"/>
    </xf>
    <xf numFmtId="178" fontId="2" fillId="0" borderId="0" xfId="2" applyFont="1" applyBorder="1" applyAlignment="1">
      <alignment horizontal="left" vertical="center"/>
    </xf>
    <xf numFmtId="178" fontId="3" fillId="0" borderId="0" xfId="2" applyFont="1" applyAlignment="1">
      <alignment horizontal="center"/>
    </xf>
    <xf numFmtId="178" fontId="3" fillId="0" borderId="0" xfId="2" applyFont="1" applyAlignment="1">
      <alignment horizontal="left"/>
    </xf>
    <xf numFmtId="178" fontId="1" fillId="0" borderId="0" xfId="2" applyFont="1" applyProtection="1"/>
    <xf numFmtId="178" fontId="3" fillId="0" borderId="0" xfId="2" applyFont="1" applyAlignment="1" applyProtection="1">
      <alignment vertical="center" wrapText="1"/>
    </xf>
    <xf numFmtId="178" fontId="3" fillId="0" borderId="0" xfId="2" applyFont="1" applyProtection="1"/>
    <xf numFmtId="178" fontId="3" fillId="0" borderId="0" xfId="2" applyFont="1" applyAlignment="1">
      <alignment vertical="center"/>
    </xf>
    <xf numFmtId="178" fontId="2" fillId="0" borderId="0" xfId="2" applyFont="1" applyAlignment="1">
      <alignment horizontal="left" vertical="center" wrapText="1"/>
    </xf>
    <xf numFmtId="178" fontId="3" fillId="0" borderId="0" xfId="2" applyFont="1"/>
    <xf numFmtId="49" fontId="1" fillId="0" borderId="0" xfId="2" applyNumberFormat="1" applyFont="1" applyAlignment="1" applyProtection="1">
      <alignment horizontal="left" vertical="center"/>
    </xf>
    <xf numFmtId="49" fontId="1" fillId="0" borderId="0" xfId="2" applyNumberFormat="1" applyFont="1" applyAlignment="1" applyProtection="1">
      <alignment horizontal="left"/>
    </xf>
    <xf numFmtId="49" fontId="2" fillId="0" borderId="0" xfId="2" applyNumberFormat="1" applyFont="1" applyAlignment="1">
      <alignment horizontal="left" vertical="center" wrapText="1"/>
    </xf>
    <xf numFmtId="178" fontId="7" fillId="3" borderId="0" xfId="2" applyFont="1" applyFill="1" applyAlignment="1">
      <alignment horizontal="left" vertical="center"/>
    </xf>
    <xf numFmtId="49" fontId="8" fillId="0" borderId="0" xfId="2" applyNumberFormat="1" applyFont="1" applyAlignment="1">
      <alignment horizontal="center" vertical="justify" wrapText="1"/>
    </xf>
    <xf numFmtId="49" fontId="3" fillId="0" borderId="0" xfId="2" applyNumberFormat="1" applyFont="1" applyAlignment="1" applyProtection="1">
      <alignment horizontal="left"/>
    </xf>
    <xf numFmtId="49" fontId="3" fillId="0" borderId="0" xfId="2" applyNumberFormat="1" applyFont="1" applyAlignment="1">
      <alignment horizontal="center" vertical="center"/>
    </xf>
    <xf numFmtId="49" fontId="3" fillId="0" borderId="0" xfId="2" applyNumberFormat="1" applyFont="1" applyAlignment="1">
      <alignment horizontal="left" vertical="center" wrapText="1"/>
    </xf>
    <xf numFmtId="178" fontId="9" fillId="0" borderId="0" xfId="2" applyFont="1" applyAlignment="1">
      <alignment horizontal="right" vertical="center"/>
    </xf>
    <xf numFmtId="49" fontId="9" fillId="0" borderId="12" xfId="2" applyNumberFormat="1" applyFont="1" applyBorder="1" applyAlignment="1">
      <alignment horizontal="center" vertical="center" textRotation="255" wrapText="1"/>
    </xf>
    <xf numFmtId="49" fontId="9" fillId="0" borderId="13" xfId="2" applyNumberFormat="1" applyFont="1" applyBorder="1" applyAlignment="1">
      <alignment horizontal="center" vertical="center" wrapText="1"/>
    </xf>
    <xf numFmtId="178" fontId="9" fillId="0" borderId="0" xfId="2" applyNumberFormat="1" applyFont="1" applyBorder="1" applyAlignment="1">
      <alignment horizontal="center" vertical="center" wrapText="1"/>
    </xf>
    <xf numFmtId="49" fontId="9" fillId="0" borderId="17" xfId="2" applyNumberFormat="1" applyFont="1" applyBorder="1" applyAlignment="1">
      <alignment horizontal="center" vertical="center" textRotation="255" wrapText="1"/>
    </xf>
    <xf numFmtId="49" fontId="9" fillId="0" borderId="18" xfId="2" applyNumberFormat="1" applyFont="1" applyBorder="1" applyAlignment="1">
      <alignment horizontal="center" vertical="center" wrapText="1"/>
    </xf>
    <xf numFmtId="49" fontId="9" fillId="0" borderId="8" xfId="2" applyNumberFormat="1" applyFont="1" applyBorder="1" applyAlignment="1">
      <alignment horizontal="center" vertical="center" wrapText="1"/>
    </xf>
    <xf numFmtId="49" fontId="9" fillId="0" borderId="5" xfId="2" applyNumberFormat="1" applyFont="1" applyBorder="1" applyAlignment="1">
      <alignment vertical="center"/>
    </xf>
    <xf numFmtId="179" fontId="10" fillId="0" borderId="6" xfId="2" applyNumberFormat="1" applyFont="1" applyBorder="1" applyAlignment="1">
      <alignment horizontal="left" vertical="center" wrapText="1"/>
    </xf>
    <xf numFmtId="179" fontId="11" fillId="0" borderId="0" xfId="2" applyNumberFormat="1" applyFont="1" applyBorder="1" applyAlignment="1">
      <alignment horizontal="left" vertical="center" wrapText="1"/>
    </xf>
    <xf numFmtId="180" fontId="10" fillId="0" borderId="6" xfId="2" applyNumberFormat="1" applyFont="1" applyBorder="1" applyAlignment="1">
      <alignment horizontal="left" vertical="center"/>
    </xf>
    <xf numFmtId="180" fontId="11" fillId="0" borderId="0" xfId="2" applyNumberFormat="1" applyFont="1" applyBorder="1" applyAlignment="1">
      <alignment horizontal="left" vertical="center"/>
    </xf>
    <xf numFmtId="49" fontId="9" fillId="0" borderId="19" xfId="2" applyNumberFormat="1" applyFont="1" applyBorder="1" applyAlignment="1">
      <alignment horizontal="center" vertical="center" textRotation="255" wrapText="1"/>
    </xf>
    <xf numFmtId="49" fontId="9" fillId="0" borderId="20" xfId="2" applyNumberFormat="1" applyFont="1" applyBorder="1" applyAlignment="1">
      <alignment horizontal="center" vertical="center" wrapText="1"/>
    </xf>
    <xf numFmtId="180" fontId="11" fillId="0" borderId="21" xfId="2" applyNumberFormat="1" applyFont="1" applyBorder="1" applyAlignment="1">
      <alignment horizontal="left" vertical="center"/>
    </xf>
    <xf numFmtId="49" fontId="9" fillId="0" borderId="4" xfId="2" applyNumberFormat="1" applyFont="1" applyBorder="1" applyAlignment="1">
      <alignment horizontal="center" vertical="center" wrapText="1"/>
    </xf>
    <xf numFmtId="49" fontId="9" fillId="0" borderId="5" xfId="2" applyNumberFormat="1" applyFont="1" applyBorder="1" applyAlignment="1">
      <alignment horizontal="left" vertical="center" wrapText="1"/>
    </xf>
    <xf numFmtId="178" fontId="9" fillId="0" borderId="5" xfId="2" applyFont="1" applyBorder="1" applyAlignment="1">
      <alignment horizontal="left" vertical="center" wrapText="1"/>
    </xf>
    <xf numFmtId="49" fontId="9" fillId="0" borderId="22" xfId="2" applyNumberFormat="1" applyFont="1" applyBorder="1" applyAlignment="1">
      <alignment horizontal="left" vertical="center" wrapText="1"/>
    </xf>
    <xf numFmtId="180" fontId="9" fillId="0" borderId="0" xfId="2" applyNumberFormat="1" applyFont="1" applyBorder="1" applyAlignment="1">
      <alignment horizontal="center" vertical="center"/>
    </xf>
    <xf numFmtId="182" fontId="3" fillId="0" borderId="0" xfId="2" applyNumberFormat="1" applyFont="1" applyAlignment="1">
      <alignment vertical="center"/>
    </xf>
    <xf numFmtId="49" fontId="9" fillId="0" borderId="22" xfId="2" applyNumberFormat="1" applyFont="1" applyBorder="1" applyAlignment="1">
      <alignment horizontal="center" vertical="center" wrapText="1"/>
    </xf>
    <xf numFmtId="49" fontId="9" fillId="0" borderId="4" xfId="2" applyNumberFormat="1" applyFont="1" applyFill="1" applyBorder="1" applyAlignment="1">
      <alignment horizontal="center" vertical="center" wrapText="1"/>
    </xf>
    <xf numFmtId="49" fontId="9" fillId="0" borderId="5" xfId="2" applyNumberFormat="1" applyFont="1" applyFill="1" applyBorder="1" applyAlignment="1">
      <alignment horizontal="left" vertical="center" wrapText="1"/>
    </xf>
    <xf numFmtId="49" fontId="9" fillId="0" borderId="22" xfId="2" applyNumberFormat="1" applyFont="1" applyFill="1" applyBorder="1" applyAlignment="1">
      <alignment horizontal="left" vertical="center" wrapText="1"/>
    </xf>
    <xf numFmtId="178" fontId="7" fillId="0" borderId="0" xfId="2" applyFont="1" applyAlignment="1">
      <alignment vertical="center"/>
    </xf>
    <xf numFmtId="178" fontId="9" fillId="0" borderId="22" xfId="2" applyFont="1" applyBorder="1" applyAlignment="1" applyProtection="1">
      <alignment horizontal="left" vertical="center" wrapText="1"/>
      <protection locked="0"/>
    </xf>
    <xf numFmtId="49" fontId="9" fillId="0" borderId="9" xfId="2" applyNumberFormat="1" applyFont="1" applyBorder="1" applyAlignment="1">
      <alignment horizontal="center" vertical="center" wrapText="1"/>
    </xf>
    <xf numFmtId="183" fontId="9" fillId="0" borderId="10" xfId="2" applyNumberFormat="1" applyFont="1" applyBorder="1" applyAlignment="1">
      <alignment horizontal="left" vertical="center" wrapText="1"/>
    </xf>
    <xf numFmtId="178" fontId="9" fillId="0" borderId="10" xfId="2" applyFont="1" applyBorder="1" applyAlignment="1">
      <alignment vertical="center"/>
    </xf>
    <xf numFmtId="178" fontId="9" fillId="0" borderId="23" xfId="2" applyFont="1" applyBorder="1" applyAlignment="1">
      <alignment vertical="center"/>
    </xf>
    <xf numFmtId="180" fontId="12" fillId="0" borderId="0" xfId="2" applyNumberFormat="1" applyFont="1" applyBorder="1" applyAlignment="1">
      <alignment horizontal="center" vertical="center"/>
    </xf>
    <xf numFmtId="180" fontId="13" fillId="0" borderId="0" xfId="2" applyNumberFormat="1" applyFont="1" applyAlignment="1">
      <alignment vertical="center"/>
    </xf>
    <xf numFmtId="49" fontId="3" fillId="0" borderId="0" xfId="2" applyNumberFormat="1" applyFont="1" applyBorder="1" applyAlignment="1">
      <alignment horizontal="center" vertical="center" wrapText="1"/>
    </xf>
    <xf numFmtId="183" fontId="3" fillId="0" borderId="0" xfId="2" applyNumberFormat="1" applyFont="1" applyBorder="1" applyAlignment="1">
      <alignment horizontal="left" vertical="center" wrapText="1"/>
    </xf>
    <xf numFmtId="178" fontId="3" fillId="0" borderId="0" xfId="2" applyFont="1" applyBorder="1" applyAlignment="1">
      <alignment vertical="center"/>
    </xf>
    <xf numFmtId="180" fontId="14" fillId="0" borderId="0" xfId="2" applyNumberFormat="1" applyFont="1" applyBorder="1" applyAlignment="1">
      <alignment horizontal="center" vertical="center"/>
    </xf>
    <xf numFmtId="178" fontId="2" fillId="0" borderId="0" xfId="2" applyFont="1" applyBorder="1" applyAlignment="1">
      <alignment horizontal="left" vertical="center" wrapText="1"/>
    </xf>
    <xf numFmtId="178" fontId="0" fillId="0" borderId="0" xfId="0" applyBorder="1"/>
    <xf numFmtId="178" fontId="0" fillId="0" borderId="0" xfId="0" applyFont="1"/>
    <xf numFmtId="178" fontId="63" fillId="0" borderId="0" xfId="2" applyAlignment="1">
      <alignment vertical="center"/>
    </xf>
    <xf numFmtId="178" fontId="3" fillId="0" borderId="0" xfId="2" applyFont="1" applyAlignment="1"/>
    <xf numFmtId="178" fontId="3" fillId="0" borderId="0" xfId="2" applyFont="1" applyAlignment="1">
      <alignment horizontal="right" vertical="center"/>
    </xf>
    <xf numFmtId="49" fontId="3" fillId="5" borderId="5" xfId="2" applyNumberFormat="1" applyFont="1" applyFill="1" applyBorder="1" applyAlignment="1">
      <alignment horizontal="center" vertical="center"/>
    </xf>
    <xf numFmtId="180" fontId="3" fillId="5" borderId="5" xfId="2" applyNumberFormat="1" applyFont="1" applyFill="1" applyBorder="1" applyAlignment="1">
      <alignment horizontal="center" vertical="center"/>
    </xf>
    <xf numFmtId="178" fontId="21" fillId="0" borderId="0" xfId="2" applyFont="1" applyAlignment="1">
      <alignment horizontal="center" vertical="center"/>
    </xf>
    <xf numFmtId="49" fontId="27" fillId="5" borderId="5" xfId="2" applyNumberFormat="1" applyFont="1" applyFill="1" applyBorder="1" applyAlignment="1">
      <alignment horizontal="center" vertical="center" wrapText="1"/>
    </xf>
    <xf numFmtId="49" fontId="3" fillId="5" borderId="5" xfId="2" applyNumberFormat="1" applyFont="1" applyFill="1" applyBorder="1" applyAlignment="1">
      <alignment horizontal="left" vertical="center" wrapText="1"/>
    </xf>
    <xf numFmtId="49" fontId="3" fillId="0" borderId="25" xfId="2" applyNumberFormat="1" applyFont="1" applyBorder="1" applyAlignment="1">
      <alignment vertical="center"/>
    </xf>
    <xf numFmtId="49" fontId="3" fillId="0" borderId="5" xfId="2" applyNumberFormat="1" applyFont="1" applyBorder="1" applyAlignment="1">
      <alignment vertical="center"/>
    </xf>
    <xf numFmtId="178" fontId="63" fillId="0" borderId="5" xfId="2" applyBorder="1" applyAlignment="1">
      <alignment vertical="center"/>
    </xf>
    <xf numFmtId="49" fontId="3" fillId="0" borderId="0" xfId="2" applyNumberFormat="1" applyFont="1" applyBorder="1" applyAlignment="1">
      <alignment vertical="center"/>
    </xf>
    <xf numFmtId="178" fontId="7" fillId="0" borderId="0" xfId="2" applyFont="1" applyAlignment="1">
      <alignment horizontal="right" vertical="center"/>
    </xf>
    <xf numFmtId="183" fontId="3" fillId="5" borderId="5" xfId="2" applyNumberFormat="1" applyFont="1" applyFill="1" applyBorder="1" applyAlignment="1">
      <alignment horizontal="left" vertical="center" wrapText="1"/>
    </xf>
    <xf numFmtId="178" fontId="3" fillId="5" borderId="5" xfId="2" applyFont="1" applyFill="1" applyBorder="1" applyAlignment="1">
      <alignment vertical="center"/>
    </xf>
    <xf numFmtId="180" fontId="3" fillId="0" borderId="29" xfId="2" applyNumberFormat="1" applyFont="1" applyBorder="1" applyAlignment="1">
      <alignment horizontal="center" vertical="center"/>
    </xf>
    <xf numFmtId="178" fontId="32" fillId="0" borderId="0" xfId="2" applyFont="1" applyAlignment="1">
      <alignment vertical="center"/>
    </xf>
    <xf numFmtId="178" fontId="63" fillId="0" borderId="0" xfId="2" applyAlignment="1"/>
    <xf numFmtId="9" fontId="33" fillId="0" borderId="0" xfId="2" applyNumberFormat="1" applyFont="1" applyAlignment="1">
      <alignment horizontal="right" vertical="center"/>
    </xf>
    <xf numFmtId="178" fontId="33" fillId="0" borderId="0" xfId="2" applyFont="1" applyAlignment="1">
      <alignment horizontal="right" vertical="center"/>
    </xf>
    <xf numFmtId="178" fontId="3" fillId="0" borderId="0" xfId="0" applyFont="1" applyAlignment="1">
      <alignment vertical="center"/>
    </xf>
    <xf numFmtId="178" fontId="3" fillId="6" borderId="0" xfId="0" applyFont="1" applyFill="1" applyAlignment="1">
      <alignment vertical="center"/>
    </xf>
    <xf numFmtId="178" fontId="3" fillId="0" borderId="0" xfId="0" applyFont="1" applyFill="1" applyAlignment="1">
      <alignment vertical="center"/>
    </xf>
    <xf numFmtId="178" fontId="18" fillId="0" borderId="0" xfId="0" applyFont="1" applyAlignment="1">
      <alignment horizontal="center" vertical="center"/>
    </xf>
    <xf numFmtId="178" fontId="3" fillId="0" borderId="0" xfId="0" applyFont="1" applyAlignment="1">
      <alignment horizontal="right" vertical="center"/>
    </xf>
    <xf numFmtId="178" fontId="22" fillId="0" borderId="0" xfId="0" applyFont="1" applyBorder="1" applyAlignment="1">
      <alignment horizontal="center" vertical="center"/>
    </xf>
    <xf numFmtId="178" fontId="26" fillId="0" borderId="5" xfId="0" applyFont="1" applyBorder="1" applyAlignment="1">
      <alignment horizontal="center" vertical="center" wrapText="1" shrinkToFit="1"/>
    </xf>
    <xf numFmtId="178" fontId="9" fillId="0" borderId="5" xfId="0" applyFont="1" applyBorder="1" applyAlignment="1">
      <alignment horizontal="left" vertical="center" wrapText="1"/>
    </xf>
    <xf numFmtId="178" fontId="9" fillId="0" borderId="5" xfId="0" applyFont="1" applyBorder="1" applyAlignment="1">
      <alignment horizontal="center" vertical="center"/>
    </xf>
    <xf numFmtId="180" fontId="9" fillId="0" borderId="5" xfId="0" applyNumberFormat="1" applyFont="1" applyFill="1" applyBorder="1" applyAlignment="1">
      <alignment horizontal="center" vertical="center" shrinkToFit="1"/>
    </xf>
    <xf numFmtId="183" fontId="9" fillId="0" borderId="5" xfId="0" applyNumberFormat="1" applyFont="1" applyFill="1" applyBorder="1" applyAlignment="1">
      <alignment horizontal="center" vertical="center" shrinkToFit="1"/>
    </xf>
    <xf numFmtId="178" fontId="9" fillId="0" borderId="5" xfId="0" applyFont="1" applyFill="1" applyBorder="1" applyAlignment="1">
      <alignment horizontal="center" vertical="center" shrinkToFit="1"/>
    </xf>
    <xf numFmtId="178" fontId="12" fillId="0" borderId="5" xfId="0" applyFont="1" applyBorder="1" applyAlignment="1">
      <alignment horizontal="center" vertical="center" shrinkToFit="1"/>
    </xf>
    <xf numFmtId="178" fontId="9" fillId="0" borderId="5" xfId="0" applyFont="1" applyBorder="1" applyAlignment="1">
      <alignment horizontal="center" vertical="center" shrinkToFit="1"/>
    </xf>
    <xf numFmtId="49" fontId="9" fillId="0" borderId="5" xfId="0" applyNumberFormat="1" applyFont="1" applyBorder="1" applyAlignment="1">
      <alignment horizontal="center" vertical="center" shrinkToFit="1"/>
    </xf>
    <xf numFmtId="178" fontId="12" fillId="0" borderId="8" xfId="0" applyFont="1" applyBorder="1" applyAlignment="1">
      <alignment horizontal="center" vertical="center" shrinkToFit="1"/>
    </xf>
    <xf numFmtId="178" fontId="27" fillId="0" borderId="0" xfId="0" applyFont="1" applyBorder="1" applyAlignment="1">
      <alignment vertical="center"/>
    </xf>
    <xf numFmtId="178" fontId="22" fillId="0" borderId="0" xfId="0" applyFont="1" applyBorder="1" applyAlignment="1">
      <alignment vertical="center"/>
    </xf>
    <xf numFmtId="178" fontId="12" fillId="0" borderId="2" xfId="0" applyFont="1" applyBorder="1" applyAlignment="1">
      <alignment horizontal="center" vertical="center" shrinkToFit="1"/>
    </xf>
    <xf numFmtId="14" fontId="9" fillId="0" borderId="5" xfId="0" applyNumberFormat="1" applyFont="1" applyBorder="1" applyAlignment="1">
      <alignment horizontal="center" vertical="center" shrinkToFit="1"/>
    </xf>
    <xf numFmtId="178" fontId="9" fillId="0" borderId="5" xfId="0" applyNumberFormat="1" applyFont="1" applyBorder="1" applyAlignment="1">
      <alignment horizontal="center" vertical="center" shrinkToFit="1"/>
    </xf>
    <xf numFmtId="185" fontId="9" fillId="0" borderId="5" xfId="0" applyNumberFormat="1" applyFont="1" applyBorder="1" applyAlignment="1">
      <alignment horizontal="center" vertical="center" shrinkToFit="1"/>
    </xf>
    <xf numFmtId="14" fontId="9" fillId="0" borderId="10" xfId="0" applyNumberFormat="1" applyFont="1" applyBorder="1" applyAlignment="1">
      <alignment horizontal="center" vertical="center" shrinkToFit="1"/>
    </xf>
    <xf numFmtId="178" fontId="9" fillId="0" borderId="10" xfId="0" applyNumberFormat="1" applyFont="1" applyBorder="1" applyAlignment="1">
      <alignment horizontal="center" vertical="center" shrinkToFit="1"/>
    </xf>
    <xf numFmtId="185" fontId="9" fillId="0" borderId="10" xfId="0" applyNumberFormat="1" applyFont="1" applyBorder="1" applyAlignment="1">
      <alignment horizontal="center" vertical="center" shrinkToFit="1"/>
    </xf>
    <xf numFmtId="178" fontId="9" fillId="0" borderId="0" xfId="0" applyNumberFormat="1" applyFont="1" applyBorder="1" applyAlignment="1">
      <alignment horizontal="left" vertical="center" shrinkToFit="1"/>
    </xf>
    <xf numFmtId="178" fontId="21" fillId="0" borderId="0" xfId="0" applyFont="1" applyBorder="1" applyAlignment="1">
      <alignment horizontal="left" vertical="center" shrinkToFit="1"/>
    </xf>
    <xf numFmtId="178" fontId="21" fillId="0" borderId="0" xfId="0" applyFont="1" applyBorder="1" applyAlignment="1">
      <alignment horizontal="left" vertical="center" wrapText="1" shrinkToFit="1"/>
    </xf>
    <xf numFmtId="178" fontId="9" fillId="0" borderId="33" xfId="0" applyNumberFormat="1" applyFont="1" applyFill="1" applyBorder="1" applyAlignment="1">
      <alignment horizontal="center" vertical="center" shrinkToFit="1"/>
    </xf>
    <xf numFmtId="178" fontId="21" fillId="0" borderId="0" xfId="0" applyFont="1" applyBorder="1" applyAlignment="1">
      <alignment horizontal="left" vertical="center"/>
    </xf>
    <xf numFmtId="178" fontId="34" fillId="0" borderId="33" xfId="0" applyFont="1" applyBorder="1" applyAlignment="1">
      <alignment vertical="center"/>
    </xf>
    <xf numFmtId="178" fontId="12" fillId="0" borderId="3" xfId="0" applyFont="1" applyBorder="1" applyAlignment="1">
      <alignment horizontal="center" vertical="center" shrinkToFit="1"/>
    </xf>
    <xf numFmtId="185" fontId="9" fillId="0" borderId="6" xfId="0" applyNumberFormat="1" applyFont="1" applyBorder="1" applyAlignment="1">
      <alignment horizontal="center" vertical="center" shrinkToFit="1"/>
    </xf>
    <xf numFmtId="185" fontId="9" fillId="0" borderId="11" xfId="0" applyNumberFormat="1" applyFont="1" applyBorder="1" applyAlignment="1">
      <alignment horizontal="center" vertical="center" shrinkToFit="1"/>
    </xf>
    <xf numFmtId="178" fontId="9" fillId="0" borderId="0" xfId="0" applyFont="1" applyAlignment="1">
      <alignment vertical="top"/>
    </xf>
    <xf numFmtId="178" fontId="26" fillId="0" borderId="0" xfId="0" applyFont="1" applyFill="1" applyAlignment="1">
      <alignment horizontal="left" vertical="top" wrapText="1"/>
    </xf>
    <xf numFmtId="178" fontId="3" fillId="0" borderId="0" xfId="0" applyFont="1" applyAlignment="1">
      <alignment horizontal="center" vertical="center"/>
    </xf>
    <xf numFmtId="178" fontId="3" fillId="0" borderId="0" xfId="0" applyNumberFormat="1" applyFont="1" applyAlignment="1">
      <alignment horizontal="right" vertical="center"/>
    </xf>
    <xf numFmtId="178" fontId="3" fillId="0" borderId="0" xfId="0" applyFont="1" applyAlignment="1">
      <alignment vertical="top"/>
    </xf>
    <xf numFmtId="185" fontId="29" fillId="6" borderId="0" xfId="0" applyNumberFormat="1" applyFont="1" applyFill="1" applyAlignment="1">
      <alignment horizontal="left" vertical="top" wrapText="1"/>
    </xf>
    <xf numFmtId="178" fontId="14" fillId="0" borderId="0" xfId="0" applyFont="1" applyAlignment="1">
      <alignment vertical="center"/>
    </xf>
    <xf numFmtId="178" fontId="9" fillId="0" borderId="5" xfId="0" applyNumberFormat="1" applyFont="1" applyFill="1" applyBorder="1" applyAlignment="1">
      <alignment horizontal="center" vertical="center" shrinkToFit="1"/>
    </xf>
    <xf numFmtId="178" fontId="22" fillId="0" borderId="29" xfId="0" applyFont="1" applyBorder="1" applyAlignment="1">
      <alignment vertical="center"/>
    </xf>
    <xf numFmtId="178" fontId="0" fillId="0" borderId="29" xfId="0" applyBorder="1" applyAlignment="1">
      <alignment vertical="center"/>
    </xf>
    <xf numFmtId="178" fontId="3" fillId="0" borderId="0" xfId="0" applyFont="1" applyFill="1" applyAlignment="1">
      <alignment vertical="top"/>
    </xf>
    <xf numFmtId="178" fontId="29" fillId="0" borderId="0" xfId="0" applyFont="1" applyFill="1" applyAlignment="1">
      <alignment horizontal="left" vertical="top" wrapText="1"/>
    </xf>
    <xf numFmtId="185" fontId="3" fillId="0" borderId="0" xfId="0" applyNumberFormat="1" applyFont="1" applyAlignment="1">
      <alignment vertical="center"/>
    </xf>
    <xf numFmtId="185" fontId="9" fillId="0" borderId="5" xfId="0" applyNumberFormat="1" applyFont="1" applyFill="1" applyBorder="1" applyAlignment="1">
      <alignment horizontal="center" vertical="center" shrinkToFit="1"/>
    </xf>
    <xf numFmtId="178" fontId="3" fillId="0" borderId="0" xfId="0" applyFont="1" applyAlignment="1">
      <alignment horizontal="left" vertical="center"/>
    </xf>
    <xf numFmtId="178" fontId="0" fillId="0" borderId="39" xfId="0" applyFont="1" applyBorder="1" applyAlignment="1">
      <alignment horizontal="center" wrapText="1"/>
    </xf>
    <xf numFmtId="178" fontId="0" fillId="0" borderId="38" xfId="0" applyFont="1" applyBorder="1" applyAlignment="1">
      <alignment wrapText="1"/>
    </xf>
    <xf numFmtId="178" fontId="0" fillId="0" borderId="40" xfId="0" applyFont="1" applyBorder="1" applyAlignment="1">
      <alignment horizontal="justify" wrapText="1"/>
    </xf>
    <xf numFmtId="178" fontId="0" fillId="0" borderId="40" xfId="0" applyFont="1" applyBorder="1" applyAlignment="1">
      <alignment horizontal="center" wrapText="1"/>
    </xf>
    <xf numFmtId="49" fontId="0" fillId="0" borderId="40" xfId="0" applyNumberFormat="1" applyFont="1" applyBorder="1" applyAlignment="1">
      <alignment horizontal="justify" wrapText="1"/>
    </xf>
    <xf numFmtId="31" fontId="0" fillId="0" borderId="40" xfId="0" applyNumberFormat="1" applyFont="1" applyBorder="1" applyAlignment="1">
      <alignment horizontal="justify" wrapText="1"/>
    </xf>
    <xf numFmtId="178" fontId="0" fillId="4" borderId="40" xfId="0" applyFont="1" applyFill="1" applyBorder="1" applyAlignment="1">
      <alignment horizontal="justify" wrapText="1"/>
    </xf>
    <xf numFmtId="178" fontId="0" fillId="0" borderId="40" xfId="0" applyNumberFormat="1" applyFont="1" applyBorder="1" applyAlignment="1">
      <alignment horizontal="justify" wrapText="1"/>
    </xf>
    <xf numFmtId="14" fontId="0" fillId="0" borderId="40" xfId="0" applyNumberFormat="1" applyFont="1" applyBorder="1" applyAlignment="1">
      <alignment horizontal="justify" wrapText="1"/>
    </xf>
    <xf numFmtId="178" fontId="25" fillId="0" borderId="40" xfId="0" applyFont="1" applyFill="1" applyBorder="1" applyAlignment="1">
      <alignment horizontal="justify" wrapText="1"/>
    </xf>
    <xf numFmtId="178" fontId="4" fillId="20" borderId="1" xfId="0" applyFont="1" applyFill="1" applyBorder="1" applyAlignment="1" applyProtection="1">
      <alignment horizontal="left" vertical="center"/>
    </xf>
    <xf numFmtId="178" fontId="4" fillId="20" borderId="4" xfId="0" applyFont="1" applyFill="1" applyBorder="1" applyAlignment="1" applyProtection="1">
      <alignment horizontal="left" vertical="center"/>
    </xf>
    <xf numFmtId="178" fontId="4" fillId="20" borderId="4" xfId="0" applyFont="1" applyFill="1" applyBorder="1" applyAlignment="1" applyProtection="1">
      <alignment horizontal="left" vertical="center" shrinkToFit="1"/>
    </xf>
    <xf numFmtId="178" fontId="4" fillId="20" borderId="5" xfId="0" applyFont="1" applyFill="1" applyBorder="1" applyAlignment="1" applyProtection="1">
      <alignment vertical="center"/>
    </xf>
    <xf numFmtId="178" fontId="4" fillId="20" borderId="5" xfId="0" applyFont="1" applyFill="1" applyBorder="1" applyAlignment="1" applyProtection="1">
      <alignment vertical="center" shrinkToFit="1"/>
    </xf>
    <xf numFmtId="178" fontId="4" fillId="20" borderId="4" xfId="0" applyFont="1" applyFill="1" applyBorder="1" applyAlignment="1" applyProtection="1">
      <alignment vertical="center"/>
    </xf>
    <xf numFmtId="178" fontId="4" fillId="20" borderId="5" xfId="0" applyFont="1" applyFill="1" applyBorder="1" applyAlignment="1" applyProtection="1">
      <alignment horizontal="left" vertical="center"/>
    </xf>
    <xf numFmtId="178" fontId="4" fillId="20" borderId="7" xfId="0" applyFont="1" applyFill="1" applyBorder="1" applyAlignment="1" applyProtection="1">
      <alignment horizontal="left" vertical="center"/>
    </xf>
    <xf numFmtId="178" fontId="4" fillId="20" borderId="1" xfId="0" applyFont="1" applyFill="1" applyBorder="1" applyAlignment="1" applyProtection="1">
      <alignment vertical="center"/>
    </xf>
    <xf numFmtId="178" fontId="4" fillId="20" borderId="2" xfId="0" applyFont="1" applyFill="1" applyBorder="1" applyAlignment="1" applyProtection="1">
      <alignment vertical="center"/>
    </xf>
    <xf numFmtId="178" fontId="4" fillId="20" borderId="9" xfId="0" applyFont="1" applyFill="1" applyBorder="1" applyAlignment="1" applyProtection="1">
      <alignment vertical="center"/>
    </xf>
    <xf numFmtId="178" fontId="4" fillId="20" borderId="0" xfId="0" applyFont="1" applyFill="1" applyBorder="1" applyAlignment="1" applyProtection="1">
      <alignment vertical="center"/>
    </xf>
    <xf numFmtId="178" fontId="0" fillId="0" borderId="0" xfId="0" applyFont="1" applyAlignment="1" applyProtection="1">
      <alignment vertical="center"/>
      <protection locked="0"/>
    </xf>
    <xf numFmtId="49" fontId="53" fillId="0" borderId="2" xfId="0" applyNumberFormat="1" applyFont="1" applyBorder="1" applyAlignment="1" applyProtection="1">
      <alignment horizontal="left" vertical="center"/>
      <protection locked="0"/>
    </xf>
    <xf numFmtId="49" fontId="72" fillId="0" borderId="5" xfId="0" applyNumberFormat="1" applyFont="1" applyBorder="1" applyAlignment="1" applyProtection="1">
      <alignment horizontal="left" vertical="center"/>
      <protection locked="0"/>
    </xf>
    <xf numFmtId="178" fontId="5" fillId="18" borderId="0" xfId="0" applyFont="1" applyFill="1" applyAlignment="1" applyProtection="1">
      <alignment horizontal="center" vertical="center" wrapText="1"/>
      <protection locked="0"/>
    </xf>
    <xf numFmtId="49" fontId="0" fillId="0" borderId="0" xfId="1" applyNumberFormat="1" applyFont="1" applyAlignment="1" applyProtection="1">
      <alignment vertical="center"/>
      <protection locked="0"/>
    </xf>
    <xf numFmtId="178" fontId="49" fillId="0" borderId="5" xfId="0" applyFont="1" applyBorder="1" applyAlignment="1" applyProtection="1">
      <alignment vertical="center"/>
      <protection locked="0"/>
    </xf>
    <xf numFmtId="9" fontId="0" fillId="0" borderId="0" xfId="0" applyNumberFormat="1" applyFont="1" applyAlignment="1" applyProtection="1">
      <alignment vertical="center"/>
      <protection locked="0"/>
    </xf>
    <xf numFmtId="178" fontId="0" fillId="0" borderId="0" xfId="0" applyNumberFormat="1" applyFont="1" applyAlignment="1" applyProtection="1">
      <alignment vertical="center"/>
      <protection locked="0"/>
    </xf>
    <xf numFmtId="186" fontId="6" fillId="4" borderId="5" xfId="0" applyNumberFormat="1" applyFont="1" applyFill="1" applyBorder="1" applyAlignment="1" applyProtection="1">
      <alignment horizontal="left" vertical="center"/>
      <protection locked="0"/>
    </xf>
    <xf numFmtId="188" fontId="6" fillId="4" borderId="6" xfId="0" applyNumberFormat="1" applyFont="1" applyFill="1" applyBorder="1" applyAlignment="1" applyProtection="1">
      <alignment horizontal="left" vertical="center"/>
      <protection locked="0"/>
    </xf>
    <xf numFmtId="178" fontId="0" fillId="2" borderId="0" xfId="0" applyFont="1" applyFill="1" applyAlignment="1" applyProtection="1">
      <alignment vertical="center"/>
      <protection locked="0"/>
    </xf>
    <xf numFmtId="178" fontId="53" fillId="19" borderId="5" xfId="0" applyFont="1" applyFill="1" applyBorder="1" applyAlignment="1" applyProtection="1">
      <alignment horizontal="left" vertical="center" wrapText="1"/>
      <protection locked="0"/>
    </xf>
    <xf numFmtId="49" fontId="53" fillId="19" borderId="6" xfId="0" applyNumberFormat="1" applyFont="1" applyFill="1" applyBorder="1" applyAlignment="1" applyProtection="1">
      <alignment horizontal="left" vertical="center" wrapText="1"/>
      <protection locked="0"/>
    </xf>
    <xf numFmtId="49" fontId="53" fillId="4" borderId="2" xfId="0" applyNumberFormat="1" applyFont="1" applyFill="1" applyBorder="1" applyAlignment="1" applyProtection="1">
      <alignment vertical="center" shrinkToFit="1"/>
      <protection locked="0"/>
    </xf>
    <xf numFmtId="178" fontId="0" fillId="4" borderId="0" xfId="0" applyFont="1" applyFill="1" applyAlignment="1" applyProtection="1">
      <alignment vertical="center"/>
      <protection locked="0"/>
    </xf>
    <xf numFmtId="178" fontId="6" fillId="0" borderId="0" xfId="0" applyFont="1" applyAlignment="1" applyProtection="1">
      <alignment vertical="center"/>
      <protection locked="0"/>
    </xf>
    <xf numFmtId="178" fontId="0" fillId="0" borderId="0" xfId="0" applyFont="1" applyAlignment="1" applyProtection="1">
      <alignment vertical="center" wrapText="1"/>
      <protection locked="0"/>
    </xf>
    <xf numFmtId="186" fontId="0" fillId="0" borderId="0" xfId="0" applyNumberFormat="1" applyFont="1" applyAlignment="1" applyProtection="1">
      <alignment vertical="center"/>
      <protection locked="0"/>
    </xf>
    <xf numFmtId="186" fontId="0" fillId="0" borderId="0" xfId="0" applyNumberFormat="1" applyFont="1" applyAlignment="1" applyProtection="1">
      <alignment horizontal="center" vertical="center"/>
      <protection locked="0"/>
    </xf>
    <xf numFmtId="180" fontId="71" fillId="0" borderId="0" xfId="0" applyNumberFormat="1" applyFont="1" applyBorder="1" applyAlignment="1" applyProtection="1">
      <alignment horizontal="center" vertical="center"/>
      <protection locked="0"/>
    </xf>
    <xf numFmtId="180" fontId="4" fillId="0" borderId="0" xfId="0" applyNumberFormat="1" applyFont="1" applyBorder="1" applyAlignment="1" applyProtection="1">
      <alignment horizontal="center" vertical="center"/>
      <protection locked="0"/>
    </xf>
    <xf numFmtId="178" fontId="0" fillId="0" borderId="0" xfId="0" applyProtection="1">
      <protection locked="0"/>
    </xf>
    <xf numFmtId="49" fontId="0" fillId="0" borderId="0" xfId="0" applyNumberFormat="1" applyFont="1" applyBorder="1" applyAlignment="1" applyProtection="1">
      <alignment vertical="center" wrapText="1"/>
      <protection locked="0"/>
    </xf>
    <xf numFmtId="178" fontId="53" fillId="0" borderId="5" xfId="0" applyFont="1" applyFill="1" applyBorder="1" applyAlignment="1" applyProtection="1">
      <alignment horizontal="left" vertical="center"/>
      <protection locked="0"/>
    </xf>
    <xf numFmtId="178" fontId="4" fillId="0" borderId="5" xfId="0" applyFont="1" applyBorder="1" applyAlignment="1" applyProtection="1">
      <alignment vertical="center"/>
      <protection locked="0"/>
    </xf>
    <xf numFmtId="178" fontId="0" fillId="0" borderId="5" xfId="0" applyFont="1" applyBorder="1" applyAlignment="1" applyProtection="1">
      <alignment vertical="center"/>
      <protection locked="0"/>
    </xf>
    <xf numFmtId="178" fontId="56" fillId="0" borderId="0" xfId="0" applyFont="1" applyAlignment="1" applyProtection="1">
      <alignment vertical="center"/>
      <protection locked="0"/>
    </xf>
    <xf numFmtId="178" fontId="24" fillId="0" borderId="5" xfId="0" applyNumberFormat="1" applyFont="1" applyBorder="1" applyAlignment="1" applyProtection="1">
      <alignment vertical="center" wrapText="1"/>
      <protection locked="0"/>
    </xf>
    <xf numFmtId="178" fontId="24" fillId="0" borderId="22" xfId="0" applyNumberFormat="1" applyFont="1" applyBorder="1" applyAlignment="1" applyProtection="1">
      <alignment vertical="center" wrapText="1"/>
      <protection locked="0"/>
    </xf>
    <xf numFmtId="178" fontId="57" fillId="2" borderId="5" xfId="0" applyNumberFormat="1" applyFont="1" applyFill="1" applyBorder="1" applyAlignment="1" applyProtection="1">
      <alignment vertical="center" wrapText="1"/>
      <protection locked="0"/>
    </xf>
    <xf numFmtId="178" fontId="24" fillId="0" borderId="25" xfId="0" applyNumberFormat="1" applyFont="1" applyBorder="1" applyAlignment="1" applyProtection="1">
      <alignment vertical="center" wrapText="1"/>
      <protection locked="0"/>
    </xf>
    <xf numFmtId="178" fontId="57" fillId="2" borderId="0" xfId="0" applyNumberFormat="1" applyFont="1" applyFill="1" applyAlignment="1" applyProtection="1">
      <alignment vertical="center" wrapText="1"/>
      <protection locked="0"/>
    </xf>
    <xf numFmtId="178" fontId="71" fillId="4" borderId="5" xfId="0" applyFont="1" applyFill="1" applyBorder="1" applyAlignment="1" applyProtection="1">
      <alignment horizontal="left" vertical="center"/>
      <protection locked="0"/>
    </xf>
    <xf numFmtId="178" fontId="71" fillId="4" borderId="5" xfId="0" applyFont="1" applyFill="1" applyBorder="1" applyAlignment="1" applyProtection="1">
      <alignment vertical="center" shrinkToFit="1"/>
      <protection locked="0"/>
    </xf>
    <xf numFmtId="49" fontId="72" fillId="4" borderId="2" xfId="0" applyNumberFormat="1" applyFont="1" applyFill="1" applyBorder="1" applyAlignment="1" applyProtection="1">
      <alignment vertical="center" shrinkToFit="1"/>
      <protection locked="0"/>
    </xf>
    <xf numFmtId="178" fontId="0" fillId="0" borderId="0" xfId="0" applyFont="1" applyAlignment="1" applyProtection="1">
      <alignment horizontal="center" vertical="center"/>
      <protection locked="0"/>
    </xf>
    <xf numFmtId="178" fontId="4" fillId="20" borderId="0" xfId="0" applyFont="1" applyFill="1" applyAlignment="1" applyProtection="1">
      <alignment vertical="center"/>
    </xf>
    <xf numFmtId="178" fontId="71" fillId="4" borderId="4" xfId="0" applyFont="1" applyFill="1" applyBorder="1" applyAlignment="1" applyProtection="1">
      <alignment vertical="center"/>
      <protection locked="0"/>
    </xf>
    <xf numFmtId="178" fontId="71" fillId="4" borderId="4" xfId="0" applyFont="1" applyFill="1" applyBorder="1" applyAlignment="1" applyProtection="1">
      <alignment horizontal="left" vertical="center"/>
      <protection locked="0"/>
    </xf>
    <xf numFmtId="178" fontId="71" fillId="4" borderId="4" xfId="0" applyFont="1" applyFill="1" applyBorder="1" applyAlignment="1" applyProtection="1">
      <alignment horizontal="left" vertical="center" shrinkToFit="1"/>
      <protection locked="0"/>
    </xf>
    <xf numFmtId="180" fontId="6" fillId="20" borderId="2" xfId="0" applyNumberFormat="1" applyFont="1" applyFill="1" applyBorder="1" applyAlignment="1" applyProtection="1">
      <alignment horizontal="right" vertical="center"/>
    </xf>
    <xf numFmtId="181" fontId="6" fillId="20" borderId="3" xfId="0" applyNumberFormat="1" applyFont="1" applyFill="1" applyBorder="1" applyAlignment="1" applyProtection="1">
      <alignment horizontal="right" vertical="center"/>
    </xf>
    <xf numFmtId="49" fontId="73" fillId="0" borderId="5" xfId="0" applyNumberFormat="1" applyFont="1" applyBorder="1" applyAlignment="1" applyProtection="1">
      <alignment horizontal="center" vertical="center" shrinkToFit="1"/>
      <protection locked="0"/>
    </xf>
    <xf numFmtId="178" fontId="75" fillId="4" borderId="5" xfId="0" applyFont="1" applyFill="1" applyBorder="1" applyAlignment="1" applyProtection="1">
      <alignment horizontal="center"/>
      <protection locked="0"/>
    </xf>
    <xf numFmtId="178" fontId="75" fillId="4" borderId="5" xfId="0" applyFont="1" applyFill="1" applyBorder="1" applyProtection="1">
      <protection locked="0"/>
    </xf>
    <xf numFmtId="9" fontId="73" fillId="0" borderId="5" xfId="0" applyNumberFormat="1" applyFont="1" applyBorder="1" applyAlignment="1" applyProtection="1">
      <alignment horizontal="center" vertical="center" shrinkToFit="1"/>
      <protection locked="0"/>
    </xf>
    <xf numFmtId="178" fontId="0" fillId="0" borderId="0" xfId="0" applyAlignment="1" applyProtection="1">
      <protection locked="0"/>
    </xf>
    <xf numFmtId="178" fontId="75" fillId="4" borderId="5" xfId="0" applyFont="1" applyFill="1" applyBorder="1" applyAlignment="1" applyProtection="1">
      <alignment wrapText="1" shrinkToFit="1"/>
      <protection locked="0"/>
    </xf>
    <xf numFmtId="178" fontId="0" fillId="0" borderId="0" xfId="0" applyFont="1" applyBorder="1" applyAlignment="1" applyProtection="1">
      <alignment wrapText="1" shrinkToFit="1"/>
      <protection locked="0"/>
    </xf>
    <xf numFmtId="178" fontId="75" fillId="4" borderId="8" xfId="0" applyFont="1" applyFill="1" applyBorder="1" applyAlignment="1" applyProtection="1">
      <alignment wrapText="1" shrinkToFit="1"/>
      <protection locked="0"/>
    </xf>
    <xf numFmtId="178" fontId="0" fillId="0" borderId="5" xfId="0" applyBorder="1" applyProtection="1">
      <protection locked="0"/>
    </xf>
    <xf numFmtId="178" fontId="0" fillId="0" borderId="5" xfId="0" applyFont="1" applyBorder="1" applyProtection="1">
      <protection locked="0"/>
    </xf>
    <xf numFmtId="178" fontId="0" fillId="0" borderId="5" xfId="0" applyFill="1" applyBorder="1" applyProtection="1">
      <protection locked="0"/>
    </xf>
    <xf numFmtId="178" fontId="0" fillId="0" borderId="5" xfId="0" applyFont="1" applyFill="1" applyBorder="1" applyProtection="1">
      <protection locked="0"/>
    </xf>
    <xf numFmtId="178" fontId="0" fillId="0" borderId="0" xfId="0" applyFill="1" applyBorder="1" applyProtection="1">
      <protection locked="0"/>
    </xf>
    <xf numFmtId="178" fontId="0" fillId="0" borderId="0" xfId="0" applyFont="1" applyProtection="1">
      <protection locked="0"/>
    </xf>
    <xf numFmtId="178" fontId="0" fillId="0" borderId="0" xfId="0" applyFont="1" applyBorder="1" applyProtection="1">
      <protection locked="0"/>
    </xf>
    <xf numFmtId="178" fontId="0" fillId="0" borderId="0" xfId="0" applyFont="1" applyFill="1" applyBorder="1" applyProtection="1">
      <protection locked="0"/>
    </xf>
    <xf numFmtId="178" fontId="0" fillId="0" borderId="0" xfId="0" applyBorder="1" applyProtection="1">
      <protection locked="0"/>
    </xf>
    <xf numFmtId="178" fontId="49" fillId="0" borderId="0" xfId="0" applyFont="1" applyBorder="1" applyProtection="1">
      <protection locked="0"/>
    </xf>
    <xf numFmtId="178" fontId="23" fillId="0" borderId="0" xfId="0" applyNumberFormat="1" applyFont="1" applyAlignment="1" applyProtection="1">
      <alignment wrapText="1"/>
      <protection locked="0"/>
    </xf>
    <xf numFmtId="178" fontId="77" fillId="0" borderId="5" xfId="0" applyNumberFormat="1" applyFont="1" applyFill="1" applyBorder="1" applyAlignment="1" applyProtection="1">
      <alignment wrapText="1"/>
      <protection locked="0"/>
    </xf>
    <xf numFmtId="178" fontId="10" fillId="0" borderId="0" xfId="0" applyFont="1" applyBorder="1" applyAlignment="1" applyProtection="1">
      <alignment vertical="center" wrapText="1"/>
      <protection locked="0"/>
    </xf>
    <xf numFmtId="183" fontId="0" fillId="0" borderId="0" xfId="0" applyNumberFormat="1" applyProtection="1">
      <protection locked="0"/>
    </xf>
    <xf numFmtId="178" fontId="12" fillId="20" borderId="5" xfId="0" applyFont="1" applyFill="1" applyBorder="1" applyAlignment="1" applyProtection="1">
      <alignment horizontal="center" vertical="center" shrinkToFit="1"/>
    </xf>
    <xf numFmtId="178" fontId="24" fillId="20" borderId="5" xfId="0" applyFont="1" applyFill="1" applyBorder="1" applyProtection="1"/>
    <xf numFmtId="178" fontId="24" fillId="20" borderId="5" xfId="0" applyFont="1" applyFill="1" applyBorder="1" applyAlignment="1" applyProtection="1">
      <alignment wrapText="1" shrinkToFit="1"/>
    </xf>
    <xf numFmtId="178" fontId="24" fillId="20" borderId="8" xfId="0" applyFont="1" applyFill="1" applyBorder="1" applyAlignment="1" applyProtection="1">
      <alignment wrapText="1" shrinkToFit="1"/>
    </xf>
    <xf numFmtId="178" fontId="23" fillId="20" borderId="5" xfId="0" applyNumberFormat="1" applyFont="1" applyFill="1" applyBorder="1" applyAlignment="1" applyProtection="1">
      <alignment wrapText="1"/>
    </xf>
    <xf numFmtId="0" fontId="37" fillId="0" borderId="0" xfId="0" applyNumberFormat="1" applyFont="1" applyFill="1" applyBorder="1" applyAlignment="1" applyProtection="1">
      <alignment horizontal="right"/>
      <protection locked="0"/>
    </xf>
    <xf numFmtId="0" fontId="38" fillId="0" borderId="0" xfId="0" applyNumberFormat="1" applyFont="1" applyFill="1" applyBorder="1" applyAlignment="1" applyProtection="1">
      <protection locked="0"/>
    </xf>
    <xf numFmtId="0" fontId="38" fillId="7" borderId="0" xfId="0" applyNumberFormat="1" applyFont="1" applyFill="1" applyBorder="1" applyAlignment="1" applyProtection="1">
      <protection locked="0"/>
    </xf>
    <xf numFmtId="0" fontId="39" fillId="7" borderId="0" xfId="0" applyNumberFormat="1" applyFont="1" applyFill="1" applyBorder="1" applyAlignment="1" applyProtection="1">
      <protection locked="0"/>
    </xf>
    <xf numFmtId="0" fontId="38" fillId="15" borderId="0" xfId="0" applyNumberFormat="1" applyFont="1" applyFill="1" applyBorder="1" applyAlignment="1" applyProtection="1">
      <protection locked="0"/>
    </xf>
    <xf numFmtId="0" fontId="41" fillId="0" borderId="0" xfId="0" applyNumberFormat="1" applyFont="1" applyFill="1" applyBorder="1" applyAlignment="1" applyProtection="1">
      <protection locked="0"/>
    </xf>
    <xf numFmtId="0" fontId="38" fillId="12" borderId="0" xfId="0" applyNumberFormat="1" applyFont="1" applyFill="1" applyBorder="1" applyAlignment="1" applyProtection="1">
      <protection locked="0"/>
    </xf>
    <xf numFmtId="0" fontId="38" fillId="11" borderId="5" xfId="0" applyNumberFormat="1" applyFont="1" applyFill="1" applyBorder="1" applyAlignment="1" applyProtection="1">
      <alignment horizontal="center"/>
      <protection locked="0"/>
    </xf>
    <xf numFmtId="0" fontId="78" fillId="4" borderId="5" xfId="0" applyNumberFormat="1" applyFont="1" applyFill="1" applyBorder="1" applyAlignment="1" applyProtection="1">
      <alignment horizontal="center" vertical="center" wrapText="1"/>
      <protection locked="0"/>
    </xf>
    <xf numFmtId="180" fontId="38" fillId="8" borderId="5" xfId="0" applyNumberFormat="1" applyFont="1" applyFill="1" applyBorder="1" applyAlignment="1" applyProtection="1">
      <alignment horizontal="center"/>
      <protection locked="0"/>
    </xf>
    <xf numFmtId="0" fontId="78" fillId="4" borderId="5" xfId="0" applyNumberFormat="1" applyFont="1" applyFill="1" applyBorder="1" applyAlignment="1" applyProtection="1">
      <alignment horizontal="center"/>
      <protection locked="0"/>
    </xf>
    <xf numFmtId="0" fontId="38" fillId="0" borderId="0" xfId="0" applyNumberFormat="1" applyFont="1" applyFill="1" applyBorder="1" applyAlignment="1" applyProtection="1">
      <alignment horizontal="center" vertical="center" wrapText="1"/>
      <protection locked="0"/>
    </xf>
    <xf numFmtId="179" fontId="78" fillId="4" borderId="5" xfId="0" applyNumberFormat="1" applyFont="1" applyFill="1" applyBorder="1" applyAlignment="1" applyProtection="1">
      <alignment horizontal="center"/>
      <protection locked="0"/>
    </xf>
    <xf numFmtId="0" fontId="38" fillId="16" borderId="5" xfId="0" applyNumberFormat="1" applyFont="1" applyFill="1" applyBorder="1" applyAlignment="1" applyProtection="1">
      <alignment horizontal="center" vertical="center"/>
      <protection locked="0"/>
    </xf>
    <xf numFmtId="0" fontId="38" fillId="8" borderId="5" xfId="0" applyNumberFormat="1" applyFont="1" applyFill="1" applyBorder="1" applyAlignment="1" applyProtection="1">
      <alignment horizontal="center" vertical="center" wrapText="1"/>
      <protection locked="0"/>
    </xf>
    <xf numFmtId="57" fontId="38" fillId="8" borderId="5" xfId="0" applyNumberFormat="1" applyFont="1" applyFill="1" applyBorder="1" applyAlignment="1" applyProtection="1">
      <alignment horizontal="center" vertical="center" wrapText="1"/>
      <protection locked="0"/>
    </xf>
    <xf numFmtId="14" fontId="78" fillId="4" borderId="5" xfId="0" applyNumberFormat="1" applyFont="1" applyFill="1" applyBorder="1" applyAlignment="1" applyProtection="1">
      <alignment horizontal="center" vertical="center" wrapText="1"/>
      <protection locked="0"/>
    </xf>
    <xf numFmtId="0" fontId="38" fillId="15" borderId="5" xfId="0" applyNumberFormat="1" applyFont="1" applyFill="1" applyBorder="1" applyAlignment="1" applyProtection="1">
      <alignment horizontal="center" vertical="center" wrapText="1"/>
      <protection locked="0"/>
    </xf>
    <xf numFmtId="0" fontId="38" fillId="10" borderId="33" xfId="0" applyNumberFormat="1" applyFont="1" applyFill="1" applyBorder="1" applyAlignment="1" applyProtection="1">
      <alignment horizontal="center" vertical="center" wrapText="1"/>
      <protection locked="0"/>
    </xf>
    <xf numFmtId="0" fontId="38" fillId="10" borderId="0" xfId="0" applyNumberFormat="1" applyFont="1" applyFill="1" applyBorder="1" applyAlignment="1" applyProtection="1">
      <alignment horizontal="center" vertical="center" wrapText="1"/>
      <protection locked="0"/>
    </xf>
    <xf numFmtId="0" fontId="38" fillId="0" borderId="0" xfId="0" applyNumberFormat="1" applyFont="1" applyFill="1" applyBorder="1" applyAlignment="1" applyProtection="1">
      <alignment horizontal="left" vertical="center" wrapText="1"/>
      <protection locked="0"/>
    </xf>
    <xf numFmtId="0" fontId="38" fillId="0" borderId="0" xfId="0" applyNumberFormat="1" applyFont="1" applyFill="1" applyAlignment="1" applyProtection="1">
      <protection locked="0"/>
    </xf>
    <xf numFmtId="0" fontId="45" fillId="0" borderId="0" xfId="0" applyNumberFormat="1" applyFont="1" applyFill="1" applyBorder="1" applyAlignment="1" applyProtection="1">
      <alignment horizontal="center" vertical="center"/>
      <protection locked="0"/>
    </xf>
    <xf numFmtId="0" fontId="41" fillId="7" borderId="0" xfId="0" applyNumberFormat="1" applyFont="1" applyFill="1" applyBorder="1" applyAlignment="1" applyProtection="1">
      <protection locked="0"/>
    </xf>
    <xf numFmtId="0" fontId="38" fillId="0" borderId="0" xfId="0" applyNumberFormat="1" applyFont="1" applyFill="1" applyBorder="1" applyAlignment="1" applyProtection="1">
      <alignment vertical="center" wrapText="1"/>
      <protection locked="0"/>
    </xf>
    <xf numFmtId="0" fontId="37" fillId="0" borderId="0" xfId="0" applyNumberFormat="1" applyFont="1" applyFill="1" applyBorder="1" applyAlignment="1" applyProtection="1">
      <alignment horizontal="right" vertical="center" wrapText="1"/>
      <protection locked="0"/>
    </xf>
    <xf numFmtId="0" fontId="16" fillId="12" borderId="5" xfId="0" applyNumberFormat="1" applyFont="1" applyFill="1" applyBorder="1" applyAlignment="1" applyProtection="1">
      <alignment horizontal="left" vertical="center"/>
      <protection locked="0"/>
    </xf>
    <xf numFmtId="0" fontId="79" fillId="10" borderId="5" xfId="0" applyNumberFormat="1" applyFont="1" applyFill="1" applyBorder="1" applyAlignment="1" applyProtection="1">
      <alignment horizontal="center" vertical="center" wrapText="1"/>
      <protection locked="0"/>
    </xf>
    <xf numFmtId="0" fontId="38" fillId="12" borderId="0" xfId="0" applyNumberFormat="1" applyFont="1" applyFill="1" applyBorder="1" applyAlignment="1" applyProtection="1">
      <alignment horizontal="center" vertical="center"/>
      <protection locked="0"/>
    </xf>
    <xf numFmtId="0" fontId="38" fillId="14" borderId="0" xfId="0" applyNumberFormat="1" applyFont="1" applyFill="1" applyBorder="1" applyAlignment="1" applyProtection="1">
      <protection locked="0"/>
    </xf>
    <xf numFmtId="0" fontId="37" fillId="12" borderId="5" xfId="0" applyNumberFormat="1" applyFont="1" applyFill="1" applyBorder="1" applyAlignment="1" applyProtection="1">
      <alignment horizontal="left" vertical="center"/>
      <protection locked="0"/>
    </xf>
    <xf numFmtId="0" fontId="78" fillId="4" borderId="5" xfId="0" applyNumberFormat="1" applyFont="1" applyFill="1" applyBorder="1" applyAlignment="1" applyProtection="1">
      <alignment horizontal="center" vertical="center"/>
      <protection locked="0"/>
    </xf>
    <xf numFmtId="0" fontId="16" fillId="12" borderId="5" xfId="0" applyNumberFormat="1" applyFont="1" applyFill="1" applyBorder="1" applyAlignment="1" applyProtection="1">
      <alignment horizontal="left" vertical="center" wrapText="1"/>
      <protection locked="0"/>
    </xf>
    <xf numFmtId="0" fontId="38" fillId="15" borderId="0" xfId="0" applyNumberFormat="1" applyFont="1" applyFill="1" applyBorder="1" applyAlignment="1" applyProtection="1">
      <alignment horizontal="center" vertical="center"/>
      <protection locked="0"/>
    </xf>
    <xf numFmtId="0" fontId="79" fillId="21" borderId="5" xfId="0" applyNumberFormat="1" applyFont="1" applyFill="1" applyBorder="1" applyAlignment="1" applyProtection="1">
      <alignment horizontal="center" vertical="center" wrapText="1"/>
      <protection locked="0"/>
    </xf>
    <xf numFmtId="0" fontId="38" fillId="8" borderId="0" xfId="0" applyNumberFormat="1" applyFont="1" applyFill="1" applyBorder="1" applyAlignment="1" applyProtection="1">
      <protection locked="0"/>
    </xf>
    <xf numFmtId="0" fontId="16" fillId="8" borderId="5" xfId="0" applyNumberFormat="1" applyFont="1" applyFill="1" applyBorder="1" applyAlignment="1" applyProtection="1">
      <alignment horizontal="left" vertical="center"/>
      <protection locked="0"/>
    </xf>
    <xf numFmtId="0" fontId="80" fillId="10" borderId="5" xfId="0" applyNumberFormat="1" applyFont="1" applyFill="1" applyBorder="1" applyAlignment="1" applyProtection="1">
      <alignment horizontal="center" vertical="center" wrapText="1"/>
      <protection locked="0"/>
    </xf>
    <xf numFmtId="181" fontId="37" fillId="0" borderId="0" xfId="0" applyNumberFormat="1" applyFont="1" applyFill="1" applyBorder="1" applyAlignment="1" applyProtection="1">
      <alignment horizontal="right"/>
      <protection locked="0"/>
    </xf>
    <xf numFmtId="181" fontId="38" fillId="0" borderId="0" xfId="0" applyNumberFormat="1" applyFont="1" applyFill="1" applyBorder="1" applyAlignment="1" applyProtection="1">
      <alignment horizontal="left" vertical="center" wrapText="1"/>
      <protection locked="0"/>
    </xf>
    <xf numFmtId="181" fontId="38" fillId="0" borderId="0" xfId="0" applyNumberFormat="1" applyFont="1" applyFill="1" applyBorder="1" applyAlignment="1" applyProtection="1">
      <protection locked="0"/>
    </xf>
    <xf numFmtId="181" fontId="16" fillId="8" borderId="0" xfId="0" applyNumberFormat="1" applyFont="1" applyFill="1" applyBorder="1" applyAlignment="1" applyProtection="1">
      <protection locked="0"/>
    </xf>
    <xf numFmtId="0" fontId="16" fillId="8" borderId="0" xfId="0" applyNumberFormat="1" applyFont="1" applyFill="1" applyBorder="1" applyAlignment="1" applyProtection="1">
      <protection locked="0"/>
    </xf>
    <xf numFmtId="0" fontId="46" fillId="0" borderId="5" xfId="0" applyNumberFormat="1" applyFont="1" applyFill="1" applyBorder="1" applyAlignment="1" applyProtection="1">
      <protection locked="0"/>
    </xf>
    <xf numFmtId="0" fontId="46" fillId="15" borderId="5" xfId="0" applyNumberFormat="1" applyFont="1" applyFill="1" applyBorder="1" applyAlignment="1" applyProtection="1">
      <alignment horizontal="center" vertical="center"/>
      <protection locked="0"/>
    </xf>
    <xf numFmtId="0" fontId="46" fillId="9" borderId="5" xfId="0" applyNumberFormat="1" applyFont="1" applyFill="1" applyBorder="1" applyAlignment="1" applyProtection="1">
      <alignment horizontal="center" vertical="center"/>
      <protection locked="0"/>
    </xf>
    <xf numFmtId="0" fontId="46" fillId="0" borderId="5" xfId="0" applyNumberFormat="1" applyFont="1" applyFill="1" applyBorder="1" applyAlignment="1" applyProtection="1">
      <alignment horizontal="center" vertical="center"/>
      <protection locked="0"/>
    </xf>
    <xf numFmtId="0" fontId="72" fillId="4" borderId="5" xfId="0" applyNumberFormat="1" applyFont="1" applyFill="1" applyBorder="1" applyAlignment="1" applyProtection="1">
      <alignment horizontal="center" vertical="center"/>
      <protection locked="0"/>
    </xf>
    <xf numFmtId="0" fontId="46" fillId="0" borderId="0" xfId="0" applyNumberFormat="1" applyFont="1" applyFill="1" applyBorder="1" applyAlignment="1" applyProtection="1">
      <protection locked="0"/>
    </xf>
    <xf numFmtId="0" fontId="46" fillId="0" borderId="0" xfId="0" applyNumberFormat="1" applyFont="1" applyFill="1" applyBorder="1" applyAlignment="1" applyProtection="1">
      <alignment horizontal="center" vertical="center"/>
      <protection locked="0"/>
    </xf>
    <xf numFmtId="0" fontId="45" fillId="8" borderId="0" xfId="0" applyNumberFormat="1" applyFont="1" applyFill="1" applyBorder="1" applyAlignment="1" applyProtection="1">
      <alignment horizontal="left" vertical="center" wrapText="1"/>
      <protection locked="0"/>
    </xf>
    <xf numFmtId="0" fontId="45" fillId="17" borderId="0" xfId="0" applyNumberFormat="1" applyFont="1" applyFill="1" applyBorder="1" applyAlignment="1" applyProtection="1">
      <alignment horizontal="left" vertical="center" wrapText="1"/>
      <protection locked="0"/>
    </xf>
    <xf numFmtId="0" fontId="37" fillId="8" borderId="5" xfId="0" applyNumberFormat="1" applyFont="1" applyFill="1" applyBorder="1" applyAlignment="1" applyProtection="1">
      <alignment horizontal="center" vertical="center" wrapText="1"/>
    </xf>
    <xf numFmtId="0" fontId="44" fillId="8" borderId="5" xfId="0" applyNumberFormat="1" applyFont="1" applyFill="1" applyBorder="1" applyAlignment="1" applyProtection="1">
      <alignment horizontal="center" vertical="center" wrapText="1"/>
    </xf>
    <xf numFmtId="0" fontId="16" fillId="11" borderId="5" xfId="0" applyNumberFormat="1" applyFont="1" applyFill="1" applyBorder="1" applyAlignment="1" applyProtection="1">
      <alignment horizontal="center" vertical="center" wrapText="1"/>
    </xf>
    <xf numFmtId="179" fontId="16" fillId="8" borderId="5" xfId="0" applyNumberFormat="1" applyFont="1" applyFill="1" applyBorder="1" applyAlignment="1" applyProtection="1">
      <alignment horizontal="center" vertical="center" wrapText="1"/>
    </xf>
    <xf numFmtId="0" fontId="16" fillId="13" borderId="53" xfId="0" applyNumberFormat="1" applyFont="1" applyFill="1" applyBorder="1" applyAlignment="1" applyProtection="1">
      <alignment horizontal="center" vertical="center" wrapText="1"/>
    </xf>
    <xf numFmtId="178" fontId="16" fillId="8" borderId="5" xfId="0" applyNumberFormat="1" applyFont="1" applyFill="1" applyBorder="1" applyAlignment="1" applyProtection="1">
      <alignment horizontal="center" vertical="center" wrapText="1"/>
    </xf>
    <xf numFmtId="14" fontId="16" fillId="20" borderId="5" xfId="0" applyNumberFormat="1" applyFont="1" applyFill="1" applyBorder="1" applyAlignment="1" applyProtection="1">
      <alignment horizontal="center" vertical="center" wrapText="1"/>
    </xf>
    <xf numFmtId="14" fontId="16" fillId="8" borderId="5" xfId="0" applyNumberFormat="1" applyFont="1" applyFill="1" applyBorder="1" applyAlignment="1" applyProtection="1">
      <alignment horizontal="center" vertical="center" wrapText="1"/>
    </xf>
    <xf numFmtId="0" fontId="16" fillId="8" borderId="5" xfId="0" applyNumberFormat="1" applyFont="1" applyFill="1" applyBorder="1" applyAlignment="1" applyProtection="1">
      <alignment horizontal="center" vertical="center" wrapText="1"/>
    </xf>
    <xf numFmtId="185" fontId="42" fillId="8" borderId="5" xfId="0" applyNumberFormat="1" applyFont="1" applyFill="1" applyBorder="1" applyAlignment="1" applyProtection="1">
      <alignment horizontal="center" vertical="center" wrapText="1"/>
    </xf>
    <xf numFmtId="0" fontId="16" fillId="8" borderId="5" xfId="0" applyNumberFormat="1" applyFont="1" applyFill="1" applyBorder="1" applyAlignment="1" applyProtection="1">
      <alignment horizontal="center" vertical="center"/>
    </xf>
    <xf numFmtId="0" fontId="16" fillId="14" borderId="5" xfId="0" applyNumberFormat="1" applyFont="1" applyFill="1" applyBorder="1" applyAlignment="1" applyProtection="1">
      <alignment horizontal="left" vertical="center" wrapText="1"/>
    </xf>
    <xf numFmtId="0" fontId="37" fillId="14" borderId="5" xfId="0" applyNumberFormat="1" applyFont="1" applyFill="1" applyBorder="1" applyAlignment="1" applyProtection="1">
      <alignment horizontal="left" vertical="center" wrapText="1"/>
    </xf>
    <xf numFmtId="0" fontId="44" fillId="14" borderId="5" xfId="0" applyNumberFormat="1" applyFont="1" applyFill="1" applyBorder="1" applyAlignment="1" applyProtection="1">
      <alignment horizontal="left" vertical="center" wrapText="1"/>
    </xf>
    <xf numFmtId="181" fontId="16" fillId="8" borderId="5" xfId="0" applyNumberFormat="1" applyFont="1" applyFill="1" applyBorder="1" applyAlignment="1" applyProtection="1">
      <alignment horizontal="center" vertical="center"/>
    </xf>
    <xf numFmtId="0" fontId="38" fillId="0" borderId="0" xfId="0" applyNumberFormat="1" applyFont="1" applyFill="1" applyBorder="1" applyAlignment="1" applyProtection="1">
      <alignment vertical="center" wrapText="1"/>
    </xf>
    <xf numFmtId="181" fontId="38" fillId="0" borderId="0" xfId="0" applyNumberFormat="1" applyFont="1" applyFill="1" applyBorder="1" applyAlignment="1" applyProtection="1"/>
    <xf numFmtId="185" fontId="16" fillId="14" borderId="5" xfId="0" applyNumberFormat="1" applyFont="1" applyFill="1" applyBorder="1" applyAlignment="1" applyProtection="1">
      <alignment horizontal="center" vertical="center"/>
    </xf>
    <xf numFmtId="0" fontId="38" fillId="0" borderId="0" xfId="0" applyNumberFormat="1" applyFont="1" applyFill="1" applyBorder="1" applyAlignment="1" applyProtection="1"/>
    <xf numFmtId="0" fontId="38" fillId="20" borderId="0" xfId="0" applyNumberFormat="1" applyFont="1" applyFill="1" applyBorder="1" applyAlignment="1" applyProtection="1"/>
    <xf numFmtId="180" fontId="38" fillId="20" borderId="0" xfId="0" applyNumberFormat="1" applyFont="1" applyFill="1" applyBorder="1" applyAlignment="1" applyProtection="1"/>
    <xf numFmtId="0" fontId="46" fillId="8" borderId="5" xfId="0" applyNumberFormat="1" applyFont="1" applyFill="1" applyBorder="1" applyAlignment="1" applyProtection="1">
      <alignment horizontal="center" vertical="center"/>
    </xf>
    <xf numFmtId="0" fontId="46" fillId="0" borderId="0" xfId="0" applyNumberFormat="1" applyFont="1" applyFill="1" applyBorder="1" applyAlignment="1" applyProtection="1">
      <alignment horizontal="center" vertical="center"/>
    </xf>
    <xf numFmtId="183" fontId="46" fillId="8" borderId="5" xfId="0" applyNumberFormat="1" applyFont="1" applyFill="1" applyBorder="1" applyAlignment="1" applyProtection="1">
      <alignment horizontal="center" vertical="center"/>
    </xf>
    <xf numFmtId="183" fontId="0" fillId="8" borderId="5" xfId="0" applyNumberFormat="1" applyFont="1" applyFill="1" applyBorder="1" applyAlignment="1" applyProtection="1">
      <alignment horizontal="center" vertical="center"/>
    </xf>
    <xf numFmtId="0" fontId="47" fillId="8" borderId="5" xfId="0" applyNumberFormat="1" applyFont="1" applyFill="1" applyBorder="1" applyAlignment="1" applyProtection="1">
      <alignment horizontal="center" vertical="center"/>
    </xf>
    <xf numFmtId="0" fontId="48" fillId="8" borderId="5" xfId="0" applyNumberFormat="1" applyFont="1" applyFill="1" applyBorder="1" applyAlignment="1" applyProtection="1">
      <alignment horizontal="center" vertical="center"/>
    </xf>
    <xf numFmtId="0" fontId="48" fillId="8" borderId="5" xfId="0" applyNumberFormat="1" applyFont="1" applyFill="1" applyBorder="1" applyAlignment="1" applyProtection="1"/>
    <xf numFmtId="0" fontId="0" fillId="8" borderId="5" xfId="0" applyNumberFormat="1" applyFont="1" applyFill="1" applyBorder="1" applyAlignment="1" applyProtection="1">
      <alignment horizontal="center" vertical="center"/>
    </xf>
    <xf numFmtId="179" fontId="38" fillId="8" borderId="5" xfId="0" applyNumberFormat="1" applyFont="1" applyFill="1" applyBorder="1" applyAlignment="1" applyProtection="1">
      <alignment horizontal="center" vertical="center" wrapText="1"/>
    </xf>
    <xf numFmtId="0" fontId="38" fillId="8" borderId="5" xfId="0" applyNumberFormat="1" applyFont="1" applyFill="1" applyBorder="1" applyAlignment="1" applyProtection="1">
      <alignment horizontal="center" vertical="center"/>
    </xf>
    <xf numFmtId="0" fontId="16" fillId="8" borderId="5" xfId="0" applyNumberFormat="1" applyFont="1" applyFill="1" applyBorder="1" applyAlignment="1" applyProtection="1">
      <alignment horizontal="center"/>
    </xf>
    <xf numFmtId="0" fontId="42" fillId="8" borderId="5" xfId="0" applyNumberFormat="1" applyFont="1" applyFill="1" applyBorder="1" applyAlignment="1" applyProtection="1">
      <alignment horizontal="center"/>
    </xf>
    <xf numFmtId="178" fontId="3" fillId="0" borderId="0" xfId="0" applyFont="1" applyAlignment="1" applyProtection="1">
      <alignment vertical="center"/>
      <protection locked="0"/>
    </xf>
    <xf numFmtId="178" fontId="18" fillId="0" borderId="0" xfId="0" applyFont="1" applyAlignment="1" applyProtection="1">
      <alignment horizontal="center" vertical="center"/>
      <protection locked="0"/>
    </xf>
    <xf numFmtId="178" fontId="22" fillId="0" borderId="0" xfId="0" applyFont="1" applyBorder="1" applyAlignment="1" applyProtection="1">
      <alignment horizontal="center" vertical="center"/>
      <protection locked="0"/>
    </xf>
    <xf numFmtId="178" fontId="21" fillId="0" borderId="0" xfId="0" applyFont="1" applyBorder="1" applyAlignment="1" applyProtection="1">
      <alignment horizontal="left" vertical="center" shrinkToFit="1"/>
      <protection locked="0"/>
    </xf>
    <xf numFmtId="178" fontId="21" fillId="0" borderId="0" xfId="0" applyFont="1" applyBorder="1" applyAlignment="1" applyProtection="1">
      <alignment horizontal="left" vertical="center" wrapText="1" shrinkToFit="1"/>
      <protection locked="0"/>
    </xf>
    <xf numFmtId="185" fontId="3" fillId="0" borderId="0" xfId="0" applyNumberFormat="1" applyFont="1" applyAlignment="1" applyProtection="1">
      <alignment vertical="center"/>
      <protection locked="0"/>
    </xf>
    <xf numFmtId="185" fontId="9" fillId="0" borderId="0" xfId="0" applyNumberFormat="1" applyFont="1" applyFill="1" applyBorder="1" applyAlignment="1" applyProtection="1">
      <alignment horizontal="center" vertical="center" shrinkToFit="1"/>
      <protection locked="0"/>
    </xf>
    <xf numFmtId="178" fontId="21" fillId="0" borderId="0" xfId="0" applyFont="1" applyBorder="1" applyAlignment="1" applyProtection="1">
      <alignment horizontal="left" vertical="center"/>
      <protection locked="0"/>
    </xf>
    <xf numFmtId="180" fontId="12" fillId="0" borderId="0" xfId="0" applyNumberFormat="1" applyFont="1" applyFill="1" applyBorder="1" applyAlignment="1" applyProtection="1">
      <alignment vertical="center" shrinkToFit="1"/>
      <protection locked="0"/>
    </xf>
    <xf numFmtId="178" fontId="19" fillId="0" borderId="5" xfId="0" applyFont="1" applyBorder="1" applyAlignment="1" applyProtection="1">
      <alignment horizontal="center" vertical="center" shrinkToFit="1"/>
      <protection locked="0"/>
    </xf>
    <xf numFmtId="178" fontId="19" fillId="0" borderId="8" xfId="0" applyFont="1" applyBorder="1" applyAlignment="1" applyProtection="1">
      <alignment horizontal="center" vertical="center" shrinkToFit="1"/>
      <protection locked="0"/>
    </xf>
    <xf numFmtId="178" fontId="3" fillId="6" borderId="0" xfId="0" applyFont="1" applyFill="1" applyAlignment="1" applyProtection="1">
      <alignment vertical="center"/>
      <protection locked="0"/>
    </xf>
    <xf numFmtId="178" fontId="3" fillId="0" borderId="0" xfId="0" applyFont="1" applyFill="1" applyAlignment="1" applyProtection="1">
      <alignment vertical="center"/>
      <protection locked="0"/>
    </xf>
    <xf numFmtId="178" fontId="9" fillId="0" borderId="0" xfId="0" applyFont="1" applyAlignment="1" applyProtection="1">
      <alignment vertical="top"/>
      <protection locked="0"/>
    </xf>
    <xf numFmtId="178" fontId="26" fillId="0" borderId="0" xfId="0" applyFont="1" applyFill="1" applyAlignment="1" applyProtection="1">
      <alignment horizontal="left" vertical="top" wrapText="1"/>
      <protection locked="0"/>
    </xf>
    <xf numFmtId="178" fontId="3" fillId="0" borderId="0" xfId="0" applyFont="1" applyAlignment="1" applyProtection="1">
      <alignment vertical="top"/>
      <protection locked="0"/>
    </xf>
    <xf numFmtId="178" fontId="29" fillId="0" borderId="0" xfId="0" applyFont="1" applyFill="1" applyAlignment="1" applyProtection="1">
      <alignment horizontal="left" vertical="top" wrapText="1"/>
      <protection locked="0"/>
    </xf>
    <xf numFmtId="178" fontId="3" fillId="0" borderId="0" xfId="0" applyFont="1" applyFill="1" applyAlignment="1" applyProtection="1">
      <alignment vertical="top"/>
      <protection locked="0"/>
    </xf>
    <xf numFmtId="177" fontId="17" fillId="0" borderId="0" xfId="0" applyNumberFormat="1" applyFont="1" applyAlignment="1" applyProtection="1">
      <alignment vertical="center"/>
      <protection locked="0"/>
    </xf>
    <xf numFmtId="178" fontId="3" fillId="0" borderId="0" xfId="0" applyFont="1" applyAlignment="1" applyProtection="1">
      <alignment horizontal="right" vertical="center"/>
      <protection locked="0"/>
    </xf>
    <xf numFmtId="178" fontId="3" fillId="0" borderId="0" xfId="0" applyNumberFormat="1" applyFont="1" applyAlignment="1" applyProtection="1">
      <alignment horizontal="right" vertical="center"/>
      <protection locked="0"/>
    </xf>
    <xf numFmtId="178" fontId="3" fillId="0" borderId="0" xfId="0" applyFont="1" applyAlignment="1" applyProtection="1">
      <alignment horizontal="left" vertical="center"/>
      <protection locked="0"/>
    </xf>
    <xf numFmtId="178" fontId="3" fillId="0" borderId="0" xfId="0" applyFont="1" applyAlignment="1" applyProtection="1">
      <alignment horizontal="center" vertical="center"/>
      <protection locked="0"/>
    </xf>
    <xf numFmtId="178" fontId="14" fillId="0" borderId="0" xfId="0" applyFont="1" applyAlignment="1" applyProtection="1">
      <alignment vertical="center"/>
    </xf>
    <xf numFmtId="178" fontId="20" fillId="0" borderId="5" xfId="0" applyFont="1" applyBorder="1" applyAlignment="1" applyProtection="1">
      <alignment horizontal="center" vertical="center" wrapText="1" shrinkToFit="1"/>
    </xf>
    <xf numFmtId="183" fontId="17" fillId="0" borderId="5" xfId="0" applyNumberFormat="1" applyFont="1" applyBorder="1" applyAlignment="1" applyProtection="1">
      <alignment horizontal="center" vertical="center"/>
    </xf>
    <xf numFmtId="180" fontId="17" fillId="0" borderId="5" xfId="0" applyNumberFormat="1" applyFont="1" applyFill="1" applyBorder="1" applyAlignment="1" applyProtection="1">
      <alignment horizontal="center" vertical="center" shrinkToFit="1"/>
    </xf>
    <xf numFmtId="183" fontId="17" fillId="0" borderId="5" xfId="0" applyNumberFormat="1" applyFont="1" applyFill="1" applyBorder="1" applyAlignment="1" applyProtection="1">
      <alignment horizontal="center" vertical="center" shrinkToFit="1"/>
    </xf>
    <xf numFmtId="178" fontId="19" fillId="0" borderId="5" xfId="0" applyFont="1" applyBorder="1" applyAlignment="1" applyProtection="1">
      <alignment horizontal="center" vertical="center" shrinkToFit="1"/>
    </xf>
    <xf numFmtId="178" fontId="19" fillId="0" borderId="8" xfId="0" applyFont="1" applyBorder="1" applyAlignment="1" applyProtection="1">
      <alignment horizontal="center" vertical="center" shrinkToFit="1"/>
    </xf>
    <xf numFmtId="49" fontId="17" fillId="0" borderId="5" xfId="0" applyNumberFormat="1" applyFont="1" applyBorder="1" applyAlignment="1" applyProtection="1">
      <alignment horizontal="center" vertical="center" shrinkToFit="1"/>
    </xf>
    <xf numFmtId="178" fontId="17" fillId="0" borderId="5" xfId="0" applyFont="1" applyBorder="1" applyAlignment="1" applyProtection="1">
      <alignment horizontal="center" vertical="center" shrinkToFit="1"/>
    </xf>
    <xf numFmtId="178" fontId="17" fillId="0" borderId="5" xfId="0" applyFont="1" applyBorder="1" applyAlignment="1" applyProtection="1">
      <alignment horizontal="center" vertical="center" wrapText="1"/>
    </xf>
    <xf numFmtId="177" fontId="53" fillId="0" borderId="5" xfId="0" applyNumberFormat="1" applyFont="1" applyBorder="1" applyAlignment="1" applyProtection="1">
      <alignment horizontal="left" vertical="center"/>
      <protection locked="0"/>
    </xf>
    <xf numFmtId="189" fontId="0" fillId="0" borderId="0" xfId="0" applyNumberFormat="1" applyFont="1" applyAlignment="1" applyProtection="1">
      <alignment horizontal="center" vertical="center"/>
      <protection locked="0"/>
    </xf>
    <xf numFmtId="186" fontId="0" fillId="0" borderId="0" xfId="0" applyNumberFormat="1"/>
    <xf numFmtId="178" fontId="0" fillId="2" borderId="0" xfId="0" applyFill="1"/>
    <xf numFmtId="186" fontId="0" fillId="2" borderId="0" xfId="0" applyNumberFormat="1" applyFill="1"/>
    <xf numFmtId="180" fontId="0" fillId="2" borderId="0" xfId="0" applyNumberFormat="1" applyFill="1"/>
    <xf numFmtId="178" fontId="63" fillId="20" borderId="2" xfId="0" applyFont="1" applyFill="1" applyBorder="1" applyAlignment="1" applyProtection="1">
      <alignment horizontal="right" vertical="center" shrinkToFit="1"/>
    </xf>
    <xf numFmtId="178" fontId="0" fillId="0" borderId="0" xfId="0" applyFont="1" applyAlignment="1" applyProtection="1">
      <alignment horizontal="center" vertical="center" wrapText="1"/>
      <protection locked="0"/>
    </xf>
    <xf numFmtId="178" fontId="75" fillId="23" borderId="5" xfId="0" applyFont="1" applyFill="1" applyBorder="1" applyProtection="1">
      <protection locked="0"/>
    </xf>
    <xf numFmtId="178" fontId="63" fillId="23" borderId="5" xfId="0" applyFont="1" applyFill="1" applyBorder="1" applyProtection="1">
      <protection locked="0"/>
    </xf>
    <xf numFmtId="178" fontId="63" fillId="24" borderId="5" xfId="0" applyFont="1" applyFill="1" applyBorder="1" applyProtection="1">
      <protection locked="0"/>
    </xf>
    <xf numFmtId="178" fontId="0" fillId="24" borderId="5" xfId="0" applyFill="1" applyBorder="1" applyProtection="1">
      <protection locked="0"/>
    </xf>
    <xf numFmtId="178" fontId="6" fillId="2" borderId="0" xfId="0" applyFont="1" applyFill="1" applyAlignment="1" applyProtection="1">
      <protection locked="0"/>
    </xf>
    <xf numFmtId="31" fontId="85" fillId="22" borderId="5" xfId="0" applyNumberFormat="1" applyFont="1" applyFill="1" applyBorder="1" applyAlignment="1" applyProtection="1">
      <alignment vertical="center"/>
      <protection locked="0"/>
    </xf>
    <xf numFmtId="178" fontId="6" fillId="4" borderId="6" xfId="0" applyFont="1" applyFill="1" applyBorder="1" applyAlignment="1" applyProtection="1">
      <alignment vertical="center" shrinkToFit="1"/>
      <protection locked="0"/>
    </xf>
    <xf numFmtId="178" fontId="6" fillId="0" borderId="5" xfId="0" applyFont="1" applyBorder="1" applyAlignment="1" applyProtection="1">
      <alignment vertical="center" shrinkToFit="1"/>
      <protection locked="0"/>
    </xf>
    <xf numFmtId="178" fontId="86" fillId="0" borderId="0" xfId="0" applyFont="1"/>
    <xf numFmtId="178" fontId="63" fillId="0" borderId="0" xfId="0" applyFont="1" applyAlignment="1" applyProtection="1">
      <alignment vertical="center"/>
      <protection locked="0"/>
    </xf>
    <xf numFmtId="178" fontId="6" fillId="4" borderId="22" xfId="0" applyFont="1" applyFill="1" applyBorder="1" applyAlignment="1" applyProtection="1">
      <alignment vertical="center" shrinkToFit="1"/>
      <protection locked="0"/>
    </xf>
    <xf numFmtId="178" fontId="63" fillId="0" borderId="5" xfId="0" applyFont="1" applyBorder="1" applyAlignment="1" applyProtection="1">
      <alignment vertical="center"/>
      <protection locked="0"/>
    </xf>
    <xf numFmtId="178" fontId="0" fillId="0" borderId="0" xfId="0" applyFont="1" applyBorder="1" applyAlignment="1" applyProtection="1">
      <alignment vertical="center"/>
      <protection locked="0"/>
    </xf>
    <xf numFmtId="49" fontId="6" fillId="0" borderId="6" xfId="0" applyNumberFormat="1" applyFont="1" applyBorder="1" applyAlignment="1" applyProtection="1">
      <alignment vertical="center"/>
      <protection locked="0"/>
    </xf>
    <xf numFmtId="178" fontId="4" fillId="22" borderId="5" xfId="0" applyNumberFormat="1" applyFont="1" applyFill="1" applyBorder="1" applyAlignment="1" applyProtection="1">
      <alignment vertical="center"/>
      <protection locked="0"/>
    </xf>
    <xf numFmtId="31" fontId="49" fillId="0" borderId="5" xfId="0" applyNumberFormat="1" applyFont="1" applyBorder="1" applyAlignment="1" applyProtection="1">
      <alignment vertical="center"/>
      <protection locked="0"/>
    </xf>
    <xf numFmtId="178" fontId="49" fillId="0" borderId="5" xfId="0" applyNumberFormat="1" applyFont="1" applyBorder="1" applyAlignment="1" applyProtection="1">
      <alignment vertical="center"/>
      <protection locked="0"/>
    </xf>
    <xf numFmtId="0" fontId="38" fillId="2" borderId="0" xfId="0" applyNumberFormat="1" applyFont="1" applyFill="1" applyBorder="1" applyAlignment="1" applyProtection="1">
      <protection locked="0"/>
    </xf>
    <xf numFmtId="0" fontId="87" fillId="0" borderId="0" xfId="0" applyNumberFormat="1" applyFont="1" applyFill="1" applyBorder="1" applyAlignment="1" applyProtection="1">
      <protection locked="0"/>
    </xf>
    <xf numFmtId="178" fontId="49" fillId="4" borderId="5" xfId="0" applyFont="1" applyFill="1" applyBorder="1" applyAlignment="1" applyProtection="1">
      <alignment horizontal="right" vertical="center"/>
    </xf>
    <xf numFmtId="178" fontId="49" fillId="0" borderId="22" xfId="0" applyFont="1" applyBorder="1" applyAlignment="1" applyProtection="1">
      <alignment vertical="center" shrinkToFit="1"/>
      <protection locked="0"/>
    </xf>
    <xf numFmtId="178" fontId="49" fillId="0" borderId="5" xfId="0" applyFont="1" applyBorder="1" applyProtection="1">
      <protection locked="0"/>
    </xf>
    <xf numFmtId="178" fontId="63" fillId="20" borderId="5" xfId="0" applyFont="1" applyFill="1" applyBorder="1" applyProtection="1">
      <protection locked="0"/>
    </xf>
    <xf numFmtId="178" fontId="0" fillId="2" borderId="0" xfId="0" applyFont="1" applyFill="1" applyAlignment="1" applyProtection="1">
      <alignment vertical="center" wrapText="1"/>
      <protection locked="0"/>
    </xf>
    <xf numFmtId="178" fontId="88" fillId="18" borderId="5" xfId="0" applyFont="1" applyFill="1" applyBorder="1" applyAlignment="1" applyProtection="1">
      <alignment vertical="center" wrapText="1"/>
      <protection locked="0"/>
    </xf>
    <xf numFmtId="178" fontId="88" fillId="18" borderId="5" xfId="0" applyFont="1" applyFill="1" applyBorder="1" applyAlignment="1" applyProtection="1">
      <alignment horizontal="center" vertical="center" wrapText="1"/>
      <protection locked="0"/>
    </xf>
    <xf numFmtId="178" fontId="75" fillId="18" borderId="5" xfId="0" applyFont="1" applyFill="1" applyBorder="1" applyAlignment="1" applyProtection="1">
      <alignment vertical="center"/>
      <protection locked="0"/>
    </xf>
    <xf numFmtId="178" fontId="75" fillId="18" borderId="5" xfId="0" applyFont="1" applyFill="1" applyBorder="1" applyAlignment="1" applyProtection="1">
      <alignment vertical="center" wrapText="1"/>
      <protection locked="0"/>
    </xf>
    <xf numFmtId="178" fontId="89" fillId="0" borderId="0" xfId="0" applyFont="1"/>
    <xf numFmtId="178" fontId="41" fillId="2" borderId="0" xfId="0" applyFont="1" applyFill="1"/>
    <xf numFmtId="14" fontId="0" fillId="2" borderId="0" xfId="0" applyNumberFormat="1" applyFill="1"/>
    <xf numFmtId="188" fontId="0" fillId="2" borderId="0" xfId="0" applyNumberFormat="1" applyFill="1"/>
    <xf numFmtId="178" fontId="63" fillId="20" borderId="0" xfId="0" applyFont="1" applyFill="1" applyProtection="1">
      <protection locked="0"/>
    </xf>
    <xf numFmtId="178" fontId="4" fillId="20" borderId="4" xfId="0" applyFont="1" applyFill="1" applyBorder="1" applyAlignment="1" applyProtection="1">
      <alignment horizontal="left" vertical="center" shrinkToFit="1"/>
      <protection locked="0"/>
    </xf>
    <xf numFmtId="178" fontId="4" fillId="20" borderId="4" xfId="0" applyFont="1" applyFill="1" applyBorder="1" applyAlignment="1" applyProtection="1">
      <alignment vertical="center"/>
      <protection locked="0"/>
    </xf>
    <xf numFmtId="178" fontId="4" fillId="20" borderId="5" xfId="0" applyFont="1" applyFill="1" applyBorder="1" applyAlignment="1" applyProtection="1">
      <alignment horizontal="left" vertical="center"/>
      <protection locked="0"/>
    </xf>
    <xf numFmtId="178" fontId="6" fillId="0" borderId="6" xfId="0" applyFont="1" applyBorder="1" applyAlignment="1" applyProtection="1">
      <alignment vertical="center"/>
      <protection locked="0"/>
    </xf>
    <xf numFmtId="178" fontId="4" fillId="20" borderId="4" xfId="0" applyFont="1" applyFill="1" applyBorder="1" applyAlignment="1" applyProtection="1">
      <alignment horizontal="left" vertical="center"/>
      <protection locked="0"/>
    </xf>
    <xf numFmtId="181" fontId="6" fillId="0" borderId="5" xfId="0" applyNumberFormat="1" applyFont="1" applyBorder="1" applyAlignment="1" applyProtection="1">
      <alignment horizontal="left" vertical="center"/>
      <protection locked="0"/>
    </xf>
    <xf numFmtId="49" fontId="6" fillId="4" borderId="6" xfId="0" applyNumberFormat="1" applyFont="1" applyFill="1" applyBorder="1" applyAlignment="1" applyProtection="1">
      <alignment horizontal="left" vertical="center"/>
      <protection locked="0"/>
    </xf>
    <xf numFmtId="183" fontId="6" fillId="0" borderId="22" xfId="0" applyNumberFormat="1" applyFont="1" applyBorder="1" applyAlignment="1" applyProtection="1">
      <alignment vertical="center" shrinkToFit="1"/>
      <protection locked="0"/>
    </xf>
    <xf numFmtId="186" fontId="6" fillId="0" borderId="5" xfId="0" applyNumberFormat="1" applyFont="1" applyBorder="1" applyAlignment="1" applyProtection="1">
      <alignment horizontal="left" vertical="center"/>
      <protection locked="0"/>
    </xf>
    <xf numFmtId="178" fontId="4" fillId="20" borderId="5" xfId="0" applyFont="1" applyFill="1" applyBorder="1" applyAlignment="1" applyProtection="1">
      <alignment vertical="center" shrinkToFit="1"/>
      <protection locked="0"/>
    </xf>
    <xf numFmtId="49" fontId="49" fillId="4" borderId="6" xfId="0" applyNumberFormat="1" applyFont="1" applyFill="1" applyBorder="1" applyAlignment="1" applyProtection="1">
      <alignment horizontal="left" vertical="center"/>
      <protection locked="0"/>
    </xf>
    <xf numFmtId="183" fontId="6" fillId="0" borderId="6" xfId="0" applyNumberFormat="1" applyFont="1" applyBorder="1" applyAlignment="1" applyProtection="1">
      <alignment horizontal="left" vertical="center"/>
      <protection locked="0"/>
    </xf>
    <xf numFmtId="176" fontId="6" fillId="4" borderId="5" xfId="0" applyNumberFormat="1" applyFont="1" applyFill="1" applyBorder="1" applyAlignment="1" applyProtection="1">
      <alignment horizontal="left" vertical="center"/>
      <protection locked="0"/>
    </xf>
    <xf numFmtId="188" fontId="6" fillId="4" borderId="5" xfId="0" applyNumberFormat="1" applyFont="1" applyFill="1" applyBorder="1" applyAlignment="1" applyProtection="1">
      <alignment horizontal="left" vertical="center"/>
      <protection locked="0"/>
    </xf>
    <xf numFmtId="49" fontId="6" fillId="0" borderId="6" xfId="0" applyNumberFormat="1" applyFont="1" applyBorder="1" applyAlignment="1" applyProtection="1">
      <alignment horizontal="left" vertical="center"/>
      <protection locked="0"/>
    </xf>
    <xf numFmtId="178" fontId="71" fillId="20" borderId="4" xfId="0" applyFont="1" applyFill="1" applyBorder="1" applyAlignment="1" applyProtection="1">
      <alignment horizontal="left" vertical="center" shrinkToFit="1"/>
      <protection locked="0"/>
    </xf>
    <xf numFmtId="49" fontId="6" fillId="0" borderId="5" xfId="0" applyNumberFormat="1" applyFont="1" applyBorder="1" applyAlignment="1" applyProtection="1">
      <alignment horizontal="left" vertical="center"/>
      <protection locked="0"/>
    </xf>
    <xf numFmtId="176" fontId="6" fillId="4" borderId="6" xfId="0" applyNumberFormat="1" applyFont="1" applyFill="1" applyBorder="1" applyAlignment="1" applyProtection="1">
      <alignment horizontal="left" vertical="center"/>
      <protection locked="0"/>
    </xf>
    <xf numFmtId="178" fontId="24" fillId="2" borderId="5" xfId="0" applyNumberFormat="1" applyFont="1" applyFill="1" applyBorder="1" applyAlignment="1" applyProtection="1">
      <alignment vertical="center" wrapText="1"/>
      <protection locked="0"/>
    </xf>
    <xf numFmtId="178" fontId="90" fillId="4" borderId="0" xfId="0" applyFont="1" applyFill="1" applyAlignment="1" applyProtection="1">
      <alignment horizontal="center" vertical="center" wrapText="1"/>
      <protection locked="0"/>
    </xf>
    <xf numFmtId="185" fontId="53" fillId="19" borderId="8" xfId="0" applyNumberFormat="1" applyFont="1" applyFill="1" applyBorder="1" applyAlignment="1" applyProtection="1">
      <alignment horizontal="left" vertical="center" wrapText="1"/>
      <protection locked="0"/>
    </xf>
    <xf numFmtId="178" fontId="4" fillId="20" borderId="8" xfId="0" applyFont="1" applyFill="1" applyBorder="1" applyAlignment="1" applyProtection="1">
      <alignment horizontal="left" vertical="center"/>
    </xf>
    <xf numFmtId="178" fontId="53" fillId="19" borderId="58" xfId="0" applyFont="1" applyFill="1" applyBorder="1" applyAlignment="1" applyProtection="1">
      <alignment horizontal="left" vertical="center" wrapText="1"/>
      <protection locked="0"/>
    </xf>
    <xf numFmtId="185" fontId="53" fillId="19" borderId="5" xfId="0" applyNumberFormat="1" applyFont="1" applyFill="1" applyBorder="1" applyAlignment="1" applyProtection="1">
      <alignment horizontal="left" vertical="center" wrapText="1"/>
      <protection locked="0"/>
    </xf>
    <xf numFmtId="178" fontId="4" fillId="20" borderId="28" xfId="0" applyFont="1" applyFill="1" applyBorder="1" applyAlignment="1" applyProtection="1">
      <alignment horizontal="left" vertical="center"/>
    </xf>
    <xf numFmtId="178" fontId="53" fillId="19" borderId="27" xfId="0" applyFont="1" applyFill="1" applyBorder="1" applyAlignment="1" applyProtection="1">
      <alignment horizontal="left" vertical="center" wrapText="1"/>
      <protection locked="0"/>
    </xf>
    <xf numFmtId="178" fontId="4" fillId="20" borderId="54" xfId="0" applyFont="1" applyFill="1" applyBorder="1" applyAlignment="1" applyProtection="1">
      <alignment vertical="center"/>
    </xf>
    <xf numFmtId="178" fontId="4" fillId="20" borderId="55" xfId="0" applyFont="1" applyFill="1" applyBorder="1" applyAlignment="1" applyProtection="1">
      <alignment vertical="center"/>
    </xf>
    <xf numFmtId="178" fontId="4" fillId="20" borderId="59" xfId="0" applyFont="1" applyFill="1" applyBorder="1" applyAlignment="1" applyProtection="1">
      <alignment vertical="center"/>
    </xf>
    <xf numFmtId="178" fontId="55" fillId="20" borderId="5" xfId="0" applyFont="1" applyFill="1" applyBorder="1" applyAlignment="1" applyProtection="1">
      <alignment horizontal="left" vertical="center"/>
    </xf>
    <xf numFmtId="178" fontId="53" fillId="0" borderId="5" xfId="0" applyFont="1" applyBorder="1" applyAlignment="1" applyProtection="1">
      <alignment horizontal="left" vertical="center"/>
      <protection locked="0"/>
    </xf>
    <xf numFmtId="184" fontId="6" fillId="0" borderId="5" xfId="0" applyNumberFormat="1" applyFont="1" applyFill="1" applyBorder="1" applyAlignment="1" applyProtection="1">
      <alignment horizontal="left" vertical="center"/>
      <protection locked="0"/>
    </xf>
    <xf numFmtId="178" fontId="6" fillId="4" borderId="5" xfId="0" applyFont="1" applyFill="1" applyBorder="1" applyAlignment="1" applyProtection="1">
      <alignment horizontal="left" vertical="center" shrinkToFit="1"/>
      <protection locked="0"/>
    </xf>
    <xf numFmtId="49" fontId="4" fillId="20" borderId="5" xfId="0" applyNumberFormat="1" applyFont="1" applyFill="1" applyBorder="1" applyAlignment="1" applyProtection="1">
      <alignment vertical="center"/>
    </xf>
    <xf numFmtId="178" fontId="53" fillId="4" borderId="5" xfId="0" applyFont="1" applyFill="1" applyBorder="1" applyAlignment="1" applyProtection="1">
      <alignment horizontal="left" vertical="center" shrinkToFit="1"/>
      <protection locked="0"/>
    </xf>
    <xf numFmtId="178" fontId="6" fillId="0" borderId="5" xfId="0" applyNumberFormat="1" applyFont="1" applyBorder="1" applyAlignment="1" applyProtection="1">
      <alignment vertical="center"/>
      <protection locked="0"/>
    </xf>
    <xf numFmtId="178" fontId="24" fillId="2" borderId="5" xfId="0" applyNumberFormat="1" applyFont="1" applyFill="1" applyBorder="1" applyAlignment="1" applyProtection="1">
      <alignment horizontal="center" vertical="center" wrapText="1"/>
      <protection locked="0"/>
    </xf>
    <xf numFmtId="178" fontId="71" fillId="4" borderId="55" xfId="0" applyFont="1" applyFill="1" applyBorder="1" applyAlignment="1" applyProtection="1">
      <alignment vertical="center" shrinkToFit="1"/>
      <protection locked="0"/>
    </xf>
    <xf numFmtId="178" fontId="71" fillId="4" borderId="26" xfId="0" applyFont="1" applyFill="1" applyBorder="1" applyAlignment="1" applyProtection="1">
      <alignment vertical="center" shrinkToFit="1"/>
      <protection locked="0"/>
    </xf>
    <xf numFmtId="178" fontId="71" fillId="4" borderId="25" xfId="0" applyFont="1" applyFill="1" applyBorder="1" applyAlignment="1" applyProtection="1">
      <alignment vertical="center" shrinkToFit="1"/>
      <protection locked="0"/>
    </xf>
    <xf numFmtId="178" fontId="71" fillId="4" borderId="5" xfId="0" applyFont="1" applyFill="1" applyBorder="1" applyAlignment="1" applyProtection="1">
      <alignment vertical="center" shrinkToFit="1"/>
    </xf>
    <xf numFmtId="179" fontId="53" fillId="19" borderId="8" xfId="0" applyNumberFormat="1" applyFont="1" applyFill="1" applyBorder="1" applyAlignment="1" applyProtection="1">
      <alignment horizontal="left" vertical="center" wrapText="1"/>
      <protection locked="0"/>
    </xf>
    <xf numFmtId="178" fontId="0" fillId="21" borderId="0" xfId="0" applyFill="1"/>
    <xf numFmtId="49" fontId="0" fillId="21" borderId="0" xfId="0" applyNumberFormat="1" applyFill="1"/>
    <xf numFmtId="186" fontId="0" fillId="21" borderId="0" xfId="0" applyNumberFormat="1" applyFill="1"/>
    <xf numFmtId="0" fontId="78" fillId="2" borderId="5" xfId="0" applyNumberFormat="1" applyFont="1" applyFill="1" applyBorder="1" applyAlignment="1" applyProtection="1">
      <alignment horizontal="center" vertical="center" wrapText="1"/>
      <protection locked="0"/>
    </xf>
    <xf numFmtId="0" fontId="16" fillId="8" borderId="5" xfId="0" applyNumberFormat="1" applyFont="1" applyFill="1" applyBorder="1" applyAlignment="1" applyProtection="1">
      <alignment horizontal="center" vertical="center"/>
    </xf>
    <xf numFmtId="0" fontId="16" fillId="18" borderId="5" xfId="0" applyNumberFormat="1" applyFont="1" applyFill="1" applyBorder="1" applyAlignment="1" applyProtection="1">
      <alignment horizontal="left" vertical="center" wrapText="1"/>
      <protection locked="0"/>
    </xf>
    <xf numFmtId="0" fontId="79" fillId="18" borderId="5" xfId="0" applyNumberFormat="1" applyFont="1" applyFill="1" applyBorder="1" applyAlignment="1" applyProtection="1">
      <alignment horizontal="center" vertical="center" wrapText="1"/>
      <protection locked="0"/>
    </xf>
    <xf numFmtId="0" fontId="92" fillId="0" borderId="0" xfId="0" applyNumberFormat="1" applyFont="1"/>
    <xf numFmtId="0" fontId="92" fillId="15" borderId="0" xfId="0" applyNumberFormat="1" applyFont="1" applyFill="1"/>
    <xf numFmtId="0" fontId="46" fillId="15" borderId="60" xfId="0" applyNumberFormat="1" applyFont="1" applyFill="1" applyBorder="1" applyAlignment="1">
      <alignment horizontal="center" vertical="center"/>
    </xf>
    <xf numFmtId="0" fontId="46" fillId="9" borderId="60" xfId="0" applyNumberFormat="1" applyFont="1" applyFill="1" applyBorder="1" applyAlignment="1">
      <alignment horizontal="center" vertical="center"/>
    </xf>
    <xf numFmtId="0" fontId="46" fillId="0" borderId="60" xfId="0" applyNumberFormat="1" applyFont="1" applyFill="1" applyBorder="1" applyAlignment="1">
      <alignment horizontal="center" vertical="center"/>
    </xf>
    <xf numFmtId="0" fontId="63" fillId="8" borderId="60" xfId="0" applyNumberFormat="1" applyFont="1" applyFill="1" applyBorder="1" applyAlignment="1">
      <alignment horizontal="center" vertical="center"/>
    </xf>
    <xf numFmtId="0" fontId="46" fillId="8" borderId="60" xfId="0" applyNumberFormat="1" applyFont="1" applyFill="1" applyBorder="1" applyAlignment="1">
      <alignment horizontal="center" vertical="center"/>
    </xf>
    <xf numFmtId="0" fontId="46" fillId="0" borderId="0" xfId="0" applyNumberFormat="1" applyFont="1"/>
    <xf numFmtId="0" fontId="46" fillId="0" borderId="0" xfId="0" applyNumberFormat="1" applyFont="1" applyAlignment="1">
      <alignment horizontal="center" vertical="center"/>
    </xf>
    <xf numFmtId="183" fontId="46" fillId="8" borderId="60" xfId="0" applyNumberFormat="1" applyFont="1" applyFill="1" applyBorder="1" applyAlignment="1">
      <alignment horizontal="center" vertical="center"/>
    </xf>
    <xf numFmtId="0" fontId="47" fillId="8" borderId="60" xfId="0" applyNumberFormat="1" applyFont="1" applyFill="1" applyBorder="1" applyAlignment="1">
      <alignment horizontal="center" vertical="center"/>
    </xf>
    <xf numFmtId="183" fontId="4" fillId="8" borderId="60" xfId="0" applyNumberFormat="1" applyFont="1" applyFill="1" applyBorder="1" applyAlignment="1">
      <alignment horizontal="center" vertical="center"/>
    </xf>
    <xf numFmtId="0" fontId="48" fillId="8" borderId="60" xfId="0" applyNumberFormat="1" applyFont="1" applyFill="1" applyBorder="1" applyAlignment="1">
      <alignment horizontal="center" vertical="center"/>
    </xf>
    <xf numFmtId="0" fontId="48" fillId="8" borderId="60" xfId="0" applyNumberFormat="1" applyFont="1" applyFill="1" applyBorder="1"/>
    <xf numFmtId="0" fontId="46" fillId="26" borderId="60" xfId="0" applyNumberFormat="1" applyFont="1" applyFill="1" applyBorder="1" applyAlignment="1">
      <alignment horizontal="center" vertical="center"/>
    </xf>
    <xf numFmtId="58" fontId="39" fillId="7" borderId="0" xfId="0" applyNumberFormat="1" applyFont="1" applyFill="1" applyBorder="1" applyAlignment="1" applyProtection="1">
      <protection locked="0"/>
    </xf>
    <xf numFmtId="0" fontId="59" fillId="0" borderId="0" xfId="0" applyNumberFormat="1" applyFont="1"/>
    <xf numFmtId="0" fontId="59" fillId="12" borderId="0" xfId="0" applyNumberFormat="1" applyFont="1" applyFill="1"/>
    <xf numFmtId="0" fontId="59" fillId="15" borderId="0" xfId="0" applyNumberFormat="1" applyFont="1" applyFill="1"/>
    <xf numFmtId="186" fontId="59" fillId="0" borderId="0" xfId="0" applyNumberFormat="1" applyFont="1"/>
    <xf numFmtId="0" fontId="27" fillId="27" borderId="0" xfId="0" applyNumberFormat="1" applyFont="1" applyFill="1"/>
    <xf numFmtId="0" fontId="59" fillId="27" borderId="0" xfId="0" applyNumberFormat="1" applyFont="1" applyFill="1"/>
    <xf numFmtId="0" fontId="27" fillId="10" borderId="0" xfId="0" applyNumberFormat="1" applyFont="1" applyFill="1"/>
    <xf numFmtId="0" fontId="27" fillId="10" borderId="0" xfId="0" applyNumberFormat="1" applyFont="1" applyFill="1" applyBorder="1"/>
    <xf numFmtId="183" fontId="97" fillId="11" borderId="0" xfId="0" applyNumberFormat="1" applyFont="1" applyFill="1" applyBorder="1" applyAlignment="1">
      <alignment horizontal="center" vertical="center" wrapText="1"/>
    </xf>
    <xf numFmtId="183" fontId="97" fillId="0" borderId="0" xfId="0" applyNumberFormat="1" applyFont="1" applyFill="1" applyBorder="1" applyAlignment="1">
      <alignment horizontal="center" vertical="center" wrapText="1"/>
    </xf>
    <xf numFmtId="0" fontId="59" fillId="0" borderId="0" xfId="0" applyNumberFormat="1" applyFont="1" applyFill="1" applyBorder="1"/>
    <xf numFmtId="0" fontId="92" fillId="14" borderId="60" xfId="0" applyNumberFormat="1" applyFont="1" applyFill="1" applyBorder="1"/>
    <xf numFmtId="0" fontId="92" fillId="14" borderId="60" xfId="0" applyNumberFormat="1" applyFont="1" applyFill="1" applyBorder="1" applyAlignment="1">
      <alignment horizontal="center" vertical="center" wrapText="1"/>
    </xf>
    <xf numFmtId="183" fontId="92" fillId="14" borderId="60" xfId="0" applyNumberFormat="1" applyFont="1" applyFill="1" applyBorder="1" applyAlignment="1">
      <alignment horizontal="right" vertical="center"/>
    </xf>
    <xf numFmtId="0" fontId="92" fillId="0" borderId="60" xfId="0" applyNumberFormat="1" applyFont="1" applyBorder="1" applyAlignment="1">
      <alignment horizontal="center" vertical="center"/>
    </xf>
    <xf numFmtId="0" fontId="92" fillId="0" borderId="62" xfId="0" applyNumberFormat="1" applyFont="1" applyBorder="1" applyAlignment="1">
      <alignment horizontal="center" vertical="center"/>
    </xf>
    <xf numFmtId="186" fontId="92" fillId="0" borderId="60" xfId="0" applyNumberFormat="1" applyFont="1" applyBorder="1" applyAlignment="1">
      <alignment horizontal="center" vertical="center"/>
    </xf>
    <xf numFmtId="0" fontId="92" fillId="8" borderId="60" xfId="0" applyNumberFormat="1" applyFont="1" applyFill="1" applyBorder="1" applyAlignment="1">
      <alignment horizontal="right" vertical="center"/>
    </xf>
    <xf numFmtId="10" fontId="92" fillId="11" borderId="60" xfId="0" applyNumberFormat="1" applyFont="1" applyFill="1" applyBorder="1" applyAlignment="1">
      <alignment horizontal="center" vertical="center"/>
    </xf>
    <xf numFmtId="9" fontId="92" fillId="11" borderId="62" xfId="0" applyNumberFormat="1" applyFont="1" applyFill="1" applyBorder="1" applyAlignment="1">
      <alignment horizontal="center" vertical="center"/>
    </xf>
    <xf numFmtId="186" fontId="92" fillId="8" borderId="60" xfId="0" applyNumberFormat="1" applyFont="1" applyFill="1" applyBorder="1" applyAlignment="1">
      <alignment horizontal="center" vertical="center"/>
    </xf>
    <xf numFmtId="186" fontId="92" fillId="11" borderId="60" xfId="0" applyNumberFormat="1" applyFont="1" applyFill="1" applyBorder="1" applyAlignment="1">
      <alignment horizontal="center" vertical="center"/>
    </xf>
    <xf numFmtId="0" fontId="99" fillId="14" borderId="60" xfId="0" applyNumberFormat="1" applyFont="1" applyFill="1" applyBorder="1" applyAlignment="1">
      <alignment horizontal="center" vertical="center" wrapText="1"/>
    </xf>
    <xf numFmtId="183" fontId="92" fillId="8" borderId="60" xfId="0" applyNumberFormat="1" applyFont="1" applyFill="1" applyBorder="1" applyAlignment="1">
      <alignment horizontal="right" vertical="center"/>
    </xf>
    <xf numFmtId="186" fontId="59" fillId="0" borderId="60" xfId="0" applyNumberFormat="1" applyFont="1" applyBorder="1"/>
    <xf numFmtId="10" fontId="92" fillId="15" borderId="60" xfId="0" applyNumberFormat="1" applyFont="1" applyFill="1" applyBorder="1" applyAlignment="1">
      <alignment horizontal="center" vertical="center"/>
    </xf>
    <xf numFmtId="0" fontId="92" fillId="15" borderId="62" xfId="0" applyNumberFormat="1" applyFont="1" applyFill="1" applyBorder="1" applyAlignment="1">
      <alignment horizontal="center" vertical="center" wrapText="1"/>
    </xf>
    <xf numFmtId="186" fontId="92" fillId="15" borderId="60" xfId="0" applyNumberFormat="1" applyFont="1" applyFill="1" applyBorder="1" applyAlignment="1">
      <alignment horizontal="center" vertical="center" wrapText="1"/>
    </xf>
    <xf numFmtId="0" fontId="92" fillId="0" borderId="62" xfId="0" applyNumberFormat="1" applyFont="1" applyBorder="1" applyAlignment="1">
      <alignment horizontal="center" vertical="center" wrapText="1"/>
    </xf>
    <xf numFmtId="186" fontId="92" fillId="0" borderId="60" xfId="0" applyNumberFormat="1" applyFont="1" applyBorder="1" applyAlignment="1">
      <alignment horizontal="center" vertical="center" wrapText="1"/>
    </xf>
    <xf numFmtId="10" fontId="92" fillId="8" borderId="60" xfId="0" applyNumberFormat="1" applyFont="1" applyFill="1" applyBorder="1" applyAlignment="1">
      <alignment horizontal="center" vertical="center"/>
    </xf>
    <xf numFmtId="0" fontId="92" fillId="28" borderId="60" xfId="0" applyNumberFormat="1" applyFont="1" applyFill="1" applyBorder="1" applyAlignment="1">
      <alignment horizontal="center" vertical="center" wrapText="1"/>
    </xf>
    <xf numFmtId="10" fontId="92" fillId="28" borderId="60" xfId="0" applyNumberFormat="1" applyFont="1" applyFill="1" applyBorder="1" applyAlignment="1">
      <alignment horizontal="center" vertical="center"/>
    </xf>
    <xf numFmtId="0" fontId="27" fillId="0" borderId="0" xfId="0" applyNumberFormat="1" applyFont="1"/>
    <xf numFmtId="183" fontId="99" fillId="8" borderId="60" xfId="0" applyNumberFormat="1" applyFont="1" applyFill="1" applyBorder="1" applyAlignment="1">
      <alignment horizontal="right" vertical="center"/>
    </xf>
    <xf numFmtId="185" fontId="99" fillId="8" borderId="60" xfId="0" applyNumberFormat="1" applyFont="1" applyFill="1" applyBorder="1" applyAlignment="1">
      <alignment horizontal="right" vertical="center"/>
    </xf>
    <xf numFmtId="10" fontId="92" fillId="0" borderId="60" xfId="0" applyNumberFormat="1" applyFont="1" applyFill="1" applyBorder="1" applyAlignment="1">
      <alignment horizontal="center" vertical="center"/>
    </xf>
    <xf numFmtId="190" fontId="92" fillId="8" borderId="60" xfId="0" applyNumberFormat="1" applyFont="1" applyFill="1" applyBorder="1" applyAlignment="1">
      <alignment horizontal="right" vertical="center"/>
    </xf>
    <xf numFmtId="183" fontId="92" fillId="8" borderId="62" xfId="0" applyNumberFormat="1" applyFont="1" applyFill="1" applyBorder="1" applyAlignment="1">
      <alignment horizontal="center" vertical="center"/>
    </xf>
    <xf numFmtId="0" fontId="59" fillId="0" borderId="0" xfId="0" applyNumberFormat="1" applyFont="1" applyAlignment="1">
      <alignment horizontal="center"/>
    </xf>
    <xf numFmtId="0" fontId="59" fillId="29" borderId="60" xfId="0" applyNumberFormat="1" applyFont="1" applyFill="1" applyBorder="1" applyAlignment="1">
      <alignment horizontal="center"/>
    </xf>
    <xf numFmtId="0" fontId="59" fillId="0" borderId="0" xfId="0" applyNumberFormat="1" applyFont="1" applyAlignment="1">
      <alignment horizontal="center" vertical="center" wrapText="1"/>
    </xf>
    <xf numFmtId="0" fontId="27" fillId="8" borderId="60" xfId="0" applyNumberFormat="1" applyFont="1" applyFill="1" applyBorder="1" applyAlignment="1">
      <alignment horizontal="center" vertical="center" wrapText="1"/>
    </xf>
    <xf numFmtId="186" fontId="27" fillId="8" borderId="60" xfId="0" applyNumberFormat="1" applyFont="1" applyFill="1" applyBorder="1" applyAlignment="1">
      <alignment horizontal="center" vertical="center" wrapText="1"/>
    </xf>
    <xf numFmtId="0" fontId="27" fillId="12" borderId="60" xfId="0" applyNumberFormat="1" applyFont="1" applyFill="1" applyBorder="1" applyAlignment="1">
      <alignment horizontal="center" vertical="center" wrapText="1"/>
    </xf>
    <xf numFmtId="10" fontId="59" fillId="8" borderId="60" xfId="0" applyNumberFormat="1" applyFont="1" applyFill="1" applyBorder="1" applyAlignment="1">
      <alignment horizontal="center"/>
    </xf>
    <xf numFmtId="9" fontId="59" fillId="8" borderId="60" xfId="0" applyNumberFormat="1" applyFont="1" applyFill="1" applyBorder="1" applyAlignment="1">
      <alignment horizontal="center"/>
    </xf>
    <xf numFmtId="186" fontId="59" fillId="8" borderId="60" xfId="0" applyNumberFormat="1" applyFont="1" applyFill="1" applyBorder="1" applyAlignment="1">
      <alignment horizontal="center"/>
    </xf>
    <xf numFmtId="9" fontId="59" fillId="12" borderId="60" xfId="0" applyNumberFormat="1" applyFont="1" applyFill="1" applyBorder="1" applyAlignment="1">
      <alignment horizontal="center"/>
    </xf>
    <xf numFmtId="0" fontId="46" fillId="25" borderId="60" xfId="0" applyNumberFormat="1" applyFont="1" applyFill="1" applyBorder="1" applyAlignment="1">
      <alignment horizontal="center"/>
    </xf>
    <xf numFmtId="0" fontId="94" fillId="0" borderId="0" xfId="0" applyNumberFormat="1" applyFont="1" applyAlignment="1">
      <alignment vertical="center"/>
    </xf>
    <xf numFmtId="0" fontId="0" fillId="0" borderId="0" xfId="0" applyNumberFormat="1" applyAlignment="1">
      <alignment vertical="center"/>
    </xf>
    <xf numFmtId="0" fontId="95" fillId="7" borderId="60" xfId="0" applyNumberFormat="1" applyFont="1" applyFill="1" applyBorder="1" applyAlignment="1">
      <alignment horizontal="center" vertical="center" wrapText="1"/>
    </xf>
    <xf numFmtId="0" fontId="0" fillId="15" borderId="0" xfId="0" applyNumberFormat="1" applyFill="1" applyAlignment="1">
      <alignment vertical="center"/>
    </xf>
    <xf numFmtId="0" fontId="95" fillId="8" borderId="60" xfId="0" applyNumberFormat="1" applyFont="1" applyFill="1" applyBorder="1" applyAlignment="1">
      <alignment horizontal="center" vertical="center" wrapText="1"/>
    </xf>
    <xf numFmtId="0" fontId="101" fillId="8" borderId="60" xfId="0" applyNumberFormat="1" applyFont="1" applyFill="1" applyBorder="1" applyAlignment="1">
      <alignment horizontal="center" vertical="center" wrapText="1"/>
    </xf>
    <xf numFmtId="0" fontId="94" fillId="0" borderId="60" xfId="0" applyNumberFormat="1" applyFont="1" applyBorder="1" applyAlignment="1">
      <alignment horizontal="center" vertical="center"/>
    </xf>
    <xf numFmtId="0" fontId="97" fillId="8" borderId="60" xfId="0" applyNumberFormat="1" applyFont="1" applyFill="1" applyBorder="1" applyAlignment="1">
      <alignment horizontal="center" vertical="center"/>
    </xf>
    <xf numFmtId="0" fontId="97" fillId="8" borderId="60" xfId="0" applyNumberFormat="1" applyFont="1" applyFill="1" applyBorder="1" applyAlignment="1">
      <alignment horizontal="center" vertical="center" wrapText="1"/>
    </xf>
    <xf numFmtId="183" fontId="97" fillId="8" borderId="60" xfId="0" applyNumberFormat="1" applyFont="1" applyFill="1" applyBorder="1" applyAlignment="1">
      <alignment horizontal="center" vertical="center"/>
    </xf>
    <xf numFmtId="0" fontId="97" fillId="30" borderId="60" xfId="0" applyNumberFormat="1" applyFont="1" applyFill="1" applyBorder="1" applyAlignment="1">
      <alignment horizontal="center" vertical="center"/>
    </xf>
    <xf numFmtId="0" fontId="102" fillId="8" borderId="60" xfId="0" applyNumberFormat="1" applyFont="1" applyFill="1" applyBorder="1" applyAlignment="1">
      <alignment horizontal="center" vertical="center"/>
    </xf>
    <xf numFmtId="0" fontId="97" fillId="30" borderId="60" xfId="0" applyNumberFormat="1" applyFont="1" applyFill="1" applyBorder="1" applyAlignment="1">
      <alignment horizontal="center" vertical="top" wrapText="1"/>
    </xf>
    <xf numFmtId="183" fontId="102" fillId="8" borderId="60" xfId="0" applyNumberFormat="1" applyFont="1" applyFill="1" applyBorder="1" applyAlignment="1">
      <alignment horizontal="center" vertical="top" wrapText="1"/>
    </xf>
    <xf numFmtId="183" fontId="102" fillId="7" borderId="60" xfId="0" applyNumberFormat="1" applyFont="1" applyFill="1" applyBorder="1" applyAlignment="1">
      <alignment horizontal="center" vertical="top" wrapText="1"/>
    </xf>
    <xf numFmtId="0" fontId="102" fillId="30" borderId="60" xfId="0" applyNumberFormat="1" applyFont="1" applyFill="1" applyBorder="1" applyAlignment="1">
      <alignment horizontal="center" vertical="top" wrapText="1"/>
    </xf>
    <xf numFmtId="0" fontId="102" fillId="15" borderId="60" xfId="0" applyNumberFormat="1" applyFont="1" applyFill="1" applyBorder="1" applyAlignment="1">
      <alignment horizontal="center" vertical="top" wrapText="1"/>
    </xf>
    <xf numFmtId="0" fontId="102" fillId="30" borderId="60" xfId="0" applyNumberFormat="1" applyFont="1" applyFill="1" applyBorder="1" applyAlignment="1">
      <alignment horizontal="center" vertical="center"/>
    </xf>
    <xf numFmtId="0" fontId="102" fillId="15" borderId="60" xfId="0" applyNumberFormat="1" applyFont="1" applyFill="1" applyBorder="1" applyAlignment="1">
      <alignment horizontal="center" vertical="center"/>
    </xf>
    <xf numFmtId="0" fontId="92" fillId="30" borderId="60" xfId="0" applyNumberFormat="1" applyFont="1" applyFill="1" applyBorder="1" applyAlignment="1">
      <alignment horizontal="center" vertical="center"/>
    </xf>
    <xf numFmtId="0" fontId="59" fillId="8" borderId="60" xfId="0" applyNumberFormat="1" applyFont="1" applyFill="1" applyBorder="1"/>
    <xf numFmtId="180" fontId="59" fillId="8" borderId="60" xfId="0" applyNumberFormat="1" applyFont="1" applyFill="1" applyBorder="1"/>
    <xf numFmtId="185" fontId="59" fillId="8" borderId="60" xfId="0" applyNumberFormat="1" applyFont="1" applyFill="1" applyBorder="1"/>
    <xf numFmtId="186" fontId="59" fillId="8" borderId="60" xfId="0" applyNumberFormat="1" applyFont="1" applyFill="1" applyBorder="1"/>
    <xf numFmtId="0" fontId="59" fillId="0" borderId="0" xfId="0" applyNumberFormat="1" applyFont="1" applyFill="1"/>
    <xf numFmtId="0" fontId="96" fillId="0" borderId="0" xfId="0" applyNumberFormat="1" applyFont="1"/>
    <xf numFmtId="186" fontId="59" fillId="10" borderId="60" xfId="0" applyNumberFormat="1" applyFont="1" applyFill="1" applyBorder="1"/>
    <xf numFmtId="180" fontId="59" fillId="0" borderId="0" xfId="0" applyNumberFormat="1" applyFont="1"/>
    <xf numFmtId="0" fontId="16" fillId="8" borderId="5" xfId="0" applyNumberFormat="1" applyFont="1" applyFill="1" applyBorder="1" applyAlignment="1" applyProtection="1">
      <alignment horizontal="center" vertical="center"/>
    </xf>
    <xf numFmtId="49" fontId="6" fillId="4" borderId="2" xfId="0" applyNumberFormat="1" applyFont="1" applyFill="1" applyBorder="1" applyAlignment="1" applyProtection="1">
      <alignment vertical="center" shrinkToFit="1"/>
      <protection locked="0"/>
    </xf>
    <xf numFmtId="14" fontId="0" fillId="0" borderId="22" xfId="0" applyNumberFormat="1" applyFont="1" applyBorder="1" applyAlignment="1" applyProtection="1">
      <alignment vertical="center"/>
      <protection locked="0"/>
    </xf>
    <xf numFmtId="0" fontId="79" fillId="4" borderId="5" xfId="0" applyNumberFormat="1" applyFont="1" applyFill="1" applyBorder="1" applyAlignment="1" applyProtection="1">
      <alignment horizontal="center" vertical="center" wrapText="1"/>
      <protection locked="0"/>
    </xf>
    <xf numFmtId="0" fontId="78" fillId="4" borderId="5" xfId="0" applyNumberFormat="1" applyFont="1" applyFill="1" applyBorder="1" applyAlignment="1" applyProtection="1">
      <alignment horizontal="center" wrapText="1"/>
      <protection locked="0"/>
    </xf>
    <xf numFmtId="0" fontId="16" fillId="2" borderId="5" xfId="0" applyNumberFormat="1" applyFont="1" applyFill="1" applyBorder="1" applyAlignment="1" applyProtection="1">
      <alignment horizontal="left" vertical="center"/>
      <protection locked="0"/>
    </xf>
    <xf numFmtId="0" fontId="0" fillId="0" borderId="0" xfId="0" applyNumberFormat="1" applyAlignment="1" applyProtection="1">
      <alignment vertical="center" wrapText="1"/>
      <protection locked="0"/>
    </xf>
    <xf numFmtId="178" fontId="63" fillId="18" borderId="65" xfId="0" applyFont="1" applyFill="1" applyBorder="1" applyProtection="1">
      <protection locked="0"/>
    </xf>
    <xf numFmtId="186" fontId="0" fillId="18" borderId="65" xfId="0" applyNumberFormat="1" applyFill="1" applyBorder="1" applyProtection="1">
      <protection locked="0"/>
    </xf>
    <xf numFmtId="0" fontId="59" fillId="20" borderId="0" xfId="0" applyNumberFormat="1" applyFont="1" applyFill="1"/>
    <xf numFmtId="186" fontId="59" fillId="20" borderId="0" xfId="0" applyNumberFormat="1" applyFont="1" applyFill="1"/>
    <xf numFmtId="0" fontId="27" fillId="20" borderId="0" xfId="0" applyNumberFormat="1" applyFont="1" applyFill="1"/>
    <xf numFmtId="0" fontId="27" fillId="8" borderId="60" xfId="0" applyNumberFormat="1" applyFont="1" applyFill="1" applyBorder="1"/>
    <xf numFmtId="0" fontId="103" fillId="10" borderId="60" xfId="0" applyNumberFormat="1" applyFont="1" applyFill="1" applyBorder="1"/>
    <xf numFmtId="0" fontId="6" fillId="26" borderId="60" xfId="0" applyNumberFormat="1" applyFont="1" applyFill="1" applyBorder="1" applyAlignment="1">
      <alignment horizontal="center" vertical="center"/>
    </xf>
    <xf numFmtId="178" fontId="4" fillId="4" borderId="1" xfId="0" applyFont="1" applyFill="1" applyBorder="1" applyAlignment="1" applyProtection="1">
      <alignment horizontal="left" vertical="center"/>
    </xf>
    <xf numFmtId="178" fontId="63" fillId="4" borderId="2" xfId="0" applyFont="1" applyFill="1" applyBorder="1" applyAlignment="1" applyProtection="1">
      <alignment horizontal="right" vertical="center" shrinkToFit="1"/>
    </xf>
    <xf numFmtId="49" fontId="53" fillId="4" borderId="2" xfId="0" applyNumberFormat="1" applyFont="1" applyFill="1" applyBorder="1" applyAlignment="1" applyProtection="1">
      <alignment horizontal="left" vertical="center"/>
      <protection locked="0"/>
    </xf>
    <xf numFmtId="178" fontId="4" fillId="4" borderId="4" xfId="0" applyFont="1" applyFill="1" applyBorder="1" applyAlignment="1" applyProtection="1">
      <alignment horizontal="left" vertical="center"/>
    </xf>
    <xf numFmtId="178" fontId="49" fillId="4" borderId="22" xfId="0" applyFont="1" applyFill="1" applyBorder="1" applyAlignment="1" applyProtection="1">
      <alignment vertical="center" shrinkToFit="1"/>
      <protection locked="0"/>
    </xf>
    <xf numFmtId="178" fontId="64" fillId="4" borderId="4" xfId="0" applyFont="1" applyFill="1" applyBorder="1" applyAlignment="1" applyProtection="1">
      <alignment horizontal="left" vertical="center"/>
    </xf>
    <xf numFmtId="178" fontId="4" fillId="4" borderId="4" xfId="0" applyFont="1" applyFill="1" applyBorder="1" applyAlignment="1" applyProtection="1">
      <alignment horizontal="left" vertical="center" shrinkToFit="1"/>
      <protection locked="0"/>
    </xf>
    <xf numFmtId="178" fontId="6" fillId="4" borderId="5" xfId="0" applyFont="1" applyFill="1" applyBorder="1" applyAlignment="1" applyProtection="1">
      <alignment vertical="center" shrinkToFit="1"/>
      <protection locked="0"/>
    </xf>
    <xf numFmtId="178" fontId="64" fillId="4" borderId="5" xfId="0" applyFont="1" applyFill="1" applyBorder="1" applyAlignment="1" applyProtection="1">
      <alignment vertical="center"/>
    </xf>
    <xf numFmtId="178" fontId="4" fillId="4" borderId="5" xfId="0" applyFont="1" applyFill="1" applyBorder="1" applyAlignment="1" applyProtection="1">
      <alignment vertical="center" shrinkToFit="1"/>
    </xf>
    <xf numFmtId="178" fontId="72" fillId="4" borderId="6" xfId="0" applyFont="1" applyFill="1" applyBorder="1" applyAlignment="1" applyProtection="1">
      <alignment vertical="center"/>
      <protection locked="0"/>
    </xf>
    <xf numFmtId="49" fontId="6" fillId="4" borderId="6" xfId="0" applyNumberFormat="1" applyFont="1" applyFill="1" applyBorder="1" applyAlignment="1" applyProtection="1">
      <alignment vertical="center"/>
      <protection locked="0"/>
    </xf>
    <xf numFmtId="178" fontId="49" fillId="4" borderId="5" xfId="0" applyFont="1" applyFill="1" applyBorder="1" applyAlignment="1" applyProtection="1">
      <alignment vertical="center"/>
      <protection locked="0"/>
    </xf>
    <xf numFmtId="178" fontId="49" fillId="4" borderId="6" xfId="0" applyFont="1" applyFill="1" applyBorder="1" applyAlignment="1" applyProtection="1">
      <alignment vertical="center"/>
      <protection locked="0"/>
    </xf>
    <xf numFmtId="178" fontId="49" fillId="4" borderId="5" xfId="0" applyFont="1" applyFill="1" applyBorder="1" applyAlignment="1" applyProtection="1">
      <alignment horizontal="left" vertical="center"/>
      <protection locked="0"/>
    </xf>
    <xf numFmtId="183" fontId="72" fillId="4" borderId="5" xfId="0" applyNumberFormat="1" applyFont="1" applyFill="1" applyBorder="1" applyAlignment="1" applyProtection="1">
      <alignment horizontal="left" vertical="center"/>
      <protection locked="0"/>
    </xf>
    <xf numFmtId="178" fontId="4" fillId="4" borderId="5" xfId="0" applyFont="1" applyFill="1" applyBorder="1" applyAlignment="1" applyProtection="1">
      <alignment horizontal="left" vertical="center"/>
    </xf>
    <xf numFmtId="179" fontId="72" fillId="4" borderId="6" xfId="0" applyNumberFormat="1" applyFont="1" applyFill="1" applyBorder="1" applyAlignment="1" applyProtection="1">
      <alignment horizontal="left" vertical="center"/>
      <protection locked="0"/>
    </xf>
    <xf numFmtId="178" fontId="4" fillId="4" borderId="4" xfId="0" applyFont="1" applyFill="1" applyBorder="1" applyAlignment="1" applyProtection="1">
      <alignment horizontal="left" vertical="center" shrinkToFit="1"/>
    </xf>
    <xf numFmtId="176" fontId="72" fillId="4" borderId="5" xfId="0" applyNumberFormat="1" applyFont="1" applyFill="1" applyBorder="1" applyAlignment="1" applyProtection="1">
      <alignment horizontal="left" vertical="center"/>
      <protection locked="0"/>
    </xf>
    <xf numFmtId="178" fontId="64" fillId="4" borderId="5" xfId="0" applyFont="1" applyFill="1" applyBorder="1" applyAlignment="1" applyProtection="1">
      <alignment vertical="center" shrinkToFit="1"/>
    </xf>
    <xf numFmtId="49" fontId="6" fillId="4" borderId="5" xfId="0" applyNumberFormat="1" applyFont="1" applyFill="1" applyBorder="1" applyAlignment="1" applyProtection="1">
      <alignment horizontal="left" vertical="center"/>
      <protection locked="0"/>
    </xf>
    <xf numFmtId="178" fontId="53" fillId="4" borderId="5" xfId="0" applyFont="1" applyFill="1" applyBorder="1" applyAlignment="1" applyProtection="1">
      <alignment horizontal="left" vertical="center" wrapText="1"/>
      <protection locked="0"/>
    </xf>
    <xf numFmtId="49" fontId="53" fillId="4" borderId="6" xfId="0" applyNumberFormat="1" applyFont="1" applyFill="1" applyBorder="1" applyAlignment="1" applyProtection="1">
      <alignment horizontal="left" vertical="center" wrapText="1"/>
      <protection locked="0"/>
    </xf>
    <xf numFmtId="178" fontId="4" fillId="4" borderId="9" xfId="0" applyFont="1" applyFill="1" applyBorder="1" applyAlignment="1" applyProtection="1">
      <alignment horizontal="left" vertical="center"/>
    </xf>
    <xf numFmtId="185" fontId="53" fillId="4" borderId="10" xfId="0" applyNumberFormat="1" applyFont="1" applyFill="1" applyBorder="1" applyAlignment="1" applyProtection="1">
      <alignment horizontal="left" vertical="center" wrapText="1"/>
      <protection locked="0"/>
    </xf>
    <xf numFmtId="178" fontId="4" fillId="4" borderId="10" xfId="0" applyFont="1" applyFill="1" applyBorder="1" applyAlignment="1" applyProtection="1">
      <alignment horizontal="left" vertical="center"/>
    </xf>
    <xf numFmtId="178" fontId="53" fillId="4" borderId="11" xfId="0" applyFont="1" applyFill="1" applyBorder="1" applyAlignment="1" applyProtection="1">
      <alignment horizontal="left" vertical="center" wrapText="1"/>
      <protection locked="0"/>
    </xf>
    <xf numFmtId="178" fontId="64" fillId="4" borderId="1" xfId="0" applyFont="1" applyFill="1" applyBorder="1" applyAlignment="1" applyProtection="1">
      <alignment horizontal="left" vertical="center"/>
    </xf>
    <xf numFmtId="178" fontId="4" fillId="4" borderId="2" xfId="0" applyFont="1" applyFill="1" applyBorder="1" applyAlignment="1" applyProtection="1">
      <alignment vertical="center" shrinkToFit="1"/>
    </xf>
    <xf numFmtId="178" fontId="72" fillId="4" borderId="5" xfId="0" applyFont="1" applyFill="1" applyBorder="1" applyAlignment="1" applyProtection="1">
      <alignment vertical="center"/>
      <protection locked="0"/>
    </xf>
    <xf numFmtId="178" fontId="4" fillId="4" borderId="5" xfId="0" applyFont="1" applyFill="1" applyBorder="1" applyAlignment="1" applyProtection="1">
      <alignment vertical="center"/>
    </xf>
    <xf numFmtId="14" fontId="49" fillId="4" borderId="5" xfId="0" applyNumberFormat="1" applyFont="1" applyFill="1" applyBorder="1" applyAlignment="1" applyProtection="1">
      <alignment vertical="center"/>
      <protection locked="0"/>
    </xf>
    <xf numFmtId="178" fontId="4" fillId="4" borderId="25" xfId="0" applyFont="1" applyFill="1" applyBorder="1" applyAlignment="1" applyProtection="1">
      <alignment horizontal="left" vertical="center" shrinkToFit="1"/>
    </xf>
    <xf numFmtId="31" fontId="6" fillId="4" borderId="22" xfId="0" applyNumberFormat="1" applyFont="1" applyFill="1" applyBorder="1" applyAlignment="1" applyProtection="1">
      <alignment vertical="center"/>
      <protection locked="0"/>
    </xf>
    <xf numFmtId="31" fontId="85" fillId="4" borderId="5" xfId="0" applyNumberFormat="1" applyFont="1" applyFill="1" applyBorder="1" applyAlignment="1" applyProtection="1">
      <alignment vertical="center"/>
      <protection locked="0"/>
    </xf>
    <xf numFmtId="31" fontId="49" fillId="4" borderId="5" xfId="0" applyNumberFormat="1" applyFont="1" applyFill="1" applyBorder="1" applyAlignment="1" applyProtection="1">
      <alignment vertical="center"/>
      <protection locked="0"/>
    </xf>
    <xf numFmtId="178" fontId="4" fillId="4" borderId="7" xfId="0" applyFont="1" applyFill="1" applyBorder="1" applyAlignment="1" applyProtection="1">
      <alignment horizontal="left" vertical="center"/>
    </xf>
    <xf numFmtId="178" fontId="6" fillId="4" borderId="22" xfId="0" applyNumberFormat="1" applyFont="1" applyFill="1" applyBorder="1" applyAlignment="1" applyProtection="1">
      <alignment vertical="center"/>
      <protection locked="0"/>
    </xf>
    <xf numFmtId="178" fontId="4" fillId="4" borderId="5" xfId="0" applyNumberFormat="1" applyFont="1" applyFill="1" applyBorder="1" applyAlignment="1" applyProtection="1">
      <alignment vertical="center"/>
      <protection locked="0"/>
    </xf>
    <xf numFmtId="178" fontId="49" fillId="4" borderId="5" xfId="0" applyNumberFormat="1" applyFont="1" applyFill="1" applyBorder="1" applyAlignment="1" applyProtection="1">
      <alignment vertical="center"/>
      <protection locked="0"/>
    </xf>
    <xf numFmtId="178" fontId="4" fillId="4" borderId="1" xfId="0" applyFont="1" applyFill="1" applyBorder="1" applyAlignment="1" applyProtection="1">
      <alignment vertical="center"/>
    </xf>
    <xf numFmtId="180" fontId="6" fillId="4" borderId="2" xfId="0" applyNumberFormat="1" applyFont="1" applyFill="1" applyBorder="1" applyAlignment="1" applyProtection="1">
      <alignment horizontal="right" vertical="center"/>
    </xf>
    <xf numFmtId="178" fontId="4" fillId="4" borderId="2" xfId="0" applyFont="1" applyFill="1" applyBorder="1" applyAlignment="1" applyProtection="1">
      <alignment vertical="center"/>
    </xf>
    <xf numFmtId="181" fontId="6" fillId="4" borderId="3" xfId="0" applyNumberFormat="1" applyFont="1" applyFill="1" applyBorder="1" applyAlignment="1" applyProtection="1">
      <alignment horizontal="right" vertical="center"/>
    </xf>
    <xf numFmtId="178" fontId="4" fillId="4" borderId="4" xfId="0" applyFont="1" applyFill="1" applyBorder="1" applyAlignment="1" applyProtection="1">
      <alignment vertical="center"/>
    </xf>
    <xf numFmtId="178" fontId="4" fillId="4" borderId="65" xfId="0" applyFont="1" applyFill="1" applyBorder="1" applyAlignment="1" applyProtection="1">
      <alignment vertical="center"/>
    </xf>
    <xf numFmtId="178" fontId="53" fillId="4" borderId="65" xfId="0" applyFont="1" applyFill="1" applyBorder="1" applyAlignment="1" applyProtection="1">
      <alignment horizontal="left" vertical="center"/>
      <protection locked="0"/>
    </xf>
    <xf numFmtId="178" fontId="55" fillId="4" borderId="65" xfId="0" applyFont="1" applyFill="1" applyBorder="1" applyAlignment="1" applyProtection="1">
      <alignment horizontal="left" vertical="center"/>
    </xf>
    <xf numFmtId="184" fontId="72" fillId="4" borderId="65" xfId="0" applyNumberFormat="1" applyFont="1" applyFill="1" applyBorder="1" applyAlignment="1" applyProtection="1">
      <alignment horizontal="left" vertical="center"/>
      <protection locked="0"/>
    </xf>
    <xf numFmtId="177" fontId="53" fillId="4" borderId="65" xfId="0" applyNumberFormat="1" applyFont="1" applyFill="1" applyBorder="1" applyAlignment="1" applyProtection="1">
      <alignment horizontal="left" vertical="center"/>
      <protection locked="0"/>
    </xf>
    <xf numFmtId="178" fontId="72" fillId="4" borderId="65" xfId="0" applyFont="1" applyFill="1" applyBorder="1" applyAlignment="1" applyProtection="1">
      <alignment horizontal="left" vertical="center" shrinkToFit="1"/>
      <protection locked="0"/>
    </xf>
    <xf numFmtId="49" fontId="4" fillId="4" borderId="65" xfId="0" applyNumberFormat="1" applyFont="1" applyFill="1" applyBorder="1" applyAlignment="1" applyProtection="1">
      <alignment vertical="center"/>
    </xf>
    <xf numFmtId="178" fontId="53" fillId="4" borderId="65" xfId="0" applyFont="1" applyFill="1" applyBorder="1" applyAlignment="1" applyProtection="1">
      <alignment horizontal="left" vertical="center" shrinkToFit="1"/>
      <protection locked="0"/>
    </xf>
    <xf numFmtId="178" fontId="4" fillId="4" borderId="65" xfId="0" applyFont="1" applyFill="1" applyBorder="1" applyAlignment="1" applyProtection="1">
      <alignment vertical="center"/>
      <protection locked="0"/>
    </xf>
    <xf numFmtId="178" fontId="4" fillId="4" borderId="7" xfId="0" applyFont="1" applyFill="1" applyBorder="1" applyAlignment="1" applyProtection="1">
      <alignment vertical="center"/>
    </xf>
    <xf numFmtId="180" fontId="71" fillId="4" borderId="65" xfId="0" applyNumberFormat="1" applyFont="1" applyFill="1" applyBorder="1" applyAlignment="1" applyProtection="1">
      <alignment horizontal="center" vertical="center"/>
      <protection locked="0"/>
    </xf>
    <xf numFmtId="180" fontId="4" fillId="4" borderId="65" xfId="0" applyNumberFormat="1" applyFont="1" applyFill="1" applyBorder="1" applyAlignment="1" applyProtection="1">
      <alignment horizontal="center" vertical="center"/>
      <protection locked="0"/>
    </xf>
    <xf numFmtId="178" fontId="6" fillId="2" borderId="0" xfId="0" applyFont="1" applyFill="1"/>
    <xf numFmtId="181" fontId="0" fillId="0" borderId="0" xfId="0" applyNumberFormat="1"/>
    <xf numFmtId="14" fontId="0" fillId="0" borderId="0" xfId="0" applyNumberFormat="1"/>
    <xf numFmtId="181" fontId="0" fillId="2" borderId="0" xfId="0" applyNumberFormat="1" applyFill="1"/>
    <xf numFmtId="186" fontId="63" fillId="0" borderId="0" xfId="0" applyNumberFormat="1" applyFont="1"/>
    <xf numFmtId="188" fontId="0" fillId="0" borderId="0" xfId="0" applyNumberFormat="1" applyFont="1" applyAlignment="1" applyProtection="1">
      <alignment vertical="center"/>
      <protection locked="0"/>
    </xf>
    <xf numFmtId="188" fontId="6" fillId="0" borderId="0" xfId="0" applyNumberFormat="1" applyFont="1"/>
    <xf numFmtId="186" fontId="6" fillId="0" borderId="0" xfId="0" applyNumberFormat="1" applyFont="1"/>
    <xf numFmtId="10" fontId="0" fillId="0" borderId="0" xfId="0" applyNumberFormat="1"/>
    <xf numFmtId="177" fontId="0" fillId="0" borderId="0" xfId="0" applyNumberFormat="1"/>
    <xf numFmtId="183" fontId="0" fillId="0" borderId="0" xfId="0" applyNumberFormat="1"/>
    <xf numFmtId="178" fontId="50" fillId="4" borderId="5" xfId="0" applyFont="1" applyFill="1" applyBorder="1" applyAlignment="1" applyProtection="1">
      <alignment horizontal="center" vertical="center" shrinkToFit="1"/>
      <protection locked="0"/>
    </xf>
    <xf numFmtId="176" fontId="63" fillId="21" borderId="0" xfId="0" applyNumberFormat="1" applyFont="1" applyFill="1"/>
    <xf numFmtId="189" fontId="0" fillId="21" borderId="0" xfId="0" applyNumberFormat="1" applyFill="1"/>
    <xf numFmtId="180" fontId="0" fillId="21" borderId="0" xfId="0" applyNumberFormat="1" applyFill="1"/>
    <xf numFmtId="188" fontId="0" fillId="19" borderId="0" xfId="0" applyNumberFormat="1" applyFill="1"/>
    <xf numFmtId="178" fontId="0" fillId="19" borderId="0" xfId="0" applyFill="1"/>
    <xf numFmtId="49" fontId="0" fillId="19" borderId="0" xfId="0" applyNumberFormat="1" applyFill="1"/>
    <xf numFmtId="186" fontId="0" fillId="19" borderId="0" xfId="0" applyNumberFormat="1" applyFill="1"/>
    <xf numFmtId="22" fontId="63" fillId="19" borderId="0" xfId="0" applyNumberFormat="1" applyFont="1" applyFill="1"/>
    <xf numFmtId="186" fontId="0" fillId="19" borderId="0" xfId="0" applyNumberFormat="1" applyFill="1" applyAlignment="1"/>
    <xf numFmtId="188" fontId="0" fillId="21" borderId="0" xfId="0" applyNumberFormat="1" applyFill="1"/>
    <xf numFmtId="178" fontId="6" fillId="0" borderId="5" xfId="0" applyFont="1" applyBorder="1" applyProtection="1">
      <protection locked="0"/>
    </xf>
    <xf numFmtId="178" fontId="6" fillId="0" borderId="5" xfId="0" applyFont="1" applyFill="1" applyBorder="1" applyProtection="1">
      <protection locked="0"/>
    </xf>
    <xf numFmtId="0" fontId="79" fillId="18" borderId="5" xfId="0" applyNumberFormat="1" applyFont="1" applyFill="1" applyBorder="1" applyAlignment="1" applyProtection="1">
      <alignment horizontal="left" vertical="center" wrapText="1"/>
      <protection locked="0"/>
    </xf>
    <xf numFmtId="0" fontId="79" fillId="18" borderId="5" xfId="0" applyNumberFormat="1" applyFont="1" applyFill="1" applyBorder="1" applyAlignment="1" applyProtection="1">
      <alignment horizontal="left" vertical="center"/>
      <protection locked="0"/>
    </xf>
    <xf numFmtId="180" fontId="0" fillId="0" borderId="0" xfId="0" applyNumberFormat="1"/>
    <xf numFmtId="189" fontId="0" fillId="2" borderId="0" xfId="0" applyNumberFormat="1" applyFill="1"/>
    <xf numFmtId="178" fontId="6" fillId="4" borderId="65" xfId="0" applyNumberFormat="1" applyFont="1" applyFill="1" applyBorder="1" applyAlignment="1" applyProtection="1">
      <alignment vertical="center"/>
      <protection locked="0"/>
    </xf>
    <xf numFmtId="178" fontId="63" fillId="4" borderId="65" xfId="0" applyFont="1" applyFill="1" applyBorder="1" applyAlignment="1" applyProtection="1">
      <alignment vertical="center"/>
      <protection locked="0"/>
    </xf>
    <xf numFmtId="178" fontId="12" fillId="20" borderId="5" xfId="0" applyFont="1" applyFill="1" applyBorder="1" applyAlignment="1" applyProtection="1">
      <alignment horizontal="center" vertical="center" shrinkToFit="1"/>
    </xf>
    <xf numFmtId="178" fontId="6" fillId="0" borderId="22" xfId="0" applyFont="1" applyBorder="1" applyAlignment="1" applyProtection="1">
      <alignment horizontal="left" vertical="center" shrinkToFit="1"/>
      <protection locked="0"/>
    </xf>
    <xf numFmtId="178" fontId="6" fillId="0" borderId="26" xfId="0" applyFont="1" applyBorder="1" applyAlignment="1" applyProtection="1">
      <alignment horizontal="left" vertical="center" shrinkToFit="1"/>
      <protection locked="0"/>
    </xf>
    <xf numFmtId="178" fontId="6" fillId="0" borderId="21" xfId="0" applyFont="1" applyBorder="1" applyAlignment="1" applyProtection="1">
      <alignment horizontal="left" vertical="center" shrinkToFit="1"/>
      <protection locked="0"/>
    </xf>
    <xf numFmtId="178" fontId="52" fillId="0" borderId="0" xfId="0" applyFont="1" applyBorder="1" applyAlignment="1" applyProtection="1">
      <alignment horizontal="center" vertical="center"/>
      <protection locked="0"/>
    </xf>
    <xf numFmtId="178" fontId="71" fillId="4" borderId="42" xfId="0" applyFont="1" applyFill="1" applyBorder="1" applyAlignment="1" applyProtection="1">
      <alignment horizontal="left" vertical="center" wrapText="1"/>
      <protection locked="0"/>
    </xf>
    <xf numFmtId="178" fontId="71" fillId="4" borderId="43" xfId="0" applyFont="1" applyFill="1" applyBorder="1" applyAlignment="1" applyProtection="1">
      <alignment horizontal="left" vertical="center" wrapText="1"/>
      <protection locked="0"/>
    </xf>
    <xf numFmtId="178" fontId="71" fillId="4" borderId="44" xfId="0" applyFont="1" applyFill="1" applyBorder="1" applyAlignment="1" applyProtection="1">
      <alignment horizontal="left" vertical="center" wrapText="1"/>
      <protection locked="0"/>
    </xf>
    <xf numFmtId="178" fontId="71" fillId="4" borderId="46" xfId="0" applyFont="1" applyFill="1" applyBorder="1" applyAlignment="1" applyProtection="1">
      <alignment horizontal="left" vertical="center" wrapText="1"/>
      <protection locked="0"/>
    </xf>
    <xf numFmtId="178" fontId="71" fillId="4" borderId="0" xfId="0" applyFont="1" applyFill="1" applyBorder="1" applyAlignment="1" applyProtection="1">
      <alignment horizontal="left" vertical="center" wrapText="1"/>
      <protection locked="0"/>
    </xf>
    <xf numFmtId="178" fontId="71" fillId="4" borderId="47" xfId="0" applyFont="1" applyFill="1" applyBorder="1" applyAlignment="1" applyProtection="1">
      <alignment horizontal="left" vertical="center" wrapText="1"/>
      <protection locked="0"/>
    </xf>
    <xf numFmtId="178" fontId="71" fillId="4" borderId="48" xfId="0" applyFont="1" applyFill="1" applyBorder="1" applyAlignment="1" applyProtection="1">
      <alignment horizontal="left" vertical="center" wrapText="1"/>
      <protection locked="0"/>
    </xf>
    <xf numFmtId="178" fontId="71" fillId="4" borderId="35" xfId="0" applyFont="1" applyFill="1" applyBorder="1" applyAlignment="1" applyProtection="1">
      <alignment horizontal="left" vertical="center" wrapText="1"/>
      <protection locked="0"/>
    </xf>
    <xf numFmtId="178" fontId="71" fillId="4" borderId="40" xfId="0" applyFont="1" applyFill="1" applyBorder="1" applyAlignment="1" applyProtection="1">
      <alignment horizontal="left" vertical="center" wrapText="1"/>
      <protection locked="0"/>
    </xf>
    <xf numFmtId="178" fontId="6" fillId="0" borderId="5" xfId="0" applyFont="1" applyBorder="1" applyAlignment="1" applyProtection="1">
      <alignment horizontal="left" vertical="center" wrapText="1"/>
      <protection locked="0"/>
    </xf>
    <xf numFmtId="178" fontId="6" fillId="0" borderId="5" xfId="0" applyFont="1" applyBorder="1" applyAlignment="1" applyProtection="1">
      <alignment horizontal="left" vertical="center"/>
      <protection locked="0"/>
    </xf>
    <xf numFmtId="178" fontId="6" fillId="0" borderId="22" xfId="0" applyFont="1" applyBorder="1" applyAlignment="1" applyProtection="1">
      <alignment horizontal="left" vertical="center"/>
      <protection locked="0"/>
    </xf>
    <xf numFmtId="178" fontId="6" fillId="0" borderId="6" xfId="0" applyFont="1" applyBorder="1" applyAlignment="1" applyProtection="1">
      <alignment horizontal="left" vertical="center"/>
      <protection locked="0"/>
    </xf>
    <xf numFmtId="178" fontId="53" fillId="2" borderId="5" xfId="0" applyFont="1" applyFill="1" applyBorder="1" applyAlignment="1" applyProtection="1">
      <alignment horizontal="left" vertical="center" wrapText="1"/>
      <protection locked="0"/>
    </xf>
    <xf numFmtId="178" fontId="53" fillId="2" borderId="6" xfId="0" applyFont="1" applyFill="1" applyBorder="1" applyAlignment="1" applyProtection="1">
      <alignment horizontal="left" vertical="center" wrapText="1"/>
      <protection locked="0"/>
    </xf>
    <xf numFmtId="178" fontId="52" fillId="0" borderId="33" xfId="0" applyFont="1" applyBorder="1" applyAlignment="1" applyProtection="1">
      <alignment horizontal="center" vertical="center"/>
      <protection locked="0"/>
    </xf>
    <xf numFmtId="178" fontId="52" fillId="0" borderId="34" xfId="0" applyFont="1" applyBorder="1" applyAlignment="1" applyProtection="1">
      <alignment horizontal="center" vertical="center"/>
      <protection locked="0"/>
    </xf>
    <xf numFmtId="178" fontId="0" fillId="0" borderId="0" xfId="0" applyFont="1" applyAlignment="1" applyProtection="1">
      <alignment horizontal="center" vertical="center"/>
      <protection locked="0"/>
    </xf>
    <xf numFmtId="178" fontId="24" fillId="0" borderId="5" xfId="0" applyFont="1" applyBorder="1" applyAlignment="1" applyProtection="1">
      <alignment horizontal="center" vertical="center" wrapText="1"/>
      <protection locked="0"/>
    </xf>
    <xf numFmtId="178" fontId="49" fillId="0" borderId="22" xfId="0" applyFont="1" applyBorder="1" applyAlignment="1" applyProtection="1">
      <alignment horizontal="left" vertical="center" wrapText="1" shrinkToFit="1"/>
      <protection locked="0"/>
    </xf>
    <xf numFmtId="178" fontId="49" fillId="0" borderId="26" xfId="0" applyFont="1" applyBorder="1" applyAlignment="1" applyProtection="1">
      <alignment horizontal="left" vertical="center" wrapText="1" shrinkToFit="1"/>
      <protection locked="0"/>
    </xf>
    <xf numFmtId="178" fontId="49" fillId="0" borderId="21" xfId="0" applyFont="1" applyBorder="1" applyAlignment="1" applyProtection="1">
      <alignment horizontal="left" vertical="center" wrapText="1" shrinkToFit="1"/>
      <protection locked="0"/>
    </xf>
    <xf numFmtId="178" fontId="6" fillId="0" borderId="22" xfId="0" applyFont="1" applyBorder="1" applyAlignment="1" applyProtection="1">
      <alignment horizontal="left" vertical="center" wrapText="1" shrinkToFit="1"/>
      <protection locked="0"/>
    </xf>
    <xf numFmtId="178" fontId="6" fillId="0" borderId="26" xfId="0" applyFont="1" applyBorder="1" applyAlignment="1" applyProtection="1">
      <alignment horizontal="left" vertical="center" wrapText="1" shrinkToFit="1"/>
      <protection locked="0"/>
    </xf>
    <xf numFmtId="178" fontId="6" fillId="0" borderId="21" xfId="0" applyFont="1" applyBorder="1" applyAlignment="1" applyProtection="1">
      <alignment horizontal="left" vertical="center" wrapText="1" shrinkToFit="1"/>
      <protection locked="0"/>
    </xf>
    <xf numFmtId="176" fontId="6" fillId="0" borderId="26" xfId="0" applyNumberFormat="1" applyFont="1" applyBorder="1" applyAlignment="1" applyProtection="1">
      <alignment horizontal="left" vertical="center" shrinkToFit="1"/>
      <protection locked="0"/>
    </xf>
    <xf numFmtId="176" fontId="6" fillId="0" borderId="21" xfId="0" applyNumberFormat="1" applyFont="1" applyBorder="1" applyAlignment="1" applyProtection="1">
      <alignment horizontal="left" vertical="center" shrinkToFit="1"/>
      <protection locked="0"/>
    </xf>
    <xf numFmtId="178" fontId="75" fillId="0" borderId="5" xfId="0" applyFont="1" applyBorder="1" applyAlignment="1" applyProtection="1">
      <alignment horizontal="center" vertical="center"/>
      <protection locked="0"/>
    </xf>
    <xf numFmtId="49" fontId="63" fillId="20" borderId="46" xfId="1" applyNumberFormat="1" applyFont="1" applyFill="1" applyBorder="1" applyAlignment="1" applyProtection="1">
      <alignment horizontal="center" vertical="center"/>
      <protection locked="0"/>
    </xf>
    <xf numFmtId="49" fontId="0" fillId="20" borderId="0" xfId="1" applyNumberFormat="1" applyFont="1" applyFill="1" applyAlignment="1" applyProtection="1">
      <alignment horizontal="center" vertical="center"/>
      <protection locked="0"/>
    </xf>
    <xf numFmtId="178" fontId="6" fillId="0" borderId="46" xfId="0" applyFont="1" applyBorder="1" applyAlignment="1" applyProtection="1">
      <alignment horizontal="center" vertical="center"/>
      <protection locked="0"/>
    </xf>
    <xf numFmtId="178" fontId="6" fillId="0" borderId="34" xfId="0" applyFont="1" applyBorder="1" applyAlignment="1" applyProtection="1">
      <alignment horizontal="center" vertical="center"/>
      <protection locked="0"/>
    </xf>
    <xf numFmtId="178" fontId="0" fillId="2" borderId="0" xfId="0" applyFont="1" applyFill="1" applyAlignment="1" applyProtection="1">
      <alignment horizontal="center" vertical="center" wrapText="1"/>
      <protection locked="0"/>
    </xf>
    <xf numFmtId="189" fontId="4" fillId="20" borderId="5" xfId="0" applyNumberFormat="1" applyFont="1" applyFill="1" applyBorder="1" applyAlignment="1" applyProtection="1">
      <alignment horizontal="center" vertical="center"/>
    </xf>
    <xf numFmtId="189" fontId="4" fillId="20" borderId="6" xfId="0" applyNumberFormat="1" applyFont="1" applyFill="1" applyBorder="1" applyAlignment="1" applyProtection="1">
      <alignment horizontal="center" vertical="center"/>
    </xf>
    <xf numFmtId="181" fontId="4" fillId="20" borderId="23" xfId="0" applyNumberFormat="1" applyFont="1" applyFill="1" applyBorder="1" applyAlignment="1" applyProtection="1">
      <alignment horizontal="center" vertical="center"/>
    </xf>
    <xf numFmtId="181" fontId="4" fillId="20" borderId="56" xfId="0" applyNumberFormat="1" applyFont="1" applyFill="1" applyBorder="1" applyAlignment="1" applyProtection="1">
      <alignment horizontal="center" vertical="center"/>
    </xf>
    <xf numFmtId="181" fontId="4" fillId="20" borderId="24" xfId="0" applyNumberFormat="1" applyFont="1" applyFill="1" applyBorder="1" applyAlignment="1" applyProtection="1">
      <alignment horizontal="center" vertical="center"/>
    </xf>
    <xf numFmtId="178" fontId="0" fillId="0" borderId="0" xfId="0" applyFont="1" applyAlignment="1" applyProtection="1">
      <alignment horizontal="center" vertical="center" wrapText="1"/>
      <protection locked="0"/>
    </xf>
    <xf numFmtId="178" fontId="4" fillId="0" borderId="46" xfId="0" applyFont="1" applyBorder="1" applyAlignment="1" applyProtection="1">
      <alignment horizontal="center" vertical="center"/>
      <protection locked="0"/>
    </xf>
    <xf numFmtId="178" fontId="4" fillId="0" borderId="0" xfId="0" applyFont="1" applyBorder="1" applyAlignment="1" applyProtection="1">
      <alignment horizontal="center" vertical="center"/>
      <protection locked="0"/>
    </xf>
    <xf numFmtId="178" fontId="4" fillId="0" borderId="47" xfId="0" applyFont="1" applyBorder="1" applyAlignment="1" applyProtection="1">
      <alignment horizontal="center" vertical="center"/>
      <protection locked="0"/>
    </xf>
    <xf numFmtId="178" fontId="28" fillId="18" borderId="42" xfId="0" applyFont="1" applyFill="1" applyBorder="1" applyAlignment="1" applyProtection="1">
      <alignment horizontal="left" vertical="center" wrapText="1"/>
      <protection locked="0"/>
    </xf>
    <xf numFmtId="178" fontId="28" fillId="18" borderId="43" xfId="0" applyFont="1" applyFill="1" applyBorder="1" applyAlignment="1" applyProtection="1">
      <alignment horizontal="left" vertical="center" wrapText="1"/>
      <protection locked="0"/>
    </xf>
    <xf numFmtId="178" fontId="28" fillId="18" borderId="44" xfId="0" applyFont="1" applyFill="1" applyBorder="1" applyAlignment="1" applyProtection="1">
      <alignment horizontal="left" vertical="center" wrapText="1"/>
      <protection locked="0"/>
    </xf>
    <xf numFmtId="178" fontId="28" fillId="18" borderId="46" xfId="0" applyFont="1" applyFill="1" applyBorder="1" applyAlignment="1" applyProtection="1">
      <alignment horizontal="left" vertical="center" wrapText="1"/>
      <protection locked="0"/>
    </xf>
    <xf numFmtId="178" fontId="28" fillId="18" borderId="0" xfId="0" applyFont="1" applyFill="1" applyBorder="1" applyAlignment="1" applyProtection="1">
      <alignment horizontal="left" vertical="center" wrapText="1"/>
      <protection locked="0"/>
    </xf>
    <xf numFmtId="178" fontId="28" fillId="18" borderId="47" xfId="0" applyFont="1" applyFill="1" applyBorder="1" applyAlignment="1" applyProtection="1">
      <alignment horizontal="left" vertical="center" wrapText="1"/>
      <protection locked="0"/>
    </xf>
    <xf numFmtId="178" fontId="28" fillId="18" borderId="35" xfId="0" applyFont="1" applyFill="1" applyBorder="1" applyAlignment="1" applyProtection="1">
      <alignment horizontal="left" vertical="center" wrapText="1"/>
      <protection locked="0"/>
    </xf>
    <xf numFmtId="178" fontId="28" fillId="18" borderId="40" xfId="0" applyFont="1" applyFill="1" applyBorder="1" applyAlignment="1" applyProtection="1">
      <alignment horizontal="left" vertical="center" wrapText="1"/>
      <protection locked="0"/>
    </xf>
    <xf numFmtId="178" fontId="52" fillId="4" borderId="0" xfId="0" applyFont="1" applyFill="1" applyBorder="1" applyAlignment="1" applyProtection="1">
      <alignment horizontal="center" vertical="center"/>
      <protection locked="0"/>
    </xf>
    <xf numFmtId="178" fontId="6" fillId="4" borderId="5" xfId="0" applyFont="1" applyFill="1" applyBorder="1" applyAlignment="1" applyProtection="1">
      <alignment horizontal="left" vertical="center" wrapText="1"/>
      <protection locked="0"/>
    </xf>
    <xf numFmtId="178" fontId="72" fillId="4" borderId="5" xfId="0" applyFont="1" applyFill="1" applyBorder="1" applyAlignment="1" applyProtection="1">
      <alignment horizontal="left" vertical="center"/>
      <protection locked="0"/>
    </xf>
    <xf numFmtId="178" fontId="72" fillId="4" borderId="22" xfId="0" applyFont="1" applyFill="1" applyBorder="1" applyAlignment="1" applyProtection="1">
      <alignment horizontal="left" vertical="center"/>
      <protection locked="0"/>
    </xf>
    <xf numFmtId="178" fontId="53" fillId="4" borderId="5" xfId="0" applyFont="1" applyFill="1" applyBorder="1" applyAlignment="1" applyProtection="1">
      <alignment horizontal="left" vertical="center" wrapText="1"/>
      <protection locked="0"/>
    </xf>
    <xf numFmtId="178" fontId="53" fillId="4" borderId="6" xfId="0" applyFont="1" applyFill="1" applyBorder="1" applyAlignment="1" applyProtection="1">
      <alignment horizontal="left" vertical="center" wrapText="1"/>
      <protection locked="0"/>
    </xf>
    <xf numFmtId="178" fontId="4" fillId="4" borderId="46" xfId="0" applyFont="1" applyFill="1" applyBorder="1" applyAlignment="1" applyProtection="1">
      <alignment horizontal="center" vertical="center"/>
      <protection locked="0"/>
    </xf>
    <xf numFmtId="178" fontId="4" fillId="4" borderId="0" xfId="0" applyFont="1" applyFill="1" applyBorder="1" applyAlignment="1" applyProtection="1">
      <alignment horizontal="center" vertical="center"/>
      <protection locked="0"/>
    </xf>
    <xf numFmtId="178" fontId="4" fillId="4" borderId="47" xfId="0" applyFont="1" applyFill="1" applyBorder="1" applyAlignment="1" applyProtection="1">
      <alignment horizontal="center" vertical="center"/>
      <protection locked="0"/>
    </xf>
    <xf numFmtId="178" fontId="6" fillId="4" borderId="27" xfId="0" applyFont="1" applyFill="1" applyBorder="1" applyAlignment="1" applyProtection="1">
      <alignment horizontal="left" vertical="center"/>
      <protection locked="0"/>
    </xf>
    <xf numFmtId="178" fontId="72" fillId="4" borderId="29" xfId="0" applyFont="1" applyFill="1" applyBorder="1" applyAlignment="1" applyProtection="1">
      <alignment horizontal="left" vertical="center"/>
      <protection locked="0"/>
    </xf>
    <xf numFmtId="178" fontId="72" fillId="4" borderId="57" xfId="0" applyFont="1" applyFill="1" applyBorder="1" applyAlignment="1" applyProtection="1">
      <alignment horizontal="left" vertical="center"/>
      <protection locked="0"/>
    </xf>
    <xf numFmtId="178" fontId="54" fillId="4" borderId="23" xfId="0" applyNumberFormat="1" applyFont="1" applyFill="1" applyBorder="1" applyAlignment="1" applyProtection="1">
      <alignment horizontal="left" vertical="center" wrapText="1"/>
      <protection locked="0"/>
    </xf>
    <xf numFmtId="178" fontId="54" fillId="4" borderId="56" xfId="0" applyNumberFormat="1" applyFont="1" applyFill="1" applyBorder="1" applyAlignment="1" applyProtection="1">
      <alignment horizontal="left" vertical="center" wrapText="1"/>
      <protection locked="0"/>
    </xf>
    <xf numFmtId="178" fontId="54" fillId="4" borderId="24" xfId="0" applyNumberFormat="1" applyFont="1" applyFill="1" applyBorder="1" applyAlignment="1" applyProtection="1">
      <alignment horizontal="left" vertical="center" wrapText="1"/>
      <protection locked="0"/>
    </xf>
    <xf numFmtId="178" fontId="52" fillId="4" borderId="33" xfId="0" applyFont="1" applyFill="1" applyBorder="1" applyAlignment="1" applyProtection="1">
      <alignment horizontal="center" vertical="center"/>
      <protection locked="0"/>
    </xf>
    <xf numFmtId="178" fontId="52" fillId="4" borderId="34" xfId="0" applyFont="1" applyFill="1" applyBorder="1" applyAlignment="1" applyProtection="1">
      <alignment horizontal="center" vertical="center"/>
      <protection locked="0"/>
    </xf>
    <xf numFmtId="189" fontId="4" fillId="4" borderId="5" xfId="0" applyNumberFormat="1" applyFont="1" applyFill="1" applyBorder="1" applyAlignment="1" applyProtection="1">
      <alignment horizontal="center" vertical="center"/>
    </xf>
    <xf numFmtId="189" fontId="4" fillId="4" borderId="6" xfId="0" applyNumberFormat="1" applyFont="1" applyFill="1" applyBorder="1" applyAlignment="1" applyProtection="1">
      <alignment horizontal="center" vertical="center"/>
    </xf>
    <xf numFmtId="181" fontId="4" fillId="4" borderId="27" xfId="0" applyNumberFormat="1" applyFont="1" applyFill="1" applyBorder="1" applyAlignment="1" applyProtection="1">
      <alignment horizontal="center" vertical="center"/>
    </xf>
    <xf numFmtId="181" fontId="4" fillId="4" borderId="29" xfId="0" applyNumberFormat="1" applyFont="1" applyFill="1" applyBorder="1" applyAlignment="1" applyProtection="1">
      <alignment horizontal="center" vertical="center"/>
    </xf>
    <xf numFmtId="181" fontId="4" fillId="4" borderId="57" xfId="0" applyNumberFormat="1" applyFont="1" applyFill="1" applyBorder="1" applyAlignment="1" applyProtection="1">
      <alignment horizontal="center" vertical="center"/>
    </xf>
    <xf numFmtId="178" fontId="65" fillId="20" borderId="22" xfId="0" applyFont="1" applyFill="1" applyBorder="1" applyAlignment="1" applyProtection="1">
      <alignment horizontal="center" vertical="center" wrapText="1"/>
    </xf>
    <xf numFmtId="178" fontId="65" fillId="20" borderId="26" xfId="0" applyFont="1" applyFill="1" applyBorder="1" applyAlignment="1" applyProtection="1">
      <alignment horizontal="center" vertical="center" wrapText="1"/>
    </xf>
    <xf numFmtId="178" fontId="65" fillId="20" borderId="25" xfId="0" applyFont="1" applyFill="1" applyBorder="1" applyAlignment="1" applyProtection="1">
      <alignment horizontal="center" vertical="center" wrapText="1"/>
    </xf>
    <xf numFmtId="178" fontId="12" fillId="20" borderId="22" xfId="0" applyFont="1" applyFill="1" applyBorder="1" applyAlignment="1" applyProtection="1">
      <alignment horizontal="center" vertical="center" shrinkToFit="1"/>
    </xf>
    <xf numFmtId="178" fontId="76" fillId="20" borderId="25" xfId="0" applyFont="1" applyFill="1" applyBorder="1" applyAlignment="1" applyProtection="1">
      <alignment horizontal="center" vertical="center" shrinkToFit="1"/>
    </xf>
    <xf numFmtId="178" fontId="12" fillId="20" borderId="5" xfId="0" applyFont="1" applyFill="1" applyBorder="1" applyAlignment="1" applyProtection="1">
      <alignment horizontal="center" vertical="center" shrinkToFit="1"/>
    </xf>
    <xf numFmtId="178" fontId="65" fillId="20" borderId="5" xfId="0" applyFont="1" applyFill="1" applyBorder="1" applyAlignment="1" applyProtection="1">
      <alignment horizontal="center" vertical="center" wrapText="1"/>
    </xf>
    <xf numFmtId="178" fontId="34" fillId="20" borderId="5" xfId="0" applyFont="1" applyFill="1" applyBorder="1" applyAlignment="1" applyProtection="1">
      <alignment horizontal="center" vertical="center"/>
    </xf>
    <xf numFmtId="178" fontId="73" fillId="0" borderId="5" xfId="0" applyFont="1" applyBorder="1" applyAlignment="1" applyProtection="1">
      <alignment horizontal="center" vertical="center" shrinkToFit="1"/>
      <protection locked="0"/>
    </xf>
    <xf numFmtId="178" fontId="74" fillId="0" borderId="5" xfId="0" applyFont="1" applyBorder="1" applyAlignment="1" applyProtection="1">
      <alignment horizontal="center" vertical="center" shrinkToFit="1"/>
      <protection locked="0"/>
    </xf>
    <xf numFmtId="178" fontId="50" fillId="0" borderId="22" xfId="0" applyFont="1" applyBorder="1" applyAlignment="1" applyProtection="1">
      <alignment horizontal="center" vertical="center" shrinkToFit="1"/>
      <protection locked="0"/>
    </xf>
    <xf numFmtId="178" fontId="50" fillId="0" borderId="31" xfId="0" applyFont="1" applyBorder="1" applyAlignment="1" applyProtection="1">
      <alignment horizontal="center" vertical="center" shrinkToFit="1"/>
      <protection locked="0"/>
    </xf>
    <xf numFmtId="178" fontId="84" fillId="23" borderId="5" xfId="0" applyFont="1" applyFill="1" applyBorder="1" applyAlignment="1" applyProtection="1">
      <alignment horizontal="center" vertical="center" shrinkToFit="1"/>
    </xf>
    <xf numFmtId="178" fontId="51" fillId="23" borderId="5" xfId="0" applyFont="1" applyFill="1" applyBorder="1" applyAlignment="1" applyProtection="1">
      <alignment horizontal="center" vertical="center"/>
    </xf>
    <xf numFmtId="178" fontId="50" fillId="19" borderId="5" xfId="0" applyFont="1" applyFill="1" applyBorder="1" applyAlignment="1" applyProtection="1">
      <alignment horizontal="center" vertical="center" shrinkToFit="1"/>
      <protection locked="0"/>
    </xf>
    <xf numFmtId="178" fontId="51" fillId="19" borderId="5" xfId="0" applyFont="1" applyFill="1" applyBorder="1" applyAlignment="1" applyProtection="1">
      <alignment horizontal="center" vertical="center" shrinkToFit="1"/>
      <protection locked="0"/>
    </xf>
    <xf numFmtId="178" fontId="50" fillId="0" borderId="25" xfId="0" applyFont="1" applyBorder="1" applyAlignment="1" applyProtection="1">
      <alignment horizontal="center" vertical="center" shrinkToFit="1"/>
      <protection locked="0"/>
    </xf>
    <xf numFmtId="178" fontId="12" fillId="20" borderId="5" xfId="0" applyFont="1" applyFill="1" applyBorder="1" applyAlignment="1" applyProtection="1">
      <alignment horizontal="center" vertical="center"/>
    </xf>
    <xf numFmtId="178" fontId="50" fillId="4" borderId="5" xfId="0" applyFont="1" applyFill="1" applyBorder="1" applyAlignment="1" applyProtection="1">
      <alignment horizontal="center" vertical="center" shrinkToFit="1"/>
      <protection locked="0"/>
    </xf>
    <xf numFmtId="178" fontId="51" fillId="4" borderId="5" xfId="0" applyFont="1" applyFill="1" applyBorder="1" applyAlignment="1" applyProtection="1">
      <alignment horizontal="center" vertical="center" shrinkToFit="1"/>
      <protection locked="0"/>
    </xf>
    <xf numFmtId="49" fontId="73" fillId="0" borderId="5" xfId="0" applyNumberFormat="1" applyFont="1" applyFill="1" applyBorder="1" applyAlignment="1" applyProtection="1">
      <alignment horizontal="center" vertical="center" shrinkToFit="1"/>
      <protection locked="0"/>
    </xf>
    <xf numFmtId="178" fontId="73" fillId="0" borderId="5" xfId="0" applyFont="1" applyFill="1" applyBorder="1" applyAlignment="1" applyProtection="1">
      <alignment horizontal="center" vertical="center" shrinkToFit="1"/>
      <protection locked="0"/>
    </xf>
    <xf numFmtId="49" fontId="50" fillId="0" borderId="5" xfId="0" applyNumberFormat="1" applyFont="1" applyBorder="1" applyAlignment="1" applyProtection="1">
      <alignment horizontal="center" vertical="center" shrinkToFit="1"/>
      <protection locked="0"/>
    </xf>
    <xf numFmtId="178" fontId="50" fillId="0" borderId="5" xfId="0" applyFont="1" applyBorder="1" applyAlignment="1" applyProtection="1">
      <alignment horizontal="center" vertical="center" shrinkToFit="1"/>
      <protection locked="0"/>
    </xf>
    <xf numFmtId="178" fontId="22" fillId="0" borderId="0" xfId="0" applyFont="1" applyBorder="1" applyAlignment="1" applyProtection="1">
      <alignment horizontal="center" vertical="center"/>
      <protection locked="0"/>
    </xf>
    <xf numFmtId="178" fontId="22" fillId="0" borderId="29" xfId="0" applyFont="1" applyBorder="1" applyAlignment="1" applyProtection="1">
      <alignment horizontal="left" vertical="center" shrinkToFit="1"/>
      <protection locked="0"/>
    </xf>
    <xf numFmtId="178" fontId="0" fillId="0" borderId="26" xfId="0" applyBorder="1" applyAlignment="1" applyProtection="1">
      <alignment horizontal="left" vertical="center"/>
      <protection locked="0"/>
    </xf>
    <xf numFmtId="178" fontId="84" fillId="24" borderId="22" xfId="0" applyFont="1" applyFill="1" applyBorder="1" applyAlignment="1" applyProtection="1">
      <alignment horizontal="center" vertical="center" shrinkToFit="1"/>
    </xf>
    <xf numFmtId="178" fontId="84" fillId="24" borderId="26" xfId="0" applyFont="1" applyFill="1" applyBorder="1" applyAlignment="1" applyProtection="1">
      <alignment horizontal="center" vertical="center" shrinkToFit="1"/>
    </xf>
    <xf numFmtId="178" fontId="84" fillId="24" borderId="25" xfId="0" applyFont="1" applyFill="1" applyBorder="1" applyAlignment="1" applyProtection="1">
      <alignment horizontal="center" vertical="center" shrinkToFit="1"/>
    </xf>
    <xf numFmtId="176" fontId="73" fillId="21" borderId="22" xfId="0" applyNumberFormat="1" applyFont="1" applyFill="1" applyBorder="1" applyAlignment="1" applyProtection="1">
      <alignment horizontal="center" vertical="center" shrinkToFit="1"/>
      <protection locked="0"/>
    </xf>
    <xf numFmtId="176" fontId="73" fillId="21" borderId="25" xfId="0" applyNumberFormat="1" applyFont="1" applyFill="1" applyBorder="1" applyAlignment="1" applyProtection="1">
      <alignment horizontal="center" vertical="center" shrinkToFit="1"/>
      <protection locked="0"/>
    </xf>
    <xf numFmtId="9" fontId="50" fillId="0" borderId="22" xfId="0" applyNumberFormat="1" applyFont="1" applyBorder="1" applyAlignment="1" applyProtection="1">
      <alignment horizontal="center" vertical="center" shrinkToFit="1"/>
      <protection locked="0"/>
    </xf>
    <xf numFmtId="9" fontId="50" fillId="0" borderId="25" xfId="0" applyNumberFormat="1" applyFont="1" applyBorder="1" applyAlignment="1" applyProtection="1">
      <alignment horizontal="center" vertical="center" shrinkToFit="1"/>
      <protection locked="0"/>
    </xf>
    <xf numFmtId="178" fontId="65" fillId="20" borderId="22" xfId="0" applyFont="1" applyFill="1" applyBorder="1" applyAlignment="1" applyProtection="1">
      <alignment horizontal="left" vertical="center" wrapText="1"/>
    </xf>
    <xf numFmtId="178" fontId="63" fillId="20" borderId="26" xfId="0" applyFont="1" applyFill="1" applyBorder="1" applyProtection="1"/>
    <xf numFmtId="178" fontId="63" fillId="20" borderId="25" xfId="0" applyFont="1" applyFill="1" applyBorder="1" applyProtection="1"/>
    <xf numFmtId="178" fontId="0" fillId="0" borderId="0" xfId="0" applyNumberFormat="1" applyAlignment="1" applyProtection="1">
      <alignment horizontal="center" wrapText="1"/>
      <protection locked="0"/>
    </xf>
    <xf numFmtId="178" fontId="6" fillId="2" borderId="0" xfId="0" applyFont="1" applyFill="1" applyAlignment="1" applyProtection="1">
      <alignment horizontal="center" wrapText="1" shrinkToFit="1"/>
      <protection locked="0"/>
    </xf>
    <xf numFmtId="178" fontId="23" fillId="2" borderId="5" xfId="0" applyNumberFormat="1" applyFont="1" applyFill="1" applyBorder="1" applyAlignment="1" applyProtection="1">
      <alignment horizontal="center" wrapText="1"/>
    </xf>
    <xf numFmtId="0" fontId="0" fillId="0" borderId="0" xfId="0" applyNumberFormat="1" applyAlignment="1" applyProtection="1">
      <alignment horizontal="center" vertical="center" wrapText="1"/>
      <protection locked="0"/>
    </xf>
    <xf numFmtId="178" fontId="28" fillId="0" borderId="0" xfId="0" applyFont="1" applyAlignment="1" applyProtection="1">
      <alignment horizontal="center"/>
      <protection locked="0"/>
    </xf>
    <xf numFmtId="178" fontId="6" fillId="0" borderId="0" xfId="0" applyFont="1" applyAlignment="1" applyProtection="1">
      <alignment horizontal="center"/>
      <protection locked="0"/>
    </xf>
    <xf numFmtId="178" fontId="49" fillId="0" borderId="0" xfId="0" applyFont="1" applyAlignment="1" applyProtection="1">
      <alignment horizontal="center"/>
      <protection locked="0"/>
    </xf>
    <xf numFmtId="178" fontId="4" fillId="0" borderId="0" xfId="0" applyFont="1" applyAlignment="1" applyProtection="1">
      <alignment horizontal="center"/>
      <protection locked="0"/>
    </xf>
    <xf numFmtId="178" fontId="4" fillId="0" borderId="0" xfId="0" applyFont="1" applyBorder="1" applyAlignment="1" applyProtection="1">
      <alignment horizontal="center"/>
      <protection locked="0"/>
    </xf>
    <xf numFmtId="178" fontId="34" fillId="20" borderId="25" xfId="0" applyFont="1" applyFill="1" applyBorder="1" applyAlignment="1" applyProtection="1">
      <alignment vertical="center"/>
    </xf>
    <xf numFmtId="178" fontId="34" fillId="20" borderId="22" xfId="0" applyFont="1" applyFill="1" applyBorder="1" applyAlignment="1" applyProtection="1">
      <alignment vertical="center"/>
    </xf>
    <xf numFmtId="178" fontId="50" fillId="2" borderId="22" xfId="0" applyFont="1" applyFill="1" applyBorder="1" applyAlignment="1" applyProtection="1">
      <alignment horizontal="left" vertical="center" wrapText="1"/>
      <protection locked="0"/>
    </xf>
    <xf numFmtId="178" fontId="50" fillId="2" borderId="26" xfId="0" applyFont="1" applyFill="1" applyBorder="1" applyAlignment="1" applyProtection="1">
      <alignment horizontal="left" vertical="center" wrapText="1"/>
      <protection locked="0"/>
    </xf>
    <xf numFmtId="178" fontId="51" fillId="2" borderId="26" xfId="0" applyFont="1" applyFill="1" applyBorder="1" applyAlignment="1" applyProtection="1">
      <alignment horizontal="left" vertical="center" wrapText="1"/>
      <protection locked="0"/>
    </xf>
    <xf numFmtId="178" fontId="51" fillId="2" borderId="25" xfId="0" applyFont="1" applyFill="1" applyBorder="1" applyAlignment="1" applyProtection="1">
      <alignment horizontal="left" vertical="center" wrapText="1"/>
      <protection locked="0"/>
    </xf>
    <xf numFmtId="178" fontId="51" fillId="2" borderId="22" xfId="0" applyFont="1" applyFill="1" applyBorder="1" applyAlignment="1" applyProtection="1">
      <alignment horizontal="left" vertical="center" wrapText="1"/>
      <protection locked="0"/>
    </xf>
    <xf numFmtId="178" fontId="9" fillId="20" borderId="27" xfId="0" applyFont="1" applyFill="1" applyBorder="1" applyAlignment="1" applyProtection="1">
      <alignment horizontal="left" vertical="center" wrapText="1"/>
    </xf>
    <xf numFmtId="178" fontId="0" fillId="20" borderId="29" xfId="0" applyFill="1" applyBorder="1" applyProtection="1"/>
    <xf numFmtId="178" fontId="0" fillId="20" borderId="28" xfId="0" applyFill="1" applyBorder="1" applyProtection="1"/>
    <xf numFmtId="178" fontId="0" fillId="20" borderId="30" xfId="0" applyFill="1" applyBorder="1" applyProtection="1"/>
    <xf numFmtId="178" fontId="0" fillId="20" borderId="32" xfId="0" applyFill="1" applyBorder="1" applyProtection="1"/>
    <xf numFmtId="178" fontId="0" fillId="20" borderId="31" xfId="0" applyFill="1" applyBorder="1" applyProtection="1"/>
    <xf numFmtId="178" fontId="76" fillId="20" borderId="22" xfId="0" applyFont="1" applyFill="1" applyBorder="1" applyAlignment="1" applyProtection="1">
      <alignment horizontal="center" vertical="center" shrinkToFit="1"/>
    </xf>
    <xf numFmtId="178" fontId="12" fillId="20" borderId="27" xfId="0" applyFont="1" applyFill="1" applyBorder="1" applyAlignment="1" applyProtection="1">
      <alignment horizontal="center" vertical="center" shrinkToFit="1"/>
    </xf>
    <xf numFmtId="178" fontId="12" fillId="20" borderId="27" xfId="0" applyFont="1" applyFill="1" applyBorder="1" applyAlignment="1" applyProtection="1">
      <alignment horizontal="center" vertical="center"/>
    </xf>
    <xf numFmtId="178" fontId="0" fillId="0" borderId="22" xfId="0" applyFont="1" applyBorder="1" applyAlignment="1" applyProtection="1">
      <alignment horizontal="center"/>
      <protection locked="0"/>
    </xf>
    <xf numFmtId="178" fontId="0" fillId="0" borderId="25" xfId="0" applyBorder="1" applyAlignment="1" applyProtection="1">
      <alignment horizontal="center"/>
      <protection locked="0"/>
    </xf>
    <xf numFmtId="178" fontId="73" fillId="0" borderId="22" xfId="0" applyFont="1" applyBorder="1" applyAlignment="1" applyProtection="1">
      <alignment horizontal="left" vertical="center" wrapText="1"/>
      <protection locked="0"/>
    </xf>
    <xf numFmtId="178" fontId="72" fillId="0" borderId="25" xfId="0" applyFont="1" applyBorder="1" applyProtection="1">
      <protection locked="0"/>
    </xf>
    <xf numFmtId="178" fontId="12" fillId="20" borderId="25" xfId="0" applyFont="1" applyFill="1" applyBorder="1" applyAlignment="1" applyProtection="1">
      <alignment horizontal="center" vertical="center" shrinkToFit="1"/>
    </xf>
    <xf numFmtId="178" fontId="10" fillId="20" borderId="5" xfId="0" applyFont="1" applyFill="1" applyBorder="1" applyAlignment="1" applyProtection="1">
      <alignment horizontal="center" vertical="center" wrapText="1"/>
      <protection locked="0"/>
    </xf>
    <xf numFmtId="178" fontId="49" fillId="0" borderId="5" xfId="0" applyFont="1" applyBorder="1" applyAlignment="1" applyProtection="1">
      <alignment horizontal="center" wrapText="1"/>
      <protection locked="0"/>
    </xf>
    <xf numFmtId="178" fontId="49" fillId="0" borderId="5" xfId="0" applyFont="1" applyBorder="1" applyAlignment="1" applyProtection="1">
      <alignment horizontal="center"/>
      <protection locked="0"/>
    </xf>
    <xf numFmtId="178" fontId="0" fillId="0" borderId="29" xfId="0" applyBorder="1" applyAlignment="1" applyProtection="1">
      <alignment horizontal="center"/>
      <protection locked="0"/>
    </xf>
    <xf numFmtId="0" fontId="27" fillId="20" borderId="29" xfId="0" applyNumberFormat="1" applyFont="1" applyFill="1" applyBorder="1" applyAlignment="1">
      <alignment horizontal="center"/>
    </xf>
    <xf numFmtId="0" fontId="59" fillId="20" borderId="29" xfId="0" applyNumberFormat="1" applyFont="1" applyFill="1" applyBorder="1" applyAlignment="1">
      <alignment horizontal="center"/>
    </xf>
    <xf numFmtId="189" fontId="59" fillId="20" borderId="0" xfId="0" applyNumberFormat="1" applyFont="1" applyFill="1" applyAlignment="1">
      <alignment horizontal="center"/>
    </xf>
    <xf numFmtId="0" fontId="59" fillId="8" borderId="60" xfId="0" applyNumberFormat="1" applyFont="1" applyFill="1" applyBorder="1" applyAlignment="1">
      <alignment horizontal="center" vertical="center"/>
    </xf>
    <xf numFmtId="0" fontId="96" fillId="0" borderId="33" xfId="0" applyNumberFormat="1" applyFont="1" applyFill="1" applyBorder="1" applyAlignment="1">
      <alignment horizontal="left" vertical="center" wrapText="1"/>
    </xf>
    <xf numFmtId="0" fontId="96" fillId="0" borderId="0" xfId="0" applyNumberFormat="1" applyFont="1" applyFill="1" applyBorder="1" applyAlignment="1">
      <alignment horizontal="left" vertical="center" wrapText="1"/>
    </xf>
    <xf numFmtId="0" fontId="93" fillId="0" borderId="33" xfId="0" applyNumberFormat="1" applyFont="1" applyFill="1" applyBorder="1" applyAlignment="1">
      <alignment horizontal="left" vertical="center" wrapText="1"/>
    </xf>
    <xf numFmtId="0" fontId="93" fillId="0" borderId="0" xfId="0" applyNumberFormat="1" applyFont="1" applyFill="1" applyBorder="1" applyAlignment="1">
      <alignment horizontal="left" vertical="center" wrapText="1"/>
    </xf>
    <xf numFmtId="0" fontId="52" fillId="0" borderId="0" xfId="0" applyNumberFormat="1" applyFont="1" applyAlignment="1">
      <alignment horizontal="center"/>
    </xf>
    <xf numFmtId="0" fontId="100" fillId="0" borderId="0" xfId="0" applyNumberFormat="1" applyFont="1" applyAlignment="1">
      <alignment horizontal="center"/>
    </xf>
    <xf numFmtId="0" fontId="59" fillId="0" borderId="62" xfId="0" applyNumberFormat="1" applyFont="1" applyBorder="1" applyAlignment="1">
      <alignment horizontal="center"/>
    </xf>
    <xf numFmtId="0" fontId="59" fillId="0" borderId="64" xfId="0" applyNumberFormat="1" applyFont="1" applyBorder="1" applyAlignment="1">
      <alignment horizontal="center"/>
    </xf>
    <xf numFmtId="0" fontId="59" fillId="0" borderId="63" xfId="0" applyNumberFormat="1" applyFont="1" applyBorder="1" applyAlignment="1">
      <alignment horizontal="center"/>
    </xf>
    <xf numFmtId="0" fontId="59" fillId="0" borderId="0" xfId="0" applyNumberFormat="1" applyFont="1" applyAlignment="1">
      <alignment horizontal="center"/>
    </xf>
    <xf numFmtId="0" fontId="4" fillId="7" borderId="0" xfId="0" applyNumberFormat="1" applyFont="1" applyFill="1" applyAlignment="1">
      <alignment horizontal="center" vertical="center"/>
    </xf>
    <xf numFmtId="0" fontId="94" fillId="7" borderId="32" xfId="0" applyNumberFormat="1" applyFont="1" applyFill="1" applyBorder="1" applyAlignment="1">
      <alignment horizontal="left" vertical="center"/>
    </xf>
    <xf numFmtId="0" fontId="98" fillId="0" borderId="61" xfId="0" applyNumberFormat="1" applyFont="1" applyBorder="1" applyAlignment="1">
      <alignment horizontal="center" vertical="center"/>
    </xf>
    <xf numFmtId="0" fontId="38" fillId="8" borderId="22" xfId="0" applyNumberFormat="1" applyFont="1" applyFill="1" applyBorder="1" applyAlignment="1" applyProtection="1">
      <alignment horizontal="center" vertical="center"/>
    </xf>
    <xf numFmtId="0" fontId="38" fillId="8" borderId="25" xfId="0" applyNumberFormat="1" applyFont="1" applyFill="1" applyBorder="1" applyAlignment="1" applyProtection="1">
      <alignment horizontal="center" vertical="center"/>
    </xf>
    <xf numFmtId="0" fontId="45" fillId="8" borderId="0" xfId="0" applyNumberFormat="1" applyFont="1" applyFill="1" applyBorder="1" applyAlignment="1" applyProtection="1">
      <alignment horizontal="left" vertical="center" wrapText="1"/>
    </xf>
    <xf numFmtId="0" fontId="45" fillId="17" borderId="0" xfId="0" applyNumberFormat="1" applyFont="1" applyFill="1" applyBorder="1" applyAlignment="1" applyProtection="1">
      <alignment horizontal="left" vertical="center" wrapText="1"/>
    </xf>
    <xf numFmtId="0" fontId="16" fillId="14" borderId="8" xfId="0" applyNumberFormat="1" applyFont="1" applyFill="1" applyBorder="1" applyAlignment="1" applyProtection="1">
      <alignment horizontal="center" vertical="center" wrapText="1"/>
    </xf>
    <xf numFmtId="0" fontId="16" fillId="14" borderId="18" xfId="0" applyNumberFormat="1" applyFont="1" applyFill="1" applyBorder="1" applyAlignment="1" applyProtection="1">
      <alignment horizontal="center" vertical="center" wrapText="1"/>
    </xf>
    <xf numFmtId="0" fontId="16" fillId="14" borderId="20" xfId="0" applyNumberFormat="1" applyFont="1" applyFill="1" applyBorder="1" applyAlignment="1" applyProtection="1">
      <alignment horizontal="center" vertical="center" wrapText="1"/>
    </xf>
    <xf numFmtId="0" fontId="16" fillId="8" borderId="8" xfId="0" applyNumberFormat="1" applyFont="1" applyFill="1" applyBorder="1" applyAlignment="1" applyProtection="1">
      <alignment horizontal="center" vertical="center" wrapText="1"/>
    </xf>
    <xf numFmtId="0" fontId="16" fillId="8" borderId="18" xfId="0" applyNumberFormat="1" applyFont="1" applyFill="1" applyBorder="1" applyAlignment="1" applyProtection="1">
      <alignment horizontal="center" vertical="center" wrapText="1"/>
    </xf>
    <xf numFmtId="0" fontId="16" fillId="8" borderId="20" xfId="0" applyNumberFormat="1" applyFont="1" applyFill="1" applyBorder="1" applyAlignment="1" applyProtection="1">
      <alignment horizontal="center" vertical="center" wrapText="1"/>
    </xf>
    <xf numFmtId="180" fontId="16" fillId="8" borderId="22" xfId="0" applyNumberFormat="1" applyFont="1" applyFill="1" applyBorder="1" applyAlignment="1" applyProtection="1">
      <alignment horizontal="center" vertical="center"/>
    </xf>
    <xf numFmtId="180" fontId="16" fillId="0" borderId="26" xfId="0" applyNumberFormat="1" applyFont="1" applyFill="1" applyBorder="1" applyAlignment="1" applyProtection="1"/>
    <xf numFmtId="180" fontId="16" fillId="0" borderId="25" xfId="0" applyNumberFormat="1" applyFont="1" applyFill="1" applyBorder="1" applyAlignment="1" applyProtection="1"/>
    <xf numFmtId="189" fontId="38" fillId="20" borderId="0" xfId="0" applyNumberFormat="1" applyFont="1" applyFill="1" applyAlignment="1" applyProtection="1">
      <alignment horizontal="center"/>
    </xf>
    <xf numFmtId="0" fontId="87" fillId="0" borderId="0" xfId="0" applyNumberFormat="1" applyFont="1" applyFill="1" applyBorder="1" applyAlignment="1" applyProtection="1">
      <alignment horizontal="center"/>
      <protection locked="0"/>
    </xf>
    <xf numFmtId="0" fontId="38" fillId="0" borderId="0" xfId="0" applyNumberFormat="1" applyFont="1" applyFill="1" applyBorder="1" applyAlignment="1" applyProtection="1">
      <alignment horizontal="center"/>
      <protection locked="0"/>
    </xf>
    <xf numFmtId="0" fontId="39" fillId="0" borderId="32" xfId="0" applyNumberFormat="1" applyFont="1" applyFill="1" applyBorder="1" applyAlignment="1" applyProtection="1">
      <alignment horizontal="center" vertical="center" wrapText="1"/>
      <protection locked="0"/>
    </xf>
    <xf numFmtId="0" fontId="38" fillId="8" borderId="8" xfId="0" applyNumberFormat="1" applyFont="1" applyFill="1" applyBorder="1" applyAlignment="1" applyProtection="1">
      <alignment horizontal="center" vertical="center"/>
    </xf>
    <xf numFmtId="0" fontId="38" fillId="8" borderId="20" xfId="0" applyNumberFormat="1" applyFont="1" applyFill="1" applyBorder="1" applyAlignment="1" applyProtection="1">
      <alignment horizontal="center" vertical="center"/>
    </xf>
    <xf numFmtId="0" fontId="16" fillId="12" borderId="22" xfId="0" applyNumberFormat="1" applyFont="1" applyFill="1" applyBorder="1" applyAlignment="1" applyProtection="1">
      <alignment horizontal="center" vertical="center"/>
      <protection locked="0"/>
    </xf>
    <xf numFmtId="0" fontId="16" fillId="12" borderId="25" xfId="0" applyNumberFormat="1" applyFont="1" applyFill="1" applyBorder="1" applyAlignment="1" applyProtection="1">
      <protection locked="0"/>
    </xf>
    <xf numFmtId="0" fontId="16" fillId="8" borderId="22" xfId="0" applyNumberFormat="1" applyFont="1" applyFill="1" applyBorder="1" applyAlignment="1" applyProtection="1">
      <alignment horizontal="center" vertical="center"/>
    </xf>
    <xf numFmtId="0" fontId="16" fillId="8" borderId="25" xfId="0" applyNumberFormat="1" applyFont="1" applyFill="1" applyBorder="1" applyAlignment="1" applyProtection="1">
      <alignment horizontal="center" vertical="center"/>
    </xf>
    <xf numFmtId="0" fontId="16" fillId="8" borderId="22" xfId="0" applyNumberFormat="1" applyFont="1" applyFill="1" applyBorder="1" applyAlignment="1" applyProtection="1">
      <alignment horizontal="center" vertical="center"/>
      <protection locked="0"/>
    </xf>
    <xf numFmtId="0" fontId="16" fillId="8" borderId="25" xfId="0" applyNumberFormat="1" applyFont="1" applyFill="1" applyBorder="1" applyAlignment="1" applyProtection="1">
      <alignment horizontal="center" vertical="center"/>
      <protection locked="0"/>
    </xf>
    <xf numFmtId="0" fontId="16" fillId="8" borderId="25" xfId="0" applyNumberFormat="1" applyFont="1" applyFill="1" applyBorder="1" applyAlignment="1" applyProtection="1">
      <protection locked="0"/>
    </xf>
    <xf numFmtId="0" fontId="16" fillId="14" borderId="8" xfId="0" applyNumberFormat="1" applyFont="1" applyFill="1" applyBorder="1" applyAlignment="1" applyProtection="1">
      <alignment horizontal="center" vertical="center" wrapText="1"/>
      <protection locked="0"/>
    </xf>
    <xf numFmtId="0" fontId="16" fillId="14" borderId="18" xfId="0" applyNumberFormat="1" applyFont="1" applyFill="1" applyBorder="1" applyAlignment="1" applyProtection="1">
      <alignment horizontal="center" vertical="center" wrapText="1"/>
      <protection locked="0"/>
    </xf>
    <xf numFmtId="0" fontId="16" fillId="8" borderId="8" xfId="0" applyNumberFormat="1" applyFont="1" applyFill="1" applyBorder="1" applyAlignment="1" applyProtection="1">
      <alignment horizontal="center" vertical="center" wrapText="1"/>
      <protection locked="0"/>
    </xf>
    <xf numFmtId="0" fontId="16" fillId="8" borderId="18" xfId="0" applyNumberFormat="1" applyFont="1" applyFill="1" applyBorder="1" applyAlignment="1" applyProtection="1">
      <alignment horizontal="center" vertical="center" wrapText="1"/>
      <protection locked="0"/>
    </xf>
    <xf numFmtId="0" fontId="16" fillId="14" borderId="20" xfId="0" applyNumberFormat="1" applyFont="1" applyFill="1" applyBorder="1" applyAlignment="1" applyProtection="1">
      <alignment horizontal="center" vertical="center" wrapText="1"/>
      <protection locked="0"/>
    </xf>
    <xf numFmtId="0" fontId="16" fillId="14" borderId="5" xfId="0" applyNumberFormat="1" applyFont="1" applyFill="1" applyBorder="1" applyAlignment="1" applyProtection="1">
      <alignment horizontal="center" vertical="center" wrapText="1"/>
    </xf>
    <xf numFmtId="0" fontId="43" fillId="8" borderId="49" xfId="0" applyNumberFormat="1" applyFont="1" applyFill="1" applyBorder="1" applyAlignment="1" applyProtection="1">
      <alignment horizontal="center" vertical="center"/>
    </xf>
    <xf numFmtId="0" fontId="43" fillId="8" borderId="51" xfId="0" applyNumberFormat="1" applyFont="1" applyFill="1" applyBorder="1" applyAlignment="1" applyProtection="1">
      <alignment horizontal="center" vertical="center"/>
    </xf>
    <xf numFmtId="0" fontId="43" fillId="8" borderId="50" xfId="0" applyNumberFormat="1" applyFont="1" applyFill="1" applyBorder="1" applyAlignment="1" applyProtection="1">
      <alignment horizontal="center" vertical="center"/>
    </xf>
    <xf numFmtId="0" fontId="43" fillId="8" borderId="52" xfId="0" applyNumberFormat="1" applyFont="1" applyFill="1" applyBorder="1" applyAlignment="1" applyProtection="1">
      <alignment horizontal="center" vertical="center"/>
    </xf>
    <xf numFmtId="0" fontId="40" fillId="0" borderId="32" xfId="0" applyNumberFormat="1" applyFont="1" applyFill="1" applyBorder="1" applyAlignment="1" applyProtection="1">
      <alignment horizontal="center"/>
      <protection locked="0"/>
    </xf>
    <xf numFmtId="0" fontId="15" fillId="8" borderId="49" xfId="0" applyNumberFormat="1" applyFont="1" applyFill="1" applyBorder="1" applyAlignment="1" applyProtection="1">
      <alignment horizontal="center" vertical="center"/>
    </xf>
    <xf numFmtId="0" fontId="16" fillId="0" borderId="50" xfId="0" applyNumberFormat="1" applyFont="1" applyFill="1" applyBorder="1" applyAlignment="1" applyProtection="1">
      <alignment horizontal="center"/>
    </xf>
    <xf numFmtId="0" fontId="16" fillId="8" borderId="5" xfId="0" applyNumberFormat="1" applyFont="1" applyFill="1" applyBorder="1" applyAlignment="1" applyProtection="1">
      <alignment horizontal="center" vertical="center"/>
    </xf>
    <xf numFmtId="0" fontId="16" fillId="0" borderId="5" xfId="0" applyNumberFormat="1" applyFont="1" applyFill="1" applyBorder="1" applyAlignment="1" applyProtection="1">
      <alignment horizontal="center"/>
    </xf>
    <xf numFmtId="0" fontId="38" fillId="12" borderId="32" xfId="0" applyNumberFormat="1" applyFont="1" applyFill="1" applyBorder="1" applyAlignment="1" applyProtection="1">
      <alignment horizontal="center" vertical="center"/>
      <protection locked="0"/>
    </xf>
    <xf numFmtId="0" fontId="16" fillId="0" borderId="25" xfId="0" applyNumberFormat="1" applyFont="1" applyFill="1" applyBorder="1" applyAlignment="1" applyProtection="1">
      <protection locked="0"/>
    </xf>
    <xf numFmtId="0" fontId="38" fillId="0" borderId="20" xfId="0" applyNumberFormat="1" applyFont="1" applyFill="1" applyBorder="1" applyAlignment="1" applyProtection="1"/>
    <xf numFmtId="0" fontId="45" fillId="0" borderId="0" xfId="0" applyNumberFormat="1" applyFont="1" applyFill="1" applyAlignment="1" applyProtection="1">
      <alignment horizontal="center" vertical="center"/>
      <protection locked="0"/>
    </xf>
    <xf numFmtId="0" fontId="40" fillId="0" borderId="32" xfId="0" applyNumberFormat="1" applyFont="1" applyFill="1" applyBorder="1" applyAlignment="1" applyProtection="1">
      <alignment horizontal="center" vertical="center"/>
      <protection locked="0"/>
    </xf>
    <xf numFmtId="0" fontId="40" fillId="0" borderId="0" xfId="0" applyNumberFormat="1" applyFont="1" applyFill="1" applyBorder="1" applyAlignment="1" applyProtection="1">
      <alignment horizontal="center" vertical="center"/>
      <protection locked="0"/>
    </xf>
    <xf numFmtId="0" fontId="43" fillId="8" borderId="49" xfId="0" applyNumberFormat="1" applyFont="1" applyFill="1" applyBorder="1" applyAlignment="1" applyProtection="1">
      <alignment horizontal="center" vertical="center"/>
      <protection locked="0"/>
    </xf>
    <xf numFmtId="0" fontId="38" fillId="0" borderId="51" xfId="0" applyNumberFormat="1" applyFont="1" applyFill="1" applyBorder="1" applyAlignment="1" applyProtection="1">
      <protection locked="0"/>
    </xf>
    <xf numFmtId="0" fontId="38" fillId="0" borderId="50" xfId="0" applyNumberFormat="1" applyFont="1" applyFill="1" applyBorder="1" applyAlignment="1" applyProtection="1">
      <protection locked="0"/>
    </xf>
    <xf numFmtId="0" fontId="38" fillId="0" borderId="52" xfId="0" applyNumberFormat="1" applyFont="1" applyFill="1" applyBorder="1" applyAlignment="1" applyProtection="1">
      <protection locked="0"/>
    </xf>
    <xf numFmtId="178" fontId="18" fillId="0" borderId="0" xfId="0" applyFont="1" applyAlignment="1" applyProtection="1">
      <alignment horizontal="center" vertical="center"/>
      <protection locked="0"/>
    </xf>
    <xf numFmtId="178" fontId="3" fillId="0" borderId="0" xfId="0" applyFont="1" applyAlignment="1" applyProtection="1">
      <alignment horizontal="right" vertical="center"/>
    </xf>
    <xf numFmtId="178" fontId="3" fillId="0" borderId="0" xfId="0" applyFont="1" applyBorder="1" applyAlignment="1" applyProtection="1">
      <alignment horizontal="left" vertical="center" wrapText="1"/>
    </xf>
    <xf numFmtId="178" fontId="17" fillId="0" borderId="5" xfId="0" applyFont="1" applyBorder="1" applyAlignment="1" applyProtection="1">
      <alignment horizontal="center" vertical="center" wrapText="1"/>
    </xf>
    <xf numFmtId="178" fontId="17" fillId="0" borderId="5" xfId="0" applyFont="1" applyBorder="1" applyAlignment="1" applyProtection="1">
      <alignment horizontal="left" vertical="center" wrapText="1"/>
    </xf>
    <xf numFmtId="178" fontId="24" fillId="0" borderId="5" xfId="0" applyFont="1" applyBorder="1" applyAlignment="1" applyProtection="1">
      <alignment vertical="center"/>
    </xf>
    <xf numFmtId="189" fontId="19" fillId="0" borderId="5" xfId="0" applyNumberFormat="1" applyFont="1" applyFill="1" applyBorder="1" applyAlignment="1" applyProtection="1">
      <alignment horizontal="center" vertical="center" shrinkToFit="1"/>
    </xf>
    <xf numFmtId="178" fontId="1" fillId="0" borderId="0" xfId="0" applyFont="1" applyBorder="1" applyAlignment="1" applyProtection="1">
      <alignment horizontal="center" vertical="center"/>
    </xf>
    <xf numFmtId="178" fontId="1" fillId="0" borderId="0" xfId="0" applyFont="1" applyBorder="1" applyAlignment="1" applyProtection="1">
      <alignment horizontal="left" vertical="center" shrinkToFit="1"/>
    </xf>
    <xf numFmtId="178" fontId="0" fillId="0" borderId="32" xfId="0" applyFont="1" applyBorder="1" applyAlignment="1" applyProtection="1">
      <alignment horizontal="left" vertical="center"/>
    </xf>
    <xf numFmtId="178" fontId="17" fillId="0" borderId="22" xfId="0" applyFont="1" applyBorder="1" applyAlignment="1" applyProtection="1">
      <alignment horizontal="center" vertical="center" shrinkToFit="1"/>
    </xf>
    <xf numFmtId="178" fontId="17" fillId="0" borderId="26" xfId="0" applyFont="1" applyBorder="1" applyAlignment="1" applyProtection="1">
      <alignment horizontal="center" vertical="center" shrinkToFit="1"/>
    </xf>
    <xf numFmtId="178" fontId="24" fillId="0" borderId="26" xfId="0" applyFont="1" applyBorder="1" applyAlignment="1" applyProtection="1">
      <alignment horizontal="center" vertical="center" shrinkToFit="1"/>
    </xf>
    <xf numFmtId="178" fontId="24" fillId="0" borderId="25" xfId="0" applyFont="1" applyBorder="1" applyAlignment="1" applyProtection="1">
      <alignment horizontal="center" vertical="center" shrinkToFit="1"/>
    </xf>
    <xf numFmtId="178" fontId="17" fillId="0" borderId="22" xfId="0" applyFont="1" applyBorder="1" applyAlignment="1" applyProtection="1">
      <alignment horizontal="center" vertical="center" wrapText="1" shrinkToFit="1"/>
    </xf>
    <xf numFmtId="178" fontId="17" fillId="0" borderId="26" xfId="0" applyFont="1" applyBorder="1" applyAlignment="1" applyProtection="1">
      <alignment horizontal="center" vertical="center" wrapText="1" shrinkToFit="1"/>
    </xf>
    <xf numFmtId="178" fontId="24" fillId="0" borderId="26" xfId="0" applyFont="1" applyBorder="1" applyAlignment="1" applyProtection="1">
      <alignment horizontal="center" vertical="center" wrapText="1" shrinkToFit="1"/>
    </xf>
    <xf numFmtId="178" fontId="24" fillId="0" borderId="25" xfId="0" applyFont="1" applyBorder="1" applyAlignment="1" applyProtection="1">
      <alignment horizontal="center" vertical="center" wrapText="1" shrinkToFit="1"/>
    </xf>
    <xf numFmtId="178" fontId="20" fillId="0" borderId="5" xfId="0" applyFont="1" applyBorder="1" applyAlignment="1" applyProtection="1">
      <alignment horizontal="center" vertical="center" shrinkToFit="1"/>
    </xf>
    <xf numFmtId="0" fontId="17" fillId="0" borderId="5" xfId="0" applyNumberFormat="1" applyFont="1" applyBorder="1" applyAlignment="1" applyProtection="1">
      <alignment horizontal="center" vertical="center" shrinkToFit="1"/>
    </xf>
    <xf numFmtId="178" fontId="17" fillId="0" borderId="5" xfId="0" applyFont="1" applyBorder="1" applyAlignment="1" applyProtection="1">
      <alignment horizontal="center" vertical="center" shrinkToFit="1"/>
    </xf>
    <xf numFmtId="187" fontId="17" fillId="0" borderId="5" xfId="0" applyNumberFormat="1" applyFont="1" applyBorder="1" applyAlignment="1" applyProtection="1">
      <alignment horizontal="center" vertical="center" shrinkToFit="1"/>
    </xf>
    <xf numFmtId="49" fontId="17" fillId="0" borderId="5" xfId="0" applyNumberFormat="1" applyFont="1" applyBorder="1" applyAlignment="1" applyProtection="1">
      <alignment horizontal="center" vertical="center" shrinkToFit="1"/>
    </xf>
    <xf numFmtId="178" fontId="17" fillId="0" borderId="5" xfId="0" applyNumberFormat="1" applyFont="1" applyBorder="1" applyAlignment="1" applyProtection="1">
      <alignment horizontal="center" vertical="center" shrinkToFit="1"/>
    </xf>
    <xf numFmtId="188" fontId="17" fillId="0" borderId="5" xfId="0" applyNumberFormat="1" applyFont="1" applyBorder="1" applyAlignment="1" applyProtection="1">
      <alignment horizontal="center" vertical="center" shrinkToFit="1"/>
    </xf>
    <xf numFmtId="49" fontId="17" fillId="0" borderId="22" xfId="0" applyNumberFormat="1" applyFont="1" applyBorder="1" applyAlignment="1" applyProtection="1">
      <alignment horizontal="center" vertical="center" shrinkToFit="1"/>
    </xf>
    <xf numFmtId="14" fontId="24" fillId="0" borderId="26" xfId="0" applyNumberFormat="1" applyFont="1" applyBorder="1" applyAlignment="1" applyProtection="1">
      <alignment horizontal="center" vertical="center" shrinkToFit="1"/>
    </xf>
    <xf numFmtId="14" fontId="24" fillId="0" borderId="25" xfId="0" applyNumberFormat="1" applyFont="1" applyBorder="1" applyAlignment="1" applyProtection="1">
      <alignment horizontal="center" vertical="center" shrinkToFit="1"/>
    </xf>
    <xf numFmtId="186" fontId="17" fillId="0" borderId="22" xfId="0" applyNumberFormat="1" applyFont="1" applyBorder="1" applyAlignment="1" applyProtection="1">
      <alignment horizontal="center" vertical="center"/>
    </xf>
    <xf numFmtId="178" fontId="24" fillId="0" borderId="26" xfId="0" applyFont="1" applyBorder="1" applyAlignment="1" applyProtection="1">
      <alignment horizontal="center" vertical="center"/>
    </xf>
    <xf numFmtId="178" fontId="24" fillId="0" borderId="25" xfId="0" applyFont="1" applyBorder="1" applyAlignment="1" applyProtection="1">
      <alignment horizontal="center" vertical="center"/>
    </xf>
    <xf numFmtId="178" fontId="17" fillId="0" borderId="22" xfId="0" applyNumberFormat="1" applyFont="1" applyBorder="1" applyAlignment="1" applyProtection="1">
      <alignment horizontal="center" vertical="center" shrinkToFit="1"/>
    </xf>
    <xf numFmtId="178" fontId="24" fillId="0" borderId="26" xfId="0" applyNumberFormat="1" applyFont="1" applyBorder="1" applyAlignment="1" applyProtection="1">
      <alignment horizontal="center" vertical="center" shrinkToFit="1"/>
    </xf>
    <xf numFmtId="178" fontId="24" fillId="0" borderId="25" xfId="0" applyNumberFormat="1" applyFont="1" applyBorder="1" applyAlignment="1" applyProtection="1">
      <alignment horizontal="center" vertical="center" shrinkToFit="1"/>
    </xf>
    <xf numFmtId="178" fontId="17" fillId="0" borderId="22" xfId="0" applyNumberFormat="1" applyFont="1" applyBorder="1" applyAlignment="1" applyProtection="1">
      <alignment horizontal="left" vertical="center" wrapText="1"/>
    </xf>
    <xf numFmtId="178" fontId="24" fillId="0" borderId="26" xfId="0" applyNumberFormat="1" applyFont="1" applyBorder="1" applyAlignment="1" applyProtection="1">
      <alignment horizontal="left" vertical="center" wrapText="1"/>
    </xf>
    <xf numFmtId="178" fontId="24" fillId="0" borderId="25" xfId="0" applyNumberFormat="1" applyFont="1" applyBorder="1" applyAlignment="1" applyProtection="1">
      <alignment horizontal="left" vertical="center" wrapText="1"/>
    </xf>
    <xf numFmtId="14" fontId="17" fillId="0" borderId="22" xfId="0" applyNumberFormat="1" applyFont="1" applyBorder="1" applyAlignment="1" applyProtection="1">
      <alignment horizontal="center" vertical="center" shrinkToFit="1"/>
    </xf>
    <xf numFmtId="178" fontId="17" fillId="4" borderId="22" xfId="0" applyFont="1" applyFill="1" applyBorder="1" applyAlignment="1" applyProtection="1">
      <alignment horizontal="left" vertical="center" wrapText="1"/>
    </xf>
    <xf numFmtId="178" fontId="17" fillId="4" borderId="26" xfId="0" applyFont="1" applyFill="1" applyBorder="1" applyAlignment="1" applyProtection="1">
      <alignment horizontal="left" vertical="center" wrapText="1"/>
    </xf>
    <xf numFmtId="178" fontId="24" fillId="4" borderId="26" xfId="0" applyFont="1" applyFill="1" applyBorder="1" applyAlignment="1" applyProtection="1">
      <alignment horizontal="left" vertical="center" wrapText="1"/>
    </xf>
    <xf numFmtId="178" fontId="24" fillId="4" borderId="25" xfId="0" applyFont="1" applyFill="1" applyBorder="1" applyAlignment="1" applyProtection="1">
      <alignment horizontal="left" vertical="center" wrapText="1"/>
    </xf>
    <xf numFmtId="178" fontId="14" fillId="0" borderId="0" xfId="0" applyFont="1" applyBorder="1" applyAlignment="1" applyProtection="1">
      <alignment horizontal="center" vertical="center"/>
      <protection locked="0"/>
    </xf>
    <xf numFmtId="178" fontId="14" fillId="0" borderId="0" xfId="0" applyFont="1" applyBorder="1" applyAlignment="1" applyProtection="1">
      <alignment horizontal="left" vertical="center" shrinkToFit="1"/>
      <protection locked="0"/>
    </xf>
    <xf numFmtId="178" fontId="27" fillId="0" borderId="32" xfId="0" applyFont="1" applyBorder="1" applyAlignment="1" applyProtection="1">
      <alignment horizontal="left" vertical="center"/>
      <protection locked="0"/>
    </xf>
    <xf numFmtId="178" fontId="19" fillId="0" borderId="22" xfId="0" applyFont="1" applyBorder="1" applyAlignment="1" applyProtection="1">
      <alignment horizontal="center" vertical="center" shrinkToFit="1"/>
    </xf>
    <xf numFmtId="178" fontId="14" fillId="0" borderId="29" xfId="0" applyFont="1" applyBorder="1" applyAlignment="1" applyProtection="1">
      <alignment horizontal="left" vertical="center" shrinkToFit="1"/>
      <protection locked="0"/>
    </xf>
    <xf numFmtId="178" fontId="27" fillId="0" borderId="26" xfId="0" applyFont="1" applyBorder="1" applyAlignment="1" applyProtection="1">
      <alignment horizontal="left" vertical="center"/>
      <protection locked="0"/>
    </xf>
    <xf numFmtId="178" fontId="12" fillId="0" borderId="22" xfId="0" applyFont="1" applyBorder="1" applyAlignment="1" applyProtection="1">
      <alignment horizontal="center" vertical="center" shrinkToFit="1"/>
      <protection locked="0"/>
    </xf>
    <xf numFmtId="178" fontId="12" fillId="0" borderId="25" xfId="0" applyFont="1" applyBorder="1" applyAlignment="1" applyProtection="1">
      <alignment horizontal="center" vertical="center" shrinkToFit="1"/>
      <protection locked="0"/>
    </xf>
    <xf numFmtId="178" fontId="17" fillId="0" borderId="22" xfId="0" applyFont="1" applyBorder="1" applyAlignment="1" applyProtection="1">
      <alignment horizontal="left" vertical="center" wrapText="1"/>
      <protection locked="0"/>
    </xf>
    <xf numFmtId="178" fontId="24" fillId="0" borderId="26" xfId="0" applyFont="1" applyBorder="1" applyProtection="1">
      <protection locked="0"/>
    </xf>
    <xf numFmtId="178" fontId="24" fillId="0" borderId="25" xfId="0" applyFont="1" applyBorder="1" applyProtection="1">
      <protection locked="0"/>
    </xf>
    <xf numFmtId="178" fontId="24" fillId="0" borderId="25" xfId="0" applyFont="1" applyBorder="1" applyAlignment="1" applyProtection="1">
      <alignment vertical="center"/>
    </xf>
    <xf numFmtId="178" fontId="24" fillId="0" borderId="22" xfId="0" applyFont="1" applyBorder="1" applyAlignment="1" applyProtection="1">
      <alignment vertical="center"/>
    </xf>
    <xf numFmtId="178" fontId="17" fillId="0" borderId="22" xfId="0" applyFont="1" applyBorder="1" applyAlignment="1" applyProtection="1">
      <alignment horizontal="left" vertical="center" wrapText="1"/>
    </xf>
    <xf numFmtId="178" fontId="17" fillId="0" borderId="26" xfId="0" applyFont="1" applyBorder="1" applyAlignment="1" applyProtection="1">
      <alignment horizontal="left" vertical="center" wrapText="1"/>
    </xf>
    <xf numFmtId="178" fontId="24" fillId="0" borderId="26" xfId="0" applyFont="1" applyBorder="1" applyAlignment="1" applyProtection="1">
      <alignment horizontal="left" vertical="center" wrapText="1"/>
    </xf>
    <xf numFmtId="178" fontId="24" fillId="0" borderId="25" xfId="0" applyFont="1" applyBorder="1" applyAlignment="1" applyProtection="1">
      <alignment horizontal="left" vertical="center" wrapText="1"/>
    </xf>
    <xf numFmtId="178" fontId="24" fillId="0" borderId="22" xfId="0" applyFont="1" applyBorder="1" applyAlignment="1" applyProtection="1">
      <alignment horizontal="left" vertical="center" wrapText="1"/>
    </xf>
    <xf numFmtId="178" fontId="19" fillId="0" borderId="27" xfId="0" applyFont="1" applyFill="1" applyBorder="1" applyAlignment="1" applyProtection="1">
      <alignment horizontal="center" vertical="center"/>
      <protection locked="0"/>
    </xf>
    <xf numFmtId="178" fontId="24" fillId="0" borderId="28" xfId="0" applyFont="1" applyBorder="1" applyProtection="1">
      <protection locked="0"/>
    </xf>
    <xf numFmtId="178" fontId="24" fillId="0" borderId="30" xfId="0" applyFont="1" applyBorder="1" applyProtection="1">
      <protection locked="0"/>
    </xf>
    <xf numFmtId="178" fontId="24" fillId="0" borderId="31" xfId="0" applyFont="1" applyBorder="1" applyProtection="1">
      <protection locked="0"/>
    </xf>
    <xf numFmtId="178" fontId="17" fillId="0" borderId="27" xfId="0" applyFont="1" applyBorder="1" applyAlignment="1" applyProtection="1">
      <alignment horizontal="left" vertical="center" wrapText="1"/>
      <protection locked="0"/>
    </xf>
    <xf numFmtId="178" fontId="24" fillId="0" borderId="29" xfId="0" applyFont="1" applyBorder="1" applyProtection="1">
      <protection locked="0"/>
    </xf>
    <xf numFmtId="178" fontId="24" fillId="0" borderId="32" xfId="0" applyFont="1" applyBorder="1" applyProtection="1">
      <protection locked="0"/>
    </xf>
    <xf numFmtId="178" fontId="19" fillId="0" borderId="27" xfId="0" applyFont="1" applyFill="1" applyBorder="1" applyAlignment="1" applyProtection="1">
      <alignment horizontal="center" vertical="center" shrinkToFit="1"/>
      <protection locked="0"/>
    </xf>
    <xf numFmtId="178" fontId="3" fillId="0" borderId="0" xfId="0" applyFont="1" applyAlignment="1" applyProtection="1">
      <alignment horizontal="right" vertical="center"/>
      <protection locked="0"/>
    </xf>
    <xf numFmtId="185" fontId="29" fillId="6" borderId="0" xfId="0" applyNumberFormat="1" applyFont="1" applyFill="1" applyAlignment="1" applyProtection="1">
      <alignment horizontal="left" vertical="top" wrapText="1"/>
      <protection locked="0"/>
    </xf>
    <xf numFmtId="178" fontId="3" fillId="0" borderId="0" xfId="0" applyNumberFormat="1" applyFont="1" applyAlignment="1" applyProtection="1">
      <alignment horizontal="right" vertical="center"/>
      <protection locked="0"/>
    </xf>
    <xf numFmtId="178" fontId="3" fillId="0" borderId="0" xfId="0" applyFont="1" applyAlignment="1" applyProtection="1">
      <alignment vertical="center"/>
      <protection locked="0"/>
    </xf>
    <xf numFmtId="178" fontId="24" fillId="0" borderId="5" xfId="0" applyFont="1" applyBorder="1" applyAlignment="1" applyProtection="1">
      <alignment horizontal="center" vertical="center" shrinkToFit="1"/>
    </xf>
    <xf numFmtId="178" fontId="20" fillId="0" borderId="5" xfId="0" applyFont="1" applyBorder="1" applyAlignment="1" applyProtection="1">
      <alignment horizontal="left" vertical="center" wrapText="1" shrinkToFit="1"/>
    </xf>
    <xf numFmtId="178" fontId="24" fillId="0" borderId="5" xfId="0" applyFont="1" applyBorder="1" applyAlignment="1" applyProtection="1">
      <alignment vertical="center" wrapText="1" shrinkToFit="1"/>
    </xf>
    <xf numFmtId="178" fontId="20" fillId="0" borderId="5" xfId="0" applyFont="1" applyBorder="1" applyAlignment="1" applyProtection="1">
      <alignment horizontal="center" vertical="center" wrapText="1"/>
    </xf>
    <xf numFmtId="178" fontId="24" fillId="0" borderId="5" xfId="0" applyFont="1" applyBorder="1" applyAlignment="1" applyProtection="1">
      <alignment horizontal="center" vertical="center" wrapText="1"/>
    </xf>
    <xf numFmtId="178" fontId="26" fillId="0" borderId="0" xfId="0" applyFont="1" applyBorder="1" applyAlignment="1" applyProtection="1">
      <alignment horizontal="center" vertical="center" wrapText="1"/>
      <protection locked="0"/>
    </xf>
    <xf numFmtId="178" fontId="27" fillId="0" borderId="0" xfId="0" applyFont="1" applyBorder="1" applyAlignment="1" applyProtection="1">
      <alignment horizontal="center" vertical="center" wrapText="1"/>
      <protection locked="0"/>
    </xf>
    <xf numFmtId="178" fontId="19" fillId="0" borderId="27" xfId="0" applyFont="1" applyBorder="1" applyAlignment="1" applyProtection="1">
      <alignment horizontal="center" vertical="center" wrapText="1"/>
    </xf>
    <xf numFmtId="178" fontId="24" fillId="0" borderId="28" xfId="0" applyFont="1" applyBorder="1" applyAlignment="1" applyProtection="1">
      <alignment horizontal="center" vertical="center" wrapText="1"/>
    </xf>
    <xf numFmtId="178" fontId="24" fillId="0" borderId="33" xfId="0" applyFont="1" applyBorder="1" applyAlignment="1" applyProtection="1">
      <alignment horizontal="center" vertical="center" wrapText="1"/>
    </xf>
    <xf numFmtId="178" fontId="24" fillId="0" borderId="34" xfId="0" applyFont="1" applyBorder="1" applyAlignment="1" applyProtection="1">
      <alignment horizontal="center" vertical="center" wrapText="1"/>
    </xf>
    <xf numFmtId="178" fontId="24" fillId="0" borderId="30" xfId="0" applyFont="1" applyBorder="1" applyAlignment="1" applyProtection="1">
      <alignment horizontal="center" vertical="center" wrapText="1"/>
    </xf>
    <xf numFmtId="178" fontId="24" fillId="0" borderId="31" xfId="0" applyFont="1" applyBorder="1" applyAlignment="1" applyProtection="1">
      <alignment horizontal="center" vertical="center" wrapText="1"/>
    </xf>
    <xf numFmtId="178" fontId="19" fillId="0" borderId="27" xfId="0" applyFont="1" applyBorder="1" applyAlignment="1" applyProtection="1">
      <alignment horizontal="center" vertical="center" wrapText="1"/>
      <protection locked="0"/>
    </xf>
    <xf numFmtId="178" fontId="24" fillId="0" borderId="28" xfId="0" applyFont="1" applyBorder="1" applyAlignment="1" applyProtection="1">
      <alignment horizontal="center" vertical="center" wrapText="1"/>
      <protection locked="0"/>
    </xf>
    <xf numFmtId="178" fontId="24" fillId="0" borderId="33" xfId="0" applyFont="1" applyBorder="1" applyAlignment="1" applyProtection="1">
      <alignment horizontal="center" vertical="center" wrapText="1"/>
      <protection locked="0"/>
    </xf>
    <xf numFmtId="178" fontId="24" fillId="0" borderId="34" xfId="0" applyFont="1" applyBorder="1" applyAlignment="1" applyProtection="1">
      <alignment horizontal="center" vertical="center" wrapText="1"/>
      <protection locked="0"/>
    </xf>
    <xf numFmtId="178" fontId="24" fillId="0" borderId="30" xfId="0" applyFont="1" applyBorder="1" applyAlignment="1" applyProtection="1">
      <alignment horizontal="center" vertical="center" wrapText="1"/>
      <protection locked="0"/>
    </xf>
    <xf numFmtId="178" fontId="24" fillId="0" borderId="31" xfId="0" applyFont="1" applyBorder="1" applyAlignment="1" applyProtection="1">
      <alignment horizontal="center" vertical="center" wrapText="1"/>
      <protection locked="0"/>
    </xf>
    <xf numFmtId="178" fontId="3" fillId="0" borderId="0" xfId="0" applyFont="1" applyAlignment="1" applyProtection="1">
      <alignment horizontal="left" vertical="top" wrapText="1"/>
      <protection locked="0"/>
    </xf>
    <xf numFmtId="178" fontId="26" fillId="0" borderId="0" xfId="0" applyFont="1" applyFill="1" applyAlignment="1" applyProtection="1">
      <alignment horizontal="left" vertical="top" wrapText="1"/>
      <protection locked="0"/>
    </xf>
    <xf numFmtId="178" fontId="19" fillId="0" borderId="22" xfId="0" applyFont="1" applyBorder="1" applyAlignment="1" applyProtection="1">
      <alignment horizontal="center" vertical="center" shrinkToFit="1"/>
      <protection locked="0"/>
    </xf>
    <xf numFmtId="178" fontId="3" fillId="0" borderId="0" xfId="0" applyFont="1" applyAlignment="1" applyProtection="1">
      <alignment horizontal="center" vertical="center"/>
      <protection locked="0"/>
    </xf>
    <xf numFmtId="178" fontId="3" fillId="0" borderId="0" xfId="0" applyFont="1" applyAlignment="1" applyProtection="1">
      <alignment horizontal="center" vertical="center" wrapText="1"/>
      <protection locked="0"/>
    </xf>
    <xf numFmtId="178" fontId="3" fillId="0" borderId="0" xfId="0" applyFont="1" applyAlignment="1" applyProtection="1">
      <alignment horizontal="left" vertical="center" wrapText="1"/>
      <protection locked="0"/>
    </xf>
    <xf numFmtId="178" fontId="29" fillId="6" borderId="0" xfId="0" applyFont="1" applyFill="1" applyAlignment="1" applyProtection="1">
      <alignment horizontal="center" vertical="top" wrapText="1"/>
      <protection locked="0"/>
    </xf>
    <xf numFmtId="178" fontId="14" fillId="0" borderId="0" xfId="0" applyFont="1" applyAlignment="1" applyProtection="1">
      <alignment horizontal="left" vertical="center"/>
      <protection locked="0"/>
    </xf>
    <xf numFmtId="178" fontId="35" fillId="0" borderId="0" xfId="0" applyFont="1" applyAlignment="1">
      <alignment horizontal="center"/>
    </xf>
    <xf numFmtId="178" fontId="0" fillId="0" borderId="35" xfId="0" applyFont="1" applyBorder="1" applyAlignment="1">
      <alignment horizontal="right"/>
    </xf>
    <xf numFmtId="178" fontId="0" fillId="0" borderId="35" xfId="0" applyBorder="1" applyAlignment="1">
      <alignment horizontal="right"/>
    </xf>
    <xf numFmtId="178" fontId="4" fillId="0" borderId="36" xfId="0" applyFont="1" applyBorder="1" applyAlignment="1">
      <alignment horizontal="center" wrapText="1"/>
    </xf>
    <xf numFmtId="178" fontId="4" fillId="0" borderId="37" xfId="0" applyFont="1" applyBorder="1" applyAlignment="1">
      <alignment horizontal="center" wrapText="1"/>
    </xf>
    <xf numFmtId="178" fontId="4" fillId="0" borderId="38" xfId="0" applyFont="1" applyBorder="1" applyAlignment="1">
      <alignment horizontal="center" wrapText="1"/>
    </xf>
    <xf numFmtId="178" fontId="0" fillId="0" borderId="36" xfId="0" applyFont="1" applyBorder="1" applyAlignment="1">
      <alignment horizontal="justify" wrapText="1"/>
    </xf>
    <xf numFmtId="178" fontId="0" fillId="0" borderId="37" xfId="0" applyFont="1" applyBorder="1" applyAlignment="1">
      <alignment horizontal="justify" wrapText="1"/>
    </xf>
    <xf numFmtId="178" fontId="0" fillId="0" borderId="38" xfId="0" applyFont="1" applyBorder="1" applyAlignment="1">
      <alignment horizontal="justify" wrapText="1"/>
    </xf>
    <xf numFmtId="178" fontId="0" fillId="0" borderId="36" xfId="0" applyFont="1" applyBorder="1" applyAlignment="1">
      <alignment horizontal="center" wrapText="1"/>
    </xf>
    <xf numFmtId="178" fontId="0" fillId="0" borderId="37" xfId="0" applyFont="1" applyBorder="1" applyAlignment="1">
      <alignment horizontal="center" wrapText="1"/>
    </xf>
    <xf numFmtId="14" fontId="36" fillId="0" borderId="42" xfId="0" applyNumberFormat="1" applyFont="1" applyBorder="1" applyAlignment="1">
      <alignment horizontal="justify" wrapText="1"/>
    </xf>
    <xf numFmtId="178" fontId="0" fillId="0" borderId="43" xfId="0" applyBorder="1"/>
    <xf numFmtId="178" fontId="0" fillId="0" borderId="44" xfId="0" applyBorder="1"/>
    <xf numFmtId="14" fontId="36" fillId="0" borderId="46" xfId="0" applyNumberFormat="1" applyFont="1" applyBorder="1" applyAlignment="1">
      <alignment horizontal="justify" wrapText="1"/>
    </xf>
    <xf numFmtId="178" fontId="36" fillId="0" borderId="0" xfId="0" applyFont="1" applyAlignment="1">
      <alignment horizontal="justify" wrapText="1"/>
    </xf>
    <xf numFmtId="178" fontId="36" fillId="0" borderId="47" xfId="0" applyFont="1" applyBorder="1" applyAlignment="1">
      <alignment horizontal="justify" wrapText="1"/>
    </xf>
    <xf numFmtId="178" fontId="0" fillId="0" borderId="0" xfId="0" applyFont="1" applyAlignment="1">
      <alignment vertical="center" wrapText="1"/>
    </xf>
    <xf numFmtId="178" fontId="0" fillId="0" borderId="0" xfId="0" applyFont="1" applyAlignment="1">
      <alignment vertical="center"/>
    </xf>
    <xf numFmtId="178" fontId="0" fillId="0" borderId="0" xfId="0" applyFont="1" applyBorder="1" applyAlignment="1">
      <alignment horizontal="right" vertical="center"/>
    </xf>
    <xf numFmtId="178" fontId="0" fillId="0" borderId="0" xfId="0" applyBorder="1" applyAlignment="1">
      <alignment horizontal="right" vertical="center"/>
    </xf>
    <xf numFmtId="178" fontId="0" fillId="0" borderId="0" xfId="0" applyNumberFormat="1" applyBorder="1" applyAlignment="1">
      <alignment horizontal="right" vertical="center"/>
    </xf>
    <xf numFmtId="178" fontId="0" fillId="0" borderId="41" xfId="0" applyFont="1" applyBorder="1" applyAlignment="1">
      <alignment horizontal="center" vertical="center" wrapText="1"/>
    </xf>
    <xf numFmtId="178" fontId="0" fillId="0" borderId="45" xfId="0" applyFont="1" applyBorder="1" applyAlignment="1">
      <alignment horizontal="center" vertical="center" wrapText="1"/>
    </xf>
    <xf numFmtId="178" fontId="0" fillId="0" borderId="39" xfId="0" applyFont="1" applyBorder="1" applyAlignment="1">
      <alignment horizontal="center" vertical="center" wrapText="1"/>
    </xf>
    <xf numFmtId="178" fontId="0" fillId="0" borderId="0" xfId="0" applyFont="1" applyBorder="1" applyAlignment="1">
      <alignment horizontal="left" vertical="center" wrapText="1"/>
    </xf>
    <xf numFmtId="178" fontId="0" fillId="0" borderId="0" xfId="0" applyFont="1" applyBorder="1" applyAlignment="1">
      <alignment horizontal="left" vertical="center"/>
    </xf>
    <xf numFmtId="178" fontId="0" fillId="0" borderId="0" xfId="0" applyFont="1" applyAlignment="1">
      <alignment horizontal="left" vertical="center"/>
    </xf>
    <xf numFmtId="14" fontId="36" fillId="0" borderId="48" xfId="0" applyNumberFormat="1" applyFont="1" applyBorder="1" applyAlignment="1">
      <alignment horizontal="justify" wrapText="1"/>
    </xf>
    <xf numFmtId="178" fontId="36" fillId="0" borderId="35" xfId="0" applyFont="1" applyBorder="1" applyAlignment="1">
      <alignment horizontal="justify" wrapText="1"/>
    </xf>
    <xf numFmtId="178" fontId="36" fillId="0" borderId="40" xfId="0" applyFont="1" applyBorder="1" applyAlignment="1">
      <alignment horizontal="justify" wrapText="1"/>
    </xf>
    <xf numFmtId="178" fontId="10" fillId="0" borderId="5" xfId="0" applyFont="1" applyBorder="1" applyAlignment="1">
      <alignment horizontal="center" vertical="center" shrinkToFit="1"/>
    </xf>
    <xf numFmtId="178" fontId="9" fillId="0" borderId="5" xfId="0" applyFont="1" applyBorder="1" applyAlignment="1">
      <alignment horizontal="center" vertical="center" shrinkToFit="1"/>
    </xf>
    <xf numFmtId="187" fontId="9" fillId="0" borderId="5" xfId="0" applyNumberFormat="1" applyFont="1" applyBorder="1" applyAlignment="1">
      <alignment horizontal="center" vertical="center" shrinkToFit="1"/>
    </xf>
    <xf numFmtId="49" fontId="9" fillId="0" borderId="5" xfId="0" applyNumberFormat="1" applyFont="1" applyBorder="1" applyAlignment="1">
      <alignment horizontal="center" vertical="center" shrinkToFit="1"/>
    </xf>
    <xf numFmtId="178" fontId="9" fillId="0" borderId="5" xfId="0" applyNumberFormat="1" applyFont="1" applyBorder="1" applyAlignment="1">
      <alignment horizontal="center" vertical="center" shrinkToFit="1"/>
    </xf>
    <xf numFmtId="188" fontId="9" fillId="0" borderId="5" xfId="0" applyNumberFormat="1" applyFont="1" applyBorder="1" applyAlignment="1">
      <alignment horizontal="center" vertical="center" shrinkToFit="1"/>
    </xf>
    <xf numFmtId="178" fontId="18" fillId="0" borderId="0" xfId="0" applyFont="1" applyAlignment="1">
      <alignment horizontal="center" vertical="center"/>
    </xf>
    <xf numFmtId="178" fontId="3" fillId="0" borderId="0" xfId="0" applyFont="1" applyAlignment="1">
      <alignment horizontal="right" vertical="center"/>
    </xf>
    <xf numFmtId="178" fontId="3" fillId="0" borderId="0" xfId="0" applyFont="1" applyBorder="1" applyAlignment="1">
      <alignment horizontal="left" vertical="center" wrapText="1"/>
    </xf>
    <xf numFmtId="178" fontId="3" fillId="0" borderId="5" xfId="0" applyFont="1" applyBorder="1" applyAlignment="1">
      <alignment horizontal="center" vertical="center" wrapText="1"/>
    </xf>
    <xf numFmtId="178" fontId="9" fillId="0" borderId="5" xfId="0" applyFont="1" applyBorder="1" applyAlignment="1">
      <alignment horizontal="left" vertical="center" wrapText="1"/>
    </xf>
    <xf numFmtId="178" fontId="34" fillId="0" borderId="5" xfId="0" applyFont="1" applyBorder="1" applyAlignment="1">
      <alignment vertical="center"/>
    </xf>
    <xf numFmtId="180" fontId="12" fillId="0" borderId="22" xfId="0" applyNumberFormat="1" applyFont="1" applyFill="1" applyBorder="1" applyAlignment="1">
      <alignment horizontal="center" vertical="center" shrinkToFit="1"/>
    </xf>
    <xf numFmtId="180" fontId="12" fillId="0" borderId="26" xfId="0" applyNumberFormat="1" applyFont="1" applyFill="1" applyBorder="1" applyAlignment="1">
      <alignment horizontal="center" vertical="center" shrinkToFit="1"/>
    </xf>
    <xf numFmtId="180" fontId="12" fillId="0" borderId="25" xfId="0" applyNumberFormat="1" applyFont="1" applyFill="1" applyBorder="1" applyAlignment="1">
      <alignment horizontal="center" vertical="center" shrinkToFit="1"/>
    </xf>
    <xf numFmtId="178" fontId="9" fillId="0" borderId="22" xfId="0" applyFont="1" applyBorder="1" applyAlignment="1">
      <alignment horizontal="left" vertical="center" wrapText="1"/>
    </xf>
    <xf numFmtId="178" fontId="9" fillId="0" borderId="25" xfId="0" applyFont="1" applyBorder="1" applyAlignment="1">
      <alignment horizontal="left" vertical="center" wrapText="1"/>
    </xf>
    <xf numFmtId="178" fontId="22" fillId="0" borderId="0" xfId="0" applyFont="1" applyBorder="1" applyAlignment="1">
      <alignment horizontal="center" vertical="center"/>
    </xf>
    <xf numFmtId="178" fontId="22" fillId="0" borderId="0" xfId="0" applyFont="1" applyBorder="1" applyAlignment="1">
      <alignment horizontal="left" vertical="center" shrinkToFit="1"/>
    </xf>
    <xf numFmtId="178" fontId="0" fillId="0" borderId="32" xfId="0" applyBorder="1" applyAlignment="1">
      <alignment horizontal="left" vertical="center"/>
    </xf>
    <xf numFmtId="178" fontId="3" fillId="0" borderId="5" xfId="0" applyFont="1" applyBorder="1" applyAlignment="1">
      <alignment horizontal="center" vertical="center" shrinkToFit="1"/>
    </xf>
    <xf numFmtId="178" fontId="27" fillId="0" borderId="5" xfId="0" applyFont="1" applyBorder="1" applyAlignment="1">
      <alignment horizontal="center" vertical="center" shrinkToFit="1"/>
    </xf>
    <xf numFmtId="178" fontId="26" fillId="0" borderId="5" xfId="0" applyFont="1" applyBorder="1" applyAlignment="1">
      <alignment horizontal="left" vertical="center" wrapText="1" shrinkToFit="1"/>
    </xf>
    <xf numFmtId="178" fontId="27" fillId="0" borderId="5" xfId="0" applyFont="1" applyBorder="1" applyAlignment="1">
      <alignment vertical="center" wrapText="1" shrinkToFit="1"/>
    </xf>
    <xf numFmtId="178" fontId="26" fillId="0" borderId="5" xfId="0" applyFont="1" applyBorder="1" applyAlignment="1">
      <alignment horizontal="center" vertical="center" wrapText="1"/>
    </xf>
    <xf numFmtId="178" fontId="27" fillId="0" borderId="5" xfId="0" applyFont="1" applyBorder="1" applyAlignment="1">
      <alignment horizontal="center" vertical="center" wrapText="1"/>
    </xf>
    <xf numFmtId="178" fontId="9" fillId="0" borderId="22" xfId="0" applyFont="1" applyBorder="1" applyAlignment="1">
      <alignment horizontal="center" vertical="center" shrinkToFit="1"/>
    </xf>
    <xf numFmtId="178" fontId="34" fillId="0" borderId="26" xfId="0" applyFont="1" applyBorder="1" applyAlignment="1">
      <alignment horizontal="center" vertical="center" shrinkToFit="1"/>
    </xf>
    <xf numFmtId="178" fontId="34" fillId="0" borderId="25" xfId="0" applyFont="1" applyBorder="1" applyAlignment="1">
      <alignment horizontal="center" vertical="center" shrinkToFit="1"/>
    </xf>
    <xf numFmtId="178" fontId="9" fillId="4" borderId="22" xfId="0" applyFont="1" applyFill="1" applyBorder="1" applyAlignment="1">
      <alignment horizontal="left" vertical="center" wrapText="1"/>
    </xf>
    <xf numFmtId="178" fontId="9" fillId="4" borderId="26" xfId="0" applyFont="1" applyFill="1" applyBorder="1" applyAlignment="1">
      <alignment horizontal="left" vertical="center" wrapText="1"/>
    </xf>
    <xf numFmtId="178" fontId="34" fillId="4" borderId="26" xfId="0" applyFont="1" applyFill="1" applyBorder="1" applyAlignment="1">
      <alignment horizontal="left" vertical="center" wrapText="1"/>
    </xf>
    <xf numFmtId="178" fontId="34" fillId="4" borderId="25" xfId="0" applyFont="1" applyFill="1" applyBorder="1" applyAlignment="1">
      <alignment horizontal="left" vertical="center" wrapText="1"/>
    </xf>
    <xf numFmtId="178" fontId="12" fillId="0" borderId="22" xfId="0" applyFont="1" applyBorder="1" applyAlignment="1">
      <alignment horizontal="center" vertical="center" shrinkToFit="1"/>
    </xf>
    <xf numFmtId="178" fontId="34" fillId="0" borderId="26" xfId="0" applyFont="1" applyBorder="1" applyAlignment="1">
      <alignment horizontal="center" vertical="center"/>
    </xf>
    <xf numFmtId="178" fontId="34" fillId="0" borderId="25" xfId="0" applyFont="1" applyBorder="1" applyAlignment="1">
      <alignment horizontal="center" vertical="center"/>
    </xf>
    <xf numFmtId="14" fontId="9" fillId="0" borderId="22" xfId="0" applyNumberFormat="1" applyFont="1" applyBorder="1" applyAlignment="1">
      <alignment horizontal="center" vertical="center" shrinkToFit="1"/>
    </xf>
    <xf numFmtId="14" fontId="34" fillId="0" borderId="26" xfId="0" applyNumberFormat="1" applyFont="1" applyBorder="1" applyAlignment="1">
      <alignment horizontal="center" vertical="center" shrinkToFit="1"/>
    </xf>
    <xf numFmtId="14" fontId="34" fillId="0" borderId="25" xfId="0" applyNumberFormat="1" applyFont="1" applyBorder="1" applyAlignment="1">
      <alignment horizontal="center" vertical="center" shrinkToFit="1"/>
    </xf>
    <xf numFmtId="186" fontId="9" fillId="0" borderId="22" xfId="0" applyNumberFormat="1" applyFont="1" applyBorder="1" applyAlignment="1">
      <alignment horizontal="center" vertical="center"/>
    </xf>
    <xf numFmtId="178" fontId="9" fillId="0" borderId="22" xfId="0" applyNumberFormat="1" applyFont="1" applyBorder="1" applyAlignment="1">
      <alignment horizontal="center" vertical="center" shrinkToFit="1"/>
    </xf>
    <xf numFmtId="178" fontId="34" fillId="0" borderId="26" xfId="0" applyNumberFormat="1" applyFont="1" applyBorder="1" applyAlignment="1">
      <alignment horizontal="center" vertical="center" shrinkToFit="1"/>
    </xf>
    <xf numFmtId="178" fontId="34" fillId="0" borderId="25" xfId="0" applyNumberFormat="1" applyFont="1" applyBorder="1" applyAlignment="1">
      <alignment horizontal="center" vertical="center" shrinkToFit="1"/>
    </xf>
    <xf numFmtId="178" fontId="9" fillId="0" borderId="22" xfId="0" applyNumberFormat="1" applyFont="1" applyBorder="1" applyAlignment="1">
      <alignment horizontal="left" vertical="center" wrapText="1"/>
    </xf>
    <xf numFmtId="178" fontId="34" fillId="0" borderId="26" xfId="0" applyNumberFormat="1" applyFont="1" applyBorder="1" applyAlignment="1">
      <alignment horizontal="left" vertical="center" wrapText="1"/>
    </xf>
    <xf numFmtId="178" fontId="34" fillId="0" borderId="25" xfId="0" applyNumberFormat="1" applyFont="1" applyBorder="1" applyAlignment="1">
      <alignment horizontal="left" vertical="center" wrapText="1"/>
    </xf>
    <xf numFmtId="49" fontId="9" fillId="0" borderId="22" xfId="0" applyNumberFormat="1" applyFont="1" applyBorder="1" applyAlignment="1">
      <alignment horizontal="center" vertical="center" shrinkToFit="1"/>
    </xf>
    <xf numFmtId="178" fontId="12" fillId="0" borderId="27" xfId="0" applyFont="1" applyBorder="1" applyAlignment="1">
      <alignment horizontal="center" vertical="center" wrapText="1"/>
    </xf>
    <xf numFmtId="178" fontId="34" fillId="0" borderId="28" xfId="0" applyFont="1" applyBorder="1" applyAlignment="1">
      <alignment horizontal="center" vertical="center" wrapText="1"/>
    </xf>
    <xf numFmtId="178" fontId="34" fillId="0" borderId="33" xfId="0" applyFont="1" applyBorder="1" applyAlignment="1">
      <alignment horizontal="center" vertical="center" wrapText="1"/>
    </xf>
    <xf numFmtId="178" fontId="34" fillId="0" borderId="34" xfId="0" applyFont="1" applyBorder="1" applyAlignment="1">
      <alignment horizontal="center" vertical="center" wrapText="1"/>
    </xf>
    <xf numFmtId="178" fontId="34" fillId="0" borderId="30" xfId="0" applyFont="1" applyBorder="1" applyAlignment="1">
      <alignment horizontal="center" vertical="center" wrapText="1"/>
    </xf>
    <xf numFmtId="178" fontId="34" fillId="0" borderId="31" xfId="0" applyFont="1" applyBorder="1" applyAlignment="1">
      <alignment horizontal="center" vertical="center" wrapText="1"/>
    </xf>
    <xf numFmtId="178" fontId="9" fillId="0" borderId="26" xfId="0" applyFont="1" applyBorder="1" applyAlignment="1">
      <alignment horizontal="center" vertical="center" shrinkToFit="1"/>
    </xf>
    <xf numFmtId="178" fontId="9" fillId="0" borderId="22" xfId="0" applyFont="1" applyBorder="1" applyAlignment="1">
      <alignment horizontal="center" vertical="center" wrapText="1" shrinkToFit="1"/>
    </xf>
    <xf numFmtId="178" fontId="9" fillId="0" borderId="26" xfId="0" applyFont="1" applyBorder="1" applyAlignment="1">
      <alignment horizontal="center" vertical="center" wrapText="1" shrinkToFit="1"/>
    </xf>
    <xf numFmtId="178" fontId="34" fillId="0" borderId="26" xfId="0" applyFont="1" applyBorder="1" applyAlignment="1">
      <alignment horizontal="center" vertical="center" wrapText="1" shrinkToFit="1"/>
    </xf>
    <xf numFmtId="178" fontId="34" fillId="0" borderId="25" xfId="0" applyFont="1" applyBorder="1" applyAlignment="1">
      <alignment horizontal="center" vertical="center" wrapText="1" shrinkToFit="1"/>
    </xf>
    <xf numFmtId="178" fontId="29" fillId="6" borderId="0" xfId="0" applyFont="1" applyFill="1" applyAlignment="1">
      <alignment horizontal="center" vertical="top" wrapText="1"/>
    </xf>
    <xf numFmtId="178" fontId="0" fillId="0" borderId="25" xfId="0" applyBorder="1"/>
    <xf numFmtId="178" fontId="0" fillId="0" borderId="26" xfId="0" applyBorder="1"/>
    <xf numFmtId="178" fontId="14" fillId="0" borderId="29" xfId="0" applyFont="1" applyBorder="1" applyAlignment="1">
      <alignment horizontal="left" vertical="center" shrinkToFit="1"/>
    </xf>
    <xf numFmtId="178" fontId="27" fillId="0" borderId="26" xfId="0" applyFont="1" applyBorder="1" applyAlignment="1">
      <alignment horizontal="left" vertical="center"/>
    </xf>
    <xf numFmtId="178" fontId="9" fillId="0" borderId="5" xfId="0" applyFont="1" applyBorder="1" applyAlignment="1">
      <alignment horizontal="center" vertical="center" wrapText="1"/>
    </xf>
    <xf numFmtId="178" fontId="12" fillId="0" borderId="1" xfId="0" applyFont="1" applyBorder="1" applyAlignment="1">
      <alignment horizontal="center" vertical="center" shrinkToFit="1"/>
    </xf>
    <xf numFmtId="178" fontId="12" fillId="0" borderId="2" xfId="0" applyFont="1" applyBorder="1" applyAlignment="1">
      <alignment horizontal="center" vertical="center" shrinkToFit="1"/>
    </xf>
    <xf numFmtId="176" fontId="9" fillId="0" borderId="4" xfId="0" applyNumberFormat="1" applyFont="1" applyBorder="1" applyAlignment="1">
      <alignment horizontal="center" vertical="center" shrinkToFit="1"/>
    </xf>
    <xf numFmtId="176" fontId="9" fillId="0" borderId="5" xfId="0" applyNumberFormat="1" applyFont="1" applyBorder="1" applyAlignment="1">
      <alignment horizontal="center" vertical="center" shrinkToFit="1"/>
    </xf>
    <xf numFmtId="178" fontId="12" fillId="0" borderId="26" xfId="0" applyFont="1" applyBorder="1" applyAlignment="1">
      <alignment horizontal="center" vertical="center" shrinkToFit="1"/>
    </xf>
    <xf numFmtId="178" fontId="12" fillId="0" borderId="25" xfId="0" applyFont="1" applyBorder="1" applyAlignment="1">
      <alignment horizontal="center" vertical="center" shrinkToFit="1"/>
    </xf>
    <xf numFmtId="178" fontId="22" fillId="0" borderId="29" xfId="0" applyFont="1" applyBorder="1" applyAlignment="1">
      <alignment horizontal="left" vertical="center" shrinkToFit="1"/>
    </xf>
    <xf numFmtId="178" fontId="0" fillId="0" borderId="26" xfId="0" applyBorder="1" applyAlignment="1">
      <alignment horizontal="left" vertical="center"/>
    </xf>
    <xf numFmtId="178" fontId="3" fillId="0" borderId="0" xfId="0" applyFont="1" applyAlignment="1">
      <alignment horizontal="left" vertical="center" wrapText="1"/>
    </xf>
    <xf numFmtId="178" fontId="9" fillId="0" borderId="27" xfId="0" applyFont="1" applyBorder="1" applyAlignment="1">
      <alignment horizontal="center" vertical="center" wrapText="1"/>
    </xf>
    <xf numFmtId="178" fontId="9" fillId="0" borderId="28" xfId="0" applyFont="1" applyBorder="1" applyAlignment="1">
      <alignment horizontal="center" vertical="center" wrapText="1"/>
    </xf>
    <xf numFmtId="178" fontId="9" fillId="0" borderId="30" xfId="0" applyFont="1" applyBorder="1" applyAlignment="1">
      <alignment horizontal="center" vertical="center" wrapText="1"/>
    </xf>
    <xf numFmtId="178" fontId="9" fillId="0" borderId="31" xfId="0" applyFont="1" applyBorder="1" applyAlignment="1">
      <alignment horizontal="center" vertical="center" wrapText="1"/>
    </xf>
    <xf numFmtId="178" fontId="34" fillId="0" borderId="25" xfId="0" applyFont="1" applyBorder="1" applyAlignment="1">
      <alignment vertical="center"/>
    </xf>
    <xf numFmtId="178" fontId="34" fillId="0" borderId="22" xfId="0" applyFont="1" applyBorder="1" applyAlignment="1">
      <alignment vertical="center"/>
    </xf>
    <xf numFmtId="178" fontId="9" fillId="0" borderId="26" xfId="0" applyFont="1" applyBorder="1" applyAlignment="1">
      <alignment horizontal="left" vertical="center" wrapText="1"/>
    </xf>
    <xf numFmtId="178" fontId="34" fillId="0" borderId="26" xfId="0" applyFont="1" applyBorder="1" applyAlignment="1">
      <alignment horizontal="left" vertical="center" wrapText="1"/>
    </xf>
    <xf numFmtId="178" fontId="34" fillId="0" borderId="25" xfId="0" applyFont="1" applyBorder="1" applyAlignment="1">
      <alignment horizontal="left" vertical="center" wrapText="1"/>
    </xf>
    <xf numFmtId="178" fontId="34" fillId="0" borderId="22" xfId="0" applyFont="1" applyBorder="1" applyAlignment="1">
      <alignment horizontal="left" vertical="center" wrapText="1"/>
    </xf>
    <xf numFmtId="178" fontId="12" fillId="0" borderId="27" xfId="0" applyFont="1" applyFill="1" applyBorder="1" applyAlignment="1">
      <alignment horizontal="center" vertical="center" shrinkToFit="1"/>
    </xf>
    <xf numFmtId="178" fontId="0" fillId="0" borderId="28" xfId="0" applyBorder="1"/>
    <xf numFmtId="178" fontId="0" fillId="0" borderId="30" xfId="0" applyBorder="1"/>
    <xf numFmtId="178" fontId="0" fillId="0" borderId="31" xfId="0" applyBorder="1"/>
    <xf numFmtId="178" fontId="9" fillId="0" borderId="27" xfId="0" applyFont="1" applyBorder="1" applyAlignment="1">
      <alignment horizontal="left" vertical="center" wrapText="1"/>
    </xf>
    <xf numFmtId="178" fontId="0" fillId="0" borderId="29" xfId="0" applyBorder="1"/>
    <xf numFmtId="178" fontId="0" fillId="0" borderId="32" xfId="0" applyBorder="1"/>
    <xf numFmtId="178" fontId="12" fillId="0" borderId="27" xfId="0" applyFont="1" applyFill="1" applyBorder="1" applyAlignment="1">
      <alignment horizontal="center" vertical="center"/>
    </xf>
    <xf numFmtId="178" fontId="26" fillId="0" borderId="0" xfId="0" applyFont="1" applyFill="1" applyAlignment="1">
      <alignment horizontal="left" vertical="top" wrapText="1"/>
    </xf>
    <xf numFmtId="178" fontId="3" fillId="0" borderId="0" xfId="0" applyNumberFormat="1" applyFont="1" applyAlignment="1">
      <alignment horizontal="right" vertical="center"/>
    </xf>
    <xf numFmtId="178" fontId="3" fillId="0" borderId="0" xfId="0" applyFont="1" applyAlignment="1">
      <alignment vertical="center"/>
    </xf>
    <xf numFmtId="176" fontId="9" fillId="0" borderId="9" xfId="0" applyNumberFormat="1" applyFont="1" applyBorder="1" applyAlignment="1">
      <alignment horizontal="center" vertical="center" shrinkToFit="1"/>
    </xf>
    <xf numFmtId="176" fontId="9" fillId="0" borderId="10" xfId="0" applyNumberFormat="1" applyFont="1" applyBorder="1" applyAlignment="1">
      <alignment horizontal="center" vertical="center" shrinkToFit="1"/>
    </xf>
    <xf numFmtId="178" fontId="14" fillId="0" borderId="0" xfId="0" applyFont="1" applyAlignment="1">
      <alignment horizontal="left" vertical="center"/>
    </xf>
    <xf numFmtId="178" fontId="3" fillId="0" borderId="0" xfId="0" applyFont="1" applyAlignment="1">
      <alignment horizontal="left" vertical="top" wrapText="1"/>
    </xf>
    <xf numFmtId="185" fontId="29" fillId="6" borderId="0" xfId="0" applyNumberFormat="1" applyFont="1" applyFill="1" applyAlignment="1">
      <alignment horizontal="left" vertical="top" wrapText="1"/>
    </xf>
    <xf numFmtId="178" fontId="9" fillId="0" borderId="0" xfId="0" applyFont="1" applyBorder="1" applyAlignment="1">
      <alignment horizontal="left" vertical="center" wrapText="1"/>
    </xf>
    <xf numFmtId="180" fontId="12" fillId="0" borderId="22" xfId="0" applyNumberFormat="1" applyFont="1" applyFill="1" applyBorder="1" applyAlignment="1">
      <alignment vertical="center" shrinkToFit="1"/>
    </xf>
    <xf numFmtId="178" fontId="0" fillId="0" borderId="26" xfId="0" applyBorder="1" applyAlignment="1">
      <alignment vertical="center"/>
    </xf>
    <xf numFmtId="178" fontId="0" fillId="0" borderId="25" xfId="0" applyBorder="1" applyAlignment="1">
      <alignment vertical="center"/>
    </xf>
    <xf numFmtId="178" fontId="14" fillId="0" borderId="0" xfId="0" applyFont="1" applyBorder="1" applyAlignment="1">
      <alignment horizontal="center" vertical="center"/>
    </xf>
    <xf numFmtId="178" fontId="14" fillId="0" borderId="0" xfId="0" applyFont="1" applyBorder="1" applyAlignment="1">
      <alignment horizontal="left" vertical="center" shrinkToFit="1"/>
    </xf>
    <xf numFmtId="178" fontId="27" fillId="0" borderId="32" xfId="0" applyFont="1" applyBorder="1" applyAlignment="1">
      <alignment horizontal="left" vertical="center"/>
    </xf>
    <xf numFmtId="178" fontId="3" fillId="4" borderId="22" xfId="0" applyFont="1" applyFill="1" applyBorder="1" applyAlignment="1">
      <alignment horizontal="left" vertical="center" wrapText="1"/>
    </xf>
    <xf numFmtId="178" fontId="3" fillId="4" borderId="26" xfId="0" applyFont="1" applyFill="1" applyBorder="1" applyAlignment="1">
      <alignment horizontal="left" vertical="center" wrapText="1"/>
    </xf>
    <xf numFmtId="178" fontId="27" fillId="4" borderId="26" xfId="0" applyFont="1" applyFill="1" applyBorder="1" applyAlignment="1">
      <alignment horizontal="left" vertical="center" wrapText="1"/>
    </xf>
    <xf numFmtId="178" fontId="27" fillId="4" borderId="25" xfId="0" applyFont="1" applyFill="1" applyBorder="1" applyAlignment="1">
      <alignment horizontal="left" vertical="center" wrapText="1"/>
    </xf>
    <xf numFmtId="178" fontId="0" fillId="0" borderId="29" xfId="0" applyBorder="1" applyAlignment="1">
      <alignment horizontal="left" vertical="center"/>
    </xf>
    <xf numFmtId="178" fontId="0" fillId="0" borderId="5" xfId="0" applyBorder="1"/>
    <xf numFmtId="178" fontId="3" fillId="0" borderId="0" xfId="0" applyFont="1" applyAlignment="1">
      <alignment horizontal="center" vertical="center" wrapText="1"/>
    </xf>
    <xf numFmtId="178" fontId="9" fillId="0" borderId="0" xfId="0" applyNumberFormat="1" applyFont="1" applyBorder="1" applyAlignment="1">
      <alignment horizontal="left" vertical="center" shrinkToFit="1"/>
    </xf>
    <xf numFmtId="185" fontId="3" fillId="0" borderId="0" xfId="0" applyNumberFormat="1" applyFont="1" applyAlignment="1">
      <alignment horizontal="left" vertical="top" wrapText="1"/>
    </xf>
    <xf numFmtId="178" fontId="14" fillId="0" borderId="0" xfId="0" applyFont="1" applyBorder="1" applyAlignment="1">
      <alignment horizontal="left" vertical="center"/>
    </xf>
    <xf numFmtId="178" fontId="3" fillId="0" borderId="0" xfId="0" applyFont="1" applyAlignment="1">
      <alignment horizontal="center" vertical="center"/>
    </xf>
    <xf numFmtId="178" fontId="26" fillId="0" borderId="33" xfId="0" applyFont="1" applyBorder="1" applyAlignment="1">
      <alignment horizontal="center" vertical="center" wrapText="1"/>
    </xf>
    <xf numFmtId="178" fontId="27" fillId="0" borderId="33" xfId="0" applyFont="1" applyBorder="1" applyAlignment="1">
      <alignment horizontal="center" vertical="center" wrapText="1"/>
    </xf>
    <xf numFmtId="185" fontId="9" fillId="0" borderId="0" xfId="0" applyNumberFormat="1" applyFont="1" applyBorder="1" applyAlignment="1">
      <alignment horizontal="left" vertical="center" shrinkToFit="1"/>
    </xf>
    <xf numFmtId="178" fontId="27" fillId="0" borderId="29" xfId="0" applyFont="1" applyBorder="1" applyAlignment="1">
      <alignment horizontal="left" vertical="center"/>
    </xf>
    <xf numFmtId="49" fontId="31" fillId="0" borderId="0" xfId="2" applyNumberFormat="1" applyFont="1" applyAlignment="1">
      <alignment horizontal="center" vertical="justify" wrapText="1"/>
    </xf>
    <xf numFmtId="49" fontId="3" fillId="5" borderId="5" xfId="2" applyNumberFormat="1" applyFont="1" applyFill="1" applyBorder="1" applyAlignment="1">
      <alignment horizontal="center" vertical="center" wrapText="1"/>
    </xf>
    <xf numFmtId="178" fontId="3" fillId="5" borderId="5" xfId="2" applyNumberFormat="1" applyFont="1" applyFill="1" applyBorder="1" applyAlignment="1">
      <alignment horizontal="center" vertical="center" wrapText="1"/>
    </xf>
    <xf numFmtId="178" fontId="3" fillId="5" borderId="5" xfId="2" applyNumberFormat="1" applyFont="1" applyFill="1" applyBorder="1" applyAlignment="1">
      <alignment horizontal="center" vertical="center"/>
    </xf>
    <xf numFmtId="49" fontId="3" fillId="5" borderId="5" xfId="2" applyNumberFormat="1" applyFont="1" applyFill="1" applyBorder="1" applyAlignment="1">
      <alignment horizontal="center" vertical="center"/>
    </xf>
    <xf numFmtId="180" fontId="3" fillId="5" borderId="5" xfId="2" applyNumberFormat="1" applyFont="1" applyFill="1" applyBorder="1" applyAlignment="1">
      <alignment horizontal="center" vertical="center"/>
    </xf>
    <xf numFmtId="49" fontId="3" fillId="5" borderId="22" xfId="2" applyNumberFormat="1" applyFont="1" applyFill="1" applyBorder="1" applyAlignment="1">
      <alignment horizontal="center" vertical="center" wrapText="1"/>
    </xf>
    <xf numFmtId="49" fontId="3" fillId="5" borderId="25" xfId="2" applyNumberFormat="1" applyFont="1" applyFill="1" applyBorder="1" applyAlignment="1">
      <alignment horizontal="center" vertical="center" wrapText="1"/>
    </xf>
    <xf numFmtId="180" fontId="3" fillId="5" borderId="22" xfId="2" applyNumberFormat="1" applyFont="1" applyFill="1" applyBorder="1" applyAlignment="1">
      <alignment horizontal="center" vertical="center"/>
    </xf>
    <xf numFmtId="180" fontId="3" fillId="5" borderId="26" xfId="2" applyNumberFormat="1" applyFont="1" applyFill="1" applyBorder="1" applyAlignment="1">
      <alignment horizontal="center" vertical="center"/>
    </xf>
    <xf numFmtId="180" fontId="3" fillId="5" borderId="25" xfId="2" applyNumberFormat="1" applyFont="1" applyFill="1" applyBorder="1" applyAlignment="1">
      <alignment horizontal="center" vertical="center"/>
    </xf>
    <xf numFmtId="178" fontId="3" fillId="0" borderId="29" xfId="2" applyFont="1" applyBorder="1" applyAlignment="1">
      <alignment horizontal="left" vertical="center" wrapText="1"/>
    </xf>
    <xf numFmtId="178" fontId="3" fillId="0" borderId="0" xfId="2" applyFont="1" applyBorder="1" applyAlignment="1">
      <alignment horizontal="left" vertical="center" wrapText="1"/>
    </xf>
    <xf numFmtId="178" fontId="3" fillId="0" borderId="0" xfId="2" applyFont="1" applyBorder="1" applyAlignment="1">
      <alignment horizontal="center" vertical="center" wrapText="1"/>
    </xf>
    <xf numFmtId="49" fontId="2" fillId="0" borderId="0" xfId="2" applyNumberFormat="1" applyFont="1" applyAlignment="1">
      <alignment horizontal="left" vertical="center" wrapText="1"/>
    </xf>
    <xf numFmtId="178" fontId="9" fillId="0" borderId="14" xfId="2" applyNumberFormat="1" applyFont="1" applyBorder="1" applyAlignment="1">
      <alignment horizontal="center" vertical="center" wrapText="1"/>
    </xf>
    <xf numFmtId="178" fontId="0" fillId="0" borderId="15" xfId="0" applyBorder="1" applyAlignment="1">
      <alignment horizontal="center" vertical="center" wrapText="1"/>
    </xf>
    <xf numFmtId="178" fontId="0" fillId="0" borderId="16" xfId="0" applyBorder="1" applyAlignment="1">
      <alignment horizontal="center" vertical="center" wrapText="1"/>
    </xf>
    <xf numFmtId="180" fontId="9" fillId="0" borderId="22" xfId="2" applyNumberFormat="1" applyFont="1" applyBorder="1" applyAlignment="1">
      <alignment horizontal="center" vertical="center"/>
    </xf>
    <xf numFmtId="178" fontId="0" fillId="0" borderId="21" xfId="0" applyBorder="1" applyAlignment="1">
      <alignment horizontal="center" vertical="center"/>
    </xf>
    <xf numFmtId="49" fontId="8" fillId="0" borderId="0" xfId="2" applyNumberFormat="1" applyFont="1" applyAlignment="1">
      <alignment horizontal="center" vertical="justify" wrapText="1"/>
    </xf>
    <xf numFmtId="178" fontId="0" fillId="0" borderId="0" xfId="0" applyAlignment="1"/>
    <xf numFmtId="180" fontId="12" fillId="0" borderId="23" xfId="2" applyNumberFormat="1" applyFont="1" applyBorder="1" applyAlignment="1">
      <alignment horizontal="center" vertical="center"/>
    </xf>
    <xf numFmtId="178" fontId="0" fillId="0" borderId="24" xfId="0" applyBorder="1" applyAlignment="1">
      <alignment horizontal="center" vertical="center"/>
    </xf>
    <xf numFmtId="178" fontId="2" fillId="0" borderId="0" xfId="2" applyFont="1" applyBorder="1" applyAlignment="1">
      <alignment horizontal="left" vertical="center" wrapText="1"/>
    </xf>
    <xf numFmtId="178" fontId="2" fillId="0" borderId="0" xfId="2" applyFont="1" applyAlignment="1">
      <alignment horizontal="center" vertical="center" wrapText="1"/>
    </xf>
    <xf numFmtId="22" fontId="63" fillId="0" borderId="0" xfId="0" applyNumberFormat="1" applyFont="1"/>
    <xf numFmtId="14" fontId="0" fillId="19" borderId="0" xfId="0" applyNumberFormat="1" applyFill="1"/>
    <xf numFmtId="178" fontId="6" fillId="0" borderId="62" xfId="0" applyFont="1" applyBorder="1" applyAlignment="1" applyProtection="1">
      <alignment vertical="center"/>
      <protection locked="0"/>
    </xf>
    <xf numFmtId="178" fontId="6" fillId="0" borderId="64" xfId="0" applyFont="1" applyBorder="1" applyAlignment="1" applyProtection="1">
      <alignment vertical="center"/>
      <protection locked="0"/>
    </xf>
    <xf numFmtId="178" fontId="85" fillId="22" borderId="64" xfId="0" applyFont="1" applyFill="1" applyBorder="1" applyAlignment="1" applyProtection="1">
      <alignment vertical="center"/>
      <protection locked="0"/>
    </xf>
  </cellXfs>
  <cellStyles count="4">
    <cellStyle name="常规" xfId="0" builtinId="0"/>
    <cellStyle name="常规 2" xfId="2"/>
    <cellStyle name="常规 3" xfId="3"/>
    <cellStyle name="千位分隔" xfId="1" builtinId="3"/>
  </cellStyles>
  <dxfs count="0"/>
  <tableStyles count="0" defaultTableStyle="TableStyleMedium9"/>
  <colors>
    <mruColors>
      <color rgb="FF66FFFF"/>
      <color rgb="FF0000FF"/>
      <color rgb="FFE7F6FE"/>
      <color rgb="FF993366"/>
      <color rgb="FF990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jpe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2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1.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21.jpe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4</xdr:col>
      <xdr:colOff>323850</xdr:colOff>
      <xdr:row>69</xdr:row>
      <xdr:rowOff>0</xdr:rowOff>
    </xdr:from>
    <xdr:to>
      <xdr:col>10</xdr:col>
      <xdr:colOff>523875</xdr:colOff>
      <xdr:row>82</xdr:row>
      <xdr:rowOff>161925</xdr:rowOff>
    </xdr:to>
    <xdr:pic>
      <xdr:nvPicPr>
        <xdr:cNvPr id="2" name="Picture 7"/>
        <xdr:cNvPicPr>
          <a:picLocks noChangeAspect="1" noChangeArrowheads="1"/>
        </xdr:cNvPicPr>
      </xdr:nvPicPr>
      <xdr:blipFill>
        <a:blip xmlns:r="http://schemas.openxmlformats.org/officeDocument/2006/relationships" r:embed="rId1"/>
        <a:srcRect/>
        <a:stretch>
          <a:fillRect/>
        </a:stretch>
      </xdr:blipFill>
      <xdr:spPr bwMode="auto">
        <a:xfrm>
          <a:off x="2657475" y="16002000"/>
          <a:ext cx="4429125" cy="2438400"/>
        </a:xfrm>
        <a:prstGeom prst="rect">
          <a:avLst/>
        </a:prstGeom>
        <a:noFill/>
        <a:ln w="9525">
          <a:noFill/>
          <a:miter lim="800000"/>
          <a:headEnd/>
          <a:tailEnd/>
        </a:ln>
      </xdr:spPr>
    </xdr:pic>
    <xdr:clientData/>
  </xdr:twoCellAnchor>
  <xdr:twoCellAnchor editAs="oneCell">
    <xdr:from>
      <xdr:col>4</xdr:col>
      <xdr:colOff>104775</xdr:colOff>
      <xdr:row>84</xdr:row>
      <xdr:rowOff>123825</xdr:rowOff>
    </xdr:from>
    <xdr:to>
      <xdr:col>16</xdr:col>
      <xdr:colOff>219075</xdr:colOff>
      <xdr:row>355</xdr:row>
      <xdr:rowOff>123825</xdr:rowOff>
    </xdr:to>
    <xdr:pic>
      <xdr:nvPicPr>
        <xdr:cNvPr id="3" name="Picture 9"/>
        <xdr:cNvPicPr>
          <a:picLocks noChangeAspect="1" noChangeArrowheads="1"/>
        </xdr:cNvPicPr>
      </xdr:nvPicPr>
      <xdr:blipFill>
        <a:blip xmlns:r="http://schemas.openxmlformats.org/officeDocument/2006/relationships" r:embed="rId2"/>
        <a:srcRect/>
        <a:stretch>
          <a:fillRect/>
        </a:stretch>
      </xdr:blipFill>
      <xdr:spPr bwMode="auto">
        <a:xfrm>
          <a:off x="2438400" y="18783300"/>
          <a:ext cx="9705975" cy="1981200"/>
        </a:xfrm>
        <a:prstGeom prst="rect">
          <a:avLst/>
        </a:prstGeom>
        <a:noFill/>
        <a:ln w="1">
          <a:noFill/>
          <a:miter lim="800000"/>
          <a:headEnd/>
          <a:tailEnd/>
        </a:ln>
        <a:effectLst/>
      </xdr:spPr>
    </xdr:pic>
    <xdr:clientData/>
  </xdr:twoCellAnchor>
  <xdr:twoCellAnchor editAs="oneCell">
    <xdr:from>
      <xdr:col>4</xdr:col>
      <xdr:colOff>85725</xdr:colOff>
      <xdr:row>98</xdr:row>
      <xdr:rowOff>66675</xdr:rowOff>
    </xdr:from>
    <xdr:to>
      <xdr:col>15</xdr:col>
      <xdr:colOff>542925</xdr:colOff>
      <xdr:row>357</xdr:row>
      <xdr:rowOff>0</xdr:rowOff>
    </xdr:to>
    <xdr:pic>
      <xdr:nvPicPr>
        <xdr:cNvPr id="4" name="Picture 10"/>
        <xdr:cNvPicPr>
          <a:picLocks noChangeAspect="1" noChangeArrowheads="1"/>
        </xdr:cNvPicPr>
      </xdr:nvPicPr>
      <xdr:blipFill>
        <a:blip xmlns:r="http://schemas.openxmlformats.org/officeDocument/2006/relationships" r:embed="rId3"/>
        <a:srcRect/>
        <a:stretch>
          <a:fillRect/>
        </a:stretch>
      </xdr:blipFill>
      <xdr:spPr bwMode="auto">
        <a:xfrm>
          <a:off x="2419350" y="20993100"/>
          <a:ext cx="9363075" cy="2619375"/>
        </a:xfrm>
        <a:prstGeom prst="rect">
          <a:avLst/>
        </a:prstGeom>
        <a:noFill/>
        <a:ln w="1">
          <a:noFill/>
          <a:miter lim="800000"/>
          <a:headEnd/>
          <a:tailEnd/>
        </a:ln>
        <a:effectLst/>
      </xdr:spPr>
    </xdr:pic>
    <xdr:clientData/>
  </xdr:twoCellAnchor>
  <xdr:twoCellAnchor editAs="oneCell">
    <xdr:from>
      <xdr:col>4</xdr:col>
      <xdr:colOff>142875</xdr:colOff>
      <xdr:row>112</xdr:row>
      <xdr:rowOff>171450</xdr:rowOff>
    </xdr:from>
    <xdr:to>
      <xdr:col>17</xdr:col>
      <xdr:colOff>114300</xdr:colOff>
      <xdr:row>355</xdr:row>
      <xdr:rowOff>19050</xdr:rowOff>
    </xdr:to>
    <xdr:pic>
      <xdr:nvPicPr>
        <xdr:cNvPr id="5" name="Picture 11"/>
        <xdr:cNvPicPr>
          <a:picLocks noChangeAspect="1" noChangeArrowheads="1"/>
        </xdr:cNvPicPr>
      </xdr:nvPicPr>
      <xdr:blipFill>
        <a:blip xmlns:r="http://schemas.openxmlformats.org/officeDocument/2006/relationships" r:embed="rId4"/>
        <a:srcRect/>
        <a:stretch>
          <a:fillRect/>
        </a:stretch>
      </xdr:blipFill>
      <xdr:spPr bwMode="auto">
        <a:xfrm>
          <a:off x="2476500" y="23822025"/>
          <a:ext cx="10248900" cy="1990725"/>
        </a:xfrm>
        <a:prstGeom prst="rect">
          <a:avLst/>
        </a:prstGeom>
        <a:noFill/>
        <a:ln w="1">
          <a:noFill/>
          <a:miter lim="800000"/>
          <a:headEnd/>
          <a:tailEnd/>
        </a:ln>
        <a:effectLst/>
      </xdr:spPr>
    </xdr:pic>
    <xdr:clientData/>
  </xdr:twoCellAnchor>
  <xdr:twoCellAnchor editAs="oneCell">
    <xdr:from>
      <xdr:col>4</xdr:col>
      <xdr:colOff>0</xdr:colOff>
      <xdr:row>46</xdr:row>
      <xdr:rowOff>0</xdr:rowOff>
    </xdr:from>
    <xdr:to>
      <xdr:col>8</xdr:col>
      <xdr:colOff>323850</xdr:colOff>
      <xdr:row>54</xdr:row>
      <xdr:rowOff>0</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2333625" y="11487150"/>
          <a:ext cx="3181350" cy="1419225"/>
        </a:xfrm>
        <a:prstGeom prst="rect">
          <a:avLst/>
        </a:prstGeom>
        <a:noFill/>
        <a:ln w="1">
          <a:noFill/>
          <a:miter lim="800000"/>
          <a:headEnd/>
          <a:tailEnd/>
        </a:ln>
        <a:effectLst/>
      </xdr:spPr>
    </xdr:pic>
    <xdr:clientData/>
  </xdr:twoCellAnchor>
  <xdr:twoCellAnchor editAs="oneCell">
    <xdr:from>
      <xdr:col>3</xdr:col>
      <xdr:colOff>0</xdr:colOff>
      <xdr:row>126</xdr:row>
      <xdr:rowOff>0</xdr:rowOff>
    </xdr:from>
    <xdr:to>
      <xdr:col>15</xdr:col>
      <xdr:colOff>495300</xdr:colOff>
      <xdr:row>352</xdr:row>
      <xdr:rowOff>104775</xdr:rowOff>
    </xdr:to>
    <xdr:pic>
      <xdr:nvPicPr>
        <xdr:cNvPr id="7" name="Picture 13"/>
        <xdr:cNvPicPr>
          <a:picLocks noChangeAspect="1" noChangeArrowheads="1"/>
        </xdr:cNvPicPr>
      </xdr:nvPicPr>
      <xdr:blipFill>
        <a:blip xmlns:r="http://schemas.openxmlformats.org/officeDocument/2006/relationships" r:embed="rId6"/>
        <a:srcRect/>
        <a:stretch>
          <a:fillRect/>
        </a:stretch>
      </xdr:blipFill>
      <xdr:spPr bwMode="auto">
        <a:xfrm>
          <a:off x="1619250" y="26012775"/>
          <a:ext cx="10115550" cy="1552575"/>
        </a:xfrm>
        <a:prstGeom prst="rect">
          <a:avLst/>
        </a:prstGeom>
        <a:noFill/>
        <a:ln w="1">
          <a:noFill/>
          <a:miter lim="800000"/>
          <a:headEnd/>
          <a:tailEnd/>
        </a:ln>
        <a:effectLst/>
      </xdr:spPr>
    </xdr:pic>
    <xdr:clientData/>
  </xdr:twoCellAnchor>
  <xdr:twoCellAnchor editAs="oneCell">
    <xdr:from>
      <xdr:col>3</xdr:col>
      <xdr:colOff>0</xdr:colOff>
      <xdr:row>137</xdr:row>
      <xdr:rowOff>0</xdr:rowOff>
    </xdr:from>
    <xdr:to>
      <xdr:col>15</xdr:col>
      <xdr:colOff>171450</xdr:colOff>
      <xdr:row>349</xdr:row>
      <xdr:rowOff>38100</xdr:rowOff>
    </xdr:to>
    <xdr:pic>
      <xdr:nvPicPr>
        <xdr:cNvPr id="8" name="Picture 14"/>
        <xdr:cNvPicPr>
          <a:picLocks noChangeAspect="1" noChangeArrowheads="1"/>
        </xdr:cNvPicPr>
      </xdr:nvPicPr>
      <xdr:blipFill>
        <a:blip xmlns:r="http://schemas.openxmlformats.org/officeDocument/2006/relationships" r:embed="rId7"/>
        <a:srcRect/>
        <a:stretch>
          <a:fillRect/>
        </a:stretch>
      </xdr:blipFill>
      <xdr:spPr bwMode="auto">
        <a:xfrm>
          <a:off x="1619250" y="27793950"/>
          <a:ext cx="9791700" cy="1057275"/>
        </a:xfrm>
        <a:prstGeom prst="rect">
          <a:avLst/>
        </a:prstGeom>
        <a:noFill/>
        <a:ln w="1">
          <a:noFill/>
          <a:miter lim="800000"/>
          <a:headEnd/>
          <a:tailEnd/>
        </a:ln>
        <a:effectLst/>
      </xdr:spPr>
    </xdr:pic>
    <xdr:clientData/>
  </xdr:twoCellAnchor>
  <xdr:twoCellAnchor editAs="oneCell">
    <xdr:from>
      <xdr:col>3</xdr:col>
      <xdr:colOff>0</xdr:colOff>
      <xdr:row>146</xdr:row>
      <xdr:rowOff>0</xdr:rowOff>
    </xdr:from>
    <xdr:to>
      <xdr:col>15</xdr:col>
      <xdr:colOff>200025</xdr:colOff>
      <xdr:row>357</xdr:row>
      <xdr:rowOff>9525</xdr:rowOff>
    </xdr:to>
    <xdr:pic>
      <xdr:nvPicPr>
        <xdr:cNvPr id="9" name="Picture 15"/>
        <xdr:cNvPicPr>
          <a:picLocks noChangeAspect="1" noChangeArrowheads="1"/>
        </xdr:cNvPicPr>
      </xdr:nvPicPr>
      <xdr:blipFill>
        <a:blip xmlns:r="http://schemas.openxmlformats.org/officeDocument/2006/relationships" r:embed="rId8"/>
        <a:srcRect/>
        <a:stretch>
          <a:fillRect/>
        </a:stretch>
      </xdr:blipFill>
      <xdr:spPr bwMode="auto">
        <a:xfrm>
          <a:off x="1619250" y="29251275"/>
          <a:ext cx="9820275" cy="2190750"/>
        </a:xfrm>
        <a:prstGeom prst="rect">
          <a:avLst/>
        </a:prstGeom>
        <a:noFill/>
        <a:ln w="1">
          <a:noFill/>
          <a:miter lim="800000"/>
          <a:headEnd/>
          <a:tailEnd/>
        </a:ln>
        <a:effectLst/>
      </xdr:spPr>
    </xdr:pic>
    <xdr:clientData/>
  </xdr:twoCellAnchor>
  <xdr:twoCellAnchor editAs="oneCell">
    <xdr:from>
      <xdr:col>3</xdr:col>
      <xdr:colOff>0</xdr:colOff>
      <xdr:row>162</xdr:row>
      <xdr:rowOff>0</xdr:rowOff>
    </xdr:from>
    <xdr:to>
      <xdr:col>15</xdr:col>
      <xdr:colOff>390525</xdr:colOff>
      <xdr:row>381</xdr:row>
      <xdr:rowOff>152400</xdr:rowOff>
    </xdr:to>
    <xdr:pic>
      <xdr:nvPicPr>
        <xdr:cNvPr id="10" name="Picture 16"/>
        <xdr:cNvPicPr>
          <a:picLocks noChangeAspect="1" noChangeArrowheads="1"/>
        </xdr:cNvPicPr>
      </xdr:nvPicPr>
      <xdr:blipFill>
        <a:blip xmlns:r="http://schemas.openxmlformats.org/officeDocument/2006/relationships" r:embed="rId9"/>
        <a:srcRect/>
        <a:stretch>
          <a:fillRect/>
        </a:stretch>
      </xdr:blipFill>
      <xdr:spPr bwMode="auto">
        <a:xfrm>
          <a:off x="1619250" y="31842075"/>
          <a:ext cx="10010775" cy="5800725"/>
        </a:xfrm>
        <a:prstGeom prst="rect">
          <a:avLst/>
        </a:prstGeom>
        <a:noFill/>
        <a:ln w="1">
          <a:noFill/>
          <a:miter lim="800000"/>
          <a:headEnd/>
          <a:tailEnd/>
        </a:ln>
        <a:effectLst/>
      </xdr:spPr>
    </xdr:pic>
    <xdr:clientData/>
  </xdr:twoCellAnchor>
  <xdr:twoCellAnchor editAs="oneCell">
    <xdr:from>
      <xdr:col>3</xdr:col>
      <xdr:colOff>0</xdr:colOff>
      <xdr:row>199</xdr:row>
      <xdr:rowOff>0</xdr:rowOff>
    </xdr:from>
    <xdr:to>
      <xdr:col>15</xdr:col>
      <xdr:colOff>352425</xdr:colOff>
      <xdr:row>381</xdr:row>
      <xdr:rowOff>123825</xdr:rowOff>
    </xdr:to>
    <xdr:pic>
      <xdr:nvPicPr>
        <xdr:cNvPr id="11" name="Picture 17"/>
        <xdr:cNvPicPr>
          <a:picLocks noChangeAspect="1" noChangeArrowheads="1"/>
        </xdr:cNvPicPr>
      </xdr:nvPicPr>
      <xdr:blipFill>
        <a:blip xmlns:r="http://schemas.openxmlformats.org/officeDocument/2006/relationships" r:embed="rId10"/>
        <a:srcRect/>
        <a:stretch>
          <a:fillRect/>
        </a:stretch>
      </xdr:blipFill>
      <xdr:spPr bwMode="auto">
        <a:xfrm>
          <a:off x="1619250" y="37833300"/>
          <a:ext cx="9972675" cy="5772150"/>
        </a:xfrm>
        <a:prstGeom prst="rect">
          <a:avLst/>
        </a:prstGeom>
        <a:noFill/>
        <a:ln w="1">
          <a:noFill/>
          <a:miter lim="800000"/>
          <a:headEnd/>
          <a:tailEnd/>
        </a:ln>
        <a:effectLst/>
      </xdr:spPr>
    </xdr:pic>
    <xdr:clientData/>
  </xdr:twoCellAnchor>
  <xdr:twoCellAnchor editAs="oneCell">
    <xdr:from>
      <xdr:col>3</xdr:col>
      <xdr:colOff>0</xdr:colOff>
      <xdr:row>236</xdr:row>
      <xdr:rowOff>0</xdr:rowOff>
    </xdr:from>
    <xdr:to>
      <xdr:col>15</xdr:col>
      <xdr:colOff>238125</xdr:colOff>
      <xdr:row>350</xdr:row>
      <xdr:rowOff>28575</xdr:rowOff>
    </xdr:to>
    <xdr:pic>
      <xdr:nvPicPr>
        <xdr:cNvPr id="12" name="Picture 18"/>
        <xdr:cNvPicPr>
          <a:picLocks noChangeAspect="1" noChangeArrowheads="1"/>
        </xdr:cNvPicPr>
      </xdr:nvPicPr>
      <xdr:blipFill>
        <a:blip xmlns:r="http://schemas.openxmlformats.org/officeDocument/2006/relationships" r:embed="rId11"/>
        <a:srcRect/>
        <a:stretch>
          <a:fillRect/>
        </a:stretch>
      </xdr:blipFill>
      <xdr:spPr bwMode="auto">
        <a:xfrm>
          <a:off x="1619250" y="43824525"/>
          <a:ext cx="9858375" cy="1190625"/>
        </a:xfrm>
        <a:prstGeom prst="rect">
          <a:avLst/>
        </a:prstGeom>
        <a:noFill/>
        <a:ln w="1">
          <a:noFill/>
          <a:miter lim="800000"/>
          <a:headEnd/>
          <a:tailEnd/>
        </a:ln>
        <a:effectLst/>
      </xdr:spPr>
    </xdr:pic>
    <xdr:clientData/>
  </xdr:twoCellAnchor>
  <xdr:twoCellAnchor editAs="oneCell">
    <xdr:from>
      <xdr:col>3</xdr:col>
      <xdr:colOff>0</xdr:colOff>
      <xdr:row>263</xdr:row>
      <xdr:rowOff>0</xdr:rowOff>
    </xdr:from>
    <xdr:to>
      <xdr:col>15</xdr:col>
      <xdr:colOff>47625</xdr:colOff>
      <xdr:row>348</xdr:row>
      <xdr:rowOff>123825</xdr:rowOff>
    </xdr:to>
    <xdr:pic>
      <xdr:nvPicPr>
        <xdr:cNvPr id="13" name="Picture 19"/>
        <xdr:cNvPicPr>
          <a:picLocks noChangeAspect="1" noChangeArrowheads="1"/>
        </xdr:cNvPicPr>
      </xdr:nvPicPr>
      <xdr:blipFill>
        <a:blip xmlns:r="http://schemas.openxmlformats.org/officeDocument/2006/relationships" r:embed="rId12"/>
        <a:srcRect/>
        <a:stretch>
          <a:fillRect/>
        </a:stretch>
      </xdr:blipFill>
      <xdr:spPr bwMode="auto">
        <a:xfrm>
          <a:off x="1619250" y="48196500"/>
          <a:ext cx="9667875" cy="981075"/>
        </a:xfrm>
        <a:prstGeom prst="rect">
          <a:avLst/>
        </a:prstGeom>
        <a:noFill/>
        <a:ln w="1">
          <a:noFill/>
          <a:miter lim="800000"/>
          <a:headEnd/>
          <a:tailEnd/>
        </a:ln>
        <a:effectLst/>
      </xdr:spPr>
    </xdr:pic>
    <xdr:clientData/>
  </xdr:twoCellAnchor>
  <xdr:twoCellAnchor editAs="oneCell">
    <xdr:from>
      <xdr:col>3</xdr:col>
      <xdr:colOff>0</xdr:colOff>
      <xdr:row>270</xdr:row>
      <xdr:rowOff>0</xdr:rowOff>
    </xdr:from>
    <xdr:to>
      <xdr:col>15</xdr:col>
      <xdr:colOff>0</xdr:colOff>
      <xdr:row>357</xdr:row>
      <xdr:rowOff>104775</xdr:rowOff>
    </xdr:to>
    <xdr:pic>
      <xdr:nvPicPr>
        <xdr:cNvPr id="14" name="Picture 20"/>
        <xdr:cNvPicPr>
          <a:picLocks noChangeAspect="1" noChangeArrowheads="1"/>
        </xdr:cNvPicPr>
      </xdr:nvPicPr>
      <xdr:blipFill>
        <a:blip xmlns:r="http://schemas.openxmlformats.org/officeDocument/2006/relationships" r:embed="rId13"/>
        <a:srcRect/>
        <a:stretch>
          <a:fillRect/>
        </a:stretch>
      </xdr:blipFill>
      <xdr:spPr bwMode="auto">
        <a:xfrm>
          <a:off x="1619250" y="49329975"/>
          <a:ext cx="9467850" cy="2266950"/>
        </a:xfrm>
        <a:prstGeom prst="rect">
          <a:avLst/>
        </a:prstGeom>
        <a:noFill/>
        <a:ln w="1">
          <a:noFill/>
          <a:miter lim="800000"/>
          <a:headEnd/>
          <a:tailEnd/>
        </a:ln>
        <a:effectLst/>
      </xdr:spPr>
    </xdr:pic>
    <xdr:clientData/>
  </xdr:twoCellAnchor>
  <xdr:twoCellAnchor editAs="oneCell">
    <xdr:from>
      <xdr:col>3</xdr:col>
      <xdr:colOff>0</xdr:colOff>
      <xdr:row>285</xdr:row>
      <xdr:rowOff>0</xdr:rowOff>
    </xdr:from>
    <xdr:to>
      <xdr:col>15</xdr:col>
      <xdr:colOff>0</xdr:colOff>
      <xdr:row>357</xdr:row>
      <xdr:rowOff>152400</xdr:rowOff>
    </xdr:to>
    <xdr:pic>
      <xdr:nvPicPr>
        <xdr:cNvPr id="15" name="Picture 21"/>
        <xdr:cNvPicPr>
          <a:picLocks noChangeAspect="1" noChangeArrowheads="1"/>
        </xdr:cNvPicPr>
      </xdr:nvPicPr>
      <xdr:blipFill>
        <a:blip xmlns:r="http://schemas.openxmlformats.org/officeDocument/2006/relationships" r:embed="rId14"/>
        <a:srcRect/>
        <a:stretch>
          <a:fillRect/>
        </a:stretch>
      </xdr:blipFill>
      <xdr:spPr bwMode="auto">
        <a:xfrm>
          <a:off x="1619250" y="51758850"/>
          <a:ext cx="9486900" cy="2314575"/>
        </a:xfrm>
        <a:prstGeom prst="rect">
          <a:avLst/>
        </a:prstGeom>
        <a:noFill/>
        <a:ln w="1">
          <a:noFill/>
          <a:miter lim="800000"/>
          <a:headEnd/>
          <a:tailEnd/>
        </a:ln>
        <a:effectLst/>
      </xdr:spPr>
    </xdr:pic>
    <xdr:clientData/>
  </xdr:twoCellAnchor>
  <xdr:twoCellAnchor editAs="oneCell">
    <xdr:from>
      <xdr:col>3</xdr:col>
      <xdr:colOff>0</xdr:colOff>
      <xdr:row>245</xdr:row>
      <xdr:rowOff>0</xdr:rowOff>
    </xdr:from>
    <xdr:to>
      <xdr:col>15</xdr:col>
      <xdr:colOff>0</xdr:colOff>
      <xdr:row>352</xdr:row>
      <xdr:rowOff>57150</xdr:rowOff>
    </xdr:to>
    <xdr:pic>
      <xdr:nvPicPr>
        <xdr:cNvPr id="16" name="Picture 22"/>
        <xdr:cNvPicPr>
          <a:picLocks noChangeAspect="1" noChangeArrowheads="1"/>
        </xdr:cNvPicPr>
      </xdr:nvPicPr>
      <xdr:blipFill>
        <a:blip xmlns:r="http://schemas.openxmlformats.org/officeDocument/2006/relationships" r:embed="rId15"/>
        <a:srcRect/>
        <a:stretch>
          <a:fillRect/>
        </a:stretch>
      </xdr:blipFill>
      <xdr:spPr bwMode="auto">
        <a:xfrm>
          <a:off x="1619250" y="45281850"/>
          <a:ext cx="9544050" cy="1504950"/>
        </a:xfrm>
        <a:prstGeom prst="rect">
          <a:avLst/>
        </a:prstGeom>
        <a:noFill/>
        <a:ln w="1">
          <a:noFill/>
          <a:miter lim="800000"/>
          <a:headEnd/>
          <a:tailEnd/>
        </a:ln>
        <a:effectLst/>
      </xdr:spPr>
    </xdr:pic>
    <xdr:clientData/>
  </xdr:twoCellAnchor>
  <xdr:twoCellAnchor editAs="oneCell">
    <xdr:from>
      <xdr:col>3</xdr:col>
      <xdr:colOff>0</xdr:colOff>
      <xdr:row>255</xdr:row>
      <xdr:rowOff>0</xdr:rowOff>
    </xdr:from>
    <xdr:to>
      <xdr:col>15</xdr:col>
      <xdr:colOff>66675</xdr:colOff>
      <xdr:row>349</xdr:row>
      <xdr:rowOff>19050</xdr:rowOff>
    </xdr:to>
    <xdr:pic>
      <xdr:nvPicPr>
        <xdr:cNvPr id="17" name="Picture 23"/>
        <xdr:cNvPicPr>
          <a:picLocks noChangeAspect="1" noChangeArrowheads="1"/>
        </xdr:cNvPicPr>
      </xdr:nvPicPr>
      <xdr:blipFill>
        <a:blip xmlns:r="http://schemas.openxmlformats.org/officeDocument/2006/relationships" r:embed="rId16"/>
        <a:srcRect/>
        <a:stretch>
          <a:fillRect/>
        </a:stretch>
      </xdr:blipFill>
      <xdr:spPr bwMode="auto">
        <a:xfrm>
          <a:off x="1619250" y="46901100"/>
          <a:ext cx="9686925" cy="1038225"/>
        </a:xfrm>
        <a:prstGeom prst="rect">
          <a:avLst/>
        </a:prstGeom>
        <a:noFill/>
        <a:ln w="1">
          <a:noFill/>
          <a:miter lim="800000"/>
          <a:headEnd/>
          <a:tailEnd/>
        </a:ln>
        <a:effectLst/>
      </xdr:spPr>
    </xdr:pic>
    <xdr:clientData/>
  </xdr:twoCellAnchor>
  <xdr:twoCellAnchor editAs="oneCell">
    <xdr:from>
      <xdr:col>15</xdr:col>
      <xdr:colOff>0</xdr:colOff>
      <xdr:row>15</xdr:row>
      <xdr:rowOff>0</xdr:rowOff>
    </xdr:from>
    <xdr:to>
      <xdr:col>23</xdr:col>
      <xdr:colOff>304800</xdr:colOff>
      <xdr:row>18</xdr:row>
      <xdr:rowOff>228600</xdr:rowOff>
    </xdr:to>
    <xdr:pic>
      <xdr:nvPicPr>
        <xdr:cNvPr id="18" name="Picture 24"/>
        <xdr:cNvPicPr>
          <a:picLocks noChangeAspect="1" noChangeArrowheads="1"/>
        </xdr:cNvPicPr>
      </xdr:nvPicPr>
      <xdr:blipFill>
        <a:blip xmlns:r="http://schemas.openxmlformats.org/officeDocument/2006/relationships" r:embed="rId17"/>
        <a:srcRect/>
        <a:stretch>
          <a:fillRect/>
        </a:stretch>
      </xdr:blipFill>
      <xdr:spPr bwMode="auto">
        <a:xfrm>
          <a:off x="11239500" y="3667125"/>
          <a:ext cx="6353175" cy="1628775"/>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133985</xdr:colOff>
      <xdr:row>163</xdr:row>
      <xdr:rowOff>114300</xdr:rowOff>
    </xdr:from>
    <xdr:to>
      <xdr:col>6</xdr:col>
      <xdr:colOff>447675</xdr:colOff>
      <xdr:row>201</xdr:row>
      <xdr:rowOff>133349</xdr:rowOff>
    </xdr:to>
    <xdr:pic>
      <xdr:nvPicPr>
        <xdr:cNvPr id="2" name="Picture 15"/>
        <xdr:cNvPicPr>
          <a:picLocks noChangeAspect="1"/>
        </xdr:cNvPicPr>
      </xdr:nvPicPr>
      <xdr:blipFill>
        <a:blip xmlns:r="http://schemas.openxmlformats.org/officeDocument/2006/relationships" r:embed="rId1"/>
        <a:stretch>
          <a:fillRect/>
        </a:stretch>
      </xdr:blipFill>
      <xdr:spPr>
        <a:xfrm>
          <a:off x="2210435" y="31784925"/>
          <a:ext cx="7876540" cy="4895850"/>
        </a:xfrm>
        <a:prstGeom prst="rect">
          <a:avLst/>
        </a:prstGeom>
        <a:noFill/>
        <a:ln w="1">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133985</xdr:colOff>
      <xdr:row>164</xdr:row>
      <xdr:rowOff>114300</xdr:rowOff>
    </xdr:from>
    <xdr:to>
      <xdr:col>10</xdr:col>
      <xdr:colOff>542925</xdr:colOff>
      <xdr:row>196</xdr:row>
      <xdr:rowOff>133350</xdr:rowOff>
    </xdr:to>
    <xdr:pic>
      <xdr:nvPicPr>
        <xdr:cNvPr id="2" name="Picture 15"/>
        <xdr:cNvPicPr>
          <a:picLocks noChangeAspect="1"/>
        </xdr:cNvPicPr>
      </xdr:nvPicPr>
      <xdr:blipFill>
        <a:blip xmlns:r="http://schemas.openxmlformats.org/officeDocument/2006/relationships" r:embed="rId1"/>
        <a:stretch>
          <a:fillRect/>
        </a:stretch>
      </xdr:blipFill>
      <xdr:spPr>
        <a:xfrm>
          <a:off x="2210435" y="31788100"/>
          <a:ext cx="7876540" cy="4895850"/>
        </a:xfrm>
        <a:prstGeom prst="rect">
          <a:avLst/>
        </a:prstGeom>
        <a:noFill/>
        <a:ln w="1">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19050</xdr:colOff>
      <xdr:row>23</xdr:row>
      <xdr:rowOff>695325</xdr:rowOff>
    </xdr:from>
    <xdr:to>
      <xdr:col>15</xdr:col>
      <xdr:colOff>333375</xdr:colOff>
      <xdr:row>29</xdr:row>
      <xdr:rowOff>123825</xdr:rowOff>
    </xdr:to>
    <xdr:pic>
      <xdr:nvPicPr>
        <xdr:cNvPr id="2" name="Picture 11"/>
        <xdr:cNvPicPr>
          <a:picLocks noChangeAspect="1" noChangeArrowheads="1"/>
        </xdr:cNvPicPr>
      </xdr:nvPicPr>
      <xdr:blipFill>
        <a:blip xmlns:r="http://schemas.openxmlformats.org/officeDocument/2006/relationships" r:embed="rId1" cstate="print"/>
        <a:srcRect/>
        <a:stretch>
          <a:fillRect/>
        </a:stretch>
      </xdr:blipFill>
      <xdr:spPr>
        <a:xfrm>
          <a:off x="7286625" y="5624830"/>
          <a:ext cx="7629525" cy="421005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151;&#20272;&#29256;&#26412;&#65293;Q16-00-&#21333;&#20301;&#31616;&#31216;-&#22320;&#28857;%202016.9.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Q14-06001-&#25991;&#23792;&#22823;&#19990;&#30028;-&#21335;&#36890;&#65288;&#25216;&#65289;-&#32426;&#26680;&#2760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360Qex"/>
      <sheetName val="《估价结果一览表》（商业、办公等）"/>
      <sheetName val="《估价结果一览表》（工业纯房产、 住宅）"/>
      <sheetName val="1-1成-建安费"/>
      <sheetName val="1-2成-前期工程费"/>
      <sheetName val="1-3成-基础设施建设等3费"/>
      <sheetName val="1-4成-折旧与成新率"/>
      <sheetName val="1-5成-开发成本等计算式"/>
      <sheetName val="1-6成-生成的汇总表"/>
      <sheetName val="1-1成地-取得费"/>
      <sheetName val="1-2成地-相关税费"/>
      <sheetName val="1-3成地-综合"/>
      <sheetName val="2-1 比较法-新商业"/>
      <sheetName val="2-2 比较法-新办公"/>
      <sheetName val="2-3 比较法-新住宅"/>
      <sheetName val="Sheet3"/>
      <sheetName val="Sheet4"/>
      <sheetName val="3-1 收益法(新商+办)--毛收益的确定"/>
      <sheetName val="3-2 收益法--测算（递增）"/>
      <sheetName val="3-3 收益法--测算(年不变)"/>
      <sheetName val="4 假设开发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29">
          <cell r="D29" t="str">
            <v>商业</v>
          </cell>
        </row>
        <row r="47">
          <cell r="D47" t="str">
            <v>钢混框架</v>
          </cell>
        </row>
      </sheetData>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1-1 成本法--土地价格"/>
      <sheetName val="1-2 成本法--开发成本-前期费、基础费"/>
      <sheetName val="1-3 成本法--开发成本-建安费"/>
      <sheetName val="1-4 成本法--成新率"/>
      <sheetName val="1-5 成本法--结果确定"/>
      <sheetName val="2-1 市场法-商业"/>
      <sheetName val="2-2 市场法-住宅"/>
      <sheetName val="3-1 收益法--案例的选择"/>
      <sheetName val="3-2 收益法--测算过程"/>
      <sheetName val="4 假设开发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0000"/>
        </a:solidFill>
        <a:ln w="9525" cap="flat" cmpd="sng" algn="ctr">
          <a:noFill/>
          <a:prstDash val="solid"/>
          <a:round/>
          <a:headEnd type="none" w="med" len="med"/>
          <a:tailEnd type="none" w="med" len="med"/>
        </a:ln>
      </a:spPr>
      <a:bodyPr vertOverflow="clip" wrap="square" lIns="91440" tIns="45720" rIns="91440" bIns="45720" rtlCol="0" anchor="ctr" upright="1"/>
      <a:lstStyle>
        <a:defPPr algn="ctr">
          <a:defRPr sz="1100"/>
        </a:defP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5.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4.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sheetPr>
    <tabColor rgb="FF0000FF"/>
  </sheetPr>
  <dimension ref="A1:XFD47"/>
  <sheetViews>
    <sheetView topLeftCell="A22" workbookViewId="0">
      <selection activeCell="E32" sqref="E32"/>
    </sheetView>
  </sheetViews>
  <sheetFormatPr defaultRowHeight="14.25"/>
  <cols>
    <col min="1" max="1" width="22.375" customWidth="1"/>
    <col min="2" max="2" width="24.5" customWidth="1"/>
    <col min="3" max="3" width="24" customWidth="1"/>
    <col min="4" max="4" width="19.375" customWidth="1"/>
    <col min="5" max="5" width="16.125" bestFit="1" customWidth="1"/>
  </cols>
  <sheetData>
    <row r="1" spans="1:16384" ht="19.5" thickBot="1">
      <c r="A1" s="628" t="s">
        <v>0</v>
      </c>
      <c r="B1" s="628"/>
      <c r="C1" s="628"/>
      <c r="D1" s="628"/>
      <c r="E1" s="150"/>
      <c r="F1" s="150"/>
      <c r="G1" s="150"/>
      <c r="H1" s="150"/>
      <c r="I1" s="150"/>
      <c r="J1" s="150"/>
      <c r="K1" s="150"/>
      <c r="L1" s="150"/>
      <c r="M1" s="150"/>
      <c r="N1" s="150"/>
      <c r="O1" s="150"/>
      <c r="P1" s="150"/>
    </row>
    <row r="2" spans="1:16384">
      <c r="A2" s="138" t="s">
        <v>1</v>
      </c>
      <c r="B2" s="343" t="s">
        <v>553</v>
      </c>
      <c r="C2" s="151"/>
      <c r="D2" s="343" t="s">
        <v>588</v>
      </c>
      <c r="E2" s="629" t="s">
        <v>547</v>
      </c>
      <c r="F2" s="630"/>
      <c r="G2" s="630"/>
      <c r="H2" s="630"/>
      <c r="I2" s="631"/>
      <c r="J2" s="150"/>
      <c r="K2" s="150"/>
      <c r="L2" s="150"/>
      <c r="M2" s="150"/>
      <c r="N2" s="150"/>
      <c r="O2" s="150"/>
      <c r="P2" s="150"/>
    </row>
    <row r="3" spans="1:16384">
      <c r="A3" s="139" t="s">
        <v>2</v>
      </c>
      <c r="B3" s="364" t="s">
        <v>3</v>
      </c>
      <c r="C3" s="152" t="s">
        <v>4</v>
      </c>
      <c r="D3" s="365" t="s">
        <v>587</v>
      </c>
      <c r="E3" s="632"/>
      <c r="F3" s="633"/>
      <c r="G3" s="633"/>
      <c r="H3" s="633"/>
      <c r="I3" s="634"/>
      <c r="J3" s="150"/>
      <c r="K3" s="150"/>
      <c r="L3" s="150"/>
      <c r="M3" s="150"/>
      <c r="N3" s="150"/>
      <c r="O3" s="150"/>
      <c r="P3" s="150"/>
    </row>
    <row r="4" spans="1:16384">
      <c r="A4" s="139" t="s">
        <v>5</v>
      </c>
      <c r="B4" s="638" t="s">
        <v>629</v>
      </c>
      <c r="C4" s="639"/>
      <c r="D4" s="640"/>
      <c r="E4" s="632"/>
      <c r="F4" s="633"/>
      <c r="G4" s="633"/>
      <c r="H4" s="633"/>
      <c r="I4" s="634"/>
      <c r="J4" s="150"/>
      <c r="K4" s="150"/>
      <c r="L4" s="150"/>
      <c r="M4" s="150"/>
      <c r="N4" s="150"/>
      <c r="O4" s="150"/>
      <c r="P4" s="150"/>
    </row>
    <row r="5" spans="1:16384" ht="15" thickBot="1">
      <c r="A5" s="139" t="s">
        <v>599</v>
      </c>
      <c r="B5" s="638" t="s">
        <v>638</v>
      </c>
      <c r="C5" s="639"/>
      <c r="D5" s="640"/>
      <c r="E5" s="635"/>
      <c r="F5" s="636"/>
      <c r="G5" s="636"/>
      <c r="H5" s="636"/>
      <c r="I5" s="637"/>
      <c r="J5" s="150"/>
      <c r="K5" s="150"/>
      <c r="L5" s="150"/>
      <c r="M5" s="150"/>
      <c r="N5" s="150"/>
      <c r="O5" s="150"/>
      <c r="P5" s="150"/>
    </row>
    <row r="6" spans="1:16384" ht="18.75">
      <c r="A6" s="139" t="s">
        <v>6</v>
      </c>
      <c r="B6" s="638" t="s">
        <v>638</v>
      </c>
      <c r="C6" s="639"/>
      <c r="D6" s="641"/>
      <c r="E6" s="164"/>
      <c r="F6" s="397"/>
      <c r="G6" s="397"/>
      <c r="H6" s="397"/>
      <c r="I6" s="397"/>
      <c r="J6" s="150"/>
      <c r="K6" s="150"/>
      <c r="L6" s="150"/>
      <c r="M6" s="150"/>
      <c r="N6" s="150"/>
      <c r="O6" s="150"/>
      <c r="P6" s="150"/>
    </row>
    <row r="7" spans="1:16384" ht="18.75">
      <c r="A7" s="139" t="s">
        <v>600</v>
      </c>
      <c r="B7" s="625" t="s">
        <v>601</v>
      </c>
      <c r="C7" s="626"/>
      <c r="D7" s="627"/>
      <c r="E7" s="164"/>
      <c r="F7" s="397"/>
      <c r="G7" s="397"/>
      <c r="H7" s="397"/>
      <c r="I7" s="397"/>
      <c r="J7" s="150"/>
      <c r="K7" s="150"/>
      <c r="L7" s="150"/>
      <c r="M7" s="150"/>
      <c r="N7" s="150"/>
      <c r="O7" s="150"/>
      <c r="P7" s="150"/>
    </row>
    <row r="8" spans="1:16384">
      <c r="A8" s="378" t="s">
        <v>512</v>
      </c>
      <c r="B8" s="352" t="s">
        <v>571</v>
      </c>
      <c r="C8" s="141" t="s">
        <v>543</v>
      </c>
      <c r="D8" s="351" t="s">
        <v>756</v>
      </c>
      <c r="E8" s="150"/>
      <c r="F8" s="150"/>
      <c r="G8" s="150"/>
      <c r="H8" s="150"/>
      <c r="I8" s="150"/>
      <c r="J8" s="150"/>
      <c r="K8" s="150"/>
      <c r="L8" s="150"/>
      <c r="M8" s="150"/>
      <c r="N8" s="150"/>
      <c r="O8" s="150"/>
      <c r="P8" s="150"/>
    </row>
    <row r="9" spans="1:16384">
      <c r="A9" s="189" t="s">
        <v>574</v>
      </c>
      <c r="B9" s="352" t="s">
        <v>573</v>
      </c>
      <c r="C9" s="418" t="s">
        <v>575</v>
      </c>
      <c r="D9" s="358" t="s">
        <v>576</v>
      </c>
      <c r="E9" s="415"/>
      <c r="F9" s="416"/>
      <c r="G9" s="416"/>
      <c r="H9" s="416"/>
      <c r="I9" s="416"/>
      <c r="J9" s="416"/>
      <c r="K9" s="416"/>
      <c r="L9" s="416"/>
      <c r="M9" s="416"/>
      <c r="N9" s="416"/>
      <c r="O9" s="416"/>
      <c r="P9" s="416"/>
      <c r="Q9" s="416"/>
      <c r="R9" s="416"/>
      <c r="S9" s="416"/>
      <c r="T9" s="416"/>
      <c r="U9" s="416"/>
      <c r="V9" s="416"/>
      <c r="W9" s="416"/>
      <c r="X9" s="416"/>
      <c r="Y9" s="416"/>
      <c r="Z9" s="416"/>
      <c r="AA9" s="416"/>
      <c r="AB9" s="416"/>
      <c r="AC9" s="416"/>
      <c r="AD9" s="416"/>
      <c r="AE9" s="416"/>
      <c r="AF9" s="416"/>
      <c r="AG9" s="416"/>
      <c r="AH9" s="416"/>
      <c r="AI9" s="416"/>
      <c r="AJ9" s="416"/>
      <c r="AK9" s="416"/>
      <c r="AL9" s="416"/>
      <c r="AM9" s="416"/>
      <c r="AN9" s="416"/>
      <c r="AO9" s="416"/>
      <c r="AP9" s="416"/>
      <c r="AQ9" s="416"/>
      <c r="AR9" s="416"/>
      <c r="AS9" s="416"/>
      <c r="AT9" s="416"/>
      <c r="AU9" s="416"/>
      <c r="AV9" s="416"/>
      <c r="AW9" s="416"/>
      <c r="AX9" s="416"/>
      <c r="AY9" s="416"/>
      <c r="AZ9" s="416"/>
      <c r="BA9" s="416"/>
      <c r="BB9" s="416"/>
      <c r="BC9" s="416"/>
      <c r="BD9" s="416"/>
      <c r="BE9" s="416"/>
      <c r="BF9" s="416"/>
      <c r="BG9" s="416"/>
      <c r="BH9" s="416"/>
      <c r="BI9" s="416"/>
      <c r="BJ9" s="416"/>
      <c r="BK9" s="416"/>
      <c r="BL9" s="416"/>
      <c r="BM9" s="416"/>
      <c r="BN9" s="416"/>
      <c r="BO9" s="416"/>
      <c r="BP9" s="416"/>
      <c r="BQ9" s="416"/>
      <c r="BR9" s="416"/>
      <c r="BS9" s="416"/>
      <c r="BT9" s="416"/>
      <c r="BU9" s="416"/>
      <c r="BV9" s="416"/>
      <c r="BW9" s="416"/>
      <c r="BX9" s="416"/>
      <c r="BY9" s="416"/>
      <c r="BZ9" s="416"/>
      <c r="CA9" s="416"/>
      <c r="CB9" s="416"/>
      <c r="CC9" s="416"/>
      <c r="CD9" s="416"/>
      <c r="CE9" s="416"/>
      <c r="CF9" s="416"/>
      <c r="CG9" s="416"/>
      <c r="CH9" s="416"/>
      <c r="CI9" s="416"/>
      <c r="CJ9" s="416"/>
      <c r="CK9" s="416"/>
      <c r="CL9" s="416"/>
      <c r="CM9" s="416"/>
      <c r="CN9" s="416"/>
      <c r="CO9" s="416"/>
      <c r="CP9" s="416"/>
      <c r="CQ9" s="416"/>
      <c r="CR9" s="416"/>
      <c r="CS9" s="416"/>
      <c r="CT9" s="416"/>
      <c r="CU9" s="416"/>
      <c r="CV9" s="416"/>
      <c r="CW9" s="416"/>
      <c r="CX9" s="416"/>
      <c r="CY9" s="416"/>
      <c r="CZ9" s="416"/>
      <c r="DA9" s="416"/>
      <c r="DB9" s="416"/>
      <c r="DC9" s="416"/>
      <c r="DD9" s="416"/>
      <c r="DE9" s="416"/>
      <c r="DF9" s="416"/>
      <c r="DG9" s="416"/>
      <c r="DH9" s="416"/>
      <c r="DI9" s="416"/>
      <c r="DJ9" s="416"/>
      <c r="DK9" s="416"/>
      <c r="DL9" s="416"/>
      <c r="DM9" s="416"/>
      <c r="DN9" s="416"/>
      <c r="DO9" s="416"/>
      <c r="DP9" s="416"/>
      <c r="DQ9" s="416"/>
      <c r="DR9" s="416"/>
      <c r="DS9" s="416"/>
      <c r="DT9" s="416"/>
      <c r="DU9" s="416"/>
      <c r="DV9" s="416"/>
      <c r="DW9" s="416"/>
      <c r="DX9" s="416"/>
      <c r="DY9" s="416"/>
      <c r="DZ9" s="416"/>
      <c r="EA9" s="416"/>
      <c r="EB9" s="416"/>
      <c r="EC9" s="416"/>
      <c r="ED9" s="416"/>
      <c r="EE9" s="416"/>
      <c r="EF9" s="416"/>
      <c r="EG9" s="416"/>
      <c r="EH9" s="416"/>
      <c r="EI9" s="416"/>
      <c r="EJ9" s="416"/>
      <c r="EK9" s="416"/>
      <c r="EL9" s="416"/>
      <c r="EM9" s="416"/>
      <c r="EN9" s="416"/>
      <c r="EO9" s="416"/>
      <c r="EP9" s="416"/>
      <c r="EQ9" s="416"/>
      <c r="ER9" s="416"/>
      <c r="ES9" s="416"/>
      <c r="ET9" s="416"/>
      <c r="EU9" s="416"/>
      <c r="EV9" s="416"/>
      <c r="EW9" s="416"/>
      <c r="EX9" s="416"/>
      <c r="EY9" s="416"/>
      <c r="EZ9" s="416"/>
      <c r="FA9" s="416"/>
      <c r="FB9" s="416"/>
      <c r="FC9" s="416"/>
      <c r="FD9" s="416"/>
      <c r="FE9" s="416"/>
      <c r="FF9" s="416"/>
      <c r="FG9" s="416"/>
      <c r="FH9" s="416"/>
      <c r="FI9" s="416"/>
      <c r="FJ9" s="416"/>
      <c r="FK9" s="416"/>
      <c r="FL9" s="416"/>
      <c r="FM9" s="416"/>
      <c r="FN9" s="416"/>
      <c r="FO9" s="416"/>
      <c r="FP9" s="416"/>
      <c r="FQ9" s="416"/>
      <c r="FR9" s="416"/>
      <c r="FS9" s="417"/>
      <c r="FT9" s="358" t="s">
        <v>576</v>
      </c>
      <c r="FU9" s="189" t="s">
        <v>574</v>
      </c>
      <c r="FV9" s="352" t="s">
        <v>573</v>
      </c>
      <c r="FW9" s="142" t="s">
        <v>575</v>
      </c>
      <c r="FX9" s="358" t="s">
        <v>576</v>
      </c>
      <c r="FY9" s="189" t="s">
        <v>574</v>
      </c>
      <c r="FZ9" s="352" t="s">
        <v>573</v>
      </c>
      <c r="GA9" s="142" t="s">
        <v>575</v>
      </c>
      <c r="GB9" s="358" t="s">
        <v>576</v>
      </c>
      <c r="GC9" s="189" t="s">
        <v>574</v>
      </c>
      <c r="GD9" s="352" t="s">
        <v>573</v>
      </c>
      <c r="GE9" s="142" t="s">
        <v>575</v>
      </c>
      <c r="GF9" s="358" t="s">
        <v>576</v>
      </c>
      <c r="GG9" s="189" t="s">
        <v>574</v>
      </c>
      <c r="GH9" s="352" t="s">
        <v>573</v>
      </c>
      <c r="GI9" s="142" t="s">
        <v>575</v>
      </c>
      <c r="GJ9" s="358" t="s">
        <v>576</v>
      </c>
      <c r="GK9" s="189" t="s">
        <v>574</v>
      </c>
      <c r="GL9" s="352" t="s">
        <v>573</v>
      </c>
      <c r="GM9" s="142" t="s">
        <v>575</v>
      </c>
      <c r="GN9" s="358" t="s">
        <v>576</v>
      </c>
      <c r="GO9" s="189" t="s">
        <v>574</v>
      </c>
      <c r="GP9" s="352" t="s">
        <v>573</v>
      </c>
      <c r="GQ9" s="142" t="s">
        <v>575</v>
      </c>
      <c r="GR9" s="358" t="s">
        <v>576</v>
      </c>
      <c r="GS9" s="189" t="s">
        <v>574</v>
      </c>
      <c r="GT9" s="352" t="s">
        <v>573</v>
      </c>
      <c r="GU9" s="142" t="s">
        <v>575</v>
      </c>
      <c r="GV9" s="358" t="s">
        <v>576</v>
      </c>
      <c r="GW9" s="189" t="s">
        <v>574</v>
      </c>
      <c r="GX9" s="352" t="s">
        <v>573</v>
      </c>
      <c r="GY9" s="142" t="s">
        <v>575</v>
      </c>
      <c r="GZ9" s="358" t="s">
        <v>576</v>
      </c>
      <c r="HA9" s="189" t="s">
        <v>574</v>
      </c>
      <c r="HB9" s="352" t="s">
        <v>573</v>
      </c>
      <c r="HC9" s="142" t="s">
        <v>575</v>
      </c>
      <c r="HD9" s="358" t="s">
        <v>576</v>
      </c>
      <c r="HE9" s="189" t="s">
        <v>574</v>
      </c>
      <c r="HF9" s="352" t="s">
        <v>573</v>
      </c>
      <c r="HG9" s="142" t="s">
        <v>575</v>
      </c>
      <c r="HH9" s="358" t="s">
        <v>576</v>
      </c>
      <c r="HI9" s="189" t="s">
        <v>574</v>
      </c>
      <c r="HJ9" s="352" t="s">
        <v>573</v>
      </c>
      <c r="HK9" s="142" t="s">
        <v>575</v>
      </c>
      <c r="HL9" s="358" t="s">
        <v>576</v>
      </c>
      <c r="HM9" s="189" t="s">
        <v>574</v>
      </c>
      <c r="HN9" s="352" t="s">
        <v>573</v>
      </c>
      <c r="HO9" s="142" t="s">
        <v>575</v>
      </c>
      <c r="HP9" s="358" t="s">
        <v>576</v>
      </c>
      <c r="HQ9" s="189" t="s">
        <v>574</v>
      </c>
      <c r="HR9" s="352" t="s">
        <v>573</v>
      </c>
      <c r="HS9" s="142" t="s">
        <v>575</v>
      </c>
      <c r="HT9" s="358" t="s">
        <v>576</v>
      </c>
      <c r="HU9" s="189" t="s">
        <v>574</v>
      </c>
      <c r="HV9" s="352" t="s">
        <v>573</v>
      </c>
      <c r="HW9" s="142" t="s">
        <v>575</v>
      </c>
      <c r="HX9" s="358" t="s">
        <v>576</v>
      </c>
      <c r="HY9" s="189" t="s">
        <v>574</v>
      </c>
      <c r="HZ9" s="352" t="s">
        <v>573</v>
      </c>
      <c r="IA9" s="142" t="s">
        <v>575</v>
      </c>
      <c r="IB9" s="358" t="s">
        <v>576</v>
      </c>
      <c r="IC9" s="189" t="s">
        <v>574</v>
      </c>
      <c r="ID9" s="352" t="s">
        <v>573</v>
      </c>
      <c r="IE9" s="142" t="s">
        <v>575</v>
      </c>
      <c r="IF9" s="358" t="s">
        <v>576</v>
      </c>
      <c r="IG9" s="189" t="s">
        <v>574</v>
      </c>
      <c r="IH9" s="352" t="s">
        <v>573</v>
      </c>
      <c r="II9" s="142" t="s">
        <v>575</v>
      </c>
      <c r="IJ9" s="358" t="s">
        <v>576</v>
      </c>
      <c r="IK9" s="189" t="s">
        <v>574</v>
      </c>
      <c r="IL9" s="352" t="s">
        <v>573</v>
      </c>
      <c r="IM9" s="142" t="s">
        <v>575</v>
      </c>
      <c r="IN9" s="358" t="s">
        <v>576</v>
      </c>
      <c r="IO9" s="189" t="s">
        <v>574</v>
      </c>
      <c r="IP9" s="352" t="s">
        <v>573</v>
      </c>
      <c r="IQ9" s="142" t="s">
        <v>575</v>
      </c>
      <c r="IR9" s="358" t="s">
        <v>576</v>
      </c>
      <c r="IS9" s="189" t="s">
        <v>574</v>
      </c>
      <c r="IT9" s="352" t="s">
        <v>573</v>
      </c>
      <c r="IU9" s="142" t="s">
        <v>575</v>
      </c>
      <c r="IV9" s="358" t="s">
        <v>576</v>
      </c>
      <c r="IW9" s="189" t="s">
        <v>574</v>
      </c>
      <c r="IX9" s="352" t="s">
        <v>573</v>
      </c>
      <c r="IY9" s="142" t="s">
        <v>575</v>
      </c>
      <c r="IZ9" s="358" t="s">
        <v>576</v>
      </c>
      <c r="JA9" s="189" t="s">
        <v>574</v>
      </c>
      <c r="JB9" s="352" t="s">
        <v>573</v>
      </c>
      <c r="JC9" s="142" t="s">
        <v>575</v>
      </c>
      <c r="JD9" s="358" t="s">
        <v>576</v>
      </c>
      <c r="JE9" s="189" t="s">
        <v>574</v>
      </c>
      <c r="JF9" s="352" t="s">
        <v>573</v>
      </c>
      <c r="JG9" s="142" t="s">
        <v>575</v>
      </c>
      <c r="JH9" s="358" t="s">
        <v>576</v>
      </c>
      <c r="JI9" s="189" t="s">
        <v>574</v>
      </c>
      <c r="JJ9" s="352" t="s">
        <v>573</v>
      </c>
      <c r="JK9" s="142" t="s">
        <v>575</v>
      </c>
      <c r="JL9" s="358" t="s">
        <v>576</v>
      </c>
      <c r="JM9" s="189" t="s">
        <v>574</v>
      </c>
      <c r="JN9" s="352" t="s">
        <v>573</v>
      </c>
      <c r="JO9" s="142" t="s">
        <v>575</v>
      </c>
      <c r="JP9" s="358" t="s">
        <v>576</v>
      </c>
      <c r="JQ9" s="189" t="s">
        <v>574</v>
      </c>
      <c r="JR9" s="352" t="s">
        <v>573</v>
      </c>
      <c r="JS9" s="142" t="s">
        <v>575</v>
      </c>
      <c r="JT9" s="358" t="s">
        <v>576</v>
      </c>
      <c r="JU9" s="189" t="s">
        <v>574</v>
      </c>
      <c r="JV9" s="352" t="s">
        <v>573</v>
      </c>
      <c r="JW9" s="142" t="s">
        <v>575</v>
      </c>
      <c r="JX9" s="358" t="s">
        <v>576</v>
      </c>
      <c r="JY9" s="189" t="s">
        <v>574</v>
      </c>
      <c r="JZ9" s="352" t="s">
        <v>573</v>
      </c>
      <c r="KA9" s="142" t="s">
        <v>575</v>
      </c>
      <c r="KB9" s="358" t="s">
        <v>576</v>
      </c>
      <c r="KC9" s="189" t="s">
        <v>574</v>
      </c>
      <c r="KD9" s="352" t="s">
        <v>573</v>
      </c>
      <c r="KE9" s="142" t="s">
        <v>575</v>
      </c>
      <c r="KF9" s="358" t="s">
        <v>576</v>
      </c>
      <c r="KG9" s="189" t="s">
        <v>574</v>
      </c>
      <c r="KH9" s="352" t="s">
        <v>573</v>
      </c>
      <c r="KI9" s="142" t="s">
        <v>575</v>
      </c>
      <c r="KJ9" s="358" t="s">
        <v>576</v>
      </c>
      <c r="KK9" s="189" t="s">
        <v>574</v>
      </c>
      <c r="KL9" s="352" t="s">
        <v>573</v>
      </c>
      <c r="KM9" s="142" t="s">
        <v>575</v>
      </c>
      <c r="KN9" s="358" t="s">
        <v>576</v>
      </c>
      <c r="KO9" s="189" t="s">
        <v>574</v>
      </c>
      <c r="KP9" s="352" t="s">
        <v>573</v>
      </c>
      <c r="KQ9" s="142" t="s">
        <v>575</v>
      </c>
      <c r="KR9" s="358" t="s">
        <v>576</v>
      </c>
      <c r="KS9" s="189" t="s">
        <v>574</v>
      </c>
      <c r="KT9" s="352" t="s">
        <v>573</v>
      </c>
      <c r="KU9" s="142" t="s">
        <v>575</v>
      </c>
      <c r="KV9" s="358" t="s">
        <v>576</v>
      </c>
      <c r="KW9" s="189" t="s">
        <v>574</v>
      </c>
      <c r="KX9" s="352" t="s">
        <v>573</v>
      </c>
      <c r="KY9" s="142" t="s">
        <v>575</v>
      </c>
      <c r="KZ9" s="358" t="s">
        <v>576</v>
      </c>
      <c r="LA9" s="189" t="s">
        <v>574</v>
      </c>
      <c r="LB9" s="352" t="s">
        <v>573</v>
      </c>
      <c r="LC9" s="142" t="s">
        <v>575</v>
      </c>
      <c r="LD9" s="358" t="s">
        <v>576</v>
      </c>
      <c r="LE9" s="189" t="s">
        <v>574</v>
      </c>
      <c r="LF9" s="352" t="s">
        <v>573</v>
      </c>
      <c r="LG9" s="142" t="s">
        <v>575</v>
      </c>
      <c r="LH9" s="358" t="s">
        <v>576</v>
      </c>
      <c r="LI9" s="189" t="s">
        <v>574</v>
      </c>
      <c r="LJ9" s="352" t="s">
        <v>573</v>
      </c>
      <c r="LK9" s="142" t="s">
        <v>575</v>
      </c>
      <c r="LL9" s="358" t="s">
        <v>576</v>
      </c>
      <c r="LM9" s="189" t="s">
        <v>574</v>
      </c>
      <c r="LN9" s="352" t="s">
        <v>573</v>
      </c>
      <c r="LO9" s="142" t="s">
        <v>575</v>
      </c>
      <c r="LP9" s="358" t="s">
        <v>576</v>
      </c>
      <c r="LQ9" s="189" t="s">
        <v>574</v>
      </c>
      <c r="LR9" s="352" t="s">
        <v>573</v>
      </c>
      <c r="LS9" s="142" t="s">
        <v>575</v>
      </c>
      <c r="LT9" s="358" t="s">
        <v>576</v>
      </c>
      <c r="LU9" s="189" t="s">
        <v>574</v>
      </c>
      <c r="LV9" s="352" t="s">
        <v>573</v>
      </c>
      <c r="LW9" s="142" t="s">
        <v>575</v>
      </c>
      <c r="LX9" s="358" t="s">
        <v>576</v>
      </c>
      <c r="LY9" s="189" t="s">
        <v>574</v>
      </c>
      <c r="LZ9" s="352" t="s">
        <v>573</v>
      </c>
      <c r="MA9" s="142" t="s">
        <v>575</v>
      </c>
      <c r="MB9" s="358" t="s">
        <v>576</v>
      </c>
      <c r="MC9" s="189" t="s">
        <v>574</v>
      </c>
      <c r="MD9" s="352" t="s">
        <v>573</v>
      </c>
      <c r="ME9" s="142" t="s">
        <v>575</v>
      </c>
      <c r="MF9" s="358" t="s">
        <v>576</v>
      </c>
      <c r="MG9" s="189" t="s">
        <v>574</v>
      </c>
      <c r="MH9" s="352" t="s">
        <v>573</v>
      </c>
      <c r="MI9" s="142" t="s">
        <v>575</v>
      </c>
      <c r="MJ9" s="358" t="s">
        <v>576</v>
      </c>
      <c r="MK9" s="189" t="s">
        <v>574</v>
      </c>
      <c r="ML9" s="352" t="s">
        <v>573</v>
      </c>
      <c r="MM9" s="142" t="s">
        <v>575</v>
      </c>
      <c r="MN9" s="358" t="s">
        <v>576</v>
      </c>
      <c r="MO9" s="189" t="s">
        <v>574</v>
      </c>
      <c r="MP9" s="352" t="s">
        <v>573</v>
      </c>
      <c r="MQ9" s="142" t="s">
        <v>575</v>
      </c>
      <c r="MR9" s="358" t="s">
        <v>576</v>
      </c>
      <c r="MS9" s="189" t="s">
        <v>574</v>
      </c>
      <c r="MT9" s="352" t="s">
        <v>573</v>
      </c>
      <c r="MU9" s="142" t="s">
        <v>575</v>
      </c>
      <c r="MV9" s="358" t="s">
        <v>576</v>
      </c>
      <c r="MW9" s="189" t="s">
        <v>574</v>
      </c>
      <c r="MX9" s="352" t="s">
        <v>573</v>
      </c>
      <c r="MY9" s="142" t="s">
        <v>575</v>
      </c>
      <c r="MZ9" s="358" t="s">
        <v>576</v>
      </c>
      <c r="NA9" s="189" t="s">
        <v>574</v>
      </c>
      <c r="NB9" s="352" t="s">
        <v>573</v>
      </c>
      <c r="NC9" s="142" t="s">
        <v>575</v>
      </c>
      <c r="ND9" s="358" t="s">
        <v>576</v>
      </c>
      <c r="NE9" s="189" t="s">
        <v>574</v>
      </c>
      <c r="NF9" s="352" t="s">
        <v>573</v>
      </c>
      <c r="NG9" s="142" t="s">
        <v>575</v>
      </c>
      <c r="NH9" s="358" t="s">
        <v>576</v>
      </c>
      <c r="NI9" s="189" t="s">
        <v>574</v>
      </c>
      <c r="NJ9" s="352" t="s">
        <v>573</v>
      </c>
      <c r="NK9" s="142" t="s">
        <v>575</v>
      </c>
      <c r="NL9" s="358" t="s">
        <v>576</v>
      </c>
      <c r="NM9" s="189" t="s">
        <v>574</v>
      </c>
      <c r="NN9" s="352" t="s">
        <v>573</v>
      </c>
      <c r="NO9" s="142" t="s">
        <v>575</v>
      </c>
      <c r="NP9" s="358" t="s">
        <v>576</v>
      </c>
      <c r="NQ9" s="189" t="s">
        <v>574</v>
      </c>
      <c r="NR9" s="352" t="s">
        <v>573</v>
      </c>
      <c r="NS9" s="142" t="s">
        <v>575</v>
      </c>
      <c r="NT9" s="358" t="s">
        <v>576</v>
      </c>
      <c r="NU9" s="189" t="s">
        <v>574</v>
      </c>
      <c r="NV9" s="352" t="s">
        <v>573</v>
      </c>
      <c r="NW9" s="142" t="s">
        <v>575</v>
      </c>
      <c r="NX9" s="358" t="s">
        <v>576</v>
      </c>
      <c r="NY9" s="189" t="s">
        <v>574</v>
      </c>
      <c r="NZ9" s="352" t="s">
        <v>573</v>
      </c>
      <c r="OA9" s="142" t="s">
        <v>575</v>
      </c>
      <c r="OB9" s="358" t="s">
        <v>576</v>
      </c>
      <c r="OC9" s="189" t="s">
        <v>574</v>
      </c>
      <c r="OD9" s="352" t="s">
        <v>573</v>
      </c>
      <c r="OE9" s="142" t="s">
        <v>575</v>
      </c>
      <c r="OF9" s="358" t="s">
        <v>576</v>
      </c>
      <c r="OG9" s="189" t="s">
        <v>574</v>
      </c>
      <c r="OH9" s="352" t="s">
        <v>573</v>
      </c>
      <c r="OI9" s="142" t="s">
        <v>575</v>
      </c>
      <c r="OJ9" s="358" t="s">
        <v>576</v>
      </c>
      <c r="OK9" s="189" t="s">
        <v>574</v>
      </c>
      <c r="OL9" s="352" t="s">
        <v>573</v>
      </c>
      <c r="OM9" s="142" t="s">
        <v>575</v>
      </c>
      <c r="ON9" s="358" t="s">
        <v>576</v>
      </c>
      <c r="OO9" s="189" t="s">
        <v>574</v>
      </c>
      <c r="OP9" s="352" t="s">
        <v>573</v>
      </c>
      <c r="OQ9" s="142" t="s">
        <v>575</v>
      </c>
      <c r="OR9" s="358" t="s">
        <v>576</v>
      </c>
      <c r="OS9" s="189" t="s">
        <v>574</v>
      </c>
      <c r="OT9" s="352" t="s">
        <v>573</v>
      </c>
      <c r="OU9" s="142" t="s">
        <v>575</v>
      </c>
      <c r="OV9" s="358" t="s">
        <v>576</v>
      </c>
      <c r="OW9" s="189" t="s">
        <v>574</v>
      </c>
      <c r="OX9" s="352" t="s">
        <v>573</v>
      </c>
      <c r="OY9" s="142" t="s">
        <v>575</v>
      </c>
      <c r="OZ9" s="358" t="s">
        <v>576</v>
      </c>
      <c r="PA9" s="189" t="s">
        <v>574</v>
      </c>
      <c r="PB9" s="352" t="s">
        <v>573</v>
      </c>
      <c r="PC9" s="142" t="s">
        <v>575</v>
      </c>
      <c r="PD9" s="358" t="s">
        <v>576</v>
      </c>
      <c r="PE9" s="189" t="s">
        <v>574</v>
      </c>
      <c r="PF9" s="352" t="s">
        <v>573</v>
      </c>
      <c r="PG9" s="142" t="s">
        <v>575</v>
      </c>
      <c r="PH9" s="358" t="s">
        <v>576</v>
      </c>
      <c r="PI9" s="189" t="s">
        <v>574</v>
      </c>
      <c r="PJ9" s="352" t="s">
        <v>573</v>
      </c>
      <c r="PK9" s="142" t="s">
        <v>575</v>
      </c>
      <c r="PL9" s="358" t="s">
        <v>576</v>
      </c>
      <c r="PM9" s="189" t="s">
        <v>574</v>
      </c>
      <c r="PN9" s="352" t="s">
        <v>573</v>
      </c>
      <c r="PO9" s="142" t="s">
        <v>575</v>
      </c>
      <c r="PP9" s="358" t="s">
        <v>576</v>
      </c>
      <c r="PQ9" s="189" t="s">
        <v>574</v>
      </c>
      <c r="PR9" s="352" t="s">
        <v>573</v>
      </c>
      <c r="PS9" s="142" t="s">
        <v>575</v>
      </c>
      <c r="PT9" s="358" t="s">
        <v>576</v>
      </c>
      <c r="PU9" s="189" t="s">
        <v>574</v>
      </c>
      <c r="PV9" s="352" t="s">
        <v>573</v>
      </c>
      <c r="PW9" s="142" t="s">
        <v>575</v>
      </c>
      <c r="PX9" s="358" t="s">
        <v>576</v>
      </c>
      <c r="PY9" s="189" t="s">
        <v>574</v>
      </c>
      <c r="PZ9" s="352" t="s">
        <v>573</v>
      </c>
      <c r="QA9" s="142" t="s">
        <v>575</v>
      </c>
      <c r="QB9" s="358" t="s">
        <v>576</v>
      </c>
      <c r="QC9" s="189" t="s">
        <v>574</v>
      </c>
      <c r="QD9" s="352" t="s">
        <v>573</v>
      </c>
      <c r="QE9" s="142" t="s">
        <v>575</v>
      </c>
      <c r="QF9" s="358" t="s">
        <v>576</v>
      </c>
      <c r="QG9" s="189" t="s">
        <v>574</v>
      </c>
      <c r="QH9" s="352" t="s">
        <v>573</v>
      </c>
      <c r="QI9" s="142" t="s">
        <v>575</v>
      </c>
      <c r="QJ9" s="358" t="s">
        <v>576</v>
      </c>
      <c r="QK9" s="189" t="s">
        <v>574</v>
      </c>
      <c r="QL9" s="352" t="s">
        <v>573</v>
      </c>
      <c r="QM9" s="142" t="s">
        <v>575</v>
      </c>
      <c r="QN9" s="358" t="s">
        <v>576</v>
      </c>
      <c r="QO9" s="189" t="s">
        <v>574</v>
      </c>
      <c r="QP9" s="352" t="s">
        <v>573</v>
      </c>
      <c r="QQ9" s="142" t="s">
        <v>575</v>
      </c>
      <c r="QR9" s="358" t="s">
        <v>576</v>
      </c>
      <c r="QS9" s="189" t="s">
        <v>574</v>
      </c>
      <c r="QT9" s="352" t="s">
        <v>573</v>
      </c>
      <c r="QU9" s="142" t="s">
        <v>575</v>
      </c>
      <c r="QV9" s="358" t="s">
        <v>576</v>
      </c>
      <c r="QW9" s="189" t="s">
        <v>574</v>
      </c>
      <c r="QX9" s="352" t="s">
        <v>573</v>
      </c>
      <c r="QY9" s="142" t="s">
        <v>575</v>
      </c>
      <c r="QZ9" s="358" t="s">
        <v>576</v>
      </c>
      <c r="RA9" s="189" t="s">
        <v>574</v>
      </c>
      <c r="RB9" s="352" t="s">
        <v>573</v>
      </c>
      <c r="RC9" s="142" t="s">
        <v>575</v>
      </c>
      <c r="RD9" s="358" t="s">
        <v>576</v>
      </c>
      <c r="RE9" s="189" t="s">
        <v>574</v>
      </c>
      <c r="RF9" s="352" t="s">
        <v>573</v>
      </c>
      <c r="RG9" s="142" t="s">
        <v>575</v>
      </c>
      <c r="RH9" s="358" t="s">
        <v>576</v>
      </c>
      <c r="RI9" s="189" t="s">
        <v>574</v>
      </c>
      <c r="RJ9" s="352" t="s">
        <v>573</v>
      </c>
      <c r="RK9" s="142" t="s">
        <v>575</v>
      </c>
      <c r="RL9" s="358" t="s">
        <v>576</v>
      </c>
      <c r="RM9" s="189" t="s">
        <v>574</v>
      </c>
      <c r="RN9" s="352" t="s">
        <v>573</v>
      </c>
      <c r="RO9" s="142" t="s">
        <v>575</v>
      </c>
      <c r="RP9" s="358" t="s">
        <v>576</v>
      </c>
      <c r="RQ9" s="189" t="s">
        <v>574</v>
      </c>
      <c r="RR9" s="352" t="s">
        <v>573</v>
      </c>
      <c r="RS9" s="142" t="s">
        <v>575</v>
      </c>
      <c r="RT9" s="358" t="s">
        <v>576</v>
      </c>
      <c r="RU9" s="189" t="s">
        <v>574</v>
      </c>
      <c r="RV9" s="352" t="s">
        <v>573</v>
      </c>
      <c r="RW9" s="142" t="s">
        <v>575</v>
      </c>
      <c r="RX9" s="358" t="s">
        <v>576</v>
      </c>
      <c r="RY9" s="189" t="s">
        <v>574</v>
      </c>
      <c r="RZ9" s="352" t="s">
        <v>573</v>
      </c>
      <c r="SA9" s="142" t="s">
        <v>575</v>
      </c>
      <c r="SB9" s="358" t="s">
        <v>576</v>
      </c>
      <c r="SC9" s="189" t="s">
        <v>574</v>
      </c>
      <c r="SD9" s="352" t="s">
        <v>573</v>
      </c>
      <c r="SE9" s="142" t="s">
        <v>575</v>
      </c>
      <c r="SF9" s="358" t="s">
        <v>576</v>
      </c>
      <c r="SG9" s="189" t="s">
        <v>574</v>
      </c>
      <c r="SH9" s="352" t="s">
        <v>573</v>
      </c>
      <c r="SI9" s="142" t="s">
        <v>575</v>
      </c>
      <c r="SJ9" s="358" t="s">
        <v>576</v>
      </c>
      <c r="SK9" s="189" t="s">
        <v>574</v>
      </c>
      <c r="SL9" s="352" t="s">
        <v>573</v>
      </c>
      <c r="SM9" s="142" t="s">
        <v>575</v>
      </c>
      <c r="SN9" s="358" t="s">
        <v>576</v>
      </c>
      <c r="SO9" s="189" t="s">
        <v>574</v>
      </c>
      <c r="SP9" s="352" t="s">
        <v>573</v>
      </c>
      <c r="SQ9" s="142" t="s">
        <v>575</v>
      </c>
      <c r="SR9" s="358" t="s">
        <v>576</v>
      </c>
      <c r="SS9" s="189" t="s">
        <v>574</v>
      </c>
      <c r="ST9" s="352" t="s">
        <v>573</v>
      </c>
      <c r="SU9" s="142" t="s">
        <v>575</v>
      </c>
      <c r="SV9" s="358" t="s">
        <v>576</v>
      </c>
      <c r="SW9" s="189" t="s">
        <v>574</v>
      </c>
      <c r="SX9" s="352" t="s">
        <v>573</v>
      </c>
      <c r="SY9" s="142" t="s">
        <v>575</v>
      </c>
      <c r="SZ9" s="358" t="s">
        <v>576</v>
      </c>
      <c r="TA9" s="189" t="s">
        <v>574</v>
      </c>
      <c r="TB9" s="352" t="s">
        <v>573</v>
      </c>
      <c r="TC9" s="142" t="s">
        <v>575</v>
      </c>
      <c r="TD9" s="358" t="s">
        <v>576</v>
      </c>
      <c r="TE9" s="189" t="s">
        <v>574</v>
      </c>
      <c r="TF9" s="352" t="s">
        <v>573</v>
      </c>
      <c r="TG9" s="142" t="s">
        <v>575</v>
      </c>
      <c r="TH9" s="358" t="s">
        <v>576</v>
      </c>
      <c r="TI9" s="189" t="s">
        <v>574</v>
      </c>
      <c r="TJ9" s="352" t="s">
        <v>573</v>
      </c>
      <c r="TK9" s="142" t="s">
        <v>575</v>
      </c>
      <c r="TL9" s="358" t="s">
        <v>576</v>
      </c>
      <c r="TM9" s="189" t="s">
        <v>574</v>
      </c>
      <c r="TN9" s="352" t="s">
        <v>573</v>
      </c>
      <c r="TO9" s="142" t="s">
        <v>575</v>
      </c>
      <c r="TP9" s="358" t="s">
        <v>576</v>
      </c>
      <c r="TQ9" s="189" t="s">
        <v>574</v>
      </c>
      <c r="TR9" s="352" t="s">
        <v>573</v>
      </c>
      <c r="TS9" s="142" t="s">
        <v>575</v>
      </c>
      <c r="TT9" s="358" t="s">
        <v>576</v>
      </c>
      <c r="TU9" s="189" t="s">
        <v>574</v>
      </c>
      <c r="TV9" s="352" t="s">
        <v>573</v>
      </c>
      <c r="TW9" s="142" t="s">
        <v>575</v>
      </c>
      <c r="TX9" s="358" t="s">
        <v>576</v>
      </c>
      <c r="TY9" s="189" t="s">
        <v>574</v>
      </c>
      <c r="TZ9" s="352" t="s">
        <v>573</v>
      </c>
      <c r="UA9" s="142" t="s">
        <v>575</v>
      </c>
      <c r="UB9" s="358" t="s">
        <v>576</v>
      </c>
      <c r="UC9" s="189" t="s">
        <v>574</v>
      </c>
      <c r="UD9" s="352" t="s">
        <v>573</v>
      </c>
      <c r="UE9" s="142" t="s">
        <v>575</v>
      </c>
      <c r="UF9" s="358" t="s">
        <v>576</v>
      </c>
      <c r="UG9" s="189" t="s">
        <v>574</v>
      </c>
      <c r="UH9" s="352" t="s">
        <v>573</v>
      </c>
      <c r="UI9" s="142" t="s">
        <v>575</v>
      </c>
      <c r="UJ9" s="358" t="s">
        <v>576</v>
      </c>
      <c r="UK9" s="189" t="s">
        <v>574</v>
      </c>
      <c r="UL9" s="352" t="s">
        <v>573</v>
      </c>
      <c r="UM9" s="142" t="s">
        <v>575</v>
      </c>
      <c r="UN9" s="358" t="s">
        <v>576</v>
      </c>
      <c r="UO9" s="189" t="s">
        <v>574</v>
      </c>
      <c r="UP9" s="352" t="s">
        <v>573</v>
      </c>
      <c r="UQ9" s="142" t="s">
        <v>575</v>
      </c>
      <c r="UR9" s="358" t="s">
        <v>576</v>
      </c>
      <c r="US9" s="189" t="s">
        <v>574</v>
      </c>
      <c r="UT9" s="352" t="s">
        <v>573</v>
      </c>
      <c r="UU9" s="142" t="s">
        <v>575</v>
      </c>
      <c r="UV9" s="358" t="s">
        <v>576</v>
      </c>
      <c r="UW9" s="189" t="s">
        <v>574</v>
      </c>
      <c r="UX9" s="352" t="s">
        <v>573</v>
      </c>
      <c r="UY9" s="142" t="s">
        <v>575</v>
      </c>
      <c r="UZ9" s="358" t="s">
        <v>576</v>
      </c>
      <c r="VA9" s="189" t="s">
        <v>574</v>
      </c>
      <c r="VB9" s="352" t="s">
        <v>573</v>
      </c>
      <c r="VC9" s="142" t="s">
        <v>575</v>
      </c>
      <c r="VD9" s="358" t="s">
        <v>576</v>
      </c>
      <c r="VE9" s="189" t="s">
        <v>574</v>
      </c>
      <c r="VF9" s="352" t="s">
        <v>573</v>
      </c>
      <c r="VG9" s="142" t="s">
        <v>575</v>
      </c>
      <c r="VH9" s="358" t="s">
        <v>576</v>
      </c>
      <c r="VI9" s="189" t="s">
        <v>574</v>
      </c>
      <c r="VJ9" s="352" t="s">
        <v>573</v>
      </c>
      <c r="VK9" s="142" t="s">
        <v>575</v>
      </c>
      <c r="VL9" s="358" t="s">
        <v>576</v>
      </c>
      <c r="VM9" s="189" t="s">
        <v>574</v>
      </c>
      <c r="VN9" s="352" t="s">
        <v>573</v>
      </c>
      <c r="VO9" s="142" t="s">
        <v>575</v>
      </c>
      <c r="VP9" s="358" t="s">
        <v>576</v>
      </c>
      <c r="VQ9" s="189" t="s">
        <v>574</v>
      </c>
      <c r="VR9" s="352" t="s">
        <v>573</v>
      </c>
      <c r="VS9" s="142" t="s">
        <v>575</v>
      </c>
      <c r="VT9" s="358" t="s">
        <v>576</v>
      </c>
      <c r="VU9" s="189" t="s">
        <v>574</v>
      </c>
      <c r="VV9" s="352" t="s">
        <v>573</v>
      </c>
      <c r="VW9" s="142" t="s">
        <v>575</v>
      </c>
      <c r="VX9" s="358" t="s">
        <v>576</v>
      </c>
      <c r="VY9" s="189" t="s">
        <v>574</v>
      </c>
      <c r="VZ9" s="352" t="s">
        <v>573</v>
      </c>
      <c r="WA9" s="142" t="s">
        <v>575</v>
      </c>
      <c r="WB9" s="358" t="s">
        <v>576</v>
      </c>
      <c r="WC9" s="189" t="s">
        <v>574</v>
      </c>
      <c r="WD9" s="352" t="s">
        <v>573</v>
      </c>
      <c r="WE9" s="142" t="s">
        <v>575</v>
      </c>
      <c r="WF9" s="358" t="s">
        <v>576</v>
      </c>
      <c r="WG9" s="189" t="s">
        <v>574</v>
      </c>
      <c r="WH9" s="352" t="s">
        <v>573</v>
      </c>
      <c r="WI9" s="142" t="s">
        <v>575</v>
      </c>
      <c r="WJ9" s="358" t="s">
        <v>576</v>
      </c>
      <c r="WK9" s="189" t="s">
        <v>574</v>
      </c>
      <c r="WL9" s="352" t="s">
        <v>573</v>
      </c>
      <c r="WM9" s="142" t="s">
        <v>575</v>
      </c>
      <c r="WN9" s="358" t="s">
        <v>576</v>
      </c>
      <c r="WO9" s="189" t="s">
        <v>574</v>
      </c>
      <c r="WP9" s="352" t="s">
        <v>573</v>
      </c>
      <c r="WQ9" s="142" t="s">
        <v>575</v>
      </c>
      <c r="WR9" s="358" t="s">
        <v>576</v>
      </c>
      <c r="WS9" s="189" t="s">
        <v>574</v>
      </c>
      <c r="WT9" s="352" t="s">
        <v>573</v>
      </c>
      <c r="WU9" s="142" t="s">
        <v>575</v>
      </c>
      <c r="WV9" s="358" t="s">
        <v>576</v>
      </c>
      <c r="WW9" s="189" t="s">
        <v>574</v>
      </c>
      <c r="WX9" s="352" t="s">
        <v>573</v>
      </c>
      <c r="WY9" s="142" t="s">
        <v>575</v>
      </c>
      <c r="WZ9" s="358" t="s">
        <v>576</v>
      </c>
      <c r="XA9" s="189" t="s">
        <v>574</v>
      </c>
      <c r="XB9" s="352" t="s">
        <v>573</v>
      </c>
      <c r="XC9" s="142" t="s">
        <v>575</v>
      </c>
      <c r="XD9" s="358" t="s">
        <v>576</v>
      </c>
      <c r="XE9" s="189" t="s">
        <v>574</v>
      </c>
      <c r="XF9" s="352" t="s">
        <v>573</v>
      </c>
      <c r="XG9" s="142" t="s">
        <v>575</v>
      </c>
      <c r="XH9" s="358" t="s">
        <v>576</v>
      </c>
      <c r="XI9" s="189" t="s">
        <v>574</v>
      </c>
      <c r="XJ9" s="352" t="s">
        <v>573</v>
      </c>
      <c r="XK9" s="142" t="s">
        <v>575</v>
      </c>
      <c r="XL9" s="358" t="s">
        <v>576</v>
      </c>
      <c r="XM9" s="189" t="s">
        <v>574</v>
      </c>
      <c r="XN9" s="352" t="s">
        <v>573</v>
      </c>
      <c r="XO9" s="142" t="s">
        <v>575</v>
      </c>
      <c r="XP9" s="358" t="s">
        <v>576</v>
      </c>
      <c r="XQ9" s="189" t="s">
        <v>574</v>
      </c>
      <c r="XR9" s="352" t="s">
        <v>573</v>
      </c>
      <c r="XS9" s="142" t="s">
        <v>575</v>
      </c>
      <c r="XT9" s="358" t="s">
        <v>576</v>
      </c>
      <c r="XU9" s="189" t="s">
        <v>574</v>
      </c>
      <c r="XV9" s="352" t="s">
        <v>573</v>
      </c>
      <c r="XW9" s="142" t="s">
        <v>575</v>
      </c>
      <c r="XX9" s="358" t="s">
        <v>576</v>
      </c>
      <c r="XY9" s="189" t="s">
        <v>574</v>
      </c>
      <c r="XZ9" s="352" t="s">
        <v>573</v>
      </c>
      <c r="YA9" s="142" t="s">
        <v>575</v>
      </c>
      <c r="YB9" s="358" t="s">
        <v>576</v>
      </c>
      <c r="YC9" s="189" t="s">
        <v>574</v>
      </c>
      <c r="YD9" s="352" t="s">
        <v>573</v>
      </c>
      <c r="YE9" s="142" t="s">
        <v>575</v>
      </c>
      <c r="YF9" s="358" t="s">
        <v>576</v>
      </c>
      <c r="YG9" s="189" t="s">
        <v>574</v>
      </c>
      <c r="YH9" s="352" t="s">
        <v>573</v>
      </c>
      <c r="YI9" s="142" t="s">
        <v>575</v>
      </c>
      <c r="YJ9" s="358" t="s">
        <v>576</v>
      </c>
      <c r="YK9" s="189" t="s">
        <v>574</v>
      </c>
      <c r="YL9" s="352" t="s">
        <v>573</v>
      </c>
      <c r="YM9" s="142" t="s">
        <v>575</v>
      </c>
      <c r="YN9" s="358" t="s">
        <v>576</v>
      </c>
      <c r="YO9" s="189" t="s">
        <v>574</v>
      </c>
      <c r="YP9" s="352" t="s">
        <v>573</v>
      </c>
      <c r="YQ9" s="142" t="s">
        <v>575</v>
      </c>
      <c r="YR9" s="358" t="s">
        <v>576</v>
      </c>
      <c r="YS9" s="189" t="s">
        <v>574</v>
      </c>
      <c r="YT9" s="352" t="s">
        <v>573</v>
      </c>
      <c r="YU9" s="142" t="s">
        <v>575</v>
      </c>
      <c r="YV9" s="358" t="s">
        <v>576</v>
      </c>
      <c r="YW9" s="189" t="s">
        <v>574</v>
      </c>
      <c r="YX9" s="352" t="s">
        <v>573</v>
      </c>
      <c r="YY9" s="142" t="s">
        <v>575</v>
      </c>
      <c r="YZ9" s="358" t="s">
        <v>576</v>
      </c>
      <c r="ZA9" s="189" t="s">
        <v>574</v>
      </c>
      <c r="ZB9" s="352" t="s">
        <v>573</v>
      </c>
      <c r="ZC9" s="142" t="s">
        <v>575</v>
      </c>
      <c r="ZD9" s="358" t="s">
        <v>576</v>
      </c>
      <c r="ZE9" s="189" t="s">
        <v>574</v>
      </c>
      <c r="ZF9" s="352" t="s">
        <v>573</v>
      </c>
      <c r="ZG9" s="142" t="s">
        <v>575</v>
      </c>
      <c r="ZH9" s="358" t="s">
        <v>576</v>
      </c>
      <c r="ZI9" s="189" t="s">
        <v>574</v>
      </c>
      <c r="ZJ9" s="352" t="s">
        <v>573</v>
      </c>
      <c r="ZK9" s="142" t="s">
        <v>575</v>
      </c>
      <c r="ZL9" s="358" t="s">
        <v>576</v>
      </c>
      <c r="ZM9" s="189" t="s">
        <v>574</v>
      </c>
      <c r="ZN9" s="352" t="s">
        <v>573</v>
      </c>
      <c r="ZO9" s="142" t="s">
        <v>575</v>
      </c>
      <c r="ZP9" s="358" t="s">
        <v>576</v>
      </c>
      <c r="ZQ9" s="189" t="s">
        <v>574</v>
      </c>
      <c r="ZR9" s="352" t="s">
        <v>573</v>
      </c>
      <c r="ZS9" s="142" t="s">
        <v>575</v>
      </c>
      <c r="ZT9" s="358" t="s">
        <v>576</v>
      </c>
      <c r="ZU9" s="189" t="s">
        <v>574</v>
      </c>
      <c r="ZV9" s="352" t="s">
        <v>573</v>
      </c>
      <c r="ZW9" s="142" t="s">
        <v>575</v>
      </c>
      <c r="ZX9" s="358" t="s">
        <v>576</v>
      </c>
      <c r="ZY9" s="189" t="s">
        <v>574</v>
      </c>
      <c r="ZZ9" s="352" t="s">
        <v>573</v>
      </c>
      <c r="AAA9" s="142" t="s">
        <v>575</v>
      </c>
      <c r="AAB9" s="358" t="s">
        <v>576</v>
      </c>
      <c r="AAC9" s="189" t="s">
        <v>574</v>
      </c>
      <c r="AAD9" s="352" t="s">
        <v>573</v>
      </c>
      <c r="AAE9" s="142" t="s">
        <v>575</v>
      </c>
      <c r="AAF9" s="358" t="s">
        <v>576</v>
      </c>
      <c r="AAG9" s="189" t="s">
        <v>574</v>
      </c>
      <c r="AAH9" s="352" t="s">
        <v>573</v>
      </c>
      <c r="AAI9" s="142" t="s">
        <v>575</v>
      </c>
      <c r="AAJ9" s="358" t="s">
        <v>576</v>
      </c>
      <c r="AAK9" s="189" t="s">
        <v>574</v>
      </c>
      <c r="AAL9" s="352" t="s">
        <v>573</v>
      </c>
      <c r="AAM9" s="142" t="s">
        <v>575</v>
      </c>
      <c r="AAN9" s="358" t="s">
        <v>576</v>
      </c>
      <c r="AAO9" s="189" t="s">
        <v>574</v>
      </c>
      <c r="AAP9" s="352" t="s">
        <v>573</v>
      </c>
      <c r="AAQ9" s="142" t="s">
        <v>575</v>
      </c>
      <c r="AAR9" s="358" t="s">
        <v>576</v>
      </c>
      <c r="AAS9" s="189" t="s">
        <v>574</v>
      </c>
      <c r="AAT9" s="352" t="s">
        <v>573</v>
      </c>
      <c r="AAU9" s="142" t="s">
        <v>575</v>
      </c>
      <c r="AAV9" s="358" t="s">
        <v>576</v>
      </c>
      <c r="AAW9" s="189" t="s">
        <v>574</v>
      </c>
      <c r="AAX9" s="352" t="s">
        <v>573</v>
      </c>
      <c r="AAY9" s="142" t="s">
        <v>575</v>
      </c>
      <c r="AAZ9" s="358" t="s">
        <v>576</v>
      </c>
      <c r="ABA9" s="189" t="s">
        <v>574</v>
      </c>
      <c r="ABB9" s="352" t="s">
        <v>573</v>
      </c>
      <c r="ABC9" s="142" t="s">
        <v>575</v>
      </c>
      <c r="ABD9" s="358" t="s">
        <v>576</v>
      </c>
      <c r="ABE9" s="189" t="s">
        <v>574</v>
      </c>
      <c r="ABF9" s="352" t="s">
        <v>573</v>
      </c>
      <c r="ABG9" s="142" t="s">
        <v>575</v>
      </c>
      <c r="ABH9" s="358" t="s">
        <v>576</v>
      </c>
      <c r="ABI9" s="189" t="s">
        <v>574</v>
      </c>
      <c r="ABJ9" s="352" t="s">
        <v>573</v>
      </c>
      <c r="ABK9" s="142" t="s">
        <v>575</v>
      </c>
      <c r="ABL9" s="358" t="s">
        <v>576</v>
      </c>
      <c r="ABM9" s="189" t="s">
        <v>574</v>
      </c>
      <c r="ABN9" s="352" t="s">
        <v>573</v>
      </c>
      <c r="ABO9" s="142" t="s">
        <v>575</v>
      </c>
      <c r="ABP9" s="358" t="s">
        <v>576</v>
      </c>
      <c r="ABQ9" s="189" t="s">
        <v>574</v>
      </c>
      <c r="ABR9" s="352" t="s">
        <v>573</v>
      </c>
      <c r="ABS9" s="142" t="s">
        <v>575</v>
      </c>
      <c r="ABT9" s="358" t="s">
        <v>576</v>
      </c>
      <c r="ABU9" s="189" t="s">
        <v>574</v>
      </c>
      <c r="ABV9" s="352" t="s">
        <v>573</v>
      </c>
      <c r="ABW9" s="142" t="s">
        <v>575</v>
      </c>
      <c r="ABX9" s="358" t="s">
        <v>576</v>
      </c>
      <c r="ABY9" s="189" t="s">
        <v>574</v>
      </c>
      <c r="ABZ9" s="352" t="s">
        <v>573</v>
      </c>
      <c r="ACA9" s="142" t="s">
        <v>575</v>
      </c>
      <c r="ACB9" s="358" t="s">
        <v>576</v>
      </c>
      <c r="ACC9" s="189" t="s">
        <v>574</v>
      </c>
      <c r="ACD9" s="352" t="s">
        <v>573</v>
      </c>
      <c r="ACE9" s="142" t="s">
        <v>575</v>
      </c>
      <c r="ACF9" s="358" t="s">
        <v>576</v>
      </c>
      <c r="ACG9" s="189" t="s">
        <v>574</v>
      </c>
      <c r="ACH9" s="352" t="s">
        <v>573</v>
      </c>
      <c r="ACI9" s="142" t="s">
        <v>575</v>
      </c>
      <c r="ACJ9" s="358" t="s">
        <v>576</v>
      </c>
      <c r="ACK9" s="189" t="s">
        <v>574</v>
      </c>
      <c r="ACL9" s="352" t="s">
        <v>573</v>
      </c>
      <c r="ACM9" s="142" t="s">
        <v>575</v>
      </c>
      <c r="ACN9" s="358" t="s">
        <v>576</v>
      </c>
      <c r="ACO9" s="189" t="s">
        <v>574</v>
      </c>
      <c r="ACP9" s="352" t="s">
        <v>573</v>
      </c>
      <c r="ACQ9" s="142" t="s">
        <v>575</v>
      </c>
      <c r="ACR9" s="358" t="s">
        <v>576</v>
      </c>
      <c r="ACS9" s="189" t="s">
        <v>574</v>
      </c>
      <c r="ACT9" s="352" t="s">
        <v>573</v>
      </c>
      <c r="ACU9" s="142" t="s">
        <v>575</v>
      </c>
      <c r="ACV9" s="358" t="s">
        <v>576</v>
      </c>
      <c r="ACW9" s="189" t="s">
        <v>574</v>
      </c>
      <c r="ACX9" s="352" t="s">
        <v>573</v>
      </c>
      <c r="ACY9" s="142" t="s">
        <v>575</v>
      </c>
      <c r="ACZ9" s="358" t="s">
        <v>576</v>
      </c>
      <c r="ADA9" s="189" t="s">
        <v>574</v>
      </c>
      <c r="ADB9" s="352" t="s">
        <v>573</v>
      </c>
      <c r="ADC9" s="142" t="s">
        <v>575</v>
      </c>
      <c r="ADD9" s="358" t="s">
        <v>576</v>
      </c>
      <c r="ADE9" s="189" t="s">
        <v>574</v>
      </c>
      <c r="ADF9" s="352" t="s">
        <v>573</v>
      </c>
      <c r="ADG9" s="142" t="s">
        <v>575</v>
      </c>
      <c r="ADH9" s="358" t="s">
        <v>576</v>
      </c>
      <c r="ADI9" s="189" t="s">
        <v>574</v>
      </c>
      <c r="ADJ9" s="352" t="s">
        <v>573</v>
      </c>
      <c r="ADK9" s="142" t="s">
        <v>575</v>
      </c>
      <c r="ADL9" s="358" t="s">
        <v>576</v>
      </c>
      <c r="ADM9" s="189" t="s">
        <v>574</v>
      </c>
      <c r="ADN9" s="352" t="s">
        <v>573</v>
      </c>
      <c r="ADO9" s="142" t="s">
        <v>575</v>
      </c>
      <c r="ADP9" s="358" t="s">
        <v>576</v>
      </c>
      <c r="ADQ9" s="189" t="s">
        <v>574</v>
      </c>
      <c r="ADR9" s="352" t="s">
        <v>573</v>
      </c>
      <c r="ADS9" s="142" t="s">
        <v>575</v>
      </c>
      <c r="ADT9" s="358" t="s">
        <v>576</v>
      </c>
      <c r="ADU9" s="189" t="s">
        <v>574</v>
      </c>
      <c r="ADV9" s="352" t="s">
        <v>573</v>
      </c>
      <c r="ADW9" s="142" t="s">
        <v>575</v>
      </c>
      <c r="ADX9" s="358" t="s">
        <v>576</v>
      </c>
      <c r="ADY9" s="189" t="s">
        <v>574</v>
      </c>
      <c r="ADZ9" s="352" t="s">
        <v>573</v>
      </c>
      <c r="AEA9" s="142" t="s">
        <v>575</v>
      </c>
      <c r="AEB9" s="358" t="s">
        <v>576</v>
      </c>
      <c r="AEC9" s="189" t="s">
        <v>574</v>
      </c>
      <c r="AED9" s="352" t="s">
        <v>573</v>
      </c>
      <c r="AEE9" s="142" t="s">
        <v>575</v>
      </c>
      <c r="AEF9" s="358" t="s">
        <v>576</v>
      </c>
      <c r="AEG9" s="189" t="s">
        <v>574</v>
      </c>
      <c r="AEH9" s="352" t="s">
        <v>573</v>
      </c>
      <c r="AEI9" s="142" t="s">
        <v>575</v>
      </c>
      <c r="AEJ9" s="358" t="s">
        <v>576</v>
      </c>
      <c r="AEK9" s="189" t="s">
        <v>574</v>
      </c>
      <c r="AEL9" s="352" t="s">
        <v>573</v>
      </c>
      <c r="AEM9" s="142" t="s">
        <v>575</v>
      </c>
      <c r="AEN9" s="358" t="s">
        <v>576</v>
      </c>
      <c r="AEO9" s="189" t="s">
        <v>574</v>
      </c>
      <c r="AEP9" s="352" t="s">
        <v>573</v>
      </c>
      <c r="AEQ9" s="142" t="s">
        <v>575</v>
      </c>
      <c r="AER9" s="358" t="s">
        <v>576</v>
      </c>
      <c r="AES9" s="189" t="s">
        <v>574</v>
      </c>
      <c r="AET9" s="352" t="s">
        <v>573</v>
      </c>
      <c r="AEU9" s="142" t="s">
        <v>575</v>
      </c>
      <c r="AEV9" s="358" t="s">
        <v>576</v>
      </c>
      <c r="AEW9" s="189" t="s">
        <v>574</v>
      </c>
      <c r="AEX9" s="352" t="s">
        <v>573</v>
      </c>
      <c r="AEY9" s="142" t="s">
        <v>575</v>
      </c>
      <c r="AEZ9" s="358" t="s">
        <v>576</v>
      </c>
      <c r="AFA9" s="189" t="s">
        <v>574</v>
      </c>
      <c r="AFB9" s="352" t="s">
        <v>573</v>
      </c>
      <c r="AFC9" s="142" t="s">
        <v>575</v>
      </c>
      <c r="AFD9" s="358" t="s">
        <v>576</v>
      </c>
      <c r="AFE9" s="189" t="s">
        <v>574</v>
      </c>
      <c r="AFF9" s="352" t="s">
        <v>573</v>
      </c>
      <c r="AFG9" s="142" t="s">
        <v>575</v>
      </c>
      <c r="AFH9" s="358" t="s">
        <v>576</v>
      </c>
      <c r="AFI9" s="189" t="s">
        <v>574</v>
      </c>
      <c r="AFJ9" s="352" t="s">
        <v>573</v>
      </c>
      <c r="AFK9" s="142" t="s">
        <v>575</v>
      </c>
      <c r="AFL9" s="358" t="s">
        <v>576</v>
      </c>
      <c r="AFM9" s="189" t="s">
        <v>574</v>
      </c>
      <c r="AFN9" s="352" t="s">
        <v>573</v>
      </c>
      <c r="AFO9" s="142" t="s">
        <v>575</v>
      </c>
      <c r="AFP9" s="358" t="s">
        <v>576</v>
      </c>
      <c r="AFQ9" s="189" t="s">
        <v>574</v>
      </c>
      <c r="AFR9" s="352" t="s">
        <v>573</v>
      </c>
      <c r="AFS9" s="142" t="s">
        <v>575</v>
      </c>
      <c r="AFT9" s="358" t="s">
        <v>576</v>
      </c>
      <c r="AFU9" s="189" t="s">
        <v>574</v>
      </c>
      <c r="AFV9" s="352" t="s">
        <v>573</v>
      </c>
      <c r="AFW9" s="142" t="s">
        <v>575</v>
      </c>
      <c r="AFX9" s="358" t="s">
        <v>576</v>
      </c>
      <c r="AFY9" s="189" t="s">
        <v>574</v>
      </c>
      <c r="AFZ9" s="352" t="s">
        <v>573</v>
      </c>
      <c r="AGA9" s="142" t="s">
        <v>575</v>
      </c>
      <c r="AGB9" s="358" t="s">
        <v>576</v>
      </c>
      <c r="AGC9" s="189" t="s">
        <v>574</v>
      </c>
      <c r="AGD9" s="352" t="s">
        <v>573</v>
      </c>
      <c r="AGE9" s="142" t="s">
        <v>575</v>
      </c>
      <c r="AGF9" s="358" t="s">
        <v>576</v>
      </c>
      <c r="AGG9" s="189" t="s">
        <v>574</v>
      </c>
      <c r="AGH9" s="352" t="s">
        <v>573</v>
      </c>
      <c r="AGI9" s="142" t="s">
        <v>575</v>
      </c>
      <c r="AGJ9" s="358" t="s">
        <v>576</v>
      </c>
      <c r="AGK9" s="189" t="s">
        <v>574</v>
      </c>
      <c r="AGL9" s="352" t="s">
        <v>573</v>
      </c>
      <c r="AGM9" s="142" t="s">
        <v>575</v>
      </c>
      <c r="AGN9" s="358" t="s">
        <v>576</v>
      </c>
      <c r="AGO9" s="189" t="s">
        <v>574</v>
      </c>
      <c r="AGP9" s="352" t="s">
        <v>573</v>
      </c>
      <c r="AGQ9" s="142" t="s">
        <v>575</v>
      </c>
      <c r="AGR9" s="358" t="s">
        <v>576</v>
      </c>
      <c r="AGS9" s="189" t="s">
        <v>574</v>
      </c>
      <c r="AGT9" s="352" t="s">
        <v>573</v>
      </c>
      <c r="AGU9" s="142" t="s">
        <v>575</v>
      </c>
      <c r="AGV9" s="358" t="s">
        <v>576</v>
      </c>
      <c r="AGW9" s="189" t="s">
        <v>574</v>
      </c>
      <c r="AGX9" s="352" t="s">
        <v>573</v>
      </c>
      <c r="AGY9" s="142" t="s">
        <v>575</v>
      </c>
      <c r="AGZ9" s="358" t="s">
        <v>576</v>
      </c>
      <c r="AHA9" s="189" t="s">
        <v>574</v>
      </c>
      <c r="AHB9" s="352" t="s">
        <v>573</v>
      </c>
      <c r="AHC9" s="142" t="s">
        <v>575</v>
      </c>
      <c r="AHD9" s="358" t="s">
        <v>576</v>
      </c>
      <c r="AHE9" s="189" t="s">
        <v>574</v>
      </c>
      <c r="AHF9" s="352" t="s">
        <v>573</v>
      </c>
      <c r="AHG9" s="142" t="s">
        <v>575</v>
      </c>
      <c r="AHH9" s="358" t="s">
        <v>576</v>
      </c>
      <c r="AHI9" s="189" t="s">
        <v>574</v>
      </c>
      <c r="AHJ9" s="352" t="s">
        <v>573</v>
      </c>
      <c r="AHK9" s="142" t="s">
        <v>575</v>
      </c>
      <c r="AHL9" s="358" t="s">
        <v>576</v>
      </c>
      <c r="AHM9" s="189" t="s">
        <v>574</v>
      </c>
      <c r="AHN9" s="352" t="s">
        <v>573</v>
      </c>
      <c r="AHO9" s="142" t="s">
        <v>575</v>
      </c>
      <c r="AHP9" s="358" t="s">
        <v>576</v>
      </c>
      <c r="AHQ9" s="189" t="s">
        <v>574</v>
      </c>
      <c r="AHR9" s="352" t="s">
        <v>573</v>
      </c>
      <c r="AHS9" s="142" t="s">
        <v>575</v>
      </c>
      <c r="AHT9" s="358" t="s">
        <v>576</v>
      </c>
      <c r="AHU9" s="189" t="s">
        <v>574</v>
      </c>
      <c r="AHV9" s="352" t="s">
        <v>573</v>
      </c>
      <c r="AHW9" s="142" t="s">
        <v>575</v>
      </c>
      <c r="AHX9" s="358" t="s">
        <v>576</v>
      </c>
      <c r="AHY9" s="189" t="s">
        <v>574</v>
      </c>
      <c r="AHZ9" s="352" t="s">
        <v>573</v>
      </c>
      <c r="AIA9" s="142" t="s">
        <v>575</v>
      </c>
      <c r="AIB9" s="358" t="s">
        <v>576</v>
      </c>
      <c r="AIC9" s="189" t="s">
        <v>574</v>
      </c>
      <c r="AID9" s="352" t="s">
        <v>573</v>
      </c>
      <c r="AIE9" s="142" t="s">
        <v>575</v>
      </c>
      <c r="AIF9" s="358" t="s">
        <v>576</v>
      </c>
      <c r="AIG9" s="189" t="s">
        <v>574</v>
      </c>
      <c r="AIH9" s="352" t="s">
        <v>573</v>
      </c>
      <c r="AII9" s="142" t="s">
        <v>575</v>
      </c>
      <c r="AIJ9" s="358" t="s">
        <v>576</v>
      </c>
      <c r="AIK9" s="189" t="s">
        <v>574</v>
      </c>
      <c r="AIL9" s="352" t="s">
        <v>573</v>
      </c>
      <c r="AIM9" s="142" t="s">
        <v>575</v>
      </c>
      <c r="AIN9" s="358" t="s">
        <v>576</v>
      </c>
      <c r="AIO9" s="189" t="s">
        <v>574</v>
      </c>
      <c r="AIP9" s="352" t="s">
        <v>573</v>
      </c>
      <c r="AIQ9" s="142" t="s">
        <v>575</v>
      </c>
      <c r="AIR9" s="358" t="s">
        <v>576</v>
      </c>
      <c r="AIS9" s="189" t="s">
        <v>574</v>
      </c>
      <c r="AIT9" s="352" t="s">
        <v>573</v>
      </c>
      <c r="AIU9" s="142" t="s">
        <v>575</v>
      </c>
      <c r="AIV9" s="358" t="s">
        <v>576</v>
      </c>
      <c r="AIW9" s="189" t="s">
        <v>574</v>
      </c>
      <c r="AIX9" s="352" t="s">
        <v>573</v>
      </c>
      <c r="AIY9" s="142" t="s">
        <v>575</v>
      </c>
      <c r="AIZ9" s="358" t="s">
        <v>576</v>
      </c>
      <c r="AJA9" s="189" t="s">
        <v>574</v>
      </c>
      <c r="AJB9" s="352" t="s">
        <v>573</v>
      </c>
      <c r="AJC9" s="142" t="s">
        <v>575</v>
      </c>
      <c r="AJD9" s="358" t="s">
        <v>576</v>
      </c>
      <c r="AJE9" s="189" t="s">
        <v>574</v>
      </c>
      <c r="AJF9" s="352" t="s">
        <v>573</v>
      </c>
      <c r="AJG9" s="142" t="s">
        <v>575</v>
      </c>
      <c r="AJH9" s="358" t="s">
        <v>576</v>
      </c>
      <c r="AJI9" s="189" t="s">
        <v>574</v>
      </c>
      <c r="AJJ9" s="352" t="s">
        <v>573</v>
      </c>
      <c r="AJK9" s="142" t="s">
        <v>575</v>
      </c>
      <c r="AJL9" s="358" t="s">
        <v>576</v>
      </c>
      <c r="AJM9" s="189" t="s">
        <v>574</v>
      </c>
      <c r="AJN9" s="352" t="s">
        <v>573</v>
      </c>
      <c r="AJO9" s="142" t="s">
        <v>575</v>
      </c>
      <c r="AJP9" s="358" t="s">
        <v>576</v>
      </c>
      <c r="AJQ9" s="189" t="s">
        <v>574</v>
      </c>
      <c r="AJR9" s="352" t="s">
        <v>573</v>
      </c>
      <c r="AJS9" s="142" t="s">
        <v>575</v>
      </c>
      <c r="AJT9" s="358" t="s">
        <v>576</v>
      </c>
      <c r="AJU9" s="189" t="s">
        <v>574</v>
      </c>
      <c r="AJV9" s="352" t="s">
        <v>573</v>
      </c>
      <c r="AJW9" s="142" t="s">
        <v>575</v>
      </c>
      <c r="AJX9" s="358" t="s">
        <v>576</v>
      </c>
      <c r="AJY9" s="189" t="s">
        <v>574</v>
      </c>
      <c r="AJZ9" s="352" t="s">
        <v>573</v>
      </c>
      <c r="AKA9" s="142" t="s">
        <v>575</v>
      </c>
      <c r="AKB9" s="358" t="s">
        <v>576</v>
      </c>
      <c r="AKC9" s="189" t="s">
        <v>574</v>
      </c>
      <c r="AKD9" s="352" t="s">
        <v>573</v>
      </c>
      <c r="AKE9" s="142" t="s">
        <v>575</v>
      </c>
      <c r="AKF9" s="358" t="s">
        <v>576</v>
      </c>
      <c r="AKG9" s="189" t="s">
        <v>574</v>
      </c>
      <c r="AKH9" s="352" t="s">
        <v>573</v>
      </c>
      <c r="AKI9" s="142" t="s">
        <v>575</v>
      </c>
      <c r="AKJ9" s="358" t="s">
        <v>576</v>
      </c>
      <c r="AKK9" s="189" t="s">
        <v>574</v>
      </c>
      <c r="AKL9" s="352" t="s">
        <v>573</v>
      </c>
      <c r="AKM9" s="142" t="s">
        <v>575</v>
      </c>
      <c r="AKN9" s="358" t="s">
        <v>576</v>
      </c>
      <c r="AKO9" s="189" t="s">
        <v>574</v>
      </c>
      <c r="AKP9" s="352" t="s">
        <v>573</v>
      </c>
      <c r="AKQ9" s="142" t="s">
        <v>575</v>
      </c>
      <c r="AKR9" s="358" t="s">
        <v>576</v>
      </c>
      <c r="AKS9" s="189" t="s">
        <v>574</v>
      </c>
      <c r="AKT9" s="352" t="s">
        <v>573</v>
      </c>
      <c r="AKU9" s="142" t="s">
        <v>575</v>
      </c>
      <c r="AKV9" s="358" t="s">
        <v>576</v>
      </c>
      <c r="AKW9" s="189" t="s">
        <v>574</v>
      </c>
      <c r="AKX9" s="352" t="s">
        <v>573</v>
      </c>
      <c r="AKY9" s="142" t="s">
        <v>575</v>
      </c>
      <c r="AKZ9" s="358" t="s">
        <v>576</v>
      </c>
      <c r="ALA9" s="189" t="s">
        <v>574</v>
      </c>
      <c r="ALB9" s="352" t="s">
        <v>573</v>
      </c>
      <c r="ALC9" s="142" t="s">
        <v>575</v>
      </c>
      <c r="ALD9" s="358" t="s">
        <v>576</v>
      </c>
      <c r="ALE9" s="189" t="s">
        <v>574</v>
      </c>
      <c r="ALF9" s="352" t="s">
        <v>573</v>
      </c>
      <c r="ALG9" s="142" t="s">
        <v>575</v>
      </c>
      <c r="ALH9" s="358" t="s">
        <v>576</v>
      </c>
      <c r="ALI9" s="189" t="s">
        <v>574</v>
      </c>
      <c r="ALJ9" s="352" t="s">
        <v>573</v>
      </c>
      <c r="ALK9" s="142" t="s">
        <v>575</v>
      </c>
      <c r="ALL9" s="358" t="s">
        <v>576</v>
      </c>
      <c r="ALM9" s="189" t="s">
        <v>574</v>
      </c>
      <c r="ALN9" s="352" t="s">
        <v>573</v>
      </c>
      <c r="ALO9" s="142" t="s">
        <v>575</v>
      </c>
      <c r="ALP9" s="358" t="s">
        <v>576</v>
      </c>
      <c r="ALQ9" s="189" t="s">
        <v>574</v>
      </c>
      <c r="ALR9" s="352" t="s">
        <v>573</v>
      </c>
      <c r="ALS9" s="142" t="s">
        <v>575</v>
      </c>
      <c r="ALT9" s="358" t="s">
        <v>576</v>
      </c>
      <c r="ALU9" s="189" t="s">
        <v>574</v>
      </c>
      <c r="ALV9" s="352" t="s">
        <v>573</v>
      </c>
      <c r="ALW9" s="142" t="s">
        <v>575</v>
      </c>
      <c r="ALX9" s="358" t="s">
        <v>576</v>
      </c>
      <c r="ALY9" s="189" t="s">
        <v>574</v>
      </c>
      <c r="ALZ9" s="352" t="s">
        <v>573</v>
      </c>
      <c r="AMA9" s="142" t="s">
        <v>575</v>
      </c>
      <c r="AMB9" s="358" t="s">
        <v>576</v>
      </c>
      <c r="AMC9" s="189" t="s">
        <v>574</v>
      </c>
      <c r="AMD9" s="352" t="s">
        <v>573</v>
      </c>
      <c r="AME9" s="142" t="s">
        <v>575</v>
      </c>
      <c r="AMF9" s="358" t="s">
        <v>576</v>
      </c>
      <c r="AMG9" s="189" t="s">
        <v>574</v>
      </c>
      <c r="AMH9" s="352" t="s">
        <v>573</v>
      </c>
      <c r="AMI9" s="142" t="s">
        <v>575</v>
      </c>
      <c r="AMJ9" s="358" t="s">
        <v>576</v>
      </c>
      <c r="AMK9" s="189" t="s">
        <v>574</v>
      </c>
      <c r="AML9" s="352" t="s">
        <v>573</v>
      </c>
      <c r="AMM9" s="142" t="s">
        <v>575</v>
      </c>
      <c r="AMN9" s="358" t="s">
        <v>576</v>
      </c>
      <c r="AMO9" s="189" t="s">
        <v>574</v>
      </c>
      <c r="AMP9" s="352" t="s">
        <v>573</v>
      </c>
      <c r="AMQ9" s="142" t="s">
        <v>575</v>
      </c>
      <c r="AMR9" s="358" t="s">
        <v>576</v>
      </c>
      <c r="AMS9" s="189" t="s">
        <v>574</v>
      </c>
      <c r="AMT9" s="352" t="s">
        <v>573</v>
      </c>
      <c r="AMU9" s="142" t="s">
        <v>575</v>
      </c>
      <c r="AMV9" s="358" t="s">
        <v>576</v>
      </c>
      <c r="AMW9" s="189" t="s">
        <v>574</v>
      </c>
      <c r="AMX9" s="352" t="s">
        <v>573</v>
      </c>
      <c r="AMY9" s="142" t="s">
        <v>575</v>
      </c>
      <c r="AMZ9" s="358" t="s">
        <v>576</v>
      </c>
      <c r="ANA9" s="189" t="s">
        <v>574</v>
      </c>
      <c r="ANB9" s="352" t="s">
        <v>573</v>
      </c>
      <c r="ANC9" s="142" t="s">
        <v>575</v>
      </c>
      <c r="AND9" s="358" t="s">
        <v>576</v>
      </c>
      <c r="ANE9" s="189" t="s">
        <v>574</v>
      </c>
      <c r="ANF9" s="352" t="s">
        <v>573</v>
      </c>
      <c r="ANG9" s="142" t="s">
        <v>575</v>
      </c>
      <c r="ANH9" s="358" t="s">
        <v>576</v>
      </c>
      <c r="ANI9" s="189" t="s">
        <v>574</v>
      </c>
      <c r="ANJ9" s="352" t="s">
        <v>573</v>
      </c>
      <c r="ANK9" s="142" t="s">
        <v>575</v>
      </c>
      <c r="ANL9" s="358" t="s">
        <v>576</v>
      </c>
      <c r="ANM9" s="189" t="s">
        <v>574</v>
      </c>
      <c r="ANN9" s="352" t="s">
        <v>573</v>
      </c>
      <c r="ANO9" s="142" t="s">
        <v>575</v>
      </c>
      <c r="ANP9" s="358" t="s">
        <v>576</v>
      </c>
      <c r="ANQ9" s="189" t="s">
        <v>574</v>
      </c>
      <c r="ANR9" s="352" t="s">
        <v>573</v>
      </c>
      <c r="ANS9" s="142" t="s">
        <v>575</v>
      </c>
      <c r="ANT9" s="358" t="s">
        <v>576</v>
      </c>
      <c r="ANU9" s="189" t="s">
        <v>574</v>
      </c>
      <c r="ANV9" s="352" t="s">
        <v>573</v>
      </c>
      <c r="ANW9" s="142" t="s">
        <v>575</v>
      </c>
      <c r="ANX9" s="358" t="s">
        <v>576</v>
      </c>
      <c r="ANY9" s="189" t="s">
        <v>574</v>
      </c>
      <c r="ANZ9" s="352" t="s">
        <v>573</v>
      </c>
      <c r="AOA9" s="142" t="s">
        <v>575</v>
      </c>
      <c r="AOB9" s="358" t="s">
        <v>576</v>
      </c>
      <c r="AOC9" s="189" t="s">
        <v>574</v>
      </c>
      <c r="AOD9" s="352" t="s">
        <v>573</v>
      </c>
      <c r="AOE9" s="142" t="s">
        <v>575</v>
      </c>
      <c r="AOF9" s="358" t="s">
        <v>576</v>
      </c>
      <c r="AOG9" s="189" t="s">
        <v>574</v>
      </c>
      <c r="AOH9" s="352" t="s">
        <v>573</v>
      </c>
      <c r="AOI9" s="142" t="s">
        <v>575</v>
      </c>
      <c r="AOJ9" s="358" t="s">
        <v>576</v>
      </c>
      <c r="AOK9" s="189" t="s">
        <v>574</v>
      </c>
      <c r="AOL9" s="352" t="s">
        <v>573</v>
      </c>
      <c r="AOM9" s="142" t="s">
        <v>575</v>
      </c>
      <c r="AON9" s="358" t="s">
        <v>576</v>
      </c>
      <c r="AOO9" s="189" t="s">
        <v>574</v>
      </c>
      <c r="AOP9" s="352" t="s">
        <v>573</v>
      </c>
      <c r="AOQ9" s="142" t="s">
        <v>575</v>
      </c>
      <c r="AOR9" s="358" t="s">
        <v>576</v>
      </c>
      <c r="AOS9" s="189" t="s">
        <v>574</v>
      </c>
      <c r="AOT9" s="352" t="s">
        <v>573</v>
      </c>
      <c r="AOU9" s="142" t="s">
        <v>575</v>
      </c>
      <c r="AOV9" s="358" t="s">
        <v>576</v>
      </c>
      <c r="AOW9" s="189" t="s">
        <v>574</v>
      </c>
      <c r="AOX9" s="352" t="s">
        <v>573</v>
      </c>
      <c r="AOY9" s="142" t="s">
        <v>575</v>
      </c>
      <c r="AOZ9" s="358" t="s">
        <v>576</v>
      </c>
      <c r="APA9" s="189" t="s">
        <v>574</v>
      </c>
      <c r="APB9" s="352" t="s">
        <v>573</v>
      </c>
      <c r="APC9" s="142" t="s">
        <v>575</v>
      </c>
      <c r="APD9" s="358" t="s">
        <v>576</v>
      </c>
      <c r="APE9" s="189" t="s">
        <v>574</v>
      </c>
      <c r="APF9" s="352" t="s">
        <v>573</v>
      </c>
      <c r="APG9" s="142" t="s">
        <v>575</v>
      </c>
      <c r="APH9" s="358" t="s">
        <v>576</v>
      </c>
      <c r="API9" s="189" t="s">
        <v>574</v>
      </c>
      <c r="APJ9" s="352" t="s">
        <v>573</v>
      </c>
      <c r="APK9" s="142" t="s">
        <v>575</v>
      </c>
      <c r="APL9" s="358" t="s">
        <v>576</v>
      </c>
      <c r="APM9" s="189" t="s">
        <v>574</v>
      </c>
      <c r="APN9" s="352" t="s">
        <v>573</v>
      </c>
      <c r="APO9" s="142" t="s">
        <v>575</v>
      </c>
      <c r="APP9" s="358" t="s">
        <v>576</v>
      </c>
      <c r="APQ9" s="189" t="s">
        <v>574</v>
      </c>
      <c r="APR9" s="352" t="s">
        <v>573</v>
      </c>
      <c r="APS9" s="142" t="s">
        <v>575</v>
      </c>
      <c r="APT9" s="358" t="s">
        <v>576</v>
      </c>
      <c r="APU9" s="189" t="s">
        <v>574</v>
      </c>
      <c r="APV9" s="352" t="s">
        <v>573</v>
      </c>
      <c r="APW9" s="142" t="s">
        <v>575</v>
      </c>
      <c r="APX9" s="358" t="s">
        <v>576</v>
      </c>
      <c r="APY9" s="189" t="s">
        <v>574</v>
      </c>
      <c r="APZ9" s="352" t="s">
        <v>573</v>
      </c>
      <c r="AQA9" s="142" t="s">
        <v>575</v>
      </c>
      <c r="AQB9" s="358" t="s">
        <v>576</v>
      </c>
      <c r="AQC9" s="189" t="s">
        <v>574</v>
      </c>
      <c r="AQD9" s="352" t="s">
        <v>573</v>
      </c>
      <c r="AQE9" s="142" t="s">
        <v>575</v>
      </c>
      <c r="AQF9" s="358" t="s">
        <v>576</v>
      </c>
      <c r="AQG9" s="189" t="s">
        <v>574</v>
      </c>
      <c r="AQH9" s="352" t="s">
        <v>573</v>
      </c>
      <c r="AQI9" s="142" t="s">
        <v>575</v>
      </c>
      <c r="AQJ9" s="358" t="s">
        <v>576</v>
      </c>
      <c r="AQK9" s="189" t="s">
        <v>574</v>
      </c>
      <c r="AQL9" s="352" t="s">
        <v>573</v>
      </c>
      <c r="AQM9" s="142" t="s">
        <v>575</v>
      </c>
      <c r="AQN9" s="358" t="s">
        <v>576</v>
      </c>
      <c r="AQO9" s="189" t="s">
        <v>574</v>
      </c>
      <c r="AQP9" s="352" t="s">
        <v>573</v>
      </c>
      <c r="AQQ9" s="142" t="s">
        <v>575</v>
      </c>
      <c r="AQR9" s="358" t="s">
        <v>576</v>
      </c>
      <c r="AQS9" s="189" t="s">
        <v>574</v>
      </c>
      <c r="AQT9" s="352" t="s">
        <v>573</v>
      </c>
      <c r="AQU9" s="142" t="s">
        <v>575</v>
      </c>
      <c r="AQV9" s="358" t="s">
        <v>576</v>
      </c>
      <c r="AQW9" s="189" t="s">
        <v>574</v>
      </c>
      <c r="AQX9" s="352" t="s">
        <v>573</v>
      </c>
      <c r="AQY9" s="142" t="s">
        <v>575</v>
      </c>
      <c r="AQZ9" s="358" t="s">
        <v>576</v>
      </c>
      <c r="ARA9" s="189" t="s">
        <v>574</v>
      </c>
      <c r="ARB9" s="352" t="s">
        <v>573</v>
      </c>
      <c r="ARC9" s="142" t="s">
        <v>575</v>
      </c>
      <c r="ARD9" s="358" t="s">
        <v>576</v>
      </c>
      <c r="ARE9" s="189" t="s">
        <v>574</v>
      </c>
      <c r="ARF9" s="352" t="s">
        <v>573</v>
      </c>
      <c r="ARG9" s="142" t="s">
        <v>575</v>
      </c>
      <c r="ARH9" s="358" t="s">
        <v>576</v>
      </c>
      <c r="ARI9" s="189" t="s">
        <v>574</v>
      </c>
      <c r="ARJ9" s="352" t="s">
        <v>573</v>
      </c>
      <c r="ARK9" s="142" t="s">
        <v>575</v>
      </c>
      <c r="ARL9" s="358" t="s">
        <v>576</v>
      </c>
      <c r="ARM9" s="189" t="s">
        <v>574</v>
      </c>
      <c r="ARN9" s="352" t="s">
        <v>573</v>
      </c>
      <c r="ARO9" s="142" t="s">
        <v>575</v>
      </c>
      <c r="ARP9" s="358" t="s">
        <v>576</v>
      </c>
      <c r="ARQ9" s="189" t="s">
        <v>574</v>
      </c>
      <c r="ARR9" s="352" t="s">
        <v>573</v>
      </c>
      <c r="ARS9" s="142" t="s">
        <v>575</v>
      </c>
      <c r="ART9" s="358" t="s">
        <v>576</v>
      </c>
      <c r="ARU9" s="189" t="s">
        <v>574</v>
      </c>
      <c r="ARV9" s="352" t="s">
        <v>573</v>
      </c>
      <c r="ARW9" s="142" t="s">
        <v>575</v>
      </c>
      <c r="ARX9" s="358" t="s">
        <v>576</v>
      </c>
      <c r="ARY9" s="189" t="s">
        <v>574</v>
      </c>
      <c r="ARZ9" s="352" t="s">
        <v>573</v>
      </c>
      <c r="ASA9" s="142" t="s">
        <v>575</v>
      </c>
      <c r="ASB9" s="358" t="s">
        <v>576</v>
      </c>
      <c r="ASC9" s="189" t="s">
        <v>574</v>
      </c>
      <c r="ASD9" s="352" t="s">
        <v>573</v>
      </c>
      <c r="ASE9" s="142" t="s">
        <v>575</v>
      </c>
      <c r="ASF9" s="358" t="s">
        <v>576</v>
      </c>
      <c r="ASG9" s="189" t="s">
        <v>574</v>
      </c>
      <c r="ASH9" s="352" t="s">
        <v>573</v>
      </c>
      <c r="ASI9" s="142" t="s">
        <v>575</v>
      </c>
      <c r="ASJ9" s="358" t="s">
        <v>576</v>
      </c>
      <c r="ASK9" s="189" t="s">
        <v>574</v>
      </c>
      <c r="ASL9" s="352" t="s">
        <v>573</v>
      </c>
      <c r="ASM9" s="142" t="s">
        <v>575</v>
      </c>
      <c r="ASN9" s="358" t="s">
        <v>576</v>
      </c>
      <c r="ASO9" s="189" t="s">
        <v>574</v>
      </c>
      <c r="ASP9" s="352" t="s">
        <v>573</v>
      </c>
      <c r="ASQ9" s="142" t="s">
        <v>575</v>
      </c>
      <c r="ASR9" s="358" t="s">
        <v>576</v>
      </c>
      <c r="ASS9" s="189" t="s">
        <v>574</v>
      </c>
      <c r="AST9" s="352" t="s">
        <v>573</v>
      </c>
      <c r="ASU9" s="142" t="s">
        <v>575</v>
      </c>
      <c r="ASV9" s="358" t="s">
        <v>576</v>
      </c>
      <c r="ASW9" s="189" t="s">
        <v>574</v>
      </c>
      <c r="ASX9" s="352" t="s">
        <v>573</v>
      </c>
      <c r="ASY9" s="142" t="s">
        <v>575</v>
      </c>
      <c r="ASZ9" s="358" t="s">
        <v>576</v>
      </c>
      <c r="ATA9" s="189" t="s">
        <v>574</v>
      </c>
      <c r="ATB9" s="352" t="s">
        <v>573</v>
      </c>
      <c r="ATC9" s="142" t="s">
        <v>575</v>
      </c>
      <c r="ATD9" s="358" t="s">
        <v>576</v>
      </c>
      <c r="ATE9" s="189" t="s">
        <v>574</v>
      </c>
      <c r="ATF9" s="352" t="s">
        <v>573</v>
      </c>
      <c r="ATG9" s="142" t="s">
        <v>575</v>
      </c>
      <c r="ATH9" s="358" t="s">
        <v>576</v>
      </c>
      <c r="ATI9" s="189" t="s">
        <v>574</v>
      </c>
      <c r="ATJ9" s="352" t="s">
        <v>573</v>
      </c>
      <c r="ATK9" s="142" t="s">
        <v>575</v>
      </c>
      <c r="ATL9" s="358" t="s">
        <v>576</v>
      </c>
      <c r="ATM9" s="189" t="s">
        <v>574</v>
      </c>
      <c r="ATN9" s="352" t="s">
        <v>573</v>
      </c>
      <c r="ATO9" s="142" t="s">
        <v>575</v>
      </c>
      <c r="ATP9" s="358" t="s">
        <v>576</v>
      </c>
      <c r="ATQ9" s="189" t="s">
        <v>574</v>
      </c>
      <c r="ATR9" s="352" t="s">
        <v>573</v>
      </c>
      <c r="ATS9" s="142" t="s">
        <v>575</v>
      </c>
      <c r="ATT9" s="358" t="s">
        <v>576</v>
      </c>
      <c r="ATU9" s="189" t="s">
        <v>574</v>
      </c>
      <c r="ATV9" s="352" t="s">
        <v>573</v>
      </c>
      <c r="ATW9" s="142" t="s">
        <v>575</v>
      </c>
      <c r="ATX9" s="358" t="s">
        <v>576</v>
      </c>
      <c r="ATY9" s="189" t="s">
        <v>574</v>
      </c>
      <c r="ATZ9" s="352" t="s">
        <v>573</v>
      </c>
      <c r="AUA9" s="142" t="s">
        <v>575</v>
      </c>
      <c r="AUB9" s="358" t="s">
        <v>576</v>
      </c>
      <c r="AUC9" s="189" t="s">
        <v>574</v>
      </c>
      <c r="AUD9" s="352" t="s">
        <v>573</v>
      </c>
      <c r="AUE9" s="142" t="s">
        <v>575</v>
      </c>
      <c r="AUF9" s="358" t="s">
        <v>576</v>
      </c>
      <c r="AUG9" s="189" t="s">
        <v>574</v>
      </c>
      <c r="AUH9" s="352" t="s">
        <v>573</v>
      </c>
      <c r="AUI9" s="142" t="s">
        <v>575</v>
      </c>
      <c r="AUJ9" s="358" t="s">
        <v>576</v>
      </c>
      <c r="AUK9" s="189" t="s">
        <v>574</v>
      </c>
      <c r="AUL9" s="352" t="s">
        <v>573</v>
      </c>
      <c r="AUM9" s="142" t="s">
        <v>575</v>
      </c>
      <c r="AUN9" s="358" t="s">
        <v>576</v>
      </c>
      <c r="AUO9" s="189" t="s">
        <v>574</v>
      </c>
      <c r="AUP9" s="352" t="s">
        <v>573</v>
      </c>
      <c r="AUQ9" s="142" t="s">
        <v>575</v>
      </c>
      <c r="AUR9" s="358" t="s">
        <v>576</v>
      </c>
      <c r="AUS9" s="189" t="s">
        <v>574</v>
      </c>
      <c r="AUT9" s="352" t="s">
        <v>573</v>
      </c>
      <c r="AUU9" s="142" t="s">
        <v>575</v>
      </c>
      <c r="AUV9" s="358" t="s">
        <v>576</v>
      </c>
      <c r="AUW9" s="189" t="s">
        <v>574</v>
      </c>
      <c r="AUX9" s="352" t="s">
        <v>573</v>
      </c>
      <c r="AUY9" s="142" t="s">
        <v>575</v>
      </c>
      <c r="AUZ9" s="358" t="s">
        <v>576</v>
      </c>
      <c r="AVA9" s="189" t="s">
        <v>574</v>
      </c>
      <c r="AVB9" s="352" t="s">
        <v>573</v>
      </c>
      <c r="AVC9" s="142" t="s">
        <v>575</v>
      </c>
      <c r="AVD9" s="358" t="s">
        <v>576</v>
      </c>
      <c r="AVE9" s="189" t="s">
        <v>574</v>
      </c>
      <c r="AVF9" s="352" t="s">
        <v>573</v>
      </c>
      <c r="AVG9" s="142" t="s">
        <v>575</v>
      </c>
      <c r="AVH9" s="358" t="s">
        <v>576</v>
      </c>
      <c r="AVI9" s="189" t="s">
        <v>574</v>
      </c>
      <c r="AVJ9" s="352" t="s">
        <v>573</v>
      </c>
      <c r="AVK9" s="142" t="s">
        <v>575</v>
      </c>
      <c r="AVL9" s="358" t="s">
        <v>576</v>
      </c>
      <c r="AVM9" s="189" t="s">
        <v>574</v>
      </c>
      <c r="AVN9" s="352" t="s">
        <v>573</v>
      </c>
      <c r="AVO9" s="142" t="s">
        <v>575</v>
      </c>
      <c r="AVP9" s="358" t="s">
        <v>576</v>
      </c>
      <c r="AVQ9" s="189" t="s">
        <v>574</v>
      </c>
      <c r="AVR9" s="352" t="s">
        <v>573</v>
      </c>
      <c r="AVS9" s="142" t="s">
        <v>575</v>
      </c>
      <c r="AVT9" s="358" t="s">
        <v>576</v>
      </c>
      <c r="AVU9" s="189" t="s">
        <v>574</v>
      </c>
      <c r="AVV9" s="352" t="s">
        <v>573</v>
      </c>
      <c r="AVW9" s="142" t="s">
        <v>575</v>
      </c>
      <c r="AVX9" s="358" t="s">
        <v>576</v>
      </c>
      <c r="AVY9" s="189" t="s">
        <v>574</v>
      </c>
      <c r="AVZ9" s="352" t="s">
        <v>573</v>
      </c>
      <c r="AWA9" s="142" t="s">
        <v>575</v>
      </c>
      <c r="AWB9" s="358" t="s">
        <v>576</v>
      </c>
      <c r="AWC9" s="189" t="s">
        <v>574</v>
      </c>
      <c r="AWD9" s="352" t="s">
        <v>573</v>
      </c>
      <c r="AWE9" s="142" t="s">
        <v>575</v>
      </c>
      <c r="AWF9" s="358" t="s">
        <v>576</v>
      </c>
      <c r="AWG9" s="189" t="s">
        <v>574</v>
      </c>
      <c r="AWH9" s="352" t="s">
        <v>573</v>
      </c>
      <c r="AWI9" s="142" t="s">
        <v>575</v>
      </c>
      <c r="AWJ9" s="358" t="s">
        <v>576</v>
      </c>
      <c r="AWK9" s="189" t="s">
        <v>574</v>
      </c>
      <c r="AWL9" s="352" t="s">
        <v>573</v>
      </c>
      <c r="AWM9" s="142" t="s">
        <v>575</v>
      </c>
      <c r="AWN9" s="358" t="s">
        <v>576</v>
      </c>
      <c r="AWO9" s="189" t="s">
        <v>574</v>
      </c>
      <c r="AWP9" s="352" t="s">
        <v>573</v>
      </c>
      <c r="AWQ9" s="142" t="s">
        <v>575</v>
      </c>
      <c r="AWR9" s="358" t="s">
        <v>576</v>
      </c>
      <c r="AWS9" s="189" t="s">
        <v>574</v>
      </c>
      <c r="AWT9" s="352" t="s">
        <v>573</v>
      </c>
      <c r="AWU9" s="142" t="s">
        <v>575</v>
      </c>
      <c r="AWV9" s="358" t="s">
        <v>576</v>
      </c>
      <c r="AWW9" s="189" t="s">
        <v>574</v>
      </c>
      <c r="AWX9" s="352" t="s">
        <v>573</v>
      </c>
      <c r="AWY9" s="142" t="s">
        <v>575</v>
      </c>
      <c r="AWZ9" s="358" t="s">
        <v>576</v>
      </c>
      <c r="AXA9" s="189" t="s">
        <v>574</v>
      </c>
      <c r="AXB9" s="352" t="s">
        <v>573</v>
      </c>
      <c r="AXC9" s="142" t="s">
        <v>575</v>
      </c>
      <c r="AXD9" s="358" t="s">
        <v>576</v>
      </c>
      <c r="AXE9" s="189" t="s">
        <v>574</v>
      </c>
      <c r="AXF9" s="352" t="s">
        <v>573</v>
      </c>
      <c r="AXG9" s="142" t="s">
        <v>575</v>
      </c>
      <c r="AXH9" s="358" t="s">
        <v>576</v>
      </c>
      <c r="AXI9" s="189" t="s">
        <v>574</v>
      </c>
      <c r="AXJ9" s="352" t="s">
        <v>573</v>
      </c>
      <c r="AXK9" s="142" t="s">
        <v>575</v>
      </c>
      <c r="AXL9" s="358" t="s">
        <v>576</v>
      </c>
      <c r="AXM9" s="189" t="s">
        <v>574</v>
      </c>
      <c r="AXN9" s="352" t="s">
        <v>573</v>
      </c>
      <c r="AXO9" s="142" t="s">
        <v>575</v>
      </c>
      <c r="AXP9" s="358" t="s">
        <v>576</v>
      </c>
      <c r="AXQ9" s="189" t="s">
        <v>574</v>
      </c>
      <c r="AXR9" s="352" t="s">
        <v>573</v>
      </c>
      <c r="AXS9" s="142" t="s">
        <v>575</v>
      </c>
      <c r="AXT9" s="358" t="s">
        <v>576</v>
      </c>
      <c r="AXU9" s="189" t="s">
        <v>574</v>
      </c>
      <c r="AXV9" s="352" t="s">
        <v>573</v>
      </c>
      <c r="AXW9" s="142" t="s">
        <v>575</v>
      </c>
      <c r="AXX9" s="358" t="s">
        <v>576</v>
      </c>
      <c r="AXY9" s="189" t="s">
        <v>574</v>
      </c>
      <c r="AXZ9" s="352" t="s">
        <v>573</v>
      </c>
      <c r="AYA9" s="142" t="s">
        <v>575</v>
      </c>
      <c r="AYB9" s="358" t="s">
        <v>576</v>
      </c>
      <c r="AYC9" s="189" t="s">
        <v>574</v>
      </c>
      <c r="AYD9" s="352" t="s">
        <v>573</v>
      </c>
      <c r="AYE9" s="142" t="s">
        <v>575</v>
      </c>
      <c r="AYF9" s="358" t="s">
        <v>576</v>
      </c>
      <c r="AYG9" s="189" t="s">
        <v>574</v>
      </c>
      <c r="AYH9" s="352" t="s">
        <v>573</v>
      </c>
      <c r="AYI9" s="142" t="s">
        <v>575</v>
      </c>
      <c r="AYJ9" s="358" t="s">
        <v>576</v>
      </c>
      <c r="AYK9" s="189" t="s">
        <v>574</v>
      </c>
      <c r="AYL9" s="352" t="s">
        <v>573</v>
      </c>
      <c r="AYM9" s="142" t="s">
        <v>575</v>
      </c>
      <c r="AYN9" s="358" t="s">
        <v>576</v>
      </c>
      <c r="AYO9" s="189" t="s">
        <v>574</v>
      </c>
      <c r="AYP9" s="352" t="s">
        <v>573</v>
      </c>
      <c r="AYQ9" s="142" t="s">
        <v>575</v>
      </c>
      <c r="AYR9" s="358" t="s">
        <v>576</v>
      </c>
      <c r="AYS9" s="189" t="s">
        <v>574</v>
      </c>
      <c r="AYT9" s="352" t="s">
        <v>573</v>
      </c>
      <c r="AYU9" s="142" t="s">
        <v>575</v>
      </c>
      <c r="AYV9" s="358" t="s">
        <v>576</v>
      </c>
      <c r="AYW9" s="189" t="s">
        <v>574</v>
      </c>
      <c r="AYX9" s="352" t="s">
        <v>573</v>
      </c>
      <c r="AYY9" s="142" t="s">
        <v>575</v>
      </c>
      <c r="AYZ9" s="358" t="s">
        <v>576</v>
      </c>
      <c r="AZA9" s="189" t="s">
        <v>574</v>
      </c>
      <c r="AZB9" s="352" t="s">
        <v>573</v>
      </c>
      <c r="AZC9" s="142" t="s">
        <v>575</v>
      </c>
      <c r="AZD9" s="358" t="s">
        <v>576</v>
      </c>
      <c r="AZE9" s="189" t="s">
        <v>574</v>
      </c>
      <c r="AZF9" s="352" t="s">
        <v>573</v>
      </c>
      <c r="AZG9" s="142" t="s">
        <v>575</v>
      </c>
      <c r="AZH9" s="358" t="s">
        <v>576</v>
      </c>
      <c r="AZI9" s="189" t="s">
        <v>574</v>
      </c>
      <c r="AZJ9" s="352" t="s">
        <v>573</v>
      </c>
      <c r="AZK9" s="142" t="s">
        <v>575</v>
      </c>
      <c r="AZL9" s="358" t="s">
        <v>576</v>
      </c>
      <c r="AZM9" s="189" t="s">
        <v>574</v>
      </c>
      <c r="AZN9" s="352" t="s">
        <v>573</v>
      </c>
      <c r="AZO9" s="142" t="s">
        <v>575</v>
      </c>
      <c r="AZP9" s="358" t="s">
        <v>576</v>
      </c>
      <c r="AZQ9" s="189" t="s">
        <v>574</v>
      </c>
      <c r="AZR9" s="352" t="s">
        <v>573</v>
      </c>
      <c r="AZS9" s="142" t="s">
        <v>575</v>
      </c>
      <c r="AZT9" s="358" t="s">
        <v>576</v>
      </c>
      <c r="AZU9" s="189" t="s">
        <v>574</v>
      </c>
      <c r="AZV9" s="352" t="s">
        <v>573</v>
      </c>
      <c r="AZW9" s="142" t="s">
        <v>575</v>
      </c>
      <c r="AZX9" s="358" t="s">
        <v>576</v>
      </c>
      <c r="AZY9" s="189" t="s">
        <v>574</v>
      </c>
      <c r="AZZ9" s="352" t="s">
        <v>573</v>
      </c>
      <c r="BAA9" s="142" t="s">
        <v>575</v>
      </c>
      <c r="BAB9" s="358" t="s">
        <v>576</v>
      </c>
      <c r="BAC9" s="189" t="s">
        <v>574</v>
      </c>
      <c r="BAD9" s="352" t="s">
        <v>573</v>
      </c>
      <c r="BAE9" s="142" t="s">
        <v>575</v>
      </c>
      <c r="BAF9" s="358" t="s">
        <v>576</v>
      </c>
      <c r="BAG9" s="189" t="s">
        <v>574</v>
      </c>
      <c r="BAH9" s="352" t="s">
        <v>573</v>
      </c>
      <c r="BAI9" s="142" t="s">
        <v>575</v>
      </c>
      <c r="BAJ9" s="358" t="s">
        <v>576</v>
      </c>
      <c r="BAK9" s="189" t="s">
        <v>574</v>
      </c>
      <c r="BAL9" s="352" t="s">
        <v>573</v>
      </c>
      <c r="BAM9" s="142" t="s">
        <v>575</v>
      </c>
      <c r="BAN9" s="358" t="s">
        <v>576</v>
      </c>
      <c r="BAO9" s="189" t="s">
        <v>574</v>
      </c>
      <c r="BAP9" s="352" t="s">
        <v>573</v>
      </c>
      <c r="BAQ9" s="142" t="s">
        <v>575</v>
      </c>
      <c r="BAR9" s="358" t="s">
        <v>576</v>
      </c>
      <c r="BAS9" s="189" t="s">
        <v>574</v>
      </c>
      <c r="BAT9" s="352" t="s">
        <v>573</v>
      </c>
      <c r="BAU9" s="142" t="s">
        <v>575</v>
      </c>
      <c r="BAV9" s="358" t="s">
        <v>576</v>
      </c>
      <c r="BAW9" s="189" t="s">
        <v>574</v>
      </c>
      <c r="BAX9" s="352" t="s">
        <v>573</v>
      </c>
      <c r="BAY9" s="142" t="s">
        <v>575</v>
      </c>
      <c r="BAZ9" s="358" t="s">
        <v>576</v>
      </c>
      <c r="BBA9" s="189" t="s">
        <v>574</v>
      </c>
      <c r="BBB9" s="352" t="s">
        <v>573</v>
      </c>
      <c r="BBC9" s="142" t="s">
        <v>575</v>
      </c>
      <c r="BBD9" s="358" t="s">
        <v>576</v>
      </c>
      <c r="BBE9" s="189" t="s">
        <v>574</v>
      </c>
      <c r="BBF9" s="352" t="s">
        <v>573</v>
      </c>
      <c r="BBG9" s="142" t="s">
        <v>575</v>
      </c>
      <c r="BBH9" s="358" t="s">
        <v>576</v>
      </c>
      <c r="BBI9" s="189" t="s">
        <v>574</v>
      </c>
      <c r="BBJ9" s="352" t="s">
        <v>573</v>
      </c>
      <c r="BBK9" s="142" t="s">
        <v>575</v>
      </c>
      <c r="BBL9" s="358" t="s">
        <v>576</v>
      </c>
      <c r="BBM9" s="189" t="s">
        <v>574</v>
      </c>
      <c r="BBN9" s="352" t="s">
        <v>573</v>
      </c>
      <c r="BBO9" s="142" t="s">
        <v>575</v>
      </c>
      <c r="BBP9" s="358" t="s">
        <v>576</v>
      </c>
      <c r="BBQ9" s="189" t="s">
        <v>574</v>
      </c>
      <c r="BBR9" s="352" t="s">
        <v>573</v>
      </c>
      <c r="BBS9" s="142" t="s">
        <v>575</v>
      </c>
      <c r="BBT9" s="358" t="s">
        <v>576</v>
      </c>
      <c r="BBU9" s="189" t="s">
        <v>574</v>
      </c>
      <c r="BBV9" s="352" t="s">
        <v>573</v>
      </c>
      <c r="BBW9" s="142" t="s">
        <v>575</v>
      </c>
      <c r="BBX9" s="358" t="s">
        <v>576</v>
      </c>
      <c r="BBY9" s="189" t="s">
        <v>574</v>
      </c>
      <c r="BBZ9" s="352" t="s">
        <v>573</v>
      </c>
      <c r="BCA9" s="142" t="s">
        <v>575</v>
      </c>
      <c r="BCB9" s="358" t="s">
        <v>576</v>
      </c>
      <c r="BCC9" s="189" t="s">
        <v>574</v>
      </c>
      <c r="BCD9" s="352" t="s">
        <v>573</v>
      </c>
      <c r="BCE9" s="142" t="s">
        <v>575</v>
      </c>
      <c r="BCF9" s="358" t="s">
        <v>576</v>
      </c>
      <c r="BCG9" s="189" t="s">
        <v>574</v>
      </c>
      <c r="BCH9" s="352" t="s">
        <v>573</v>
      </c>
      <c r="BCI9" s="142" t="s">
        <v>575</v>
      </c>
      <c r="BCJ9" s="358" t="s">
        <v>576</v>
      </c>
      <c r="BCK9" s="189" t="s">
        <v>574</v>
      </c>
      <c r="BCL9" s="352" t="s">
        <v>573</v>
      </c>
      <c r="BCM9" s="142" t="s">
        <v>575</v>
      </c>
      <c r="BCN9" s="358" t="s">
        <v>576</v>
      </c>
      <c r="BCO9" s="189" t="s">
        <v>574</v>
      </c>
      <c r="BCP9" s="352" t="s">
        <v>573</v>
      </c>
      <c r="BCQ9" s="142" t="s">
        <v>575</v>
      </c>
      <c r="BCR9" s="358" t="s">
        <v>576</v>
      </c>
      <c r="BCS9" s="189" t="s">
        <v>574</v>
      </c>
      <c r="BCT9" s="352" t="s">
        <v>573</v>
      </c>
      <c r="BCU9" s="142" t="s">
        <v>575</v>
      </c>
      <c r="BCV9" s="358" t="s">
        <v>576</v>
      </c>
      <c r="BCW9" s="189" t="s">
        <v>574</v>
      </c>
      <c r="BCX9" s="352" t="s">
        <v>573</v>
      </c>
      <c r="BCY9" s="142" t="s">
        <v>575</v>
      </c>
      <c r="BCZ9" s="358" t="s">
        <v>576</v>
      </c>
      <c r="BDA9" s="189" t="s">
        <v>574</v>
      </c>
      <c r="BDB9" s="352" t="s">
        <v>573</v>
      </c>
      <c r="BDC9" s="142" t="s">
        <v>575</v>
      </c>
      <c r="BDD9" s="358" t="s">
        <v>576</v>
      </c>
      <c r="BDE9" s="189" t="s">
        <v>574</v>
      </c>
      <c r="BDF9" s="352" t="s">
        <v>573</v>
      </c>
      <c r="BDG9" s="142" t="s">
        <v>575</v>
      </c>
      <c r="BDH9" s="358" t="s">
        <v>576</v>
      </c>
      <c r="BDI9" s="189" t="s">
        <v>574</v>
      </c>
      <c r="BDJ9" s="352" t="s">
        <v>573</v>
      </c>
      <c r="BDK9" s="142" t="s">
        <v>575</v>
      </c>
      <c r="BDL9" s="358" t="s">
        <v>576</v>
      </c>
      <c r="BDM9" s="189" t="s">
        <v>574</v>
      </c>
      <c r="BDN9" s="352" t="s">
        <v>573</v>
      </c>
      <c r="BDO9" s="142" t="s">
        <v>575</v>
      </c>
      <c r="BDP9" s="358" t="s">
        <v>576</v>
      </c>
      <c r="BDQ9" s="189" t="s">
        <v>574</v>
      </c>
      <c r="BDR9" s="352" t="s">
        <v>573</v>
      </c>
      <c r="BDS9" s="142" t="s">
        <v>575</v>
      </c>
      <c r="BDT9" s="358" t="s">
        <v>576</v>
      </c>
      <c r="BDU9" s="189" t="s">
        <v>574</v>
      </c>
      <c r="BDV9" s="352" t="s">
        <v>573</v>
      </c>
      <c r="BDW9" s="142" t="s">
        <v>575</v>
      </c>
      <c r="BDX9" s="358" t="s">
        <v>576</v>
      </c>
      <c r="BDY9" s="189" t="s">
        <v>574</v>
      </c>
      <c r="BDZ9" s="352" t="s">
        <v>573</v>
      </c>
      <c r="BEA9" s="142" t="s">
        <v>575</v>
      </c>
      <c r="BEB9" s="358" t="s">
        <v>576</v>
      </c>
      <c r="BEC9" s="189" t="s">
        <v>574</v>
      </c>
      <c r="BED9" s="352" t="s">
        <v>573</v>
      </c>
      <c r="BEE9" s="142" t="s">
        <v>575</v>
      </c>
      <c r="BEF9" s="358" t="s">
        <v>576</v>
      </c>
      <c r="BEG9" s="189" t="s">
        <v>574</v>
      </c>
      <c r="BEH9" s="352" t="s">
        <v>573</v>
      </c>
      <c r="BEI9" s="142" t="s">
        <v>575</v>
      </c>
      <c r="BEJ9" s="358" t="s">
        <v>576</v>
      </c>
      <c r="BEK9" s="189" t="s">
        <v>574</v>
      </c>
      <c r="BEL9" s="352" t="s">
        <v>573</v>
      </c>
      <c r="BEM9" s="142" t="s">
        <v>575</v>
      </c>
      <c r="BEN9" s="358" t="s">
        <v>576</v>
      </c>
      <c r="BEO9" s="189" t="s">
        <v>574</v>
      </c>
      <c r="BEP9" s="352" t="s">
        <v>573</v>
      </c>
      <c r="BEQ9" s="142" t="s">
        <v>575</v>
      </c>
      <c r="BER9" s="358" t="s">
        <v>576</v>
      </c>
      <c r="BES9" s="189" t="s">
        <v>574</v>
      </c>
      <c r="BET9" s="352" t="s">
        <v>573</v>
      </c>
      <c r="BEU9" s="142" t="s">
        <v>575</v>
      </c>
      <c r="BEV9" s="358" t="s">
        <v>576</v>
      </c>
      <c r="BEW9" s="189" t="s">
        <v>574</v>
      </c>
      <c r="BEX9" s="352" t="s">
        <v>573</v>
      </c>
      <c r="BEY9" s="142" t="s">
        <v>575</v>
      </c>
      <c r="BEZ9" s="358" t="s">
        <v>576</v>
      </c>
      <c r="BFA9" s="189" t="s">
        <v>574</v>
      </c>
      <c r="BFB9" s="352" t="s">
        <v>573</v>
      </c>
      <c r="BFC9" s="142" t="s">
        <v>575</v>
      </c>
      <c r="BFD9" s="358" t="s">
        <v>576</v>
      </c>
      <c r="BFE9" s="189" t="s">
        <v>574</v>
      </c>
      <c r="BFF9" s="352" t="s">
        <v>573</v>
      </c>
      <c r="BFG9" s="142" t="s">
        <v>575</v>
      </c>
      <c r="BFH9" s="358" t="s">
        <v>576</v>
      </c>
      <c r="BFI9" s="189" t="s">
        <v>574</v>
      </c>
      <c r="BFJ9" s="352" t="s">
        <v>573</v>
      </c>
      <c r="BFK9" s="142" t="s">
        <v>575</v>
      </c>
      <c r="BFL9" s="358" t="s">
        <v>576</v>
      </c>
      <c r="BFM9" s="189" t="s">
        <v>574</v>
      </c>
      <c r="BFN9" s="352" t="s">
        <v>573</v>
      </c>
      <c r="BFO9" s="142" t="s">
        <v>575</v>
      </c>
      <c r="BFP9" s="358" t="s">
        <v>576</v>
      </c>
      <c r="BFQ9" s="189" t="s">
        <v>574</v>
      </c>
      <c r="BFR9" s="352" t="s">
        <v>573</v>
      </c>
      <c r="BFS9" s="142" t="s">
        <v>575</v>
      </c>
      <c r="BFT9" s="358" t="s">
        <v>576</v>
      </c>
      <c r="BFU9" s="189" t="s">
        <v>574</v>
      </c>
      <c r="BFV9" s="352" t="s">
        <v>573</v>
      </c>
      <c r="BFW9" s="142" t="s">
        <v>575</v>
      </c>
      <c r="BFX9" s="358" t="s">
        <v>576</v>
      </c>
      <c r="BFY9" s="189" t="s">
        <v>574</v>
      </c>
      <c r="BFZ9" s="352" t="s">
        <v>573</v>
      </c>
      <c r="BGA9" s="142" t="s">
        <v>575</v>
      </c>
      <c r="BGB9" s="358" t="s">
        <v>576</v>
      </c>
      <c r="BGC9" s="189" t="s">
        <v>574</v>
      </c>
      <c r="BGD9" s="352" t="s">
        <v>573</v>
      </c>
      <c r="BGE9" s="142" t="s">
        <v>575</v>
      </c>
      <c r="BGF9" s="358" t="s">
        <v>576</v>
      </c>
      <c r="BGG9" s="189" t="s">
        <v>574</v>
      </c>
      <c r="BGH9" s="352" t="s">
        <v>573</v>
      </c>
      <c r="BGI9" s="142" t="s">
        <v>575</v>
      </c>
      <c r="BGJ9" s="358" t="s">
        <v>576</v>
      </c>
      <c r="BGK9" s="189" t="s">
        <v>574</v>
      </c>
      <c r="BGL9" s="352" t="s">
        <v>573</v>
      </c>
      <c r="BGM9" s="142" t="s">
        <v>575</v>
      </c>
      <c r="BGN9" s="358" t="s">
        <v>576</v>
      </c>
      <c r="BGO9" s="189" t="s">
        <v>574</v>
      </c>
      <c r="BGP9" s="352" t="s">
        <v>573</v>
      </c>
      <c r="BGQ9" s="142" t="s">
        <v>575</v>
      </c>
      <c r="BGR9" s="358" t="s">
        <v>576</v>
      </c>
      <c r="BGS9" s="189" t="s">
        <v>574</v>
      </c>
      <c r="BGT9" s="352" t="s">
        <v>573</v>
      </c>
      <c r="BGU9" s="142" t="s">
        <v>575</v>
      </c>
      <c r="BGV9" s="358" t="s">
        <v>576</v>
      </c>
      <c r="BGW9" s="189" t="s">
        <v>574</v>
      </c>
      <c r="BGX9" s="352" t="s">
        <v>573</v>
      </c>
      <c r="BGY9" s="142" t="s">
        <v>575</v>
      </c>
      <c r="BGZ9" s="358" t="s">
        <v>576</v>
      </c>
      <c r="BHA9" s="189" t="s">
        <v>574</v>
      </c>
      <c r="BHB9" s="352" t="s">
        <v>573</v>
      </c>
      <c r="BHC9" s="142" t="s">
        <v>575</v>
      </c>
      <c r="BHD9" s="358" t="s">
        <v>576</v>
      </c>
      <c r="BHE9" s="189" t="s">
        <v>574</v>
      </c>
      <c r="BHF9" s="352" t="s">
        <v>573</v>
      </c>
      <c r="BHG9" s="142" t="s">
        <v>575</v>
      </c>
      <c r="BHH9" s="358" t="s">
        <v>576</v>
      </c>
      <c r="BHI9" s="189" t="s">
        <v>574</v>
      </c>
      <c r="BHJ9" s="352" t="s">
        <v>573</v>
      </c>
      <c r="BHK9" s="142" t="s">
        <v>575</v>
      </c>
      <c r="BHL9" s="358" t="s">
        <v>576</v>
      </c>
      <c r="BHM9" s="189" t="s">
        <v>574</v>
      </c>
      <c r="BHN9" s="352" t="s">
        <v>573</v>
      </c>
      <c r="BHO9" s="142" t="s">
        <v>575</v>
      </c>
      <c r="BHP9" s="358" t="s">
        <v>576</v>
      </c>
      <c r="BHQ9" s="189" t="s">
        <v>574</v>
      </c>
      <c r="BHR9" s="352" t="s">
        <v>573</v>
      </c>
      <c r="BHS9" s="142" t="s">
        <v>575</v>
      </c>
      <c r="BHT9" s="358" t="s">
        <v>576</v>
      </c>
      <c r="BHU9" s="189" t="s">
        <v>574</v>
      </c>
      <c r="BHV9" s="352" t="s">
        <v>573</v>
      </c>
      <c r="BHW9" s="142" t="s">
        <v>575</v>
      </c>
      <c r="BHX9" s="358" t="s">
        <v>576</v>
      </c>
      <c r="BHY9" s="189" t="s">
        <v>574</v>
      </c>
      <c r="BHZ9" s="352" t="s">
        <v>573</v>
      </c>
      <c r="BIA9" s="142" t="s">
        <v>575</v>
      </c>
      <c r="BIB9" s="358" t="s">
        <v>576</v>
      </c>
      <c r="BIC9" s="189" t="s">
        <v>574</v>
      </c>
      <c r="BID9" s="352" t="s">
        <v>573</v>
      </c>
      <c r="BIE9" s="142" t="s">
        <v>575</v>
      </c>
      <c r="BIF9" s="358" t="s">
        <v>576</v>
      </c>
      <c r="BIG9" s="189" t="s">
        <v>574</v>
      </c>
      <c r="BIH9" s="352" t="s">
        <v>573</v>
      </c>
      <c r="BII9" s="142" t="s">
        <v>575</v>
      </c>
      <c r="BIJ9" s="358" t="s">
        <v>576</v>
      </c>
      <c r="BIK9" s="189" t="s">
        <v>574</v>
      </c>
      <c r="BIL9" s="352" t="s">
        <v>573</v>
      </c>
      <c r="BIM9" s="142" t="s">
        <v>575</v>
      </c>
      <c r="BIN9" s="358" t="s">
        <v>576</v>
      </c>
      <c r="BIO9" s="189" t="s">
        <v>574</v>
      </c>
      <c r="BIP9" s="352" t="s">
        <v>573</v>
      </c>
      <c r="BIQ9" s="142" t="s">
        <v>575</v>
      </c>
      <c r="BIR9" s="358" t="s">
        <v>576</v>
      </c>
      <c r="BIS9" s="189" t="s">
        <v>574</v>
      </c>
      <c r="BIT9" s="352" t="s">
        <v>573</v>
      </c>
      <c r="BIU9" s="142" t="s">
        <v>575</v>
      </c>
      <c r="BIV9" s="358" t="s">
        <v>576</v>
      </c>
      <c r="BIW9" s="189" t="s">
        <v>574</v>
      </c>
      <c r="BIX9" s="352" t="s">
        <v>573</v>
      </c>
      <c r="BIY9" s="142" t="s">
        <v>575</v>
      </c>
      <c r="BIZ9" s="358" t="s">
        <v>576</v>
      </c>
      <c r="BJA9" s="189" t="s">
        <v>574</v>
      </c>
      <c r="BJB9" s="352" t="s">
        <v>573</v>
      </c>
      <c r="BJC9" s="142" t="s">
        <v>575</v>
      </c>
      <c r="BJD9" s="358" t="s">
        <v>576</v>
      </c>
      <c r="BJE9" s="189" t="s">
        <v>574</v>
      </c>
      <c r="BJF9" s="352" t="s">
        <v>573</v>
      </c>
      <c r="BJG9" s="142" t="s">
        <v>575</v>
      </c>
      <c r="BJH9" s="358" t="s">
        <v>576</v>
      </c>
      <c r="BJI9" s="189" t="s">
        <v>574</v>
      </c>
      <c r="BJJ9" s="352" t="s">
        <v>573</v>
      </c>
      <c r="BJK9" s="142" t="s">
        <v>575</v>
      </c>
      <c r="BJL9" s="358" t="s">
        <v>576</v>
      </c>
      <c r="BJM9" s="189" t="s">
        <v>574</v>
      </c>
      <c r="BJN9" s="352" t="s">
        <v>573</v>
      </c>
      <c r="BJO9" s="142" t="s">
        <v>575</v>
      </c>
      <c r="BJP9" s="358" t="s">
        <v>576</v>
      </c>
      <c r="BJQ9" s="189" t="s">
        <v>574</v>
      </c>
      <c r="BJR9" s="352" t="s">
        <v>573</v>
      </c>
      <c r="BJS9" s="142" t="s">
        <v>575</v>
      </c>
      <c r="BJT9" s="358" t="s">
        <v>576</v>
      </c>
      <c r="BJU9" s="189" t="s">
        <v>574</v>
      </c>
      <c r="BJV9" s="352" t="s">
        <v>573</v>
      </c>
      <c r="BJW9" s="142" t="s">
        <v>575</v>
      </c>
      <c r="BJX9" s="358" t="s">
        <v>576</v>
      </c>
      <c r="BJY9" s="189" t="s">
        <v>574</v>
      </c>
      <c r="BJZ9" s="352" t="s">
        <v>573</v>
      </c>
      <c r="BKA9" s="142" t="s">
        <v>575</v>
      </c>
      <c r="BKB9" s="358" t="s">
        <v>576</v>
      </c>
      <c r="BKC9" s="189" t="s">
        <v>574</v>
      </c>
      <c r="BKD9" s="352" t="s">
        <v>573</v>
      </c>
      <c r="BKE9" s="142" t="s">
        <v>575</v>
      </c>
      <c r="BKF9" s="358" t="s">
        <v>576</v>
      </c>
      <c r="BKG9" s="189" t="s">
        <v>574</v>
      </c>
      <c r="BKH9" s="352" t="s">
        <v>573</v>
      </c>
      <c r="BKI9" s="142" t="s">
        <v>575</v>
      </c>
      <c r="BKJ9" s="358" t="s">
        <v>576</v>
      </c>
      <c r="BKK9" s="189" t="s">
        <v>574</v>
      </c>
      <c r="BKL9" s="352" t="s">
        <v>573</v>
      </c>
      <c r="BKM9" s="142" t="s">
        <v>575</v>
      </c>
      <c r="BKN9" s="358" t="s">
        <v>576</v>
      </c>
      <c r="BKO9" s="189" t="s">
        <v>574</v>
      </c>
      <c r="BKP9" s="352" t="s">
        <v>573</v>
      </c>
      <c r="BKQ9" s="142" t="s">
        <v>575</v>
      </c>
      <c r="BKR9" s="358" t="s">
        <v>576</v>
      </c>
      <c r="BKS9" s="189" t="s">
        <v>574</v>
      </c>
      <c r="BKT9" s="352" t="s">
        <v>573</v>
      </c>
      <c r="BKU9" s="142" t="s">
        <v>575</v>
      </c>
      <c r="BKV9" s="358" t="s">
        <v>576</v>
      </c>
      <c r="BKW9" s="189" t="s">
        <v>574</v>
      </c>
      <c r="BKX9" s="352" t="s">
        <v>573</v>
      </c>
      <c r="BKY9" s="142" t="s">
        <v>575</v>
      </c>
      <c r="BKZ9" s="358" t="s">
        <v>576</v>
      </c>
      <c r="BLA9" s="189" t="s">
        <v>574</v>
      </c>
      <c r="BLB9" s="352" t="s">
        <v>573</v>
      </c>
      <c r="BLC9" s="142" t="s">
        <v>575</v>
      </c>
      <c r="BLD9" s="358" t="s">
        <v>576</v>
      </c>
      <c r="BLE9" s="189" t="s">
        <v>574</v>
      </c>
      <c r="BLF9" s="352" t="s">
        <v>573</v>
      </c>
      <c r="BLG9" s="142" t="s">
        <v>575</v>
      </c>
      <c r="BLH9" s="358" t="s">
        <v>576</v>
      </c>
      <c r="BLI9" s="189" t="s">
        <v>574</v>
      </c>
      <c r="BLJ9" s="352" t="s">
        <v>573</v>
      </c>
      <c r="BLK9" s="142" t="s">
        <v>575</v>
      </c>
      <c r="BLL9" s="358" t="s">
        <v>576</v>
      </c>
      <c r="BLM9" s="189" t="s">
        <v>574</v>
      </c>
      <c r="BLN9" s="352" t="s">
        <v>573</v>
      </c>
      <c r="BLO9" s="142" t="s">
        <v>575</v>
      </c>
      <c r="BLP9" s="358" t="s">
        <v>576</v>
      </c>
      <c r="BLQ9" s="189" t="s">
        <v>574</v>
      </c>
      <c r="BLR9" s="352" t="s">
        <v>573</v>
      </c>
      <c r="BLS9" s="142" t="s">
        <v>575</v>
      </c>
      <c r="BLT9" s="358" t="s">
        <v>576</v>
      </c>
      <c r="BLU9" s="189" t="s">
        <v>574</v>
      </c>
      <c r="BLV9" s="352" t="s">
        <v>573</v>
      </c>
      <c r="BLW9" s="142" t="s">
        <v>575</v>
      </c>
      <c r="BLX9" s="358" t="s">
        <v>576</v>
      </c>
      <c r="BLY9" s="189" t="s">
        <v>574</v>
      </c>
      <c r="BLZ9" s="352" t="s">
        <v>573</v>
      </c>
      <c r="BMA9" s="142" t="s">
        <v>575</v>
      </c>
      <c r="BMB9" s="358" t="s">
        <v>576</v>
      </c>
      <c r="BMC9" s="189" t="s">
        <v>574</v>
      </c>
      <c r="BMD9" s="352" t="s">
        <v>573</v>
      </c>
      <c r="BME9" s="142" t="s">
        <v>575</v>
      </c>
      <c r="BMF9" s="358" t="s">
        <v>576</v>
      </c>
      <c r="BMG9" s="189" t="s">
        <v>574</v>
      </c>
      <c r="BMH9" s="352" t="s">
        <v>573</v>
      </c>
      <c r="BMI9" s="142" t="s">
        <v>575</v>
      </c>
      <c r="BMJ9" s="358" t="s">
        <v>576</v>
      </c>
      <c r="BMK9" s="189" t="s">
        <v>574</v>
      </c>
      <c r="BML9" s="352" t="s">
        <v>573</v>
      </c>
      <c r="BMM9" s="142" t="s">
        <v>575</v>
      </c>
      <c r="BMN9" s="358" t="s">
        <v>576</v>
      </c>
      <c r="BMO9" s="189" t="s">
        <v>574</v>
      </c>
      <c r="BMP9" s="352" t="s">
        <v>573</v>
      </c>
      <c r="BMQ9" s="142" t="s">
        <v>575</v>
      </c>
      <c r="BMR9" s="358" t="s">
        <v>576</v>
      </c>
      <c r="BMS9" s="189" t="s">
        <v>574</v>
      </c>
      <c r="BMT9" s="352" t="s">
        <v>573</v>
      </c>
      <c r="BMU9" s="142" t="s">
        <v>575</v>
      </c>
      <c r="BMV9" s="358" t="s">
        <v>576</v>
      </c>
      <c r="BMW9" s="189" t="s">
        <v>574</v>
      </c>
      <c r="BMX9" s="352" t="s">
        <v>573</v>
      </c>
      <c r="BMY9" s="142" t="s">
        <v>575</v>
      </c>
      <c r="BMZ9" s="358" t="s">
        <v>576</v>
      </c>
      <c r="BNA9" s="189" t="s">
        <v>574</v>
      </c>
      <c r="BNB9" s="352" t="s">
        <v>573</v>
      </c>
      <c r="BNC9" s="142" t="s">
        <v>575</v>
      </c>
      <c r="BND9" s="358" t="s">
        <v>576</v>
      </c>
      <c r="BNE9" s="189" t="s">
        <v>574</v>
      </c>
      <c r="BNF9" s="352" t="s">
        <v>573</v>
      </c>
      <c r="BNG9" s="142" t="s">
        <v>575</v>
      </c>
      <c r="BNH9" s="358" t="s">
        <v>576</v>
      </c>
      <c r="BNI9" s="189" t="s">
        <v>574</v>
      </c>
      <c r="BNJ9" s="352" t="s">
        <v>573</v>
      </c>
      <c r="BNK9" s="142" t="s">
        <v>575</v>
      </c>
      <c r="BNL9" s="358" t="s">
        <v>576</v>
      </c>
      <c r="BNM9" s="189" t="s">
        <v>574</v>
      </c>
      <c r="BNN9" s="352" t="s">
        <v>573</v>
      </c>
      <c r="BNO9" s="142" t="s">
        <v>575</v>
      </c>
      <c r="BNP9" s="358" t="s">
        <v>576</v>
      </c>
      <c r="BNQ9" s="189" t="s">
        <v>574</v>
      </c>
      <c r="BNR9" s="352" t="s">
        <v>573</v>
      </c>
      <c r="BNS9" s="142" t="s">
        <v>575</v>
      </c>
      <c r="BNT9" s="358" t="s">
        <v>576</v>
      </c>
      <c r="BNU9" s="189" t="s">
        <v>574</v>
      </c>
      <c r="BNV9" s="352" t="s">
        <v>573</v>
      </c>
      <c r="BNW9" s="142" t="s">
        <v>575</v>
      </c>
      <c r="BNX9" s="358" t="s">
        <v>576</v>
      </c>
      <c r="BNY9" s="189" t="s">
        <v>574</v>
      </c>
      <c r="BNZ9" s="352" t="s">
        <v>573</v>
      </c>
      <c r="BOA9" s="142" t="s">
        <v>575</v>
      </c>
      <c r="BOB9" s="358" t="s">
        <v>576</v>
      </c>
      <c r="BOC9" s="189" t="s">
        <v>574</v>
      </c>
      <c r="BOD9" s="352" t="s">
        <v>573</v>
      </c>
      <c r="BOE9" s="142" t="s">
        <v>575</v>
      </c>
      <c r="BOF9" s="358" t="s">
        <v>576</v>
      </c>
      <c r="BOG9" s="189" t="s">
        <v>574</v>
      </c>
      <c r="BOH9" s="352" t="s">
        <v>573</v>
      </c>
      <c r="BOI9" s="142" t="s">
        <v>575</v>
      </c>
      <c r="BOJ9" s="358" t="s">
        <v>576</v>
      </c>
      <c r="BOK9" s="189" t="s">
        <v>574</v>
      </c>
      <c r="BOL9" s="352" t="s">
        <v>573</v>
      </c>
      <c r="BOM9" s="142" t="s">
        <v>575</v>
      </c>
      <c r="BON9" s="358" t="s">
        <v>576</v>
      </c>
      <c r="BOO9" s="189" t="s">
        <v>574</v>
      </c>
      <c r="BOP9" s="352" t="s">
        <v>573</v>
      </c>
      <c r="BOQ9" s="142" t="s">
        <v>575</v>
      </c>
      <c r="BOR9" s="358" t="s">
        <v>576</v>
      </c>
      <c r="BOS9" s="189" t="s">
        <v>574</v>
      </c>
      <c r="BOT9" s="352" t="s">
        <v>573</v>
      </c>
      <c r="BOU9" s="142" t="s">
        <v>575</v>
      </c>
      <c r="BOV9" s="358" t="s">
        <v>576</v>
      </c>
      <c r="BOW9" s="189" t="s">
        <v>574</v>
      </c>
      <c r="BOX9" s="352" t="s">
        <v>573</v>
      </c>
      <c r="BOY9" s="142" t="s">
        <v>575</v>
      </c>
      <c r="BOZ9" s="358" t="s">
        <v>576</v>
      </c>
      <c r="BPA9" s="189" t="s">
        <v>574</v>
      </c>
      <c r="BPB9" s="352" t="s">
        <v>573</v>
      </c>
      <c r="BPC9" s="142" t="s">
        <v>575</v>
      </c>
      <c r="BPD9" s="358" t="s">
        <v>576</v>
      </c>
      <c r="BPE9" s="189" t="s">
        <v>574</v>
      </c>
      <c r="BPF9" s="352" t="s">
        <v>573</v>
      </c>
      <c r="BPG9" s="142" t="s">
        <v>575</v>
      </c>
      <c r="BPH9" s="358" t="s">
        <v>576</v>
      </c>
      <c r="BPI9" s="189" t="s">
        <v>574</v>
      </c>
      <c r="BPJ9" s="352" t="s">
        <v>573</v>
      </c>
      <c r="BPK9" s="142" t="s">
        <v>575</v>
      </c>
      <c r="BPL9" s="358" t="s">
        <v>576</v>
      </c>
      <c r="BPM9" s="189" t="s">
        <v>574</v>
      </c>
      <c r="BPN9" s="352" t="s">
        <v>573</v>
      </c>
      <c r="BPO9" s="142" t="s">
        <v>575</v>
      </c>
      <c r="BPP9" s="358" t="s">
        <v>576</v>
      </c>
      <c r="BPQ9" s="189" t="s">
        <v>574</v>
      </c>
      <c r="BPR9" s="352" t="s">
        <v>573</v>
      </c>
      <c r="BPS9" s="142" t="s">
        <v>575</v>
      </c>
      <c r="BPT9" s="358" t="s">
        <v>576</v>
      </c>
      <c r="BPU9" s="189" t="s">
        <v>574</v>
      </c>
      <c r="BPV9" s="352" t="s">
        <v>573</v>
      </c>
      <c r="BPW9" s="142" t="s">
        <v>575</v>
      </c>
      <c r="BPX9" s="358" t="s">
        <v>576</v>
      </c>
      <c r="BPY9" s="189" t="s">
        <v>574</v>
      </c>
      <c r="BPZ9" s="352" t="s">
        <v>573</v>
      </c>
      <c r="BQA9" s="142" t="s">
        <v>575</v>
      </c>
      <c r="BQB9" s="358" t="s">
        <v>576</v>
      </c>
      <c r="BQC9" s="189" t="s">
        <v>574</v>
      </c>
      <c r="BQD9" s="352" t="s">
        <v>573</v>
      </c>
      <c r="BQE9" s="142" t="s">
        <v>575</v>
      </c>
      <c r="BQF9" s="358" t="s">
        <v>576</v>
      </c>
      <c r="BQG9" s="189" t="s">
        <v>574</v>
      </c>
      <c r="BQH9" s="352" t="s">
        <v>573</v>
      </c>
      <c r="BQI9" s="142" t="s">
        <v>575</v>
      </c>
      <c r="BQJ9" s="358" t="s">
        <v>576</v>
      </c>
      <c r="BQK9" s="189" t="s">
        <v>574</v>
      </c>
      <c r="BQL9" s="352" t="s">
        <v>573</v>
      </c>
      <c r="BQM9" s="142" t="s">
        <v>575</v>
      </c>
      <c r="BQN9" s="358" t="s">
        <v>576</v>
      </c>
      <c r="BQO9" s="189" t="s">
        <v>574</v>
      </c>
      <c r="BQP9" s="352" t="s">
        <v>573</v>
      </c>
      <c r="BQQ9" s="142" t="s">
        <v>575</v>
      </c>
      <c r="BQR9" s="358" t="s">
        <v>576</v>
      </c>
      <c r="BQS9" s="189" t="s">
        <v>574</v>
      </c>
      <c r="BQT9" s="352" t="s">
        <v>573</v>
      </c>
      <c r="BQU9" s="142" t="s">
        <v>575</v>
      </c>
      <c r="BQV9" s="358" t="s">
        <v>576</v>
      </c>
      <c r="BQW9" s="189" t="s">
        <v>574</v>
      </c>
      <c r="BQX9" s="352" t="s">
        <v>573</v>
      </c>
      <c r="BQY9" s="142" t="s">
        <v>575</v>
      </c>
      <c r="BQZ9" s="358" t="s">
        <v>576</v>
      </c>
      <c r="BRA9" s="189" t="s">
        <v>574</v>
      </c>
      <c r="BRB9" s="352" t="s">
        <v>573</v>
      </c>
      <c r="BRC9" s="142" t="s">
        <v>575</v>
      </c>
      <c r="BRD9" s="358" t="s">
        <v>576</v>
      </c>
      <c r="BRE9" s="189" t="s">
        <v>574</v>
      </c>
      <c r="BRF9" s="352" t="s">
        <v>573</v>
      </c>
      <c r="BRG9" s="142" t="s">
        <v>575</v>
      </c>
      <c r="BRH9" s="358" t="s">
        <v>576</v>
      </c>
      <c r="BRI9" s="189" t="s">
        <v>574</v>
      </c>
      <c r="BRJ9" s="352" t="s">
        <v>573</v>
      </c>
      <c r="BRK9" s="142" t="s">
        <v>575</v>
      </c>
      <c r="BRL9" s="358" t="s">
        <v>576</v>
      </c>
      <c r="BRM9" s="189" t="s">
        <v>574</v>
      </c>
      <c r="BRN9" s="352" t="s">
        <v>573</v>
      </c>
      <c r="BRO9" s="142" t="s">
        <v>575</v>
      </c>
      <c r="BRP9" s="358" t="s">
        <v>576</v>
      </c>
      <c r="BRQ9" s="189" t="s">
        <v>574</v>
      </c>
      <c r="BRR9" s="352" t="s">
        <v>573</v>
      </c>
      <c r="BRS9" s="142" t="s">
        <v>575</v>
      </c>
      <c r="BRT9" s="358" t="s">
        <v>576</v>
      </c>
      <c r="BRU9" s="189" t="s">
        <v>574</v>
      </c>
      <c r="BRV9" s="352" t="s">
        <v>573</v>
      </c>
      <c r="BRW9" s="142" t="s">
        <v>575</v>
      </c>
      <c r="BRX9" s="358" t="s">
        <v>576</v>
      </c>
      <c r="BRY9" s="189" t="s">
        <v>574</v>
      </c>
      <c r="BRZ9" s="352" t="s">
        <v>573</v>
      </c>
      <c r="BSA9" s="142" t="s">
        <v>575</v>
      </c>
      <c r="BSB9" s="358" t="s">
        <v>576</v>
      </c>
      <c r="BSC9" s="189" t="s">
        <v>574</v>
      </c>
      <c r="BSD9" s="352" t="s">
        <v>573</v>
      </c>
      <c r="BSE9" s="142" t="s">
        <v>575</v>
      </c>
      <c r="BSF9" s="358" t="s">
        <v>576</v>
      </c>
      <c r="BSG9" s="189" t="s">
        <v>574</v>
      </c>
      <c r="BSH9" s="352" t="s">
        <v>573</v>
      </c>
      <c r="BSI9" s="142" t="s">
        <v>575</v>
      </c>
      <c r="BSJ9" s="358" t="s">
        <v>576</v>
      </c>
      <c r="BSK9" s="189" t="s">
        <v>574</v>
      </c>
      <c r="BSL9" s="352" t="s">
        <v>573</v>
      </c>
      <c r="BSM9" s="142" t="s">
        <v>575</v>
      </c>
      <c r="BSN9" s="358" t="s">
        <v>576</v>
      </c>
      <c r="BSO9" s="189" t="s">
        <v>574</v>
      </c>
      <c r="BSP9" s="352" t="s">
        <v>573</v>
      </c>
      <c r="BSQ9" s="142" t="s">
        <v>575</v>
      </c>
      <c r="BSR9" s="358" t="s">
        <v>576</v>
      </c>
      <c r="BSS9" s="189" t="s">
        <v>574</v>
      </c>
      <c r="BST9" s="352" t="s">
        <v>573</v>
      </c>
      <c r="BSU9" s="142" t="s">
        <v>575</v>
      </c>
      <c r="BSV9" s="358" t="s">
        <v>576</v>
      </c>
      <c r="BSW9" s="189" t="s">
        <v>574</v>
      </c>
      <c r="BSX9" s="352" t="s">
        <v>573</v>
      </c>
      <c r="BSY9" s="142" t="s">
        <v>575</v>
      </c>
      <c r="BSZ9" s="358" t="s">
        <v>576</v>
      </c>
      <c r="BTA9" s="189" t="s">
        <v>574</v>
      </c>
      <c r="BTB9" s="352" t="s">
        <v>573</v>
      </c>
      <c r="BTC9" s="142" t="s">
        <v>575</v>
      </c>
      <c r="BTD9" s="358" t="s">
        <v>576</v>
      </c>
      <c r="BTE9" s="189" t="s">
        <v>574</v>
      </c>
      <c r="BTF9" s="352" t="s">
        <v>573</v>
      </c>
      <c r="BTG9" s="142" t="s">
        <v>575</v>
      </c>
      <c r="BTH9" s="358" t="s">
        <v>576</v>
      </c>
      <c r="BTI9" s="189" t="s">
        <v>574</v>
      </c>
      <c r="BTJ9" s="352" t="s">
        <v>573</v>
      </c>
      <c r="BTK9" s="142" t="s">
        <v>575</v>
      </c>
      <c r="BTL9" s="358" t="s">
        <v>576</v>
      </c>
      <c r="BTM9" s="189" t="s">
        <v>574</v>
      </c>
      <c r="BTN9" s="352" t="s">
        <v>573</v>
      </c>
      <c r="BTO9" s="142" t="s">
        <v>575</v>
      </c>
      <c r="BTP9" s="358" t="s">
        <v>576</v>
      </c>
      <c r="BTQ9" s="189" t="s">
        <v>574</v>
      </c>
      <c r="BTR9" s="352" t="s">
        <v>573</v>
      </c>
      <c r="BTS9" s="142" t="s">
        <v>575</v>
      </c>
      <c r="BTT9" s="358" t="s">
        <v>576</v>
      </c>
      <c r="BTU9" s="189" t="s">
        <v>574</v>
      </c>
      <c r="BTV9" s="352" t="s">
        <v>573</v>
      </c>
      <c r="BTW9" s="142" t="s">
        <v>575</v>
      </c>
      <c r="BTX9" s="358" t="s">
        <v>576</v>
      </c>
      <c r="BTY9" s="189" t="s">
        <v>574</v>
      </c>
      <c r="BTZ9" s="352" t="s">
        <v>573</v>
      </c>
      <c r="BUA9" s="142" t="s">
        <v>575</v>
      </c>
      <c r="BUB9" s="358" t="s">
        <v>576</v>
      </c>
      <c r="BUC9" s="189" t="s">
        <v>574</v>
      </c>
      <c r="BUD9" s="352" t="s">
        <v>573</v>
      </c>
      <c r="BUE9" s="142" t="s">
        <v>575</v>
      </c>
      <c r="BUF9" s="358" t="s">
        <v>576</v>
      </c>
      <c r="BUG9" s="189" t="s">
        <v>574</v>
      </c>
      <c r="BUH9" s="352" t="s">
        <v>573</v>
      </c>
      <c r="BUI9" s="142" t="s">
        <v>575</v>
      </c>
      <c r="BUJ9" s="358" t="s">
        <v>576</v>
      </c>
      <c r="BUK9" s="189" t="s">
        <v>574</v>
      </c>
      <c r="BUL9" s="352" t="s">
        <v>573</v>
      </c>
      <c r="BUM9" s="142" t="s">
        <v>575</v>
      </c>
      <c r="BUN9" s="358" t="s">
        <v>576</v>
      </c>
      <c r="BUO9" s="189" t="s">
        <v>574</v>
      </c>
      <c r="BUP9" s="352" t="s">
        <v>573</v>
      </c>
      <c r="BUQ9" s="142" t="s">
        <v>575</v>
      </c>
      <c r="BUR9" s="358" t="s">
        <v>576</v>
      </c>
      <c r="BUS9" s="189" t="s">
        <v>574</v>
      </c>
      <c r="BUT9" s="352" t="s">
        <v>573</v>
      </c>
      <c r="BUU9" s="142" t="s">
        <v>575</v>
      </c>
      <c r="BUV9" s="358" t="s">
        <v>576</v>
      </c>
      <c r="BUW9" s="189" t="s">
        <v>574</v>
      </c>
      <c r="BUX9" s="352" t="s">
        <v>573</v>
      </c>
      <c r="BUY9" s="142" t="s">
        <v>575</v>
      </c>
      <c r="BUZ9" s="358" t="s">
        <v>576</v>
      </c>
      <c r="BVA9" s="189" t="s">
        <v>574</v>
      </c>
      <c r="BVB9" s="352" t="s">
        <v>573</v>
      </c>
      <c r="BVC9" s="142" t="s">
        <v>575</v>
      </c>
      <c r="BVD9" s="358" t="s">
        <v>576</v>
      </c>
      <c r="BVE9" s="189" t="s">
        <v>574</v>
      </c>
      <c r="BVF9" s="352" t="s">
        <v>573</v>
      </c>
      <c r="BVG9" s="142" t="s">
        <v>575</v>
      </c>
      <c r="BVH9" s="358" t="s">
        <v>576</v>
      </c>
      <c r="BVI9" s="189" t="s">
        <v>574</v>
      </c>
      <c r="BVJ9" s="352" t="s">
        <v>573</v>
      </c>
      <c r="BVK9" s="142" t="s">
        <v>575</v>
      </c>
      <c r="BVL9" s="358" t="s">
        <v>576</v>
      </c>
      <c r="BVM9" s="189" t="s">
        <v>574</v>
      </c>
      <c r="BVN9" s="352" t="s">
        <v>573</v>
      </c>
      <c r="BVO9" s="142" t="s">
        <v>575</v>
      </c>
      <c r="BVP9" s="358" t="s">
        <v>576</v>
      </c>
      <c r="BVQ9" s="189" t="s">
        <v>574</v>
      </c>
      <c r="BVR9" s="352" t="s">
        <v>573</v>
      </c>
      <c r="BVS9" s="142" t="s">
        <v>575</v>
      </c>
      <c r="BVT9" s="358" t="s">
        <v>576</v>
      </c>
      <c r="BVU9" s="189" t="s">
        <v>574</v>
      </c>
      <c r="BVV9" s="352" t="s">
        <v>573</v>
      </c>
      <c r="BVW9" s="142" t="s">
        <v>575</v>
      </c>
      <c r="BVX9" s="358" t="s">
        <v>576</v>
      </c>
      <c r="BVY9" s="189" t="s">
        <v>574</v>
      </c>
      <c r="BVZ9" s="352" t="s">
        <v>573</v>
      </c>
      <c r="BWA9" s="142" t="s">
        <v>575</v>
      </c>
      <c r="BWB9" s="358" t="s">
        <v>576</v>
      </c>
      <c r="BWC9" s="189" t="s">
        <v>574</v>
      </c>
      <c r="BWD9" s="352" t="s">
        <v>573</v>
      </c>
      <c r="BWE9" s="142" t="s">
        <v>575</v>
      </c>
      <c r="BWF9" s="358" t="s">
        <v>576</v>
      </c>
      <c r="BWG9" s="189" t="s">
        <v>574</v>
      </c>
      <c r="BWH9" s="352" t="s">
        <v>573</v>
      </c>
      <c r="BWI9" s="142" t="s">
        <v>575</v>
      </c>
      <c r="BWJ9" s="358" t="s">
        <v>576</v>
      </c>
      <c r="BWK9" s="189" t="s">
        <v>574</v>
      </c>
      <c r="BWL9" s="352" t="s">
        <v>573</v>
      </c>
      <c r="BWM9" s="142" t="s">
        <v>575</v>
      </c>
      <c r="BWN9" s="358" t="s">
        <v>576</v>
      </c>
      <c r="BWO9" s="189" t="s">
        <v>574</v>
      </c>
      <c r="BWP9" s="352" t="s">
        <v>573</v>
      </c>
      <c r="BWQ9" s="142" t="s">
        <v>575</v>
      </c>
      <c r="BWR9" s="358" t="s">
        <v>576</v>
      </c>
      <c r="BWS9" s="189" t="s">
        <v>574</v>
      </c>
      <c r="BWT9" s="352" t="s">
        <v>573</v>
      </c>
      <c r="BWU9" s="142" t="s">
        <v>575</v>
      </c>
      <c r="BWV9" s="358" t="s">
        <v>576</v>
      </c>
      <c r="BWW9" s="189" t="s">
        <v>574</v>
      </c>
      <c r="BWX9" s="352" t="s">
        <v>573</v>
      </c>
      <c r="BWY9" s="142" t="s">
        <v>575</v>
      </c>
      <c r="BWZ9" s="358" t="s">
        <v>576</v>
      </c>
      <c r="BXA9" s="189" t="s">
        <v>574</v>
      </c>
      <c r="BXB9" s="352" t="s">
        <v>573</v>
      </c>
      <c r="BXC9" s="142" t="s">
        <v>575</v>
      </c>
      <c r="BXD9" s="358" t="s">
        <v>576</v>
      </c>
      <c r="BXE9" s="189" t="s">
        <v>574</v>
      </c>
      <c r="BXF9" s="352" t="s">
        <v>573</v>
      </c>
      <c r="BXG9" s="142" t="s">
        <v>575</v>
      </c>
      <c r="BXH9" s="358" t="s">
        <v>576</v>
      </c>
      <c r="BXI9" s="189" t="s">
        <v>574</v>
      </c>
      <c r="BXJ9" s="352" t="s">
        <v>573</v>
      </c>
      <c r="BXK9" s="142" t="s">
        <v>575</v>
      </c>
      <c r="BXL9" s="358" t="s">
        <v>576</v>
      </c>
      <c r="BXM9" s="189" t="s">
        <v>574</v>
      </c>
      <c r="BXN9" s="352" t="s">
        <v>573</v>
      </c>
      <c r="BXO9" s="142" t="s">
        <v>575</v>
      </c>
      <c r="BXP9" s="358" t="s">
        <v>576</v>
      </c>
      <c r="BXQ9" s="189" t="s">
        <v>574</v>
      </c>
      <c r="BXR9" s="352" t="s">
        <v>573</v>
      </c>
      <c r="BXS9" s="142" t="s">
        <v>575</v>
      </c>
      <c r="BXT9" s="358" t="s">
        <v>576</v>
      </c>
      <c r="BXU9" s="189" t="s">
        <v>574</v>
      </c>
      <c r="BXV9" s="352" t="s">
        <v>573</v>
      </c>
      <c r="BXW9" s="142" t="s">
        <v>575</v>
      </c>
      <c r="BXX9" s="358" t="s">
        <v>576</v>
      </c>
      <c r="BXY9" s="189" t="s">
        <v>574</v>
      </c>
      <c r="BXZ9" s="352" t="s">
        <v>573</v>
      </c>
      <c r="BYA9" s="142" t="s">
        <v>575</v>
      </c>
      <c r="BYB9" s="358" t="s">
        <v>576</v>
      </c>
      <c r="BYC9" s="189" t="s">
        <v>574</v>
      </c>
      <c r="BYD9" s="352" t="s">
        <v>573</v>
      </c>
      <c r="BYE9" s="142" t="s">
        <v>575</v>
      </c>
      <c r="BYF9" s="358" t="s">
        <v>576</v>
      </c>
      <c r="BYG9" s="189" t="s">
        <v>574</v>
      </c>
      <c r="BYH9" s="352" t="s">
        <v>573</v>
      </c>
      <c r="BYI9" s="142" t="s">
        <v>575</v>
      </c>
      <c r="BYJ9" s="358" t="s">
        <v>576</v>
      </c>
      <c r="BYK9" s="189" t="s">
        <v>574</v>
      </c>
      <c r="BYL9" s="352" t="s">
        <v>573</v>
      </c>
      <c r="BYM9" s="142" t="s">
        <v>575</v>
      </c>
      <c r="BYN9" s="358" t="s">
        <v>576</v>
      </c>
      <c r="BYO9" s="189" t="s">
        <v>574</v>
      </c>
      <c r="BYP9" s="352" t="s">
        <v>573</v>
      </c>
      <c r="BYQ9" s="142" t="s">
        <v>575</v>
      </c>
      <c r="BYR9" s="358" t="s">
        <v>576</v>
      </c>
      <c r="BYS9" s="189" t="s">
        <v>574</v>
      </c>
      <c r="BYT9" s="352" t="s">
        <v>573</v>
      </c>
      <c r="BYU9" s="142" t="s">
        <v>575</v>
      </c>
      <c r="BYV9" s="358" t="s">
        <v>576</v>
      </c>
      <c r="BYW9" s="189" t="s">
        <v>574</v>
      </c>
      <c r="BYX9" s="352" t="s">
        <v>573</v>
      </c>
      <c r="BYY9" s="142" t="s">
        <v>575</v>
      </c>
      <c r="BYZ9" s="358" t="s">
        <v>576</v>
      </c>
      <c r="BZA9" s="189" t="s">
        <v>574</v>
      </c>
      <c r="BZB9" s="352" t="s">
        <v>573</v>
      </c>
      <c r="BZC9" s="142" t="s">
        <v>575</v>
      </c>
      <c r="BZD9" s="358" t="s">
        <v>576</v>
      </c>
      <c r="BZE9" s="189" t="s">
        <v>574</v>
      </c>
      <c r="BZF9" s="352" t="s">
        <v>573</v>
      </c>
      <c r="BZG9" s="142" t="s">
        <v>575</v>
      </c>
      <c r="BZH9" s="358" t="s">
        <v>576</v>
      </c>
      <c r="BZI9" s="189" t="s">
        <v>574</v>
      </c>
      <c r="BZJ9" s="352" t="s">
        <v>573</v>
      </c>
      <c r="BZK9" s="142" t="s">
        <v>575</v>
      </c>
      <c r="BZL9" s="358" t="s">
        <v>576</v>
      </c>
      <c r="BZM9" s="189" t="s">
        <v>574</v>
      </c>
      <c r="BZN9" s="352" t="s">
        <v>573</v>
      </c>
      <c r="BZO9" s="142" t="s">
        <v>575</v>
      </c>
      <c r="BZP9" s="358" t="s">
        <v>576</v>
      </c>
      <c r="BZQ9" s="189" t="s">
        <v>574</v>
      </c>
      <c r="BZR9" s="352" t="s">
        <v>573</v>
      </c>
      <c r="BZS9" s="142" t="s">
        <v>575</v>
      </c>
      <c r="BZT9" s="358" t="s">
        <v>576</v>
      </c>
      <c r="BZU9" s="189" t="s">
        <v>574</v>
      </c>
      <c r="BZV9" s="352" t="s">
        <v>573</v>
      </c>
      <c r="BZW9" s="142" t="s">
        <v>575</v>
      </c>
      <c r="BZX9" s="358" t="s">
        <v>576</v>
      </c>
      <c r="BZY9" s="189" t="s">
        <v>574</v>
      </c>
      <c r="BZZ9" s="352" t="s">
        <v>573</v>
      </c>
      <c r="CAA9" s="142" t="s">
        <v>575</v>
      </c>
      <c r="CAB9" s="358" t="s">
        <v>576</v>
      </c>
      <c r="CAC9" s="189" t="s">
        <v>574</v>
      </c>
      <c r="CAD9" s="352" t="s">
        <v>573</v>
      </c>
      <c r="CAE9" s="142" t="s">
        <v>575</v>
      </c>
      <c r="CAF9" s="358" t="s">
        <v>576</v>
      </c>
      <c r="CAG9" s="189" t="s">
        <v>574</v>
      </c>
      <c r="CAH9" s="352" t="s">
        <v>573</v>
      </c>
      <c r="CAI9" s="142" t="s">
        <v>575</v>
      </c>
      <c r="CAJ9" s="358" t="s">
        <v>576</v>
      </c>
      <c r="CAK9" s="189" t="s">
        <v>574</v>
      </c>
      <c r="CAL9" s="352" t="s">
        <v>573</v>
      </c>
      <c r="CAM9" s="142" t="s">
        <v>575</v>
      </c>
      <c r="CAN9" s="358" t="s">
        <v>576</v>
      </c>
      <c r="CAO9" s="189" t="s">
        <v>574</v>
      </c>
      <c r="CAP9" s="352" t="s">
        <v>573</v>
      </c>
      <c r="CAQ9" s="142" t="s">
        <v>575</v>
      </c>
      <c r="CAR9" s="358" t="s">
        <v>576</v>
      </c>
      <c r="CAS9" s="189" t="s">
        <v>574</v>
      </c>
      <c r="CAT9" s="352" t="s">
        <v>573</v>
      </c>
      <c r="CAU9" s="142" t="s">
        <v>575</v>
      </c>
      <c r="CAV9" s="358" t="s">
        <v>576</v>
      </c>
      <c r="CAW9" s="189" t="s">
        <v>574</v>
      </c>
      <c r="CAX9" s="352" t="s">
        <v>573</v>
      </c>
      <c r="CAY9" s="142" t="s">
        <v>575</v>
      </c>
      <c r="CAZ9" s="358" t="s">
        <v>576</v>
      </c>
      <c r="CBA9" s="189" t="s">
        <v>574</v>
      </c>
      <c r="CBB9" s="352" t="s">
        <v>573</v>
      </c>
      <c r="CBC9" s="142" t="s">
        <v>575</v>
      </c>
      <c r="CBD9" s="358" t="s">
        <v>576</v>
      </c>
      <c r="CBE9" s="189" t="s">
        <v>574</v>
      </c>
      <c r="CBF9" s="352" t="s">
        <v>573</v>
      </c>
      <c r="CBG9" s="142" t="s">
        <v>575</v>
      </c>
      <c r="CBH9" s="358" t="s">
        <v>576</v>
      </c>
      <c r="CBI9" s="189" t="s">
        <v>574</v>
      </c>
      <c r="CBJ9" s="352" t="s">
        <v>573</v>
      </c>
      <c r="CBK9" s="142" t="s">
        <v>575</v>
      </c>
      <c r="CBL9" s="358" t="s">
        <v>576</v>
      </c>
      <c r="CBM9" s="189" t="s">
        <v>574</v>
      </c>
      <c r="CBN9" s="352" t="s">
        <v>573</v>
      </c>
      <c r="CBO9" s="142" t="s">
        <v>575</v>
      </c>
      <c r="CBP9" s="358" t="s">
        <v>576</v>
      </c>
      <c r="CBQ9" s="189" t="s">
        <v>574</v>
      </c>
      <c r="CBR9" s="352" t="s">
        <v>573</v>
      </c>
      <c r="CBS9" s="142" t="s">
        <v>575</v>
      </c>
      <c r="CBT9" s="358" t="s">
        <v>576</v>
      </c>
      <c r="CBU9" s="189" t="s">
        <v>574</v>
      </c>
      <c r="CBV9" s="352" t="s">
        <v>573</v>
      </c>
      <c r="CBW9" s="142" t="s">
        <v>575</v>
      </c>
      <c r="CBX9" s="358" t="s">
        <v>576</v>
      </c>
      <c r="CBY9" s="189" t="s">
        <v>574</v>
      </c>
      <c r="CBZ9" s="352" t="s">
        <v>573</v>
      </c>
      <c r="CCA9" s="142" t="s">
        <v>575</v>
      </c>
      <c r="CCB9" s="358" t="s">
        <v>576</v>
      </c>
      <c r="CCC9" s="189" t="s">
        <v>574</v>
      </c>
      <c r="CCD9" s="352" t="s">
        <v>573</v>
      </c>
      <c r="CCE9" s="142" t="s">
        <v>575</v>
      </c>
      <c r="CCF9" s="358" t="s">
        <v>576</v>
      </c>
      <c r="CCG9" s="189" t="s">
        <v>574</v>
      </c>
      <c r="CCH9" s="352" t="s">
        <v>573</v>
      </c>
      <c r="CCI9" s="142" t="s">
        <v>575</v>
      </c>
      <c r="CCJ9" s="358" t="s">
        <v>576</v>
      </c>
      <c r="CCK9" s="189" t="s">
        <v>574</v>
      </c>
      <c r="CCL9" s="352" t="s">
        <v>573</v>
      </c>
      <c r="CCM9" s="142" t="s">
        <v>575</v>
      </c>
      <c r="CCN9" s="358" t="s">
        <v>576</v>
      </c>
      <c r="CCO9" s="189" t="s">
        <v>574</v>
      </c>
      <c r="CCP9" s="352" t="s">
        <v>573</v>
      </c>
      <c r="CCQ9" s="142" t="s">
        <v>575</v>
      </c>
      <c r="CCR9" s="358" t="s">
        <v>576</v>
      </c>
      <c r="CCS9" s="189" t="s">
        <v>574</v>
      </c>
      <c r="CCT9" s="352" t="s">
        <v>573</v>
      </c>
      <c r="CCU9" s="142" t="s">
        <v>575</v>
      </c>
      <c r="CCV9" s="358" t="s">
        <v>576</v>
      </c>
      <c r="CCW9" s="189" t="s">
        <v>574</v>
      </c>
      <c r="CCX9" s="352" t="s">
        <v>573</v>
      </c>
      <c r="CCY9" s="142" t="s">
        <v>575</v>
      </c>
      <c r="CCZ9" s="358" t="s">
        <v>576</v>
      </c>
      <c r="CDA9" s="189" t="s">
        <v>574</v>
      </c>
      <c r="CDB9" s="352" t="s">
        <v>573</v>
      </c>
      <c r="CDC9" s="142" t="s">
        <v>575</v>
      </c>
      <c r="CDD9" s="358" t="s">
        <v>576</v>
      </c>
      <c r="CDE9" s="189" t="s">
        <v>574</v>
      </c>
      <c r="CDF9" s="352" t="s">
        <v>573</v>
      </c>
      <c r="CDG9" s="142" t="s">
        <v>575</v>
      </c>
      <c r="CDH9" s="358" t="s">
        <v>576</v>
      </c>
      <c r="CDI9" s="189" t="s">
        <v>574</v>
      </c>
      <c r="CDJ9" s="352" t="s">
        <v>573</v>
      </c>
      <c r="CDK9" s="142" t="s">
        <v>575</v>
      </c>
      <c r="CDL9" s="358" t="s">
        <v>576</v>
      </c>
      <c r="CDM9" s="189" t="s">
        <v>574</v>
      </c>
      <c r="CDN9" s="352" t="s">
        <v>573</v>
      </c>
      <c r="CDO9" s="142" t="s">
        <v>575</v>
      </c>
      <c r="CDP9" s="358" t="s">
        <v>576</v>
      </c>
      <c r="CDQ9" s="189" t="s">
        <v>574</v>
      </c>
      <c r="CDR9" s="352" t="s">
        <v>573</v>
      </c>
      <c r="CDS9" s="142" t="s">
        <v>575</v>
      </c>
      <c r="CDT9" s="358" t="s">
        <v>576</v>
      </c>
      <c r="CDU9" s="189" t="s">
        <v>574</v>
      </c>
      <c r="CDV9" s="352" t="s">
        <v>573</v>
      </c>
      <c r="CDW9" s="142" t="s">
        <v>575</v>
      </c>
      <c r="CDX9" s="358" t="s">
        <v>576</v>
      </c>
      <c r="CDY9" s="189" t="s">
        <v>574</v>
      </c>
      <c r="CDZ9" s="352" t="s">
        <v>573</v>
      </c>
      <c r="CEA9" s="142" t="s">
        <v>575</v>
      </c>
      <c r="CEB9" s="358" t="s">
        <v>576</v>
      </c>
      <c r="CEC9" s="189" t="s">
        <v>574</v>
      </c>
      <c r="CED9" s="352" t="s">
        <v>573</v>
      </c>
      <c r="CEE9" s="142" t="s">
        <v>575</v>
      </c>
      <c r="CEF9" s="358" t="s">
        <v>576</v>
      </c>
      <c r="CEG9" s="189" t="s">
        <v>574</v>
      </c>
      <c r="CEH9" s="352" t="s">
        <v>573</v>
      </c>
      <c r="CEI9" s="142" t="s">
        <v>575</v>
      </c>
      <c r="CEJ9" s="358" t="s">
        <v>576</v>
      </c>
      <c r="CEK9" s="189" t="s">
        <v>574</v>
      </c>
      <c r="CEL9" s="352" t="s">
        <v>573</v>
      </c>
      <c r="CEM9" s="142" t="s">
        <v>575</v>
      </c>
      <c r="CEN9" s="358" t="s">
        <v>576</v>
      </c>
      <c r="CEO9" s="189" t="s">
        <v>574</v>
      </c>
      <c r="CEP9" s="352" t="s">
        <v>573</v>
      </c>
      <c r="CEQ9" s="142" t="s">
        <v>575</v>
      </c>
      <c r="CER9" s="358" t="s">
        <v>576</v>
      </c>
      <c r="CES9" s="189" t="s">
        <v>574</v>
      </c>
      <c r="CET9" s="352" t="s">
        <v>573</v>
      </c>
      <c r="CEU9" s="142" t="s">
        <v>575</v>
      </c>
      <c r="CEV9" s="358" t="s">
        <v>576</v>
      </c>
      <c r="CEW9" s="189" t="s">
        <v>574</v>
      </c>
      <c r="CEX9" s="352" t="s">
        <v>573</v>
      </c>
      <c r="CEY9" s="142" t="s">
        <v>575</v>
      </c>
      <c r="CEZ9" s="358" t="s">
        <v>576</v>
      </c>
      <c r="CFA9" s="189" t="s">
        <v>574</v>
      </c>
      <c r="CFB9" s="352" t="s">
        <v>573</v>
      </c>
      <c r="CFC9" s="142" t="s">
        <v>575</v>
      </c>
      <c r="CFD9" s="358" t="s">
        <v>576</v>
      </c>
      <c r="CFE9" s="189" t="s">
        <v>574</v>
      </c>
      <c r="CFF9" s="352" t="s">
        <v>573</v>
      </c>
      <c r="CFG9" s="142" t="s">
        <v>575</v>
      </c>
      <c r="CFH9" s="358" t="s">
        <v>576</v>
      </c>
      <c r="CFI9" s="189" t="s">
        <v>574</v>
      </c>
      <c r="CFJ9" s="352" t="s">
        <v>573</v>
      </c>
      <c r="CFK9" s="142" t="s">
        <v>575</v>
      </c>
      <c r="CFL9" s="358" t="s">
        <v>576</v>
      </c>
      <c r="CFM9" s="189" t="s">
        <v>574</v>
      </c>
      <c r="CFN9" s="352" t="s">
        <v>573</v>
      </c>
      <c r="CFO9" s="142" t="s">
        <v>575</v>
      </c>
      <c r="CFP9" s="358" t="s">
        <v>576</v>
      </c>
      <c r="CFQ9" s="189" t="s">
        <v>574</v>
      </c>
      <c r="CFR9" s="352" t="s">
        <v>573</v>
      </c>
      <c r="CFS9" s="142" t="s">
        <v>575</v>
      </c>
      <c r="CFT9" s="358" t="s">
        <v>576</v>
      </c>
      <c r="CFU9" s="189" t="s">
        <v>574</v>
      </c>
      <c r="CFV9" s="352" t="s">
        <v>573</v>
      </c>
      <c r="CFW9" s="142" t="s">
        <v>575</v>
      </c>
      <c r="CFX9" s="358" t="s">
        <v>576</v>
      </c>
      <c r="CFY9" s="189" t="s">
        <v>574</v>
      </c>
      <c r="CFZ9" s="352" t="s">
        <v>573</v>
      </c>
      <c r="CGA9" s="142" t="s">
        <v>575</v>
      </c>
      <c r="CGB9" s="358" t="s">
        <v>576</v>
      </c>
      <c r="CGC9" s="189" t="s">
        <v>574</v>
      </c>
      <c r="CGD9" s="352" t="s">
        <v>573</v>
      </c>
      <c r="CGE9" s="142" t="s">
        <v>575</v>
      </c>
      <c r="CGF9" s="358" t="s">
        <v>576</v>
      </c>
      <c r="CGG9" s="189" t="s">
        <v>574</v>
      </c>
      <c r="CGH9" s="352" t="s">
        <v>573</v>
      </c>
      <c r="CGI9" s="142" t="s">
        <v>575</v>
      </c>
      <c r="CGJ9" s="358" t="s">
        <v>576</v>
      </c>
      <c r="CGK9" s="189" t="s">
        <v>574</v>
      </c>
      <c r="CGL9" s="352" t="s">
        <v>573</v>
      </c>
      <c r="CGM9" s="142" t="s">
        <v>575</v>
      </c>
      <c r="CGN9" s="358" t="s">
        <v>576</v>
      </c>
      <c r="CGO9" s="189" t="s">
        <v>574</v>
      </c>
      <c r="CGP9" s="352" t="s">
        <v>573</v>
      </c>
      <c r="CGQ9" s="142" t="s">
        <v>575</v>
      </c>
      <c r="CGR9" s="358" t="s">
        <v>576</v>
      </c>
      <c r="CGS9" s="189" t="s">
        <v>574</v>
      </c>
      <c r="CGT9" s="352" t="s">
        <v>573</v>
      </c>
      <c r="CGU9" s="142" t="s">
        <v>575</v>
      </c>
      <c r="CGV9" s="358" t="s">
        <v>576</v>
      </c>
      <c r="CGW9" s="189" t="s">
        <v>574</v>
      </c>
      <c r="CGX9" s="352" t="s">
        <v>573</v>
      </c>
      <c r="CGY9" s="142" t="s">
        <v>575</v>
      </c>
      <c r="CGZ9" s="358" t="s">
        <v>576</v>
      </c>
      <c r="CHA9" s="189" t="s">
        <v>574</v>
      </c>
      <c r="CHB9" s="352" t="s">
        <v>573</v>
      </c>
      <c r="CHC9" s="142" t="s">
        <v>575</v>
      </c>
      <c r="CHD9" s="358" t="s">
        <v>576</v>
      </c>
      <c r="CHE9" s="189" t="s">
        <v>574</v>
      </c>
      <c r="CHF9" s="352" t="s">
        <v>573</v>
      </c>
      <c r="CHG9" s="142" t="s">
        <v>575</v>
      </c>
      <c r="CHH9" s="358" t="s">
        <v>576</v>
      </c>
      <c r="CHI9" s="189" t="s">
        <v>574</v>
      </c>
      <c r="CHJ9" s="352" t="s">
        <v>573</v>
      </c>
      <c r="CHK9" s="142" t="s">
        <v>575</v>
      </c>
      <c r="CHL9" s="358" t="s">
        <v>576</v>
      </c>
      <c r="CHM9" s="189" t="s">
        <v>574</v>
      </c>
      <c r="CHN9" s="352" t="s">
        <v>573</v>
      </c>
      <c r="CHO9" s="142" t="s">
        <v>575</v>
      </c>
      <c r="CHP9" s="358" t="s">
        <v>576</v>
      </c>
      <c r="CHQ9" s="189" t="s">
        <v>574</v>
      </c>
      <c r="CHR9" s="352" t="s">
        <v>573</v>
      </c>
      <c r="CHS9" s="142" t="s">
        <v>575</v>
      </c>
      <c r="CHT9" s="358" t="s">
        <v>576</v>
      </c>
      <c r="CHU9" s="189" t="s">
        <v>574</v>
      </c>
      <c r="CHV9" s="352" t="s">
        <v>573</v>
      </c>
      <c r="CHW9" s="142" t="s">
        <v>575</v>
      </c>
      <c r="CHX9" s="358" t="s">
        <v>576</v>
      </c>
      <c r="CHY9" s="189" t="s">
        <v>574</v>
      </c>
      <c r="CHZ9" s="352" t="s">
        <v>573</v>
      </c>
      <c r="CIA9" s="142" t="s">
        <v>575</v>
      </c>
      <c r="CIB9" s="358" t="s">
        <v>576</v>
      </c>
      <c r="CIC9" s="189" t="s">
        <v>574</v>
      </c>
      <c r="CID9" s="352" t="s">
        <v>573</v>
      </c>
      <c r="CIE9" s="142" t="s">
        <v>575</v>
      </c>
      <c r="CIF9" s="358" t="s">
        <v>576</v>
      </c>
      <c r="CIG9" s="189" t="s">
        <v>574</v>
      </c>
      <c r="CIH9" s="352" t="s">
        <v>573</v>
      </c>
      <c r="CII9" s="142" t="s">
        <v>575</v>
      </c>
      <c r="CIJ9" s="358" t="s">
        <v>576</v>
      </c>
      <c r="CIK9" s="189" t="s">
        <v>574</v>
      </c>
      <c r="CIL9" s="352" t="s">
        <v>573</v>
      </c>
      <c r="CIM9" s="142" t="s">
        <v>575</v>
      </c>
      <c r="CIN9" s="358" t="s">
        <v>576</v>
      </c>
      <c r="CIO9" s="189" t="s">
        <v>574</v>
      </c>
      <c r="CIP9" s="352" t="s">
        <v>573</v>
      </c>
      <c r="CIQ9" s="142" t="s">
        <v>575</v>
      </c>
      <c r="CIR9" s="358" t="s">
        <v>576</v>
      </c>
      <c r="CIS9" s="189" t="s">
        <v>574</v>
      </c>
      <c r="CIT9" s="352" t="s">
        <v>573</v>
      </c>
      <c r="CIU9" s="142" t="s">
        <v>575</v>
      </c>
      <c r="CIV9" s="358" t="s">
        <v>576</v>
      </c>
      <c r="CIW9" s="189" t="s">
        <v>574</v>
      </c>
      <c r="CIX9" s="352" t="s">
        <v>573</v>
      </c>
      <c r="CIY9" s="142" t="s">
        <v>575</v>
      </c>
      <c r="CIZ9" s="358" t="s">
        <v>576</v>
      </c>
      <c r="CJA9" s="189" t="s">
        <v>574</v>
      </c>
      <c r="CJB9" s="352" t="s">
        <v>573</v>
      </c>
      <c r="CJC9" s="142" t="s">
        <v>575</v>
      </c>
      <c r="CJD9" s="358" t="s">
        <v>576</v>
      </c>
      <c r="CJE9" s="189" t="s">
        <v>574</v>
      </c>
      <c r="CJF9" s="352" t="s">
        <v>573</v>
      </c>
      <c r="CJG9" s="142" t="s">
        <v>575</v>
      </c>
      <c r="CJH9" s="358" t="s">
        <v>576</v>
      </c>
      <c r="CJI9" s="189" t="s">
        <v>574</v>
      </c>
      <c r="CJJ9" s="352" t="s">
        <v>573</v>
      </c>
      <c r="CJK9" s="142" t="s">
        <v>575</v>
      </c>
      <c r="CJL9" s="358" t="s">
        <v>576</v>
      </c>
      <c r="CJM9" s="189" t="s">
        <v>574</v>
      </c>
      <c r="CJN9" s="352" t="s">
        <v>573</v>
      </c>
      <c r="CJO9" s="142" t="s">
        <v>575</v>
      </c>
      <c r="CJP9" s="358" t="s">
        <v>576</v>
      </c>
      <c r="CJQ9" s="189" t="s">
        <v>574</v>
      </c>
      <c r="CJR9" s="352" t="s">
        <v>573</v>
      </c>
      <c r="CJS9" s="142" t="s">
        <v>575</v>
      </c>
      <c r="CJT9" s="358" t="s">
        <v>576</v>
      </c>
      <c r="CJU9" s="189" t="s">
        <v>574</v>
      </c>
      <c r="CJV9" s="352" t="s">
        <v>573</v>
      </c>
      <c r="CJW9" s="142" t="s">
        <v>575</v>
      </c>
      <c r="CJX9" s="358" t="s">
        <v>576</v>
      </c>
      <c r="CJY9" s="189" t="s">
        <v>574</v>
      </c>
      <c r="CJZ9" s="352" t="s">
        <v>573</v>
      </c>
      <c r="CKA9" s="142" t="s">
        <v>575</v>
      </c>
      <c r="CKB9" s="358" t="s">
        <v>576</v>
      </c>
      <c r="CKC9" s="189" t="s">
        <v>574</v>
      </c>
      <c r="CKD9" s="352" t="s">
        <v>573</v>
      </c>
      <c r="CKE9" s="142" t="s">
        <v>575</v>
      </c>
      <c r="CKF9" s="358" t="s">
        <v>576</v>
      </c>
      <c r="CKG9" s="189" t="s">
        <v>574</v>
      </c>
      <c r="CKH9" s="352" t="s">
        <v>573</v>
      </c>
      <c r="CKI9" s="142" t="s">
        <v>575</v>
      </c>
      <c r="CKJ9" s="358" t="s">
        <v>576</v>
      </c>
      <c r="CKK9" s="189" t="s">
        <v>574</v>
      </c>
      <c r="CKL9" s="352" t="s">
        <v>573</v>
      </c>
      <c r="CKM9" s="142" t="s">
        <v>575</v>
      </c>
      <c r="CKN9" s="358" t="s">
        <v>576</v>
      </c>
      <c r="CKO9" s="189" t="s">
        <v>574</v>
      </c>
      <c r="CKP9" s="352" t="s">
        <v>573</v>
      </c>
      <c r="CKQ9" s="142" t="s">
        <v>575</v>
      </c>
      <c r="CKR9" s="358" t="s">
        <v>576</v>
      </c>
      <c r="CKS9" s="189" t="s">
        <v>574</v>
      </c>
      <c r="CKT9" s="352" t="s">
        <v>573</v>
      </c>
      <c r="CKU9" s="142" t="s">
        <v>575</v>
      </c>
      <c r="CKV9" s="358" t="s">
        <v>576</v>
      </c>
      <c r="CKW9" s="189" t="s">
        <v>574</v>
      </c>
      <c r="CKX9" s="352" t="s">
        <v>573</v>
      </c>
      <c r="CKY9" s="142" t="s">
        <v>575</v>
      </c>
      <c r="CKZ9" s="358" t="s">
        <v>576</v>
      </c>
      <c r="CLA9" s="189" t="s">
        <v>574</v>
      </c>
      <c r="CLB9" s="352" t="s">
        <v>573</v>
      </c>
      <c r="CLC9" s="142" t="s">
        <v>575</v>
      </c>
      <c r="CLD9" s="358" t="s">
        <v>576</v>
      </c>
      <c r="CLE9" s="189" t="s">
        <v>574</v>
      </c>
      <c r="CLF9" s="352" t="s">
        <v>573</v>
      </c>
      <c r="CLG9" s="142" t="s">
        <v>575</v>
      </c>
      <c r="CLH9" s="358" t="s">
        <v>576</v>
      </c>
      <c r="CLI9" s="189" t="s">
        <v>574</v>
      </c>
      <c r="CLJ9" s="352" t="s">
        <v>573</v>
      </c>
      <c r="CLK9" s="142" t="s">
        <v>575</v>
      </c>
      <c r="CLL9" s="358" t="s">
        <v>576</v>
      </c>
      <c r="CLM9" s="189" t="s">
        <v>574</v>
      </c>
      <c r="CLN9" s="352" t="s">
        <v>573</v>
      </c>
      <c r="CLO9" s="142" t="s">
        <v>575</v>
      </c>
      <c r="CLP9" s="358" t="s">
        <v>576</v>
      </c>
      <c r="CLQ9" s="189" t="s">
        <v>574</v>
      </c>
      <c r="CLR9" s="352" t="s">
        <v>573</v>
      </c>
      <c r="CLS9" s="142" t="s">
        <v>575</v>
      </c>
      <c r="CLT9" s="358" t="s">
        <v>576</v>
      </c>
      <c r="CLU9" s="189" t="s">
        <v>574</v>
      </c>
      <c r="CLV9" s="352" t="s">
        <v>573</v>
      </c>
      <c r="CLW9" s="142" t="s">
        <v>575</v>
      </c>
      <c r="CLX9" s="358" t="s">
        <v>576</v>
      </c>
      <c r="CLY9" s="189" t="s">
        <v>574</v>
      </c>
      <c r="CLZ9" s="352" t="s">
        <v>573</v>
      </c>
      <c r="CMA9" s="142" t="s">
        <v>575</v>
      </c>
      <c r="CMB9" s="358" t="s">
        <v>576</v>
      </c>
      <c r="CMC9" s="189" t="s">
        <v>574</v>
      </c>
      <c r="CMD9" s="352" t="s">
        <v>573</v>
      </c>
      <c r="CME9" s="142" t="s">
        <v>575</v>
      </c>
      <c r="CMF9" s="358" t="s">
        <v>576</v>
      </c>
      <c r="CMG9" s="189" t="s">
        <v>574</v>
      </c>
      <c r="CMH9" s="352" t="s">
        <v>573</v>
      </c>
      <c r="CMI9" s="142" t="s">
        <v>575</v>
      </c>
      <c r="CMJ9" s="358" t="s">
        <v>576</v>
      </c>
      <c r="CMK9" s="189" t="s">
        <v>574</v>
      </c>
      <c r="CML9" s="352" t="s">
        <v>573</v>
      </c>
      <c r="CMM9" s="142" t="s">
        <v>575</v>
      </c>
      <c r="CMN9" s="358" t="s">
        <v>576</v>
      </c>
      <c r="CMO9" s="189" t="s">
        <v>574</v>
      </c>
      <c r="CMP9" s="352" t="s">
        <v>573</v>
      </c>
      <c r="CMQ9" s="142" t="s">
        <v>575</v>
      </c>
      <c r="CMR9" s="358" t="s">
        <v>576</v>
      </c>
      <c r="CMS9" s="189" t="s">
        <v>574</v>
      </c>
      <c r="CMT9" s="352" t="s">
        <v>573</v>
      </c>
      <c r="CMU9" s="142" t="s">
        <v>575</v>
      </c>
      <c r="CMV9" s="358" t="s">
        <v>576</v>
      </c>
      <c r="CMW9" s="189" t="s">
        <v>574</v>
      </c>
      <c r="CMX9" s="352" t="s">
        <v>573</v>
      </c>
      <c r="CMY9" s="142" t="s">
        <v>575</v>
      </c>
      <c r="CMZ9" s="358" t="s">
        <v>576</v>
      </c>
      <c r="CNA9" s="189" t="s">
        <v>574</v>
      </c>
      <c r="CNB9" s="352" t="s">
        <v>573</v>
      </c>
      <c r="CNC9" s="142" t="s">
        <v>575</v>
      </c>
      <c r="CND9" s="358" t="s">
        <v>576</v>
      </c>
      <c r="CNE9" s="189" t="s">
        <v>574</v>
      </c>
      <c r="CNF9" s="352" t="s">
        <v>573</v>
      </c>
      <c r="CNG9" s="142" t="s">
        <v>575</v>
      </c>
      <c r="CNH9" s="358" t="s">
        <v>576</v>
      </c>
      <c r="CNI9" s="189" t="s">
        <v>574</v>
      </c>
      <c r="CNJ9" s="352" t="s">
        <v>573</v>
      </c>
      <c r="CNK9" s="142" t="s">
        <v>575</v>
      </c>
      <c r="CNL9" s="358" t="s">
        <v>576</v>
      </c>
      <c r="CNM9" s="189" t="s">
        <v>574</v>
      </c>
      <c r="CNN9" s="352" t="s">
        <v>573</v>
      </c>
      <c r="CNO9" s="142" t="s">
        <v>575</v>
      </c>
      <c r="CNP9" s="358" t="s">
        <v>576</v>
      </c>
      <c r="CNQ9" s="189" t="s">
        <v>574</v>
      </c>
      <c r="CNR9" s="352" t="s">
        <v>573</v>
      </c>
      <c r="CNS9" s="142" t="s">
        <v>575</v>
      </c>
      <c r="CNT9" s="358" t="s">
        <v>576</v>
      </c>
      <c r="CNU9" s="189" t="s">
        <v>574</v>
      </c>
      <c r="CNV9" s="352" t="s">
        <v>573</v>
      </c>
      <c r="CNW9" s="142" t="s">
        <v>575</v>
      </c>
      <c r="CNX9" s="358" t="s">
        <v>576</v>
      </c>
      <c r="CNY9" s="189" t="s">
        <v>574</v>
      </c>
      <c r="CNZ9" s="352" t="s">
        <v>573</v>
      </c>
      <c r="COA9" s="142" t="s">
        <v>575</v>
      </c>
      <c r="COB9" s="358" t="s">
        <v>576</v>
      </c>
      <c r="COC9" s="189" t="s">
        <v>574</v>
      </c>
      <c r="COD9" s="352" t="s">
        <v>573</v>
      </c>
      <c r="COE9" s="142" t="s">
        <v>575</v>
      </c>
      <c r="COF9" s="358" t="s">
        <v>576</v>
      </c>
      <c r="COG9" s="189" t="s">
        <v>574</v>
      </c>
      <c r="COH9" s="352" t="s">
        <v>573</v>
      </c>
      <c r="COI9" s="142" t="s">
        <v>575</v>
      </c>
      <c r="COJ9" s="358" t="s">
        <v>576</v>
      </c>
      <c r="COK9" s="189" t="s">
        <v>574</v>
      </c>
      <c r="COL9" s="352" t="s">
        <v>573</v>
      </c>
      <c r="COM9" s="142" t="s">
        <v>575</v>
      </c>
      <c r="CON9" s="358" t="s">
        <v>576</v>
      </c>
      <c r="COO9" s="189" t="s">
        <v>574</v>
      </c>
      <c r="COP9" s="352" t="s">
        <v>573</v>
      </c>
      <c r="COQ9" s="142" t="s">
        <v>575</v>
      </c>
      <c r="COR9" s="358" t="s">
        <v>576</v>
      </c>
      <c r="COS9" s="189" t="s">
        <v>574</v>
      </c>
      <c r="COT9" s="352" t="s">
        <v>573</v>
      </c>
      <c r="COU9" s="142" t="s">
        <v>575</v>
      </c>
      <c r="COV9" s="358" t="s">
        <v>576</v>
      </c>
      <c r="COW9" s="189" t="s">
        <v>574</v>
      </c>
      <c r="COX9" s="352" t="s">
        <v>573</v>
      </c>
      <c r="COY9" s="142" t="s">
        <v>575</v>
      </c>
      <c r="COZ9" s="358" t="s">
        <v>576</v>
      </c>
      <c r="CPA9" s="189" t="s">
        <v>574</v>
      </c>
      <c r="CPB9" s="352" t="s">
        <v>573</v>
      </c>
      <c r="CPC9" s="142" t="s">
        <v>575</v>
      </c>
      <c r="CPD9" s="358" t="s">
        <v>576</v>
      </c>
      <c r="CPE9" s="189" t="s">
        <v>574</v>
      </c>
      <c r="CPF9" s="352" t="s">
        <v>573</v>
      </c>
      <c r="CPG9" s="142" t="s">
        <v>575</v>
      </c>
      <c r="CPH9" s="358" t="s">
        <v>576</v>
      </c>
      <c r="CPI9" s="189" t="s">
        <v>574</v>
      </c>
      <c r="CPJ9" s="352" t="s">
        <v>573</v>
      </c>
      <c r="CPK9" s="142" t="s">
        <v>575</v>
      </c>
      <c r="CPL9" s="358" t="s">
        <v>576</v>
      </c>
      <c r="CPM9" s="189" t="s">
        <v>574</v>
      </c>
      <c r="CPN9" s="352" t="s">
        <v>573</v>
      </c>
      <c r="CPO9" s="142" t="s">
        <v>575</v>
      </c>
      <c r="CPP9" s="358" t="s">
        <v>576</v>
      </c>
      <c r="CPQ9" s="189" t="s">
        <v>574</v>
      </c>
      <c r="CPR9" s="352" t="s">
        <v>573</v>
      </c>
      <c r="CPS9" s="142" t="s">
        <v>575</v>
      </c>
      <c r="CPT9" s="358" t="s">
        <v>576</v>
      </c>
      <c r="CPU9" s="189" t="s">
        <v>574</v>
      </c>
      <c r="CPV9" s="352" t="s">
        <v>573</v>
      </c>
      <c r="CPW9" s="142" t="s">
        <v>575</v>
      </c>
      <c r="CPX9" s="358" t="s">
        <v>576</v>
      </c>
      <c r="CPY9" s="189" t="s">
        <v>574</v>
      </c>
      <c r="CPZ9" s="352" t="s">
        <v>573</v>
      </c>
      <c r="CQA9" s="142" t="s">
        <v>575</v>
      </c>
      <c r="CQB9" s="358" t="s">
        <v>576</v>
      </c>
      <c r="CQC9" s="189" t="s">
        <v>574</v>
      </c>
      <c r="CQD9" s="352" t="s">
        <v>573</v>
      </c>
      <c r="CQE9" s="142" t="s">
        <v>575</v>
      </c>
      <c r="CQF9" s="358" t="s">
        <v>576</v>
      </c>
      <c r="CQG9" s="189" t="s">
        <v>574</v>
      </c>
      <c r="CQH9" s="352" t="s">
        <v>573</v>
      </c>
      <c r="CQI9" s="142" t="s">
        <v>575</v>
      </c>
      <c r="CQJ9" s="358" t="s">
        <v>576</v>
      </c>
      <c r="CQK9" s="189" t="s">
        <v>574</v>
      </c>
      <c r="CQL9" s="352" t="s">
        <v>573</v>
      </c>
      <c r="CQM9" s="142" t="s">
        <v>575</v>
      </c>
      <c r="CQN9" s="358" t="s">
        <v>576</v>
      </c>
      <c r="CQO9" s="189" t="s">
        <v>574</v>
      </c>
      <c r="CQP9" s="352" t="s">
        <v>573</v>
      </c>
      <c r="CQQ9" s="142" t="s">
        <v>575</v>
      </c>
      <c r="CQR9" s="358" t="s">
        <v>576</v>
      </c>
      <c r="CQS9" s="189" t="s">
        <v>574</v>
      </c>
      <c r="CQT9" s="352" t="s">
        <v>573</v>
      </c>
      <c r="CQU9" s="142" t="s">
        <v>575</v>
      </c>
      <c r="CQV9" s="358" t="s">
        <v>576</v>
      </c>
      <c r="CQW9" s="189" t="s">
        <v>574</v>
      </c>
      <c r="CQX9" s="352" t="s">
        <v>573</v>
      </c>
      <c r="CQY9" s="142" t="s">
        <v>575</v>
      </c>
      <c r="CQZ9" s="358" t="s">
        <v>576</v>
      </c>
      <c r="CRA9" s="189" t="s">
        <v>574</v>
      </c>
      <c r="CRB9" s="352" t="s">
        <v>573</v>
      </c>
      <c r="CRC9" s="142" t="s">
        <v>575</v>
      </c>
      <c r="CRD9" s="358" t="s">
        <v>576</v>
      </c>
      <c r="CRE9" s="189" t="s">
        <v>574</v>
      </c>
      <c r="CRF9" s="352" t="s">
        <v>573</v>
      </c>
      <c r="CRG9" s="142" t="s">
        <v>575</v>
      </c>
      <c r="CRH9" s="358" t="s">
        <v>576</v>
      </c>
      <c r="CRI9" s="189" t="s">
        <v>574</v>
      </c>
      <c r="CRJ9" s="352" t="s">
        <v>573</v>
      </c>
      <c r="CRK9" s="142" t="s">
        <v>575</v>
      </c>
      <c r="CRL9" s="358" t="s">
        <v>576</v>
      </c>
      <c r="CRM9" s="189" t="s">
        <v>574</v>
      </c>
      <c r="CRN9" s="352" t="s">
        <v>573</v>
      </c>
      <c r="CRO9" s="142" t="s">
        <v>575</v>
      </c>
      <c r="CRP9" s="358" t="s">
        <v>576</v>
      </c>
      <c r="CRQ9" s="189" t="s">
        <v>574</v>
      </c>
      <c r="CRR9" s="352" t="s">
        <v>573</v>
      </c>
      <c r="CRS9" s="142" t="s">
        <v>575</v>
      </c>
      <c r="CRT9" s="358" t="s">
        <v>576</v>
      </c>
      <c r="CRU9" s="189" t="s">
        <v>574</v>
      </c>
      <c r="CRV9" s="352" t="s">
        <v>573</v>
      </c>
      <c r="CRW9" s="142" t="s">
        <v>575</v>
      </c>
      <c r="CRX9" s="358" t="s">
        <v>576</v>
      </c>
      <c r="CRY9" s="189" t="s">
        <v>574</v>
      </c>
      <c r="CRZ9" s="352" t="s">
        <v>573</v>
      </c>
      <c r="CSA9" s="142" t="s">
        <v>575</v>
      </c>
      <c r="CSB9" s="358" t="s">
        <v>576</v>
      </c>
      <c r="CSC9" s="189" t="s">
        <v>574</v>
      </c>
      <c r="CSD9" s="352" t="s">
        <v>573</v>
      </c>
      <c r="CSE9" s="142" t="s">
        <v>575</v>
      </c>
      <c r="CSF9" s="358" t="s">
        <v>576</v>
      </c>
      <c r="CSG9" s="189" t="s">
        <v>574</v>
      </c>
      <c r="CSH9" s="352" t="s">
        <v>573</v>
      </c>
      <c r="CSI9" s="142" t="s">
        <v>575</v>
      </c>
      <c r="CSJ9" s="358" t="s">
        <v>576</v>
      </c>
      <c r="CSK9" s="189" t="s">
        <v>574</v>
      </c>
      <c r="CSL9" s="352" t="s">
        <v>573</v>
      </c>
      <c r="CSM9" s="142" t="s">
        <v>575</v>
      </c>
      <c r="CSN9" s="358" t="s">
        <v>576</v>
      </c>
      <c r="CSO9" s="189" t="s">
        <v>574</v>
      </c>
      <c r="CSP9" s="352" t="s">
        <v>573</v>
      </c>
      <c r="CSQ9" s="142" t="s">
        <v>575</v>
      </c>
      <c r="CSR9" s="358" t="s">
        <v>576</v>
      </c>
      <c r="CSS9" s="189" t="s">
        <v>574</v>
      </c>
      <c r="CST9" s="352" t="s">
        <v>573</v>
      </c>
      <c r="CSU9" s="142" t="s">
        <v>575</v>
      </c>
      <c r="CSV9" s="358" t="s">
        <v>576</v>
      </c>
      <c r="CSW9" s="189" t="s">
        <v>574</v>
      </c>
      <c r="CSX9" s="352" t="s">
        <v>573</v>
      </c>
      <c r="CSY9" s="142" t="s">
        <v>575</v>
      </c>
      <c r="CSZ9" s="358" t="s">
        <v>576</v>
      </c>
      <c r="CTA9" s="189" t="s">
        <v>574</v>
      </c>
      <c r="CTB9" s="352" t="s">
        <v>573</v>
      </c>
      <c r="CTC9" s="142" t="s">
        <v>575</v>
      </c>
      <c r="CTD9" s="358" t="s">
        <v>576</v>
      </c>
      <c r="CTE9" s="189" t="s">
        <v>574</v>
      </c>
      <c r="CTF9" s="352" t="s">
        <v>573</v>
      </c>
      <c r="CTG9" s="142" t="s">
        <v>575</v>
      </c>
      <c r="CTH9" s="358" t="s">
        <v>576</v>
      </c>
      <c r="CTI9" s="189" t="s">
        <v>574</v>
      </c>
      <c r="CTJ9" s="352" t="s">
        <v>573</v>
      </c>
      <c r="CTK9" s="142" t="s">
        <v>575</v>
      </c>
      <c r="CTL9" s="358" t="s">
        <v>576</v>
      </c>
      <c r="CTM9" s="189" t="s">
        <v>574</v>
      </c>
      <c r="CTN9" s="352" t="s">
        <v>573</v>
      </c>
      <c r="CTO9" s="142" t="s">
        <v>575</v>
      </c>
      <c r="CTP9" s="358" t="s">
        <v>576</v>
      </c>
      <c r="CTQ9" s="189" t="s">
        <v>574</v>
      </c>
      <c r="CTR9" s="352" t="s">
        <v>573</v>
      </c>
      <c r="CTS9" s="142" t="s">
        <v>575</v>
      </c>
      <c r="CTT9" s="358" t="s">
        <v>576</v>
      </c>
      <c r="CTU9" s="189" t="s">
        <v>574</v>
      </c>
      <c r="CTV9" s="352" t="s">
        <v>573</v>
      </c>
      <c r="CTW9" s="142" t="s">
        <v>575</v>
      </c>
      <c r="CTX9" s="358" t="s">
        <v>576</v>
      </c>
      <c r="CTY9" s="189" t="s">
        <v>574</v>
      </c>
      <c r="CTZ9" s="352" t="s">
        <v>573</v>
      </c>
      <c r="CUA9" s="142" t="s">
        <v>575</v>
      </c>
      <c r="CUB9" s="358" t="s">
        <v>576</v>
      </c>
      <c r="CUC9" s="189" t="s">
        <v>574</v>
      </c>
      <c r="CUD9" s="352" t="s">
        <v>573</v>
      </c>
      <c r="CUE9" s="142" t="s">
        <v>575</v>
      </c>
      <c r="CUF9" s="358" t="s">
        <v>576</v>
      </c>
      <c r="CUG9" s="189" t="s">
        <v>574</v>
      </c>
      <c r="CUH9" s="352" t="s">
        <v>573</v>
      </c>
      <c r="CUI9" s="142" t="s">
        <v>575</v>
      </c>
      <c r="CUJ9" s="358" t="s">
        <v>576</v>
      </c>
      <c r="CUK9" s="189" t="s">
        <v>574</v>
      </c>
      <c r="CUL9" s="352" t="s">
        <v>573</v>
      </c>
      <c r="CUM9" s="142" t="s">
        <v>575</v>
      </c>
      <c r="CUN9" s="358" t="s">
        <v>576</v>
      </c>
      <c r="CUO9" s="189" t="s">
        <v>574</v>
      </c>
      <c r="CUP9" s="352" t="s">
        <v>573</v>
      </c>
      <c r="CUQ9" s="142" t="s">
        <v>575</v>
      </c>
      <c r="CUR9" s="358" t="s">
        <v>576</v>
      </c>
      <c r="CUS9" s="189" t="s">
        <v>574</v>
      </c>
      <c r="CUT9" s="352" t="s">
        <v>573</v>
      </c>
      <c r="CUU9" s="142" t="s">
        <v>575</v>
      </c>
      <c r="CUV9" s="358" t="s">
        <v>576</v>
      </c>
      <c r="CUW9" s="189" t="s">
        <v>574</v>
      </c>
      <c r="CUX9" s="352" t="s">
        <v>573</v>
      </c>
      <c r="CUY9" s="142" t="s">
        <v>575</v>
      </c>
      <c r="CUZ9" s="358" t="s">
        <v>576</v>
      </c>
      <c r="CVA9" s="189" t="s">
        <v>574</v>
      </c>
      <c r="CVB9" s="352" t="s">
        <v>573</v>
      </c>
      <c r="CVC9" s="142" t="s">
        <v>575</v>
      </c>
      <c r="CVD9" s="358" t="s">
        <v>576</v>
      </c>
      <c r="CVE9" s="189" t="s">
        <v>574</v>
      </c>
      <c r="CVF9" s="352" t="s">
        <v>573</v>
      </c>
      <c r="CVG9" s="142" t="s">
        <v>575</v>
      </c>
      <c r="CVH9" s="358" t="s">
        <v>576</v>
      </c>
      <c r="CVI9" s="189" t="s">
        <v>574</v>
      </c>
      <c r="CVJ9" s="352" t="s">
        <v>573</v>
      </c>
      <c r="CVK9" s="142" t="s">
        <v>575</v>
      </c>
      <c r="CVL9" s="358" t="s">
        <v>576</v>
      </c>
      <c r="CVM9" s="189" t="s">
        <v>574</v>
      </c>
      <c r="CVN9" s="352" t="s">
        <v>573</v>
      </c>
      <c r="CVO9" s="142" t="s">
        <v>575</v>
      </c>
      <c r="CVP9" s="358" t="s">
        <v>576</v>
      </c>
      <c r="CVQ9" s="189" t="s">
        <v>574</v>
      </c>
      <c r="CVR9" s="352" t="s">
        <v>573</v>
      </c>
      <c r="CVS9" s="142" t="s">
        <v>575</v>
      </c>
      <c r="CVT9" s="358" t="s">
        <v>576</v>
      </c>
      <c r="CVU9" s="189" t="s">
        <v>574</v>
      </c>
      <c r="CVV9" s="352" t="s">
        <v>573</v>
      </c>
      <c r="CVW9" s="142" t="s">
        <v>575</v>
      </c>
      <c r="CVX9" s="358" t="s">
        <v>576</v>
      </c>
      <c r="CVY9" s="189" t="s">
        <v>574</v>
      </c>
      <c r="CVZ9" s="352" t="s">
        <v>573</v>
      </c>
      <c r="CWA9" s="142" t="s">
        <v>575</v>
      </c>
      <c r="CWB9" s="358" t="s">
        <v>576</v>
      </c>
      <c r="CWC9" s="189" t="s">
        <v>574</v>
      </c>
      <c r="CWD9" s="352" t="s">
        <v>573</v>
      </c>
      <c r="CWE9" s="142" t="s">
        <v>575</v>
      </c>
      <c r="CWF9" s="358" t="s">
        <v>576</v>
      </c>
      <c r="CWG9" s="189" t="s">
        <v>574</v>
      </c>
      <c r="CWH9" s="352" t="s">
        <v>573</v>
      </c>
      <c r="CWI9" s="142" t="s">
        <v>575</v>
      </c>
      <c r="CWJ9" s="358" t="s">
        <v>576</v>
      </c>
      <c r="CWK9" s="189" t="s">
        <v>574</v>
      </c>
      <c r="CWL9" s="352" t="s">
        <v>573</v>
      </c>
      <c r="CWM9" s="142" t="s">
        <v>575</v>
      </c>
      <c r="CWN9" s="358" t="s">
        <v>576</v>
      </c>
      <c r="CWO9" s="189" t="s">
        <v>574</v>
      </c>
      <c r="CWP9" s="352" t="s">
        <v>573</v>
      </c>
      <c r="CWQ9" s="142" t="s">
        <v>575</v>
      </c>
      <c r="CWR9" s="358" t="s">
        <v>576</v>
      </c>
      <c r="CWS9" s="189" t="s">
        <v>574</v>
      </c>
      <c r="CWT9" s="352" t="s">
        <v>573</v>
      </c>
      <c r="CWU9" s="142" t="s">
        <v>575</v>
      </c>
      <c r="CWV9" s="358" t="s">
        <v>576</v>
      </c>
      <c r="CWW9" s="189" t="s">
        <v>574</v>
      </c>
      <c r="CWX9" s="352" t="s">
        <v>573</v>
      </c>
      <c r="CWY9" s="142" t="s">
        <v>575</v>
      </c>
      <c r="CWZ9" s="358" t="s">
        <v>576</v>
      </c>
      <c r="CXA9" s="189" t="s">
        <v>574</v>
      </c>
      <c r="CXB9" s="352" t="s">
        <v>573</v>
      </c>
      <c r="CXC9" s="142" t="s">
        <v>575</v>
      </c>
      <c r="CXD9" s="358" t="s">
        <v>576</v>
      </c>
      <c r="CXE9" s="189" t="s">
        <v>574</v>
      </c>
      <c r="CXF9" s="352" t="s">
        <v>573</v>
      </c>
      <c r="CXG9" s="142" t="s">
        <v>575</v>
      </c>
      <c r="CXH9" s="358" t="s">
        <v>576</v>
      </c>
      <c r="CXI9" s="189" t="s">
        <v>574</v>
      </c>
      <c r="CXJ9" s="352" t="s">
        <v>573</v>
      </c>
      <c r="CXK9" s="142" t="s">
        <v>575</v>
      </c>
      <c r="CXL9" s="358" t="s">
        <v>576</v>
      </c>
      <c r="CXM9" s="189" t="s">
        <v>574</v>
      </c>
      <c r="CXN9" s="352" t="s">
        <v>573</v>
      </c>
      <c r="CXO9" s="142" t="s">
        <v>575</v>
      </c>
      <c r="CXP9" s="358" t="s">
        <v>576</v>
      </c>
      <c r="CXQ9" s="189" t="s">
        <v>574</v>
      </c>
      <c r="CXR9" s="352" t="s">
        <v>573</v>
      </c>
      <c r="CXS9" s="142" t="s">
        <v>575</v>
      </c>
      <c r="CXT9" s="358" t="s">
        <v>576</v>
      </c>
      <c r="CXU9" s="189" t="s">
        <v>574</v>
      </c>
      <c r="CXV9" s="352" t="s">
        <v>573</v>
      </c>
      <c r="CXW9" s="142" t="s">
        <v>575</v>
      </c>
      <c r="CXX9" s="358" t="s">
        <v>576</v>
      </c>
      <c r="CXY9" s="189" t="s">
        <v>574</v>
      </c>
      <c r="CXZ9" s="352" t="s">
        <v>573</v>
      </c>
      <c r="CYA9" s="142" t="s">
        <v>575</v>
      </c>
      <c r="CYB9" s="358" t="s">
        <v>576</v>
      </c>
      <c r="CYC9" s="189" t="s">
        <v>574</v>
      </c>
      <c r="CYD9" s="352" t="s">
        <v>573</v>
      </c>
      <c r="CYE9" s="142" t="s">
        <v>575</v>
      </c>
      <c r="CYF9" s="358" t="s">
        <v>576</v>
      </c>
      <c r="CYG9" s="189" t="s">
        <v>574</v>
      </c>
      <c r="CYH9" s="352" t="s">
        <v>573</v>
      </c>
      <c r="CYI9" s="142" t="s">
        <v>575</v>
      </c>
      <c r="CYJ9" s="358" t="s">
        <v>576</v>
      </c>
      <c r="CYK9" s="189" t="s">
        <v>574</v>
      </c>
      <c r="CYL9" s="352" t="s">
        <v>573</v>
      </c>
      <c r="CYM9" s="142" t="s">
        <v>575</v>
      </c>
      <c r="CYN9" s="358" t="s">
        <v>576</v>
      </c>
      <c r="CYO9" s="189" t="s">
        <v>574</v>
      </c>
      <c r="CYP9" s="352" t="s">
        <v>573</v>
      </c>
      <c r="CYQ9" s="142" t="s">
        <v>575</v>
      </c>
      <c r="CYR9" s="358" t="s">
        <v>576</v>
      </c>
      <c r="CYS9" s="189" t="s">
        <v>574</v>
      </c>
      <c r="CYT9" s="352" t="s">
        <v>573</v>
      </c>
      <c r="CYU9" s="142" t="s">
        <v>575</v>
      </c>
      <c r="CYV9" s="358" t="s">
        <v>576</v>
      </c>
      <c r="CYW9" s="189" t="s">
        <v>574</v>
      </c>
      <c r="CYX9" s="352" t="s">
        <v>573</v>
      </c>
      <c r="CYY9" s="142" t="s">
        <v>575</v>
      </c>
      <c r="CYZ9" s="358" t="s">
        <v>576</v>
      </c>
      <c r="CZA9" s="189" t="s">
        <v>574</v>
      </c>
      <c r="CZB9" s="352" t="s">
        <v>573</v>
      </c>
      <c r="CZC9" s="142" t="s">
        <v>575</v>
      </c>
      <c r="CZD9" s="358" t="s">
        <v>576</v>
      </c>
      <c r="CZE9" s="189" t="s">
        <v>574</v>
      </c>
      <c r="CZF9" s="352" t="s">
        <v>573</v>
      </c>
      <c r="CZG9" s="142" t="s">
        <v>575</v>
      </c>
      <c r="CZH9" s="358" t="s">
        <v>576</v>
      </c>
      <c r="CZI9" s="189" t="s">
        <v>574</v>
      </c>
      <c r="CZJ9" s="352" t="s">
        <v>573</v>
      </c>
      <c r="CZK9" s="142" t="s">
        <v>575</v>
      </c>
      <c r="CZL9" s="358" t="s">
        <v>576</v>
      </c>
      <c r="CZM9" s="189" t="s">
        <v>574</v>
      </c>
      <c r="CZN9" s="352" t="s">
        <v>573</v>
      </c>
      <c r="CZO9" s="142" t="s">
        <v>575</v>
      </c>
      <c r="CZP9" s="358" t="s">
        <v>576</v>
      </c>
      <c r="CZQ9" s="189" t="s">
        <v>574</v>
      </c>
      <c r="CZR9" s="352" t="s">
        <v>573</v>
      </c>
      <c r="CZS9" s="142" t="s">
        <v>575</v>
      </c>
      <c r="CZT9" s="358" t="s">
        <v>576</v>
      </c>
      <c r="CZU9" s="189" t="s">
        <v>574</v>
      </c>
      <c r="CZV9" s="352" t="s">
        <v>573</v>
      </c>
      <c r="CZW9" s="142" t="s">
        <v>575</v>
      </c>
      <c r="CZX9" s="358" t="s">
        <v>576</v>
      </c>
      <c r="CZY9" s="189" t="s">
        <v>574</v>
      </c>
      <c r="CZZ9" s="352" t="s">
        <v>573</v>
      </c>
      <c r="DAA9" s="142" t="s">
        <v>575</v>
      </c>
      <c r="DAB9" s="358" t="s">
        <v>576</v>
      </c>
      <c r="DAC9" s="189" t="s">
        <v>574</v>
      </c>
      <c r="DAD9" s="352" t="s">
        <v>573</v>
      </c>
      <c r="DAE9" s="142" t="s">
        <v>575</v>
      </c>
      <c r="DAF9" s="358" t="s">
        <v>576</v>
      </c>
      <c r="DAG9" s="189" t="s">
        <v>574</v>
      </c>
      <c r="DAH9" s="352" t="s">
        <v>573</v>
      </c>
      <c r="DAI9" s="142" t="s">
        <v>575</v>
      </c>
      <c r="DAJ9" s="358" t="s">
        <v>576</v>
      </c>
      <c r="DAK9" s="189" t="s">
        <v>574</v>
      </c>
      <c r="DAL9" s="352" t="s">
        <v>573</v>
      </c>
      <c r="DAM9" s="142" t="s">
        <v>575</v>
      </c>
      <c r="DAN9" s="358" t="s">
        <v>576</v>
      </c>
      <c r="DAO9" s="189" t="s">
        <v>574</v>
      </c>
      <c r="DAP9" s="352" t="s">
        <v>573</v>
      </c>
      <c r="DAQ9" s="142" t="s">
        <v>575</v>
      </c>
      <c r="DAR9" s="358" t="s">
        <v>576</v>
      </c>
      <c r="DAS9" s="189" t="s">
        <v>574</v>
      </c>
      <c r="DAT9" s="352" t="s">
        <v>573</v>
      </c>
      <c r="DAU9" s="142" t="s">
        <v>575</v>
      </c>
      <c r="DAV9" s="358" t="s">
        <v>576</v>
      </c>
      <c r="DAW9" s="189" t="s">
        <v>574</v>
      </c>
      <c r="DAX9" s="352" t="s">
        <v>573</v>
      </c>
      <c r="DAY9" s="142" t="s">
        <v>575</v>
      </c>
      <c r="DAZ9" s="358" t="s">
        <v>576</v>
      </c>
      <c r="DBA9" s="189" t="s">
        <v>574</v>
      </c>
      <c r="DBB9" s="352" t="s">
        <v>573</v>
      </c>
      <c r="DBC9" s="142" t="s">
        <v>575</v>
      </c>
      <c r="DBD9" s="358" t="s">
        <v>576</v>
      </c>
      <c r="DBE9" s="189" t="s">
        <v>574</v>
      </c>
      <c r="DBF9" s="352" t="s">
        <v>573</v>
      </c>
      <c r="DBG9" s="142" t="s">
        <v>575</v>
      </c>
      <c r="DBH9" s="358" t="s">
        <v>576</v>
      </c>
      <c r="DBI9" s="189" t="s">
        <v>574</v>
      </c>
      <c r="DBJ9" s="352" t="s">
        <v>573</v>
      </c>
      <c r="DBK9" s="142" t="s">
        <v>575</v>
      </c>
      <c r="DBL9" s="358" t="s">
        <v>576</v>
      </c>
      <c r="DBM9" s="189" t="s">
        <v>574</v>
      </c>
      <c r="DBN9" s="352" t="s">
        <v>573</v>
      </c>
      <c r="DBO9" s="142" t="s">
        <v>575</v>
      </c>
      <c r="DBP9" s="358" t="s">
        <v>576</v>
      </c>
      <c r="DBQ9" s="189" t="s">
        <v>574</v>
      </c>
      <c r="DBR9" s="352" t="s">
        <v>573</v>
      </c>
      <c r="DBS9" s="142" t="s">
        <v>575</v>
      </c>
      <c r="DBT9" s="358" t="s">
        <v>576</v>
      </c>
      <c r="DBU9" s="189" t="s">
        <v>574</v>
      </c>
      <c r="DBV9" s="352" t="s">
        <v>573</v>
      </c>
      <c r="DBW9" s="142" t="s">
        <v>575</v>
      </c>
      <c r="DBX9" s="358" t="s">
        <v>576</v>
      </c>
      <c r="DBY9" s="189" t="s">
        <v>574</v>
      </c>
      <c r="DBZ9" s="352" t="s">
        <v>573</v>
      </c>
      <c r="DCA9" s="142" t="s">
        <v>575</v>
      </c>
      <c r="DCB9" s="358" t="s">
        <v>576</v>
      </c>
      <c r="DCC9" s="189" t="s">
        <v>574</v>
      </c>
      <c r="DCD9" s="352" t="s">
        <v>573</v>
      </c>
      <c r="DCE9" s="142" t="s">
        <v>575</v>
      </c>
      <c r="DCF9" s="358" t="s">
        <v>576</v>
      </c>
      <c r="DCG9" s="189" t="s">
        <v>574</v>
      </c>
      <c r="DCH9" s="352" t="s">
        <v>573</v>
      </c>
      <c r="DCI9" s="142" t="s">
        <v>575</v>
      </c>
      <c r="DCJ9" s="358" t="s">
        <v>576</v>
      </c>
      <c r="DCK9" s="189" t="s">
        <v>574</v>
      </c>
      <c r="DCL9" s="352" t="s">
        <v>573</v>
      </c>
      <c r="DCM9" s="142" t="s">
        <v>575</v>
      </c>
      <c r="DCN9" s="358" t="s">
        <v>576</v>
      </c>
      <c r="DCO9" s="189" t="s">
        <v>574</v>
      </c>
      <c r="DCP9" s="352" t="s">
        <v>573</v>
      </c>
      <c r="DCQ9" s="142" t="s">
        <v>575</v>
      </c>
      <c r="DCR9" s="358" t="s">
        <v>576</v>
      </c>
      <c r="DCS9" s="189" t="s">
        <v>574</v>
      </c>
      <c r="DCT9" s="352" t="s">
        <v>573</v>
      </c>
      <c r="DCU9" s="142" t="s">
        <v>575</v>
      </c>
      <c r="DCV9" s="358" t="s">
        <v>576</v>
      </c>
      <c r="DCW9" s="189" t="s">
        <v>574</v>
      </c>
      <c r="DCX9" s="352" t="s">
        <v>573</v>
      </c>
      <c r="DCY9" s="142" t="s">
        <v>575</v>
      </c>
      <c r="DCZ9" s="358" t="s">
        <v>576</v>
      </c>
      <c r="DDA9" s="189" t="s">
        <v>574</v>
      </c>
      <c r="DDB9" s="352" t="s">
        <v>573</v>
      </c>
      <c r="DDC9" s="142" t="s">
        <v>575</v>
      </c>
      <c r="DDD9" s="358" t="s">
        <v>576</v>
      </c>
      <c r="DDE9" s="189" t="s">
        <v>574</v>
      </c>
      <c r="DDF9" s="352" t="s">
        <v>573</v>
      </c>
      <c r="DDG9" s="142" t="s">
        <v>575</v>
      </c>
      <c r="DDH9" s="358" t="s">
        <v>576</v>
      </c>
      <c r="DDI9" s="189" t="s">
        <v>574</v>
      </c>
      <c r="DDJ9" s="352" t="s">
        <v>573</v>
      </c>
      <c r="DDK9" s="142" t="s">
        <v>575</v>
      </c>
      <c r="DDL9" s="358" t="s">
        <v>576</v>
      </c>
      <c r="DDM9" s="189" t="s">
        <v>574</v>
      </c>
      <c r="DDN9" s="352" t="s">
        <v>573</v>
      </c>
      <c r="DDO9" s="142" t="s">
        <v>575</v>
      </c>
      <c r="DDP9" s="358" t="s">
        <v>576</v>
      </c>
      <c r="DDQ9" s="189" t="s">
        <v>574</v>
      </c>
      <c r="DDR9" s="352" t="s">
        <v>573</v>
      </c>
      <c r="DDS9" s="142" t="s">
        <v>575</v>
      </c>
      <c r="DDT9" s="358" t="s">
        <v>576</v>
      </c>
      <c r="DDU9" s="189" t="s">
        <v>574</v>
      </c>
      <c r="DDV9" s="352" t="s">
        <v>573</v>
      </c>
      <c r="DDW9" s="142" t="s">
        <v>575</v>
      </c>
      <c r="DDX9" s="358" t="s">
        <v>576</v>
      </c>
      <c r="DDY9" s="189" t="s">
        <v>574</v>
      </c>
      <c r="DDZ9" s="352" t="s">
        <v>573</v>
      </c>
      <c r="DEA9" s="142" t="s">
        <v>575</v>
      </c>
      <c r="DEB9" s="358" t="s">
        <v>576</v>
      </c>
      <c r="DEC9" s="189" t="s">
        <v>574</v>
      </c>
      <c r="DED9" s="352" t="s">
        <v>573</v>
      </c>
      <c r="DEE9" s="142" t="s">
        <v>575</v>
      </c>
      <c r="DEF9" s="358" t="s">
        <v>576</v>
      </c>
      <c r="DEG9" s="189" t="s">
        <v>574</v>
      </c>
      <c r="DEH9" s="352" t="s">
        <v>573</v>
      </c>
      <c r="DEI9" s="142" t="s">
        <v>575</v>
      </c>
      <c r="DEJ9" s="358" t="s">
        <v>576</v>
      </c>
      <c r="DEK9" s="189" t="s">
        <v>574</v>
      </c>
      <c r="DEL9" s="352" t="s">
        <v>573</v>
      </c>
      <c r="DEM9" s="142" t="s">
        <v>575</v>
      </c>
      <c r="DEN9" s="358" t="s">
        <v>576</v>
      </c>
      <c r="DEO9" s="189" t="s">
        <v>574</v>
      </c>
      <c r="DEP9" s="352" t="s">
        <v>573</v>
      </c>
      <c r="DEQ9" s="142" t="s">
        <v>575</v>
      </c>
      <c r="DER9" s="358" t="s">
        <v>576</v>
      </c>
      <c r="DES9" s="189" t="s">
        <v>574</v>
      </c>
      <c r="DET9" s="352" t="s">
        <v>573</v>
      </c>
      <c r="DEU9" s="142" t="s">
        <v>575</v>
      </c>
      <c r="DEV9" s="358" t="s">
        <v>576</v>
      </c>
      <c r="DEW9" s="189" t="s">
        <v>574</v>
      </c>
      <c r="DEX9" s="352" t="s">
        <v>573</v>
      </c>
      <c r="DEY9" s="142" t="s">
        <v>575</v>
      </c>
      <c r="DEZ9" s="358" t="s">
        <v>576</v>
      </c>
      <c r="DFA9" s="189" t="s">
        <v>574</v>
      </c>
      <c r="DFB9" s="352" t="s">
        <v>573</v>
      </c>
      <c r="DFC9" s="142" t="s">
        <v>575</v>
      </c>
      <c r="DFD9" s="358" t="s">
        <v>576</v>
      </c>
      <c r="DFE9" s="189" t="s">
        <v>574</v>
      </c>
      <c r="DFF9" s="352" t="s">
        <v>573</v>
      </c>
      <c r="DFG9" s="142" t="s">
        <v>575</v>
      </c>
      <c r="DFH9" s="358" t="s">
        <v>576</v>
      </c>
      <c r="DFI9" s="189" t="s">
        <v>574</v>
      </c>
      <c r="DFJ9" s="352" t="s">
        <v>573</v>
      </c>
      <c r="DFK9" s="142" t="s">
        <v>575</v>
      </c>
      <c r="DFL9" s="358" t="s">
        <v>576</v>
      </c>
      <c r="DFM9" s="189" t="s">
        <v>574</v>
      </c>
      <c r="DFN9" s="352" t="s">
        <v>573</v>
      </c>
      <c r="DFO9" s="142" t="s">
        <v>575</v>
      </c>
      <c r="DFP9" s="358" t="s">
        <v>576</v>
      </c>
      <c r="DFQ9" s="189" t="s">
        <v>574</v>
      </c>
      <c r="DFR9" s="352" t="s">
        <v>573</v>
      </c>
      <c r="DFS9" s="142" t="s">
        <v>575</v>
      </c>
      <c r="DFT9" s="358" t="s">
        <v>576</v>
      </c>
      <c r="DFU9" s="189" t="s">
        <v>574</v>
      </c>
      <c r="DFV9" s="352" t="s">
        <v>573</v>
      </c>
      <c r="DFW9" s="142" t="s">
        <v>575</v>
      </c>
      <c r="DFX9" s="358" t="s">
        <v>576</v>
      </c>
      <c r="DFY9" s="189" t="s">
        <v>574</v>
      </c>
      <c r="DFZ9" s="352" t="s">
        <v>573</v>
      </c>
      <c r="DGA9" s="142" t="s">
        <v>575</v>
      </c>
      <c r="DGB9" s="358" t="s">
        <v>576</v>
      </c>
      <c r="DGC9" s="189" t="s">
        <v>574</v>
      </c>
      <c r="DGD9" s="352" t="s">
        <v>573</v>
      </c>
      <c r="DGE9" s="142" t="s">
        <v>575</v>
      </c>
      <c r="DGF9" s="358" t="s">
        <v>576</v>
      </c>
      <c r="DGG9" s="189" t="s">
        <v>574</v>
      </c>
      <c r="DGH9" s="352" t="s">
        <v>573</v>
      </c>
      <c r="DGI9" s="142" t="s">
        <v>575</v>
      </c>
      <c r="DGJ9" s="358" t="s">
        <v>576</v>
      </c>
      <c r="DGK9" s="189" t="s">
        <v>574</v>
      </c>
      <c r="DGL9" s="352" t="s">
        <v>573</v>
      </c>
      <c r="DGM9" s="142" t="s">
        <v>575</v>
      </c>
      <c r="DGN9" s="358" t="s">
        <v>576</v>
      </c>
      <c r="DGO9" s="189" t="s">
        <v>574</v>
      </c>
      <c r="DGP9" s="352" t="s">
        <v>573</v>
      </c>
      <c r="DGQ9" s="142" t="s">
        <v>575</v>
      </c>
      <c r="DGR9" s="358" t="s">
        <v>576</v>
      </c>
      <c r="DGS9" s="189" t="s">
        <v>574</v>
      </c>
      <c r="DGT9" s="352" t="s">
        <v>573</v>
      </c>
      <c r="DGU9" s="142" t="s">
        <v>575</v>
      </c>
      <c r="DGV9" s="358" t="s">
        <v>576</v>
      </c>
      <c r="DGW9" s="189" t="s">
        <v>574</v>
      </c>
      <c r="DGX9" s="352" t="s">
        <v>573</v>
      </c>
      <c r="DGY9" s="142" t="s">
        <v>575</v>
      </c>
      <c r="DGZ9" s="358" t="s">
        <v>576</v>
      </c>
      <c r="DHA9" s="189" t="s">
        <v>574</v>
      </c>
      <c r="DHB9" s="352" t="s">
        <v>573</v>
      </c>
      <c r="DHC9" s="142" t="s">
        <v>575</v>
      </c>
      <c r="DHD9" s="358" t="s">
        <v>576</v>
      </c>
      <c r="DHE9" s="189" t="s">
        <v>574</v>
      </c>
      <c r="DHF9" s="352" t="s">
        <v>573</v>
      </c>
      <c r="DHG9" s="142" t="s">
        <v>575</v>
      </c>
      <c r="DHH9" s="358" t="s">
        <v>576</v>
      </c>
      <c r="DHI9" s="189" t="s">
        <v>574</v>
      </c>
      <c r="DHJ9" s="352" t="s">
        <v>573</v>
      </c>
      <c r="DHK9" s="142" t="s">
        <v>575</v>
      </c>
      <c r="DHL9" s="358" t="s">
        <v>576</v>
      </c>
      <c r="DHM9" s="189" t="s">
        <v>574</v>
      </c>
      <c r="DHN9" s="352" t="s">
        <v>573</v>
      </c>
      <c r="DHO9" s="142" t="s">
        <v>575</v>
      </c>
      <c r="DHP9" s="358" t="s">
        <v>576</v>
      </c>
      <c r="DHQ9" s="189" t="s">
        <v>574</v>
      </c>
      <c r="DHR9" s="352" t="s">
        <v>573</v>
      </c>
      <c r="DHS9" s="142" t="s">
        <v>575</v>
      </c>
      <c r="DHT9" s="358" t="s">
        <v>576</v>
      </c>
      <c r="DHU9" s="189" t="s">
        <v>574</v>
      </c>
      <c r="DHV9" s="352" t="s">
        <v>573</v>
      </c>
      <c r="DHW9" s="142" t="s">
        <v>575</v>
      </c>
      <c r="DHX9" s="358" t="s">
        <v>576</v>
      </c>
      <c r="DHY9" s="189" t="s">
        <v>574</v>
      </c>
      <c r="DHZ9" s="352" t="s">
        <v>573</v>
      </c>
      <c r="DIA9" s="142" t="s">
        <v>575</v>
      </c>
      <c r="DIB9" s="358" t="s">
        <v>576</v>
      </c>
      <c r="DIC9" s="189" t="s">
        <v>574</v>
      </c>
      <c r="DID9" s="352" t="s">
        <v>573</v>
      </c>
      <c r="DIE9" s="142" t="s">
        <v>575</v>
      </c>
      <c r="DIF9" s="358" t="s">
        <v>576</v>
      </c>
      <c r="DIG9" s="189" t="s">
        <v>574</v>
      </c>
      <c r="DIH9" s="352" t="s">
        <v>573</v>
      </c>
      <c r="DII9" s="142" t="s">
        <v>575</v>
      </c>
      <c r="DIJ9" s="358" t="s">
        <v>576</v>
      </c>
      <c r="DIK9" s="189" t="s">
        <v>574</v>
      </c>
      <c r="DIL9" s="352" t="s">
        <v>573</v>
      </c>
      <c r="DIM9" s="142" t="s">
        <v>575</v>
      </c>
      <c r="DIN9" s="358" t="s">
        <v>576</v>
      </c>
      <c r="DIO9" s="189" t="s">
        <v>574</v>
      </c>
      <c r="DIP9" s="352" t="s">
        <v>573</v>
      </c>
      <c r="DIQ9" s="142" t="s">
        <v>575</v>
      </c>
      <c r="DIR9" s="358" t="s">
        <v>576</v>
      </c>
      <c r="DIS9" s="189" t="s">
        <v>574</v>
      </c>
      <c r="DIT9" s="352" t="s">
        <v>573</v>
      </c>
      <c r="DIU9" s="142" t="s">
        <v>575</v>
      </c>
      <c r="DIV9" s="358" t="s">
        <v>576</v>
      </c>
      <c r="DIW9" s="189" t="s">
        <v>574</v>
      </c>
      <c r="DIX9" s="352" t="s">
        <v>573</v>
      </c>
      <c r="DIY9" s="142" t="s">
        <v>575</v>
      </c>
      <c r="DIZ9" s="358" t="s">
        <v>576</v>
      </c>
      <c r="DJA9" s="189" t="s">
        <v>574</v>
      </c>
      <c r="DJB9" s="352" t="s">
        <v>573</v>
      </c>
      <c r="DJC9" s="142" t="s">
        <v>575</v>
      </c>
      <c r="DJD9" s="358" t="s">
        <v>576</v>
      </c>
      <c r="DJE9" s="189" t="s">
        <v>574</v>
      </c>
      <c r="DJF9" s="352" t="s">
        <v>573</v>
      </c>
      <c r="DJG9" s="142" t="s">
        <v>575</v>
      </c>
      <c r="DJH9" s="358" t="s">
        <v>576</v>
      </c>
      <c r="DJI9" s="189" t="s">
        <v>574</v>
      </c>
      <c r="DJJ9" s="352" t="s">
        <v>573</v>
      </c>
      <c r="DJK9" s="142" t="s">
        <v>575</v>
      </c>
      <c r="DJL9" s="358" t="s">
        <v>576</v>
      </c>
      <c r="DJM9" s="189" t="s">
        <v>574</v>
      </c>
      <c r="DJN9" s="352" t="s">
        <v>573</v>
      </c>
      <c r="DJO9" s="142" t="s">
        <v>575</v>
      </c>
      <c r="DJP9" s="358" t="s">
        <v>576</v>
      </c>
      <c r="DJQ9" s="189" t="s">
        <v>574</v>
      </c>
      <c r="DJR9" s="352" t="s">
        <v>573</v>
      </c>
      <c r="DJS9" s="142" t="s">
        <v>575</v>
      </c>
      <c r="DJT9" s="358" t="s">
        <v>576</v>
      </c>
      <c r="DJU9" s="189" t="s">
        <v>574</v>
      </c>
      <c r="DJV9" s="352" t="s">
        <v>573</v>
      </c>
      <c r="DJW9" s="142" t="s">
        <v>575</v>
      </c>
      <c r="DJX9" s="358" t="s">
        <v>576</v>
      </c>
      <c r="DJY9" s="189" t="s">
        <v>574</v>
      </c>
      <c r="DJZ9" s="352" t="s">
        <v>573</v>
      </c>
      <c r="DKA9" s="142" t="s">
        <v>575</v>
      </c>
      <c r="DKB9" s="358" t="s">
        <v>576</v>
      </c>
      <c r="DKC9" s="189" t="s">
        <v>574</v>
      </c>
      <c r="DKD9" s="352" t="s">
        <v>573</v>
      </c>
      <c r="DKE9" s="142" t="s">
        <v>575</v>
      </c>
      <c r="DKF9" s="358" t="s">
        <v>576</v>
      </c>
      <c r="DKG9" s="189" t="s">
        <v>574</v>
      </c>
      <c r="DKH9" s="352" t="s">
        <v>573</v>
      </c>
      <c r="DKI9" s="142" t="s">
        <v>575</v>
      </c>
      <c r="DKJ9" s="358" t="s">
        <v>576</v>
      </c>
      <c r="DKK9" s="189" t="s">
        <v>574</v>
      </c>
      <c r="DKL9" s="352" t="s">
        <v>573</v>
      </c>
      <c r="DKM9" s="142" t="s">
        <v>575</v>
      </c>
      <c r="DKN9" s="358" t="s">
        <v>576</v>
      </c>
      <c r="DKO9" s="189" t="s">
        <v>574</v>
      </c>
      <c r="DKP9" s="352" t="s">
        <v>573</v>
      </c>
      <c r="DKQ9" s="142" t="s">
        <v>575</v>
      </c>
      <c r="DKR9" s="358" t="s">
        <v>576</v>
      </c>
      <c r="DKS9" s="189" t="s">
        <v>574</v>
      </c>
      <c r="DKT9" s="352" t="s">
        <v>573</v>
      </c>
      <c r="DKU9" s="142" t="s">
        <v>575</v>
      </c>
      <c r="DKV9" s="358" t="s">
        <v>576</v>
      </c>
      <c r="DKW9" s="189" t="s">
        <v>574</v>
      </c>
      <c r="DKX9" s="352" t="s">
        <v>573</v>
      </c>
      <c r="DKY9" s="142" t="s">
        <v>575</v>
      </c>
      <c r="DKZ9" s="358" t="s">
        <v>576</v>
      </c>
      <c r="DLA9" s="189" t="s">
        <v>574</v>
      </c>
      <c r="DLB9" s="352" t="s">
        <v>573</v>
      </c>
      <c r="DLC9" s="142" t="s">
        <v>575</v>
      </c>
      <c r="DLD9" s="358" t="s">
        <v>576</v>
      </c>
      <c r="DLE9" s="189" t="s">
        <v>574</v>
      </c>
      <c r="DLF9" s="352" t="s">
        <v>573</v>
      </c>
      <c r="DLG9" s="142" t="s">
        <v>575</v>
      </c>
      <c r="DLH9" s="358" t="s">
        <v>576</v>
      </c>
      <c r="DLI9" s="189" t="s">
        <v>574</v>
      </c>
      <c r="DLJ9" s="352" t="s">
        <v>573</v>
      </c>
      <c r="DLK9" s="142" t="s">
        <v>575</v>
      </c>
      <c r="DLL9" s="358" t="s">
        <v>576</v>
      </c>
      <c r="DLM9" s="189" t="s">
        <v>574</v>
      </c>
      <c r="DLN9" s="352" t="s">
        <v>573</v>
      </c>
      <c r="DLO9" s="142" t="s">
        <v>575</v>
      </c>
      <c r="DLP9" s="358" t="s">
        <v>576</v>
      </c>
      <c r="DLQ9" s="189" t="s">
        <v>574</v>
      </c>
      <c r="DLR9" s="352" t="s">
        <v>573</v>
      </c>
      <c r="DLS9" s="142" t="s">
        <v>575</v>
      </c>
      <c r="DLT9" s="358" t="s">
        <v>576</v>
      </c>
      <c r="DLU9" s="189" t="s">
        <v>574</v>
      </c>
      <c r="DLV9" s="352" t="s">
        <v>573</v>
      </c>
      <c r="DLW9" s="142" t="s">
        <v>575</v>
      </c>
      <c r="DLX9" s="358" t="s">
        <v>576</v>
      </c>
      <c r="DLY9" s="189" t="s">
        <v>574</v>
      </c>
      <c r="DLZ9" s="352" t="s">
        <v>573</v>
      </c>
      <c r="DMA9" s="142" t="s">
        <v>575</v>
      </c>
      <c r="DMB9" s="358" t="s">
        <v>576</v>
      </c>
      <c r="DMC9" s="189" t="s">
        <v>574</v>
      </c>
      <c r="DMD9" s="352" t="s">
        <v>573</v>
      </c>
      <c r="DME9" s="142" t="s">
        <v>575</v>
      </c>
      <c r="DMF9" s="358" t="s">
        <v>576</v>
      </c>
      <c r="DMG9" s="189" t="s">
        <v>574</v>
      </c>
      <c r="DMH9" s="352" t="s">
        <v>573</v>
      </c>
      <c r="DMI9" s="142" t="s">
        <v>575</v>
      </c>
      <c r="DMJ9" s="358" t="s">
        <v>576</v>
      </c>
      <c r="DMK9" s="189" t="s">
        <v>574</v>
      </c>
      <c r="DML9" s="352" t="s">
        <v>573</v>
      </c>
      <c r="DMM9" s="142" t="s">
        <v>575</v>
      </c>
      <c r="DMN9" s="358" t="s">
        <v>576</v>
      </c>
      <c r="DMO9" s="189" t="s">
        <v>574</v>
      </c>
      <c r="DMP9" s="352" t="s">
        <v>573</v>
      </c>
      <c r="DMQ9" s="142" t="s">
        <v>575</v>
      </c>
      <c r="DMR9" s="358" t="s">
        <v>576</v>
      </c>
      <c r="DMS9" s="189" t="s">
        <v>574</v>
      </c>
      <c r="DMT9" s="352" t="s">
        <v>573</v>
      </c>
      <c r="DMU9" s="142" t="s">
        <v>575</v>
      </c>
      <c r="DMV9" s="358" t="s">
        <v>576</v>
      </c>
      <c r="DMW9" s="189" t="s">
        <v>574</v>
      </c>
      <c r="DMX9" s="352" t="s">
        <v>573</v>
      </c>
      <c r="DMY9" s="142" t="s">
        <v>575</v>
      </c>
      <c r="DMZ9" s="358" t="s">
        <v>576</v>
      </c>
      <c r="DNA9" s="189" t="s">
        <v>574</v>
      </c>
      <c r="DNB9" s="352" t="s">
        <v>573</v>
      </c>
      <c r="DNC9" s="142" t="s">
        <v>575</v>
      </c>
      <c r="DND9" s="358" t="s">
        <v>576</v>
      </c>
      <c r="DNE9" s="189" t="s">
        <v>574</v>
      </c>
      <c r="DNF9" s="352" t="s">
        <v>573</v>
      </c>
      <c r="DNG9" s="142" t="s">
        <v>575</v>
      </c>
      <c r="DNH9" s="358" t="s">
        <v>576</v>
      </c>
      <c r="DNI9" s="189" t="s">
        <v>574</v>
      </c>
      <c r="DNJ9" s="352" t="s">
        <v>573</v>
      </c>
      <c r="DNK9" s="142" t="s">
        <v>575</v>
      </c>
      <c r="DNL9" s="358" t="s">
        <v>576</v>
      </c>
      <c r="DNM9" s="189" t="s">
        <v>574</v>
      </c>
      <c r="DNN9" s="352" t="s">
        <v>573</v>
      </c>
      <c r="DNO9" s="142" t="s">
        <v>575</v>
      </c>
      <c r="DNP9" s="358" t="s">
        <v>576</v>
      </c>
      <c r="DNQ9" s="189" t="s">
        <v>574</v>
      </c>
      <c r="DNR9" s="352" t="s">
        <v>573</v>
      </c>
      <c r="DNS9" s="142" t="s">
        <v>575</v>
      </c>
      <c r="DNT9" s="358" t="s">
        <v>576</v>
      </c>
      <c r="DNU9" s="189" t="s">
        <v>574</v>
      </c>
      <c r="DNV9" s="352" t="s">
        <v>573</v>
      </c>
      <c r="DNW9" s="142" t="s">
        <v>575</v>
      </c>
      <c r="DNX9" s="358" t="s">
        <v>576</v>
      </c>
      <c r="DNY9" s="189" t="s">
        <v>574</v>
      </c>
      <c r="DNZ9" s="352" t="s">
        <v>573</v>
      </c>
      <c r="DOA9" s="142" t="s">
        <v>575</v>
      </c>
      <c r="DOB9" s="358" t="s">
        <v>576</v>
      </c>
      <c r="DOC9" s="189" t="s">
        <v>574</v>
      </c>
      <c r="DOD9" s="352" t="s">
        <v>573</v>
      </c>
      <c r="DOE9" s="142" t="s">
        <v>575</v>
      </c>
      <c r="DOF9" s="358" t="s">
        <v>576</v>
      </c>
      <c r="DOG9" s="189" t="s">
        <v>574</v>
      </c>
      <c r="DOH9" s="352" t="s">
        <v>573</v>
      </c>
      <c r="DOI9" s="142" t="s">
        <v>575</v>
      </c>
      <c r="DOJ9" s="358" t="s">
        <v>576</v>
      </c>
      <c r="DOK9" s="189" t="s">
        <v>574</v>
      </c>
      <c r="DOL9" s="352" t="s">
        <v>573</v>
      </c>
      <c r="DOM9" s="142" t="s">
        <v>575</v>
      </c>
      <c r="DON9" s="358" t="s">
        <v>576</v>
      </c>
      <c r="DOO9" s="189" t="s">
        <v>574</v>
      </c>
      <c r="DOP9" s="352" t="s">
        <v>573</v>
      </c>
      <c r="DOQ9" s="142" t="s">
        <v>575</v>
      </c>
      <c r="DOR9" s="358" t="s">
        <v>576</v>
      </c>
      <c r="DOS9" s="189" t="s">
        <v>574</v>
      </c>
      <c r="DOT9" s="352" t="s">
        <v>573</v>
      </c>
      <c r="DOU9" s="142" t="s">
        <v>575</v>
      </c>
      <c r="DOV9" s="358" t="s">
        <v>576</v>
      </c>
      <c r="DOW9" s="189" t="s">
        <v>574</v>
      </c>
      <c r="DOX9" s="352" t="s">
        <v>573</v>
      </c>
      <c r="DOY9" s="142" t="s">
        <v>575</v>
      </c>
      <c r="DOZ9" s="358" t="s">
        <v>576</v>
      </c>
      <c r="DPA9" s="189" t="s">
        <v>574</v>
      </c>
      <c r="DPB9" s="352" t="s">
        <v>573</v>
      </c>
      <c r="DPC9" s="142" t="s">
        <v>575</v>
      </c>
      <c r="DPD9" s="358" t="s">
        <v>576</v>
      </c>
      <c r="DPE9" s="189" t="s">
        <v>574</v>
      </c>
      <c r="DPF9" s="352" t="s">
        <v>573</v>
      </c>
      <c r="DPG9" s="142" t="s">
        <v>575</v>
      </c>
      <c r="DPH9" s="358" t="s">
        <v>576</v>
      </c>
      <c r="DPI9" s="189" t="s">
        <v>574</v>
      </c>
      <c r="DPJ9" s="352" t="s">
        <v>573</v>
      </c>
      <c r="DPK9" s="142" t="s">
        <v>575</v>
      </c>
      <c r="DPL9" s="358" t="s">
        <v>576</v>
      </c>
      <c r="DPM9" s="189" t="s">
        <v>574</v>
      </c>
      <c r="DPN9" s="352" t="s">
        <v>573</v>
      </c>
      <c r="DPO9" s="142" t="s">
        <v>575</v>
      </c>
      <c r="DPP9" s="358" t="s">
        <v>576</v>
      </c>
      <c r="DPQ9" s="189" t="s">
        <v>574</v>
      </c>
      <c r="DPR9" s="352" t="s">
        <v>573</v>
      </c>
      <c r="DPS9" s="142" t="s">
        <v>575</v>
      </c>
      <c r="DPT9" s="358" t="s">
        <v>576</v>
      </c>
      <c r="DPU9" s="189" t="s">
        <v>574</v>
      </c>
      <c r="DPV9" s="352" t="s">
        <v>573</v>
      </c>
      <c r="DPW9" s="142" t="s">
        <v>575</v>
      </c>
      <c r="DPX9" s="358" t="s">
        <v>576</v>
      </c>
      <c r="DPY9" s="189" t="s">
        <v>574</v>
      </c>
      <c r="DPZ9" s="352" t="s">
        <v>573</v>
      </c>
      <c r="DQA9" s="142" t="s">
        <v>575</v>
      </c>
      <c r="DQB9" s="358" t="s">
        <v>576</v>
      </c>
      <c r="DQC9" s="189" t="s">
        <v>574</v>
      </c>
      <c r="DQD9" s="352" t="s">
        <v>573</v>
      </c>
      <c r="DQE9" s="142" t="s">
        <v>575</v>
      </c>
      <c r="DQF9" s="358" t="s">
        <v>576</v>
      </c>
      <c r="DQG9" s="189" t="s">
        <v>574</v>
      </c>
      <c r="DQH9" s="352" t="s">
        <v>573</v>
      </c>
      <c r="DQI9" s="142" t="s">
        <v>575</v>
      </c>
      <c r="DQJ9" s="358" t="s">
        <v>576</v>
      </c>
      <c r="DQK9" s="189" t="s">
        <v>574</v>
      </c>
      <c r="DQL9" s="352" t="s">
        <v>573</v>
      </c>
      <c r="DQM9" s="142" t="s">
        <v>575</v>
      </c>
      <c r="DQN9" s="358" t="s">
        <v>576</v>
      </c>
      <c r="DQO9" s="189" t="s">
        <v>574</v>
      </c>
      <c r="DQP9" s="352" t="s">
        <v>573</v>
      </c>
      <c r="DQQ9" s="142" t="s">
        <v>575</v>
      </c>
      <c r="DQR9" s="358" t="s">
        <v>576</v>
      </c>
      <c r="DQS9" s="189" t="s">
        <v>574</v>
      </c>
      <c r="DQT9" s="352" t="s">
        <v>573</v>
      </c>
      <c r="DQU9" s="142" t="s">
        <v>575</v>
      </c>
      <c r="DQV9" s="358" t="s">
        <v>576</v>
      </c>
      <c r="DQW9" s="189" t="s">
        <v>574</v>
      </c>
      <c r="DQX9" s="352" t="s">
        <v>573</v>
      </c>
      <c r="DQY9" s="142" t="s">
        <v>575</v>
      </c>
      <c r="DQZ9" s="358" t="s">
        <v>576</v>
      </c>
      <c r="DRA9" s="189" t="s">
        <v>574</v>
      </c>
      <c r="DRB9" s="352" t="s">
        <v>573</v>
      </c>
      <c r="DRC9" s="142" t="s">
        <v>575</v>
      </c>
      <c r="DRD9" s="358" t="s">
        <v>576</v>
      </c>
      <c r="DRE9" s="189" t="s">
        <v>574</v>
      </c>
      <c r="DRF9" s="352" t="s">
        <v>573</v>
      </c>
      <c r="DRG9" s="142" t="s">
        <v>575</v>
      </c>
      <c r="DRH9" s="358" t="s">
        <v>576</v>
      </c>
      <c r="DRI9" s="189" t="s">
        <v>574</v>
      </c>
      <c r="DRJ9" s="352" t="s">
        <v>573</v>
      </c>
      <c r="DRK9" s="142" t="s">
        <v>575</v>
      </c>
      <c r="DRL9" s="358" t="s">
        <v>576</v>
      </c>
      <c r="DRM9" s="189" t="s">
        <v>574</v>
      </c>
      <c r="DRN9" s="352" t="s">
        <v>573</v>
      </c>
      <c r="DRO9" s="142" t="s">
        <v>575</v>
      </c>
      <c r="DRP9" s="358" t="s">
        <v>576</v>
      </c>
      <c r="DRQ9" s="189" t="s">
        <v>574</v>
      </c>
      <c r="DRR9" s="352" t="s">
        <v>573</v>
      </c>
      <c r="DRS9" s="142" t="s">
        <v>575</v>
      </c>
      <c r="DRT9" s="358" t="s">
        <v>576</v>
      </c>
      <c r="DRU9" s="189" t="s">
        <v>574</v>
      </c>
      <c r="DRV9" s="352" t="s">
        <v>573</v>
      </c>
      <c r="DRW9" s="142" t="s">
        <v>575</v>
      </c>
      <c r="DRX9" s="358" t="s">
        <v>576</v>
      </c>
      <c r="DRY9" s="189" t="s">
        <v>574</v>
      </c>
      <c r="DRZ9" s="352" t="s">
        <v>573</v>
      </c>
      <c r="DSA9" s="142" t="s">
        <v>575</v>
      </c>
      <c r="DSB9" s="358" t="s">
        <v>576</v>
      </c>
      <c r="DSC9" s="189" t="s">
        <v>574</v>
      </c>
      <c r="DSD9" s="352" t="s">
        <v>573</v>
      </c>
      <c r="DSE9" s="142" t="s">
        <v>575</v>
      </c>
      <c r="DSF9" s="358" t="s">
        <v>576</v>
      </c>
      <c r="DSG9" s="189" t="s">
        <v>574</v>
      </c>
      <c r="DSH9" s="352" t="s">
        <v>573</v>
      </c>
      <c r="DSI9" s="142" t="s">
        <v>575</v>
      </c>
      <c r="DSJ9" s="358" t="s">
        <v>576</v>
      </c>
      <c r="DSK9" s="189" t="s">
        <v>574</v>
      </c>
      <c r="DSL9" s="352" t="s">
        <v>573</v>
      </c>
      <c r="DSM9" s="142" t="s">
        <v>575</v>
      </c>
      <c r="DSN9" s="358" t="s">
        <v>576</v>
      </c>
      <c r="DSO9" s="189" t="s">
        <v>574</v>
      </c>
      <c r="DSP9" s="352" t="s">
        <v>573</v>
      </c>
      <c r="DSQ9" s="142" t="s">
        <v>575</v>
      </c>
      <c r="DSR9" s="358" t="s">
        <v>576</v>
      </c>
      <c r="DSS9" s="189" t="s">
        <v>574</v>
      </c>
      <c r="DST9" s="352" t="s">
        <v>573</v>
      </c>
      <c r="DSU9" s="142" t="s">
        <v>575</v>
      </c>
      <c r="DSV9" s="358" t="s">
        <v>576</v>
      </c>
      <c r="DSW9" s="189" t="s">
        <v>574</v>
      </c>
      <c r="DSX9" s="352" t="s">
        <v>573</v>
      </c>
      <c r="DSY9" s="142" t="s">
        <v>575</v>
      </c>
      <c r="DSZ9" s="358" t="s">
        <v>576</v>
      </c>
      <c r="DTA9" s="189" t="s">
        <v>574</v>
      </c>
      <c r="DTB9" s="352" t="s">
        <v>573</v>
      </c>
      <c r="DTC9" s="142" t="s">
        <v>575</v>
      </c>
      <c r="DTD9" s="358" t="s">
        <v>576</v>
      </c>
      <c r="DTE9" s="189" t="s">
        <v>574</v>
      </c>
      <c r="DTF9" s="352" t="s">
        <v>573</v>
      </c>
      <c r="DTG9" s="142" t="s">
        <v>575</v>
      </c>
      <c r="DTH9" s="358" t="s">
        <v>576</v>
      </c>
      <c r="DTI9" s="189" t="s">
        <v>574</v>
      </c>
      <c r="DTJ9" s="352" t="s">
        <v>573</v>
      </c>
      <c r="DTK9" s="142" t="s">
        <v>575</v>
      </c>
      <c r="DTL9" s="358" t="s">
        <v>576</v>
      </c>
      <c r="DTM9" s="189" t="s">
        <v>574</v>
      </c>
      <c r="DTN9" s="352" t="s">
        <v>573</v>
      </c>
      <c r="DTO9" s="142" t="s">
        <v>575</v>
      </c>
      <c r="DTP9" s="358" t="s">
        <v>576</v>
      </c>
      <c r="DTQ9" s="189" t="s">
        <v>574</v>
      </c>
      <c r="DTR9" s="352" t="s">
        <v>573</v>
      </c>
      <c r="DTS9" s="142" t="s">
        <v>575</v>
      </c>
      <c r="DTT9" s="358" t="s">
        <v>576</v>
      </c>
      <c r="DTU9" s="189" t="s">
        <v>574</v>
      </c>
      <c r="DTV9" s="352" t="s">
        <v>573</v>
      </c>
      <c r="DTW9" s="142" t="s">
        <v>575</v>
      </c>
      <c r="DTX9" s="358" t="s">
        <v>576</v>
      </c>
      <c r="DTY9" s="189" t="s">
        <v>574</v>
      </c>
      <c r="DTZ9" s="352" t="s">
        <v>573</v>
      </c>
      <c r="DUA9" s="142" t="s">
        <v>575</v>
      </c>
      <c r="DUB9" s="358" t="s">
        <v>576</v>
      </c>
      <c r="DUC9" s="189" t="s">
        <v>574</v>
      </c>
      <c r="DUD9" s="352" t="s">
        <v>573</v>
      </c>
      <c r="DUE9" s="142" t="s">
        <v>575</v>
      </c>
      <c r="DUF9" s="358" t="s">
        <v>576</v>
      </c>
      <c r="DUG9" s="189" t="s">
        <v>574</v>
      </c>
      <c r="DUH9" s="352" t="s">
        <v>573</v>
      </c>
      <c r="DUI9" s="142" t="s">
        <v>575</v>
      </c>
      <c r="DUJ9" s="358" t="s">
        <v>576</v>
      </c>
      <c r="DUK9" s="189" t="s">
        <v>574</v>
      </c>
      <c r="DUL9" s="352" t="s">
        <v>573</v>
      </c>
      <c r="DUM9" s="142" t="s">
        <v>575</v>
      </c>
      <c r="DUN9" s="358" t="s">
        <v>576</v>
      </c>
      <c r="DUO9" s="189" t="s">
        <v>574</v>
      </c>
      <c r="DUP9" s="352" t="s">
        <v>573</v>
      </c>
      <c r="DUQ9" s="142" t="s">
        <v>575</v>
      </c>
      <c r="DUR9" s="358" t="s">
        <v>576</v>
      </c>
      <c r="DUS9" s="189" t="s">
        <v>574</v>
      </c>
      <c r="DUT9" s="352" t="s">
        <v>573</v>
      </c>
      <c r="DUU9" s="142" t="s">
        <v>575</v>
      </c>
      <c r="DUV9" s="358" t="s">
        <v>576</v>
      </c>
      <c r="DUW9" s="189" t="s">
        <v>574</v>
      </c>
      <c r="DUX9" s="352" t="s">
        <v>573</v>
      </c>
      <c r="DUY9" s="142" t="s">
        <v>575</v>
      </c>
      <c r="DUZ9" s="358" t="s">
        <v>576</v>
      </c>
      <c r="DVA9" s="189" t="s">
        <v>574</v>
      </c>
      <c r="DVB9" s="352" t="s">
        <v>573</v>
      </c>
      <c r="DVC9" s="142" t="s">
        <v>575</v>
      </c>
      <c r="DVD9" s="358" t="s">
        <v>576</v>
      </c>
      <c r="DVE9" s="189" t="s">
        <v>574</v>
      </c>
      <c r="DVF9" s="352" t="s">
        <v>573</v>
      </c>
      <c r="DVG9" s="142" t="s">
        <v>575</v>
      </c>
      <c r="DVH9" s="358" t="s">
        <v>576</v>
      </c>
      <c r="DVI9" s="189" t="s">
        <v>574</v>
      </c>
      <c r="DVJ9" s="352" t="s">
        <v>573</v>
      </c>
      <c r="DVK9" s="142" t="s">
        <v>575</v>
      </c>
      <c r="DVL9" s="358" t="s">
        <v>576</v>
      </c>
      <c r="DVM9" s="189" t="s">
        <v>574</v>
      </c>
      <c r="DVN9" s="352" t="s">
        <v>573</v>
      </c>
      <c r="DVO9" s="142" t="s">
        <v>575</v>
      </c>
      <c r="DVP9" s="358" t="s">
        <v>576</v>
      </c>
      <c r="DVQ9" s="189" t="s">
        <v>574</v>
      </c>
      <c r="DVR9" s="352" t="s">
        <v>573</v>
      </c>
      <c r="DVS9" s="142" t="s">
        <v>575</v>
      </c>
      <c r="DVT9" s="358" t="s">
        <v>576</v>
      </c>
      <c r="DVU9" s="189" t="s">
        <v>574</v>
      </c>
      <c r="DVV9" s="352" t="s">
        <v>573</v>
      </c>
      <c r="DVW9" s="142" t="s">
        <v>575</v>
      </c>
      <c r="DVX9" s="358" t="s">
        <v>576</v>
      </c>
      <c r="DVY9" s="189" t="s">
        <v>574</v>
      </c>
      <c r="DVZ9" s="352" t="s">
        <v>573</v>
      </c>
      <c r="DWA9" s="142" t="s">
        <v>575</v>
      </c>
      <c r="DWB9" s="358" t="s">
        <v>576</v>
      </c>
      <c r="DWC9" s="189" t="s">
        <v>574</v>
      </c>
      <c r="DWD9" s="352" t="s">
        <v>573</v>
      </c>
      <c r="DWE9" s="142" t="s">
        <v>575</v>
      </c>
      <c r="DWF9" s="358" t="s">
        <v>576</v>
      </c>
      <c r="DWG9" s="189" t="s">
        <v>574</v>
      </c>
      <c r="DWH9" s="352" t="s">
        <v>573</v>
      </c>
      <c r="DWI9" s="142" t="s">
        <v>575</v>
      </c>
      <c r="DWJ9" s="358" t="s">
        <v>576</v>
      </c>
      <c r="DWK9" s="189" t="s">
        <v>574</v>
      </c>
      <c r="DWL9" s="352" t="s">
        <v>573</v>
      </c>
      <c r="DWM9" s="142" t="s">
        <v>575</v>
      </c>
      <c r="DWN9" s="358" t="s">
        <v>576</v>
      </c>
      <c r="DWO9" s="189" t="s">
        <v>574</v>
      </c>
      <c r="DWP9" s="352" t="s">
        <v>573</v>
      </c>
      <c r="DWQ9" s="142" t="s">
        <v>575</v>
      </c>
      <c r="DWR9" s="358" t="s">
        <v>576</v>
      </c>
      <c r="DWS9" s="189" t="s">
        <v>574</v>
      </c>
      <c r="DWT9" s="352" t="s">
        <v>573</v>
      </c>
      <c r="DWU9" s="142" t="s">
        <v>575</v>
      </c>
      <c r="DWV9" s="358" t="s">
        <v>576</v>
      </c>
      <c r="DWW9" s="189" t="s">
        <v>574</v>
      </c>
      <c r="DWX9" s="352" t="s">
        <v>573</v>
      </c>
      <c r="DWY9" s="142" t="s">
        <v>575</v>
      </c>
      <c r="DWZ9" s="358" t="s">
        <v>576</v>
      </c>
      <c r="DXA9" s="189" t="s">
        <v>574</v>
      </c>
      <c r="DXB9" s="352" t="s">
        <v>573</v>
      </c>
      <c r="DXC9" s="142" t="s">
        <v>575</v>
      </c>
      <c r="DXD9" s="358" t="s">
        <v>576</v>
      </c>
      <c r="DXE9" s="189" t="s">
        <v>574</v>
      </c>
      <c r="DXF9" s="352" t="s">
        <v>573</v>
      </c>
      <c r="DXG9" s="142" t="s">
        <v>575</v>
      </c>
      <c r="DXH9" s="358" t="s">
        <v>576</v>
      </c>
      <c r="DXI9" s="189" t="s">
        <v>574</v>
      </c>
      <c r="DXJ9" s="352" t="s">
        <v>573</v>
      </c>
      <c r="DXK9" s="142" t="s">
        <v>575</v>
      </c>
      <c r="DXL9" s="358" t="s">
        <v>576</v>
      </c>
      <c r="DXM9" s="189" t="s">
        <v>574</v>
      </c>
      <c r="DXN9" s="352" t="s">
        <v>573</v>
      </c>
      <c r="DXO9" s="142" t="s">
        <v>575</v>
      </c>
      <c r="DXP9" s="358" t="s">
        <v>576</v>
      </c>
      <c r="DXQ9" s="189" t="s">
        <v>574</v>
      </c>
      <c r="DXR9" s="352" t="s">
        <v>573</v>
      </c>
      <c r="DXS9" s="142" t="s">
        <v>575</v>
      </c>
      <c r="DXT9" s="358" t="s">
        <v>576</v>
      </c>
      <c r="DXU9" s="189" t="s">
        <v>574</v>
      </c>
      <c r="DXV9" s="352" t="s">
        <v>573</v>
      </c>
      <c r="DXW9" s="142" t="s">
        <v>575</v>
      </c>
      <c r="DXX9" s="358" t="s">
        <v>576</v>
      </c>
      <c r="DXY9" s="189" t="s">
        <v>574</v>
      </c>
      <c r="DXZ9" s="352" t="s">
        <v>573</v>
      </c>
      <c r="DYA9" s="142" t="s">
        <v>575</v>
      </c>
      <c r="DYB9" s="358" t="s">
        <v>576</v>
      </c>
      <c r="DYC9" s="189" t="s">
        <v>574</v>
      </c>
      <c r="DYD9" s="352" t="s">
        <v>573</v>
      </c>
      <c r="DYE9" s="142" t="s">
        <v>575</v>
      </c>
      <c r="DYF9" s="358" t="s">
        <v>576</v>
      </c>
      <c r="DYG9" s="189" t="s">
        <v>574</v>
      </c>
      <c r="DYH9" s="352" t="s">
        <v>573</v>
      </c>
      <c r="DYI9" s="142" t="s">
        <v>575</v>
      </c>
      <c r="DYJ9" s="358" t="s">
        <v>576</v>
      </c>
      <c r="DYK9" s="189" t="s">
        <v>574</v>
      </c>
      <c r="DYL9" s="352" t="s">
        <v>573</v>
      </c>
      <c r="DYM9" s="142" t="s">
        <v>575</v>
      </c>
      <c r="DYN9" s="358" t="s">
        <v>576</v>
      </c>
      <c r="DYO9" s="189" t="s">
        <v>574</v>
      </c>
      <c r="DYP9" s="352" t="s">
        <v>573</v>
      </c>
      <c r="DYQ9" s="142" t="s">
        <v>575</v>
      </c>
      <c r="DYR9" s="358" t="s">
        <v>576</v>
      </c>
      <c r="DYS9" s="189" t="s">
        <v>574</v>
      </c>
      <c r="DYT9" s="352" t="s">
        <v>573</v>
      </c>
      <c r="DYU9" s="142" t="s">
        <v>575</v>
      </c>
      <c r="DYV9" s="358" t="s">
        <v>576</v>
      </c>
      <c r="DYW9" s="189" t="s">
        <v>574</v>
      </c>
      <c r="DYX9" s="352" t="s">
        <v>573</v>
      </c>
      <c r="DYY9" s="142" t="s">
        <v>575</v>
      </c>
      <c r="DYZ9" s="358" t="s">
        <v>576</v>
      </c>
      <c r="DZA9" s="189" t="s">
        <v>574</v>
      </c>
      <c r="DZB9" s="352" t="s">
        <v>573</v>
      </c>
      <c r="DZC9" s="142" t="s">
        <v>575</v>
      </c>
      <c r="DZD9" s="358" t="s">
        <v>576</v>
      </c>
      <c r="DZE9" s="189" t="s">
        <v>574</v>
      </c>
      <c r="DZF9" s="352" t="s">
        <v>573</v>
      </c>
      <c r="DZG9" s="142" t="s">
        <v>575</v>
      </c>
      <c r="DZH9" s="358" t="s">
        <v>576</v>
      </c>
      <c r="DZI9" s="189" t="s">
        <v>574</v>
      </c>
      <c r="DZJ9" s="352" t="s">
        <v>573</v>
      </c>
      <c r="DZK9" s="142" t="s">
        <v>575</v>
      </c>
      <c r="DZL9" s="358" t="s">
        <v>576</v>
      </c>
      <c r="DZM9" s="189" t="s">
        <v>574</v>
      </c>
      <c r="DZN9" s="352" t="s">
        <v>573</v>
      </c>
      <c r="DZO9" s="142" t="s">
        <v>575</v>
      </c>
      <c r="DZP9" s="358" t="s">
        <v>576</v>
      </c>
      <c r="DZQ9" s="189" t="s">
        <v>574</v>
      </c>
      <c r="DZR9" s="352" t="s">
        <v>573</v>
      </c>
      <c r="DZS9" s="142" t="s">
        <v>575</v>
      </c>
      <c r="DZT9" s="358" t="s">
        <v>576</v>
      </c>
      <c r="DZU9" s="189" t="s">
        <v>574</v>
      </c>
      <c r="DZV9" s="352" t="s">
        <v>573</v>
      </c>
      <c r="DZW9" s="142" t="s">
        <v>575</v>
      </c>
      <c r="DZX9" s="358" t="s">
        <v>576</v>
      </c>
      <c r="DZY9" s="189" t="s">
        <v>574</v>
      </c>
      <c r="DZZ9" s="352" t="s">
        <v>573</v>
      </c>
      <c r="EAA9" s="142" t="s">
        <v>575</v>
      </c>
      <c r="EAB9" s="358" t="s">
        <v>576</v>
      </c>
      <c r="EAC9" s="189" t="s">
        <v>574</v>
      </c>
      <c r="EAD9" s="352" t="s">
        <v>573</v>
      </c>
      <c r="EAE9" s="142" t="s">
        <v>575</v>
      </c>
      <c r="EAF9" s="358" t="s">
        <v>576</v>
      </c>
      <c r="EAG9" s="189" t="s">
        <v>574</v>
      </c>
      <c r="EAH9" s="352" t="s">
        <v>573</v>
      </c>
      <c r="EAI9" s="142" t="s">
        <v>575</v>
      </c>
      <c r="EAJ9" s="358" t="s">
        <v>576</v>
      </c>
      <c r="EAK9" s="189" t="s">
        <v>574</v>
      </c>
      <c r="EAL9" s="352" t="s">
        <v>573</v>
      </c>
      <c r="EAM9" s="142" t="s">
        <v>575</v>
      </c>
      <c r="EAN9" s="358" t="s">
        <v>576</v>
      </c>
      <c r="EAO9" s="189" t="s">
        <v>574</v>
      </c>
      <c r="EAP9" s="352" t="s">
        <v>573</v>
      </c>
      <c r="EAQ9" s="142" t="s">
        <v>575</v>
      </c>
      <c r="EAR9" s="358" t="s">
        <v>576</v>
      </c>
      <c r="EAS9" s="189" t="s">
        <v>574</v>
      </c>
      <c r="EAT9" s="352" t="s">
        <v>573</v>
      </c>
      <c r="EAU9" s="142" t="s">
        <v>575</v>
      </c>
      <c r="EAV9" s="358" t="s">
        <v>576</v>
      </c>
      <c r="EAW9" s="189" t="s">
        <v>574</v>
      </c>
      <c r="EAX9" s="352" t="s">
        <v>573</v>
      </c>
      <c r="EAY9" s="142" t="s">
        <v>575</v>
      </c>
      <c r="EAZ9" s="358" t="s">
        <v>576</v>
      </c>
      <c r="EBA9" s="189" t="s">
        <v>574</v>
      </c>
      <c r="EBB9" s="352" t="s">
        <v>573</v>
      </c>
      <c r="EBC9" s="142" t="s">
        <v>575</v>
      </c>
      <c r="EBD9" s="358" t="s">
        <v>576</v>
      </c>
      <c r="EBE9" s="189" t="s">
        <v>574</v>
      </c>
      <c r="EBF9" s="352" t="s">
        <v>573</v>
      </c>
      <c r="EBG9" s="142" t="s">
        <v>575</v>
      </c>
      <c r="EBH9" s="358" t="s">
        <v>576</v>
      </c>
      <c r="EBI9" s="189" t="s">
        <v>574</v>
      </c>
      <c r="EBJ9" s="352" t="s">
        <v>573</v>
      </c>
      <c r="EBK9" s="142" t="s">
        <v>575</v>
      </c>
      <c r="EBL9" s="358" t="s">
        <v>576</v>
      </c>
      <c r="EBM9" s="189" t="s">
        <v>574</v>
      </c>
      <c r="EBN9" s="352" t="s">
        <v>573</v>
      </c>
      <c r="EBO9" s="142" t="s">
        <v>575</v>
      </c>
      <c r="EBP9" s="358" t="s">
        <v>576</v>
      </c>
      <c r="EBQ9" s="189" t="s">
        <v>574</v>
      </c>
      <c r="EBR9" s="352" t="s">
        <v>573</v>
      </c>
      <c r="EBS9" s="142" t="s">
        <v>575</v>
      </c>
      <c r="EBT9" s="358" t="s">
        <v>576</v>
      </c>
      <c r="EBU9" s="189" t="s">
        <v>574</v>
      </c>
      <c r="EBV9" s="352" t="s">
        <v>573</v>
      </c>
      <c r="EBW9" s="142" t="s">
        <v>575</v>
      </c>
      <c r="EBX9" s="358" t="s">
        <v>576</v>
      </c>
      <c r="EBY9" s="189" t="s">
        <v>574</v>
      </c>
      <c r="EBZ9" s="352" t="s">
        <v>573</v>
      </c>
      <c r="ECA9" s="142" t="s">
        <v>575</v>
      </c>
      <c r="ECB9" s="358" t="s">
        <v>576</v>
      </c>
      <c r="ECC9" s="189" t="s">
        <v>574</v>
      </c>
      <c r="ECD9" s="352" t="s">
        <v>573</v>
      </c>
      <c r="ECE9" s="142" t="s">
        <v>575</v>
      </c>
      <c r="ECF9" s="358" t="s">
        <v>576</v>
      </c>
      <c r="ECG9" s="189" t="s">
        <v>574</v>
      </c>
      <c r="ECH9" s="352" t="s">
        <v>573</v>
      </c>
      <c r="ECI9" s="142" t="s">
        <v>575</v>
      </c>
      <c r="ECJ9" s="358" t="s">
        <v>576</v>
      </c>
      <c r="ECK9" s="189" t="s">
        <v>574</v>
      </c>
      <c r="ECL9" s="352" t="s">
        <v>573</v>
      </c>
      <c r="ECM9" s="142" t="s">
        <v>575</v>
      </c>
      <c r="ECN9" s="358" t="s">
        <v>576</v>
      </c>
      <c r="ECO9" s="189" t="s">
        <v>574</v>
      </c>
      <c r="ECP9" s="352" t="s">
        <v>573</v>
      </c>
      <c r="ECQ9" s="142" t="s">
        <v>575</v>
      </c>
      <c r="ECR9" s="358" t="s">
        <v>576</v>
      </c>
      <c r="ECS9" s="189" t="s">
        <v>574</v>
      </c>
      <c r="ECT9" s="352" t="s">
        <v>573</v>
      </c>
      <c r="ECU9" s="142" t="s">
        <v>575</v>
      </c>
      <c r="ECV9" s="358" t="s">
        <v>576</v>
      </c>
      <c r="ECW9" s="189" t="s">
        <v>574</v>
      </c>
      <c r="ECX9" s="352" t="s">
        <v>573</v>
      </c>
      <c r="ECY9" s="142" t="s">
        <v>575</v>
      </c>
      <c r="ECZ9" s="358" t="s">
        <v>576</v>
      </c>
      <c r="EDA9" s="189" t="s">
        <v>574</v>
      </c>
      <c r="EDB9" s="352" t="s">
        <v>573</v>
      </c>
      <c r="EDC9" s="142" t="s">
        <v>575</v>
      </c>
      <c r="EDD9" s="358" t="s">
        <v>576</v>
      </c>
      <c r="EDE9" s="189" t="s">
        <v>574</v>
      </c>
      <c r="EDF9" s="352" t="s">
        <v>573</v>
      </c>
      <c r="EDG9" s="142" t="s">
        <v>575</v>
      </c>
      <c r="EDH9" s="358" t="s">
        <v>576</v>
      </c>
      <c r="EDI9" s="189" t="s">
        <v>574</v>
      </c>
      <c r="EDJ9" s="352" t="s">
        <v>573</v>
      </c>
      <c r="EDK9" s="142" t="s">
        <v>575</v>
      </c>
      <c r="EDL9" s="358" t="s">
        <v>576</v>
      </c>
      <c r="EDM9" s="189" t="s">
        <v>574</v>
      </c>
      <c r="EDN9" s="352" t="s">
        <v>573</v>
      </c>
      <c r="EDO9" s="142" t="s">
        <v>575</v>
      </c>
      <c r="EDP9" s="358" t="s">
        <v>576</v>
      </c>
      <c r="EDQ9" s="189" t="s">
        <v>574</v>
      </c>
      <c r="EDR9" s="352" t="s">
        <v>573</v>
      </c>
      <c r="EDS9" s="142" t="s">
        <v>575</v>
      </c>
      <c r="EDT9" s="358" t="s">
        <v>576</v>
      </c>
      <c r="EDU9" s="189" t="s">
        <v>574</v>
      </c>
      <c r="EDV9" s="352" t="s">
        <v>573</v>
      </c>
      <c r="EDW9" s="142" t="s">
        <v>575</v>
      </c>
      <c r="EDX9" s="358" t="s">
        <v>576</v>
      </c>
      <c r="EDY9" s="189" t="s">
        <v>574</v>
      </c>
      <c r="EDZ9" s="352" t="s">
        <v>573</v>
      </c>
      <c r="EEA9" s="142" t="s">
        <v>575</v>
      </c>
      <c r="EEB9" s="358" t="s">
        <v>576</v>
      </c>
      <c r="EEC9" s="189" t="s">
        <v>574</v>
      </c>
      <c r="EED9" s="352" t="s">
        <v>573</v>
      </c>
      <c r="EEE9" s="142" t="s">
        <v>575</v>
      </c>
      <c r="EEF9" s="358" t="s">
        <v>576</v>
      </c>
      <c r="EEG9" s="189" t="s">
        <v>574</v>
      </c>
      <c r="EEH9" s="352" t="s">
        <v>573</v>
      </c>
      <c r="EEI9" s="142" t="s">
        <v>575</v>
      </c>
      <c r="EEJ9" s="358" t="s">
        <v>576</v>
      </c>
      <c r="EEK9" s="189" t="s">
        <v>574</v>
      </c>
      <c r="EEL9" s="352" t="s">
        <v>573</v>
      </c>
      <c r="EEM9" s="142" t="s">
        <v>575</v>
      </c>
      <c r="EEN9" s="358" t="s">
        <v>576</v>
      </c>
      <c r="EEO9" s="189" t="s">
        <v>574</v>
      </c>
      <c r="EEP9" s="352" t="s">
        <v>573</v>
      </c>
      <c r="EEQ9" s="142" t="s">
        <v>575</v>
      </c>
      <c r="EER9" s="358" t="s">
        <v>576</v>
      </c>
      <c r="EES9" s="189" t="s">
        <v>574</v>
      </c>
      <c r="EET9" s="352" t="s">
        <v>573</v>
      </c>
      <c r="EEU9" s="142" t="s">
        <v>575</v>
      </c>
      <c r="EEV9" s="358" t="s">
        <v>576</v>
      </c>
      <c r="EEW9" s="189" t="s">
        <v>574</v>
      </c>
      <c r="EEX9" s="352" t="s">
        <v>573</v>
      </c>
      <c r="EEY9" s="142" t="s">
        <v>575</v>
      </c>
      <c r="EEZ9" s="358" t="s">
        <v>576</v>
      </c>
      <c r="EFA9" s="189" t="s">
        <v>574</v>
      </c>
      <c r="EFB9" s="352" t="s">
        <v>573</v>
      </c>
      <c r="EFC9" s="142" t="s">
        <v>575</v>
      </c>
      <c r="EFD9" s="358" t="s">
        <v>576</v>
      </c>
      <c r="EFE9" s="189" t="s">
        <v>574</v>
      </c>
      <c r="EFF9" s="352" t="s">
        <v>573</v>
      </c>
      <c r="EFG9" s="142" t="s">
        <v>575</v>
      </c>
      <c r="EFH9" s="358" t="s">
        <v>576</v>
      </c>
      <c r="EFI9" s="189" t="s">
        <v>574</v>
      </c>
      <c r="EFJ9" s="352" t="s">
        <v>573</v>
      </c>
      <c r="EFK9" s="142" t="s">
        <v>575</v>
      </c>
      <c r="EFL9" s="358" t="s">
        <v>576</v>
      </c>
      <c r="EFM9" s="189" t="s">
        <v>574</v>
      </c>
      <c r="EFN9" s="352" t="s">
        <v>573</v>
      </c>
      <c r="EFO9" s="142" t="s">
        <v>575</v>
      </c>
      <c r="EFP9" s="358" t="s">
        <v>576</v>
      </c>
      <c r="EFQ9" s="189" t="s">
        <v>574</v>
      </c>
      <c r="EFR9" s="352" t="s">
        <v>573</v>
      </c>
      <c r="EFS9" s="142" t="s">
        <v>575</v>
      </c>
      <c r="EFT9" s="358" t="s">
        <v>576</v>
      </c>
      <c r="EFU9" s="189" t="s">
        <v>574</v>
      </c>
      <c r="EFV9" s="352" t="s">
        <v>573</v>
      </c>
      <c r="EFW9" s="142" t="s">
        <v>575</v>
      </c>
      <c r="EFX9" s="358" t="s">
        <v>576</v>
      </c>
      <c r="EFY9" s="189" t="s">
        <v>574</v>
      </c>
      <c r="EFZ9" s="352" t="s">
        <v>573</v>
      </c>
      <c r="EGA9" s="142" t="s">
        <v>575</v>
      </c>
      <c r="EGB9" s="358" t="s">
        <v>576</v>
      </c>
      <c r="EGC9" s="189" t="s">
        <v>574</v>
      </c>
      <c r="EGD9" s="352" t="s">
        <v>573</v>
      </c>
      <c r="EGE9" s="142" t="s">
        <v>575</v>
      </c>
      <c r="EGF9" s="358" t="s">
        <v>576</v>
      </c>
      <c r="EGG9" s="189" t="s">
        <v>574</v>
      </c>
      <c r="EGH9" s="352" t="s">
        <v>573</v>
      </c>
      <c r="EGI9" s="142" t="s">
        <v>575</v>
      </c>
      <c r="EGJ9" s="358" t="s">
        <v>576</v>
      </c>
      <c r="EGK9" s="189" t="s">
        <v>574</v>
      </c>
      <c r="EGL9" s="352" t="s">
        <v>573</v>
      </c>
      <c r="EGM9" s="142" t="s">
        <v>575</v>
      </c>
      <c r="EGN9" s="358" t="s">
        <v>576</v>
      </c>
      <c r="EGO9" s="189" t="s">
        <v>574</v>
      </c>
      <c r="EGP9" s="352" t="s">
        <v>573</v>
      </c>
      <c r="EGQ9" s="142" t="s">
        <v>575</v>
      </c>
      <c r="EGR9" s="358" t="s">
        <v>576</v>
      </c>
      <c r="EGS9" s="189" t="s">
        <v>574</v>
      </c>
      <c r="EGT9" s="352" t="s">
        <v>573</v>
      </c>
      <c r="EGU9" s="142" t="s">
        <v>575</v>
      </c>
      <c r="EGV9" s="358" t="s">
        <v>576</v>
      </c>
      <c r="EGW9" s="189" t="s">
        <v>574</v>
      </c>
      <c r="EGX9" s="352" t="s">
        <v>573</v>
      </c>
      <c r="EGY9" s="142" t="s">
        <v>575</v>
      </c>
      <c r="EGZ9" s="358" t="s">
        <v>576</v>
      </c>
      <c r="EHA9" s="189" t="s">
        <v>574</v>
      </c>
      <c r="EHB9" s="352" t="s">
        <v>573</v>
      </c>
      <c r="EHC9" s="142" t="s">
        <v>575</v>
      </c>
      <c r="EHD9" s="358" t="s">
        <v>576</v>
      </c>
      <c r="EHE9" s="189" t="s">
        <v>574</v>
      </c>
      <c r="EHF9" s="352" t="s">
        <v>573</v>
      </c>
      <c r="EHG9" s="142" t="s">
        <v>575</v>
      </c>
      <c r="EHH9" s="358" t="s">
        <v>576</v>
      </c>
      <c r="EHI9" s="189" t="s">
        <v>574</v>
      </c>
      <c r="EHJ9" s="352" t="s">
        <v>573</v>
      </c>
      <c r="EHK9" s="142" t="s">
        <v>575</v>
      </c>
      <c r="EHL9" s="358" t="s">
        <v>576</v>
      </c>
      <c r="EHM9" s="189" t="s">
        <v>574</v>
      </c>
      <c r="EHN9" s="352" t="s">
        <v>573</v>
      </c>
      <c r="EHO9" s="142" t="s">
        <v>575</v>
      </c>
      <c r="EHP9" s="358" t="s">
        <v>576</v>
      </c>
      <c r="EHQ9" s="189" t="s">
        <v>574</v>
      </c>
      <c r="EHR9" s="352" t="s">
        <v>573</v>
      </c>
      <c r="EHS9" s="142" t="s">
        <v>575</v>
      </c>
      <c r="EHT9" s="358" t="s">
        <v>576</v>
      </c>
      <c r="EHU9" s="189" t="s">
        <v>574</v>
      </c>
      <c r="EHV9" s="352" t="s">
        <v>573</v>
      </c>
      <c r="EHW9" s="142" t="s">
        <v>575</v>
      </c>
      <c r="EHX9" s="358" t="s">
        <v>576</v>
      </c>
      <c r="EHY9" s="189" t="s">
        <v>574</v>
      </c>
      <c r="EHZ9" s="352" t="s">
        <v>573</v>
      </c>
      <c r="EIA9" s="142" t="s">
        <v>575</v>
      </c>
      <c r="EIB9" s="358" t="s">
        <v>576</v>
      </c>
      <c r="EIC9" s="189" t="s">
        <v>574</v>
      </c>
      <c r="EID9" s="352" t="s">
        <v>573</v>
      </c>
      <c r="EIE9" s="142" t="s">
        <v>575</v>
      </c>
      <c r="EIF9" s="358" t="s">
        <v>576</v>
      </c>
      <c r="EIG9" s="189" t="s">
        <v>574</v>
      </c>
      <c r="EIH9" s="352" t="s">
        <v>573</v>
      </c>
      <c r="EII9" s="142" t="s">
        <v>575</v>
      </c>
      <c r="EIJ9" s="358" t="s">
        <v>576</v>
      </c>
      <c r="EIK9" s="189" t="s">
        <v>574</v>
      </c>
      <c r="EIL9" s="352" t="s">
        <v>573</v>
      </c>
      <c r="EIM9" s="142" t="s">
        <v>575</v>
      </c>
      <c r="EIN9" s="358" t="s">
        <v>576</v>
      </c>
      <c r="EIO9" s="189" t="s">
        <v>574</v>
      </c>
      <c r="EIP9" s="352" t="s">
        <v>573</v>
      </c>
      <c r="EIQ9" s="142" t="s">
        <v>575</v>
      </c>
      <c r="EIR9" s="358" t="s">
        <v>576</v>
      </c>
      <c r="EIS9" s="189" t="s">
        <v>574</v>
      </c>
      <c r="EIT9" s="352" t="s">
        <v>573</v>
      </c>
      <c r="EIU9" s="142" t="s">
        <v>575</v>
      </c>
      <c r="EIV9" s="358" t="s">
        <v>576</v>
      </c>
      <c r="EIW9" s="189" t="s">
        <v>574</v>
      </c>
      <c r="EIX9" s="352" t="s">
        <v>573</v>
      </c>
      <c r="EIY9" s="142" t="s">
        <v>575</v>
      </c>
      <c r="EIZ9" s="358" t="s">
        <v>576</v>
      </c>
      <c r="EJA9" s="189" t="s">
        <v>574</v>
      </c>
      <c r="EJB9" s="352" t="s">
        <v>573</v>
      </c>
      <c r="EJC9" s="142" t="s">
        <v>575</v>
      </c>
      <c r="EJD9" s="358" t="s">
        <v>576</v>
      </c>
      <c r="EJE9" s="189" t="s">
        <v>574</v>
      </c>
      <c r="EJF9" s="352" t="s">
        <v>573</v>
      </c>
      <c r="EJG9" s="142" t="s">
        <v>575</v>
      </c>
      <c r="EJH9" s="358" t="s">
        <v>576</v>
      </c>
      <c r="EJI9" s="189" t="s">
        <v>574</v>
      </c>
      <c r="EJJ9" s="352" t="s">
        <v>573</v>
      </c>
      <c r="EJK9" s="142" t="s">
        <v>575</v>
      </c>
      <c r="EJL9" s="358" t="s">
        <v>576</v>
      </c>
      <c r="EJM9" s="189" t="s">
        <v>574</v>
      </c>
      <c r="EJN9" s="352" t="s">
        <v>573</v>
      </c>
      <c r="EJO9" s="142" t="s">
        <v>575</v>
      </c>
      <c r="EJP9" s="358" t="s">
        <v>576</v>
      </c>
      <c r="EJQ9" s="189" t="s">
        <v>574</v>
      </c>
      <c r="EJR9" s="352" t="s">
        <v>573</v>
      </c>
      <c r="EJS9" s="142" t="s">
        <v>575</v>
      </c>
      <c r="EJT9" s="358" t="s">
        <v>576</v>
      </c>
      <c r="EJU9" s="189" t="s">
        <v>574</v>
      </c>
      <c r="EJV9" s="352" t="s">
        <v>573</v>
      </c>
      <c r="EJW9" s="142" t="s">
        <v>575</v>
      </c>
      <c r="EJX9" s="358" t="s">
        <v>576</v>
      </c>
      <c r="EJY9" s="189" t="s">
        <v>574</v>
      </c>
      <c r="EJZ9" s="352" t="s">
        <v>573</v>
      </c>
      <c r="EKA9" s="142" t="s">
        <v>575</v>
      </c>
      <c r="EKB9" s="358" t="s">
        <v>576</v>
      </c>
      <c r="EKC9" s="189" t="s">
        <v>574</v>
      </c>
      <c r="EKD9" s="352" t="s">
        <v>573</v>
      </c>
      <c r="EKE9" s="142" t="s">
        <v>575</v>
      </c>
      <c r="EKF9" s="358" t="s">
        <v>576</v>
      </c>
      <c r="EKG9" s="189" t="s">
        <v>574</v>
      </c>
      <c r="EKH9" s="352" t="s">
        <v>573</v>
      </c>
      <c r="EKI9" s="142" t="s">
        <v>575</v>
      </c>
      <c r="EKJ9" s="358" t="s">
        <v>576</v>
      </c>
      <c r="EKK9" s="189" t="s">
        <v>574</v>
      </c>
      <c r="EKL9" s="352" t="s">
        <v>573</v>
      </c>
      <c r="EKM9" s="142" t="s">
        <v>575</v>
      </c>
      <c r="EKN9" s="358" t="s">
        <v>576</v>
      </c>
      <c r="EKO9" s="189" t="s">
        <v>574</v>
      </c>
      <c r="EKP9" s="352" t="s">
        <v>573</v>
      </c>
      <c r="EKQ9" s="142" t="s">
        <v>575</v>
      </c>
      <c r="EKR9" s="358" t="s">
        <v>576</v>
      </c>
      <c r="EKS9" s="189" t="s">
        <v>574</v>
      </c>
      <c r="EKT9" s="352" t="s">
        <v>573</v>
      </c>
      <c r="EKU9" s="142" t="s">
        <v>575</v>
      </c>
      <c r="EKV9" s="358" t="s">
        <v>576</v>
      </c>
      <c r="EKW9" s="189" t="s">
        <v>574</v>
      </c>
      <c r="EKX9" s="352" t="s">
        <v>573</v>
      </c>
      <c r="EKY9" s="142" t="s">
        <v>575</v>
      </c>
      <c r="EKZ9" s="358" t="s">
        <v>576</v>
      </c>
      <c r="ELA9" s="189" t="s">
        <v>574</v>
      </c>
      <c r="ELB9" s="352" t="s">
        <v>573</v>
      </c>
      <c r="ELC9" s="142" t="s">
        <v>575</v>
      </c>
      <c r="ELD9" s="358" t="s">
        <v>576</v>
      </c>
      <c r="ELE9" s="189" t="s">
        <v>574</v>
      </c>
      <c r="ELF9" s="352" t="s">
        <v>573</v>
      </c>
      <c r="ELG9" s="142" t="s">
        <v>575</v>
      </c>
      <c r="ELH9" s="358" t="s">
        <v>576</v>
      </c>
      <c r="ELI9" s="189" t="s">
        <v>574</v>
      </c>
      <c r="ELJ9" s="352" t="s">
        <v>573</v>
      </c>
      <c r="ELK9" s="142" t="s">
        <v>575</v>
      </c>
      <c r="ELL9" s="358" t="s">
        <v>576</v>
      </c>
      <c r="ELM9" s="189" t="s">
        <v>574</v>
      </c>
      <c r="ELN9" s="352" t="s">
        <v>573</v>
      </c>
      <c r="ELO9" s="142" t="s">
        <v>575</v>
      </c>
      <c r="ELP9" s="358" t="s">
        <v>576</v>
      </c>
      <c r="ELQ9" s="189" t="s">
        <v>574</v>
      </c>
      <c r="ELR9" s="352" t="s">
        <v>573</v>
      </c>
      <c r="ELS9" s="142" t="s">
        <v>575</v>
      </c>
      <c r="ELT9" s="358" t="s">
        <v>576</v>
      </c>
      <c r="ELU9" s="189" t="s">
        <v>574</v>
      </c>
      <c r="ELV9" s="352" t="s">
        <v>573</v>
      </c>
      <c r="ELW9" s="142" t="s">
        <v>575</v>
      </c>
      <c r="ELX9" s="358" t="s">
        <v>576</v>
      </c>
      <c r="ELY9" s="189" t="s">
        <v>574</v>
      </c>
      <c r="ELZ9" s="352" t="s">
        <v>573</v>
      </c>
      <c r="EMA9" s="142" t="s">
        <v>575</v>
      </c>
      <c r="EMB9" s="358" t="s">
        <v>576</v>
      </c>
      <c r="EMC9" s="189" t="s">
        <v>574</v>
      </c>
      <c r="EMD9" s="352" t="s">
        <v>573</v>
      </c>
      <c r="EME9" s="142" t="s">
        <v>575</v>
      </c>
      <c r="EMF9" s="358" t="s">
        <v>576</v>
      </c>
      <c r="EMG9" s="189" t="s">
        <v>574</v>
      </c>
      <c r="EMH9" s="352" t="s">
        <v>573</v>
      </c>
      <c r="EMI9" s="142" t="s">
        <v>575</v>
      </c>
      <c r="EMJ9" s="358" t="s">
        <v>576</v>
      </c>
      <c r="EMK9" s="189" t="s">
        <v>574</v>
      </c>
      <c r="EML9" s="352" t="s">
        <v>573</v>
      </c>
      <c r="EMM9" s="142" t="s">
        <v>575</v>
      </c>
      <c r="EMN9" s="358" t="s">
        <v>576</v>
      </c>
      <c r="EMO9" s="189" t="s">
        <v>574</v>
      </c>
      <c r="EMP9" s="352" t="s">
        <v>573</v>
      </c>
      <c r="EMQ9" s="142" t="s">
        <v>575</v>
      </c>
      <c r="EMR9" s="358" t="s">
        <v>576</v>
      </c>
      <c r="EMS9" s="189" t="s">
        <v>574</v>
      </c>
      <c r="EMT9" s="352" t="s">
        <v>573</v>
      </c>
      <c r="EMU9" s="142" t="s">
        <v>575</v>
      </c>
      <c r="EMV9" s="358" t="s">
        <v>576</v>
      </c>
      <c r="EMW9" s="189" t="s">
        <v>574</v>
      </c>
      <c r="EMX9" s="352" t="s">
        <v>573</v>
      </c>
      <c r="EMY9" s="142" t="s">
        <v>575</v>
      </c>
      <c r="EMZ9" s="358" t="s">
        <v>576</v>
      </c>
      <c r="ENA9" s="189" t="s">
        <v>574</v>
      </c>
      <c r="ENB9" s="352" t="s">
        <v>573</v>
      </c>
      <c r="ENC9" s="142" t="s">
        <v>575</v>
      </c>
      <c r="END9" s="358" t="s">
        <v>576</v>
      </c>
      <c r="ENE9" s="189" t="s">
        <v>574</v>
      </c>
      <c r="ENF9" s="352" t="s">
        <v>573</v>
      </c>
      <c r="ENG9" s="142" t="s">
        <v>575</v>
      </c>
      <c r="ENH9" s="358" t="s">
        <v>576</v>
      </c>
      <c r="ENI9" s="189" t="s">
        <v>574</v>
      </c>
      <c r="ENJ9" s="352" t="s">
        <v>573</v>
      </c>
      <c r="ENK9" s="142" t="s">
        <v>575</v>
      </c>
      <c r="ENL9" s="358" t="s">
        <v>576</v>
      </c>
      <c r="ENM9" s="189" t="s">
        <v>574</v>
      </c>
      <c r="ENN9" s="352" t="s">
        <v>573</v>
      </c>
      <c r="ENO9" s="142" t="s">
        <v>575</v>
      </c>
      <c r="ENP9" s="358" t="s">
        <v>576</v>
      </c>
      <c r="ENQ9" s="189" t="s">
        <v>574</v>
      </c>
      <c r="ENR9" s="352" t="s">
        <v>573</v>
      </c>
      <c r="ENS9" s="142" t="s">
        <v>575</v>
      </c>
      <c r="ENT9" s="358" t="s">
        <v>576</v>
      </c>
      <c r="ENU9" s="189" t="s">
        <v>574</v>
      </c>
      <c r="ENV9" s="352" t="s">
        <v>573</v>
      </c>
      <c r="ENW9" s="142" t="s">
        <v>575</v>
      </c>
      <c r="ENX9" s="358" t="s">
        <v>576</v>
      </c>
      <c r="ENY9" s="189" t="s">
        <v>574</v>
      </c>
      <c r="ENZ9" s="352" t="s">
        <v>573</v>
      </c>
      <c r="EOA9" s="142" t="s">
        <v>575</v>
      </c>
      <c r="EOB9" s="358" t="s">
        <v>576</v>
      </c>
      <c r="EOC9" s="189" t="s">
        <v>574</v>
      </c>
      <c r="EOD9" s="352" t="s">
        <v>573</v>
      </c>
      <c r="EOE9" s="142" t="s">
        <v>575</v>
      </c>
      <c r="EOF9" s="358" t="s">
        <v>576</v>
      </c>
      <c r="EOG9" s="189" t="s">
        <v>574</v>
      </c>
      <c r="EOH9" s="352" t="s">
        <v>573</v>
      </c>
      <c r="EOI9" s="142" t="s">
        <v>575</v>
      </c>
      <c r="EOJ9" s="358" t="s">
        <v>576</v>
      </c>
      <c r="EOK9" s="189" t="s">
        <v>574</v>
      </c>
      <c r="EOL9" s="352" t="s">
        <v>573</v>
      </c>
      <c r="EOM9" s="142" t="s">
        <v>575</v>
      </c>
      <c r="EON9" s="358" t="s">
        <v>576</v>
      </c>
      <c r="EOO9" s="189" t="s">
        <v>574</v>
      </c>
      <c r="EOP9" s="352" t="s">
        <v>573</v>
      </c>
      <c r="EOQ9" s="142" t="s">
        <v>575</v>
      </c>
      <c r="EOR9" s="358" t="s">
        <v>576</v>
      </c>
      <c r="EOS9" s="189" t="s">
        <v>574</v>
      </c>
      <c r="EOT9" s="352" t="s">
        <v>573</v>
      </c>
      <c r="EOU9" s="142" t="s">
        <v>575</v>
      </c>
      <c r="EOV9" s="358" t="s">
        <v>576</v>
      </c>
      <c r="EOW9" s="189" t="s">
        <v>574</v>
      </c>
      <c r="EOX9" s="352" t="s">
        <v>573</v>
      </c>
      <c r="EOY9" s="142" t="s">
        <v>575</v>
      </c>
      <c r="EOZ9" s="358" t="s">
        <v>576</v>
      </c>
      <c r="EPA9" s="189" t="s">
        <v>574</v>
      </c>
      <c r="EPB9" s="352" t="s">
        <v>573</v>
      </c>
      <c r="EPC9" s="142" t="s">
        <v>575</v>
      </c>
      <c r="EPD9" s="358" t="s">
        <v>576</v>
      </c>
      <c r="EPE9" s="189" t="s">
        <v>574</v>
      </c>
      <c r="EPF9" s="352" t="s">
        <v>573</v>
      </c>
      <c r="EPG9" s="142" t="s">
        <v>575</v>
      </c>
      <c r="EPH9" s="358" t="s">
        <v>576</v>
      </c>
      <c r="EPI9" s="189" t="s">
        <v>574</v>
      </c>
      <c r="EPJ9" s="352" t="s">
        <v>573</v>
      </c>
      <c r="EPK9" s="142" t="s">
        <v>575</v>
      </c>
      <c r="EPL9" s="358" t="s">
        <v>576</v>
      </c>
      <c r="EPM9" s="189" t="s">
        <v>574</v>
      </c>
      <c r="EPN9" s="352" t="s">
        <v>573</v>
      </c>
      <c r="EPO9" s="142" t="s">
        <v>575</v>
      </c>
      <c r="EPP9" s="358" t="s">
        <v>576</v>
      </c>
      <c r="EPQ9" s="189" t="s">
        <v>574</v>
      </c>
      <c r="EPR9" s="352" t="s">
        <v>573</v>
      </c>
      <c r="EPS9" s="142" t="s">
        <v>575</v>
      </c>
      <c r="EPT9" s="358" t="s">
        <v>576</v>
      </c>
      <c r="EPU9" s="189" t="s">
        <v>574</v>
      </c>
      <c r="EPV9" s="352" t="s">
        <v>573</v>
      </c>
      <c r="EPW9" s="142" t="s">
        <v>575</v>
      </c>
      <c r="EPX9" s="358" t="s">
        <v>576</v>
      </c>
      <c r="EPY9" s="189" t="s">
        <v>574</v>
      </c>
      <c r="EPZ9" s="352" t="s">
        <v>573</v>
      </c>
      <c r="EQA9" s="142" t="s">
        <v>575</v>
      </c>
      <c r="EQB9" s="358" t="s">
        <v>576</v>
      </c>
      <c r="EQC9" s="189" t="s">
        <v>574</v>
      </c>
      <c r="EQD9" s="352" t="s">
        <v>573</v>
      </c>
      <c r="EQE9" s="142" t="s">
        <v>575</v>
      </c>
      <c r="EQF9" s="358" t="s">
        <v>576</v>
      </c>
      <c r="EQG9" s="189" t="s">
        <v>574</v>
      </c>
      <c r="EQH9" s="352" t="s">
        <v>573</v>
      </c>
      <c r="EQI9" s="142" t="s">
        <v>575</v>
      </c>
      <c r="EQJ9" s="358" t="s">
        <v>576</v>
      </c>
      <c r="EQK9" s="189" t="s">
        <v>574</v>
      </c>
      <c r="EQL9" s="352" t="s">
        <v>573</v>
      </c>
      <c r="EQM9" s="142" t="s">
        <v>575</v>
      </c>
      <c r="EQN9" s="358" t="s">
        <v>576</v>
      </c>
      <c r="EQO9" s="189" t="s">
        <v>574</v>
      </c>
      <c r="EQP9" s="352" t="s">
        <v>573</v>
      </c>
      <c r="EQQ9" s="142" t="s">
        <v>575</v>
      </c>
      <c r="EQR9" s="358" t="s">
        <v>576</v>
      </c>
      <c r="EQS9" s="189" t="s">
        <v>574</v>
      </c>
      <c r="EQT9" s="352" t="s">
        <v>573</v>
      </c>
      <c r="EQU9" s="142" t="s">
        <v>575</v>
      </c>
      <c r="EQV9" s="358" t="s">
        <v>576</v>
      </c>
      <c r="EQW9" s="189" t="s">
        <v>574</v>
      </c>
      <c r="EQX9" s="352" t="s">
        <v>573</v>
      </c>
      <c r="EQY9" s="142" t="s">
        <v>575</v>
      </c>
      <c r="EQZ9" s="358" t="s">
        <v>576</v>
      </c>
      <c r="ERA9" s="189" t="s">
        <v>574</v>
      </c>
      <c r="ERB9" s="352" t="s">
        <v>573</v>
      </c>
      <c r="ERC9" s="142" t="s">
        <v>575</v>
      </c>
      <c r="ERD9" s="358" t="s">
        <v>576</v>
      </c>
      <c r="ERE9" s="189" t="s">
        <v>574</v>
      </c>
      <c r="ERF9" s="352" t="s">
        <v>573</v>
      </c>
      <c r="ERG9" s="142" t="s">
        <v>575</v>
      </c>
      <c r="ERH9" s="358" t="s">
        <v>576</v>
      </c>
      <c r="ERI9" s="189" t="s">
        <v>574</v>
      </c>
      <c r="ERJ9" s="352" t="s">
        <v>573</v>
      </c>
      <c r="ERK9" s="142" t="s">
        <v>575</v>
      </c>
      <c r="ERL9" s="358" t="s">
        <v>576</v>
      </c>
      <c r="ERM9" s="189" t="s">
        <v>574</v>
      </c>
      <c r="ERN9" s="352" t="s">
        <v>573</v>
      </c>
      <c r="ERO9" s="142" t="s">
        <v>575</v>
      </c>
      <c r="ERP9" s="358" t="s">
        <v>576</v>
      </c>
      <c r="ERQ9" s="189" t="s">
        <v>574</v>
      </c>
      <c r="ERR9" s="352" t="s">
        <v>573</v>
      </c>
      <c r="ERS9" s="142" t="s">
        <v>575</v>
      </c>
      <c r="ERT9" s="358" t="s">
        <v>576</v>
      </c>
      <c r="ERU9" s="189" t="s">
        <v>574</v>
      </c>
      <c r="ERV9" s="352" t="s">
        <v>573</v>
      </c>
      <c r="ERW9" s="142" t="s">
        <v>575</v>
      </c>
      <c r="ERX9" s="358" t="s">
        <v>576</v>
      </c>
      <c r="ERY9" s="189" t="s">
        <v>574</v>
      </c>
      <c r="ERZ9" s="352" t="s">
        <v>573</v>
      </c>
      <c r="ESA9" s="142" t="s">
        <v>575</v>
      </c>
      <c r="ESB9" s="358" t="s">
        <v>576</v>
      </c>
      <c r="ESC9" s="189" t="s">
        <v>574</v>
      </c>
      <c r="ESD9" s="352" t="s">
        <v>573</v>
      </c>
      <c r="ESE9" s="142" t="s">
        <v>575</v>
      </c>
      <c r="ESF9" s="358" t="s">
        <v>576</v>
      </c>
      <c r="ESG9" s="189" t="s">
        <v>574</v>
      </c>
      <c r="ESH9" s="352" t="s">
        <v>573</v>
      </c>
      <c r="ESI9" s="142" t="s">
        <v>575</v>
      </c>
      <c r="ESJ9" s="358" t="s">
        <v>576</v>
      </c>
      <c r="ESK9" s="189" t="s">
        <v>574</v>
      </c>
      <c r="ESL9" s="352" t="s">
        <v>573</v>
      </c>
      <c r="ESM9" s="142" t="s">
        <v>575</v>
      </c>
      <c r="ESN9" s="358" t="s">
        <v>576</v>
      </c>
      <c r="ESO9" s="189" t="s">
        <v>574</v>
      </c>
      <c r="ESP9" s="352" t="s">
        <v>573</v>
      </c>
      <c r="ESQ9" s="142" t="s">
        <v>575</v>
      </c>
      <c r="ESR9" s="358" t="s">
        <v>576</v>
      </c>
      <c r="ESS9" s="189" t="s">
        <v>574</v>
      </c>
      <c r="EST9" s="352" t="s">
        <v>573</v>
      </c>
      <c r="ESU9" s="142" t="s">
        <v>575</v>
      </c>
      <c r="ESV9" s="358" t="s">
        <v>576</v>
      </c>
      <c r="ESW9" s="189" t="s">
        <v>574</v>
      </c>
      <c r="ESX9" s="352" t="s">
        <v>573</v>
      </c>
      <c r="ESY9" s="142" t="s">
        <v>575</v>
      </c>
      <c r="ESZ9" s="358" t="s">
        <v>576</v>
      </c>
      <c r="ETA9" s="189" t="s">
        <v>574</v>
      </c>
      <c r="ETB9" s="352" t="s">
        <v>573</v>
      </c>
      <c r="ETC9" s="142" t="s">
        <v>575</v>
      </c>
      <c r="ETD9" s="358" t="s">
        <v>576</v>
      </c>
      <c r="ETE9" s="189" t="s">
        <v>574</v>
      </c>
      <c r="ETF9" s="352" t="s">
        <v>573</v>
      </c>
      <c r="ETG9" s="142" t="s">
        <v>575</v>
      </c>
      <c r="ETH9" s="358" t="s">
        <v>576</v>
      </c>
      <c r="ETI9" s="189" t="s">
        <v>574</v>
      </c>
      <c r="ETJ9" s="352" t="s">
        <v>573</v>
      </c>
      <c r="ETK9" s="142" t="s">
        <v>575</v>
      </c>
      <c r="ETL9" s="358" t="s">
        <v>576</v>
      </c>
      <c r="ETM9" s="189" t="s">
        <v>574</v>
      </c>
      <c r="ETN9" s="352" t="s">
        <v>573</v>
      </c>
      <c r="ETO9" s="142" t="s">
        <v>575</v>
      </c>
      <c r="ETP9" s="358" t="s">
        <v>576</v>
      </c>
      <c r="ETQ9" s="189" t="s">
        <v>574</v>
      </c>
      <c r="ETR9" s="352" t="s">
        <v>573</v>
      </c>
      <c r="ETS9" s="142" t="s">
        <v>575</v>
      </c>
      <c r="ETT9" s="358" t="s">
        <v>576</v>
      </c>
      <c r="ETU9" s="189" t="s">
        <v>574</v>
      </c>
      <c r="ETV9" s="352" t="s">
        <v>573</v>
      </c>
      <c r="ETW9" s="142" t="s">
        <v>575</v>
      </c>
      <c r="ETX9" s="358" t="s">
        <v>576</v>
      </c>
      <c r="ETY9" s="189" t="s">
        <v>574</v>
      </c>
      <c r="ETZ9" s="352" t="s">
        <v>573</v>
      </c>
      <c r="EUA9" s="142" t="s">
        <v>575</v>
      </c>
      <c r="EUB9" s="358" t="s">
        <v>576</v>
      </c>
      <c r="EUC9" s="189" t="s">
        <v>574</v>
      </c>
      <c r="EUD9" s="352" t="s">
        <v>573</v>
      </c>
      <c r="EUE9" s="142" t="s">
        <v>575</v>
      </c>
      <c r="EUF9" s="358" t="s">
        <v>576</v>
      </c>
      <c r="EUG9" s="189" t="s">
        <v>574</v>
      </c>
      <c r="EUH9" s="352" t="s">
        <v>573</v>
      </c>
      <c r="EUI9" s="142" t="s">
        <v>575</v>
      </c>
      <c r="EUJ9" s="358" t="s">
        <v>576</v>
      </c>
      <c r="EUK9" s="189" t="s">
        <v>574</v>
      </c>
      <c r="EUL9" s="352" t="s">
        <v>573</v>
      </c>
      <c r="EUM9" s="142" t="s">
        <v>575</v>
      </c>
      <c r="EUN9" s="358" t="s">
        <v>576</v>
      </c>
      <c r="EUO9" s="189" t="s">
        <v>574</v>
      </c>
      <c r="EUP9" s="352" t="s">
        <v>573</v>
      </c>
      <c r="EUQ9" s="142" t="s">
        <v>575</v>
      </c>
      <c r="EUR9" s="358" t="s">
        <v>576</v>
      </c>
      <c r="EUS9" s="189" t="s">
        <v>574</v>
      </c>
      <c r="EUT9" s="352" t="s">
        <v>573</v>
      </c>
      <c r="EUU9" s="142" t="s">
        <v>575</v>
      </c>
      <c r="EUV9" s="358" t="s">
        <v>576</v>
      </c>
      <c r="EUW9" s="189" t="s">
        <v>574</v>
      </c>
      <c r="EUX9" s="352" t="s">
        <v>573</v>
      </c>
      <c r="EUY9" s="142" t="s">
        <v>575</v>
      </c>
      <c r="EUZ9" s="358" t="s">
        <v>576</v>
      </c>
      <c r="EVA9" s="189" t="s">
        <v>574</v>
      </c>
      <c r="EVB9" s="352" t="s">
        <v>573</v>
      </c>
      <c r="EVC9" s="142" t="s">
        <v>575</v>
      </c>
      <c r="EVD9" s="358" t="s">
        <v>576</v>
      </c>
      <c r="EVE9" s="189" t="s">
        <v>574</v>
      </c>
      <c r="EVF9" s="352" t="s">
        <v>573</v>
      </c>
      <c r="EVG9" s="142" t="s">
        <v>575</v>
      </c>
      <c r="EVH9" s="358" t="s">
        <v>576</v>
      </c>
      <c r="EVI9" s="189" t="s">
        <v>574</v>
      </c>
      <c r="EVJ9" s="352" t="s">
        <v>573</v>
      </c>
      <c r="EVK9" s="142" t="s">
        <v>575</v>
      </c>
      <c r="EVL9" s="358" t="s">
        <v>576</v>
      </c>
      <c r="EVM9" s="189" t="s">
        <v>574</v>
      </c>
      <c r="EVN9" s="352" t="s">
        <v>573</v>
      </c>
      <c r="EVO9" s="142" t="s">
        <v>575</v>
      </c>
      <c r="EVP9" s="358" t="s">
        <v>576</v>
      </c>
      <c r="EVQ9" s="189" t="s">
        <v>574</v>
      </c>
      <c r="EVR9" s="352" t="s">
        <v>573</v>
      </c>
      <c r="EVS9" s="142" t="s">
        <v>575</v>
      </c>
      <c r="EVT9" s="358" t="s">
        <v>576</v>
      </c>
      <c r="EVU9" s="189" t="s">
        <v>574</v>
      </c>
      <c r="EVV9" s="352" t="s">
        <v>573</v>
      </c>
      <c r="EVW9" s="142" t="s">
        <v>575</v>
      </c>
      <c r="EVX9" s="358" t="s">
        <v>576</v>
      </c>
      <c r="EVY9" s="189" t="s">
        <v>574</v>
      </c>
      <c r="EVZ9" s="352" t="s">
        <v>573</v>
      </c>
      <c r="EWA9" s="142" t="s">
        <v>575</v>
      </c>
      <c r="EWB9" s="358" t="s">
        <v>576</v>
      </c>
      <c r="EWC9" s="189" t="s">
        <v>574</v>
      </c>
      <c r="EWD9" s="352" t="s">
        <v>573</v>
      </c>
      <c r="EWE9" s="142" t="s">
        <v>575</v>
      </c>
      <c r="EWF9" s="358" t="s">
        <v>576</v>
      </c>
      <c r="EWG9" s="189" t="s">
        <v>574</v>
      </c>
      <c r="EWH9" s="352" t="s">
        <v>573</v>
      </c>
      <c r="EWI9" s="142" t="s">
        <v>575</v>
      </c>
      <c r="EWJ9" s="358" t="s">
        <v>576</v>
      </c>
      <c r="EWK9" s="189" t="s">
        <v>574</v>
      </c>
      <c r="EWL9" s="352" t="s">
        <v>573</v>
      </c>
      <c r="EWM9" s="142" t="s">
        <v>575</v>
      </c>
      <c r="EWN9" s="358" t="s">
        <v>576</v>
      </c>
      <c r="EWO9" s="189" t="s">
        <v>574</v>
      </c>
      <c r="EWP9" s="352" t="s">
        <v>573</v>
      </c>
      <c r="EWQ9" s="142" t="s">
        <v>575</v>
      </c>
      <c r="EWR9" s="358" t="s">
        <v>576</v>
      </c>
      <c r="EWS9" s="189" t="s">
        <v>574</v>
      </c>
      <c r="EWT9" s="352" t="s">
        <v>573</v>
      </c>
      <c r="EWU9" s="142" t="s">
        <v>575</v>
      </c>
      <c r="EWV9" s="358" t="s">
        <v>576</v>
      </c>
      <c r="EWW9" s="189" t="s">
        <v>574</v>
      </c>
      <c r="EWX9" s="352" t="s">
        <v>573</v>
      </c>
      <c r="EWY9" s="142" t="s">
        <v>575</v>
      </c>
      <c r="EWZ9" s="358" t="s">
        <v>576</v>
      </c>
      <c r="EXA9" s="189" t="s">
        <v>574</v>
      </c>
      <c r="EXB9" s="352" t="s">
        <v>573</v>
      </c>
      <c r="EXC9" s="142" t="s">
        <v>575</v>
      </c>
      <c r="EXD9" s="358" t="s">
        <v>576</v>
      </c>
      <c r="EXE9" s="189" t="s">
        <v>574</v>
      </c>
      <c r="EXF9" s="352" t="s">
        <v>573</v>
      </c>
      <c r="EXG9" s="142" t="s">
        <v>575</v>
      </c>
      <c r="EXH9" s="358" t="s">
        <v>576</v>
      </c>
      <c r="EXI9" s="189" t="s">
        <v>574</v>
      </c>
      <c r="EXJ9" s="352" t="s">
        <v>573</v>
      </c>
      <c r="EXK9" s="142" t="s">
        <v>575</v>
      </c>
      <c r="EXL9" s="358" t="s">
        <v>576</v>
      </c>
      <c r="EXM9" s="189" t="s">
        <v>574</v>
      </c>
      <c r="EXN9" s="352" t="s">
        <v>573</v>
      </c>
      <c r="EXO9" s="142" t="s">
        <v>575</v>
      </c>
      <c r="EXP9" s="358" t="s">
        <v>576</v>
      </c>
      <c r="EXQ9" s="189" t="s">
        <v>574</v>
      </c>
      <c r="EXR9" s="352" t="s">
        <v>573</v>
      </c>
      <c r="EXS9" s="142" t="s">
        <v>575</v>
      </c>
      <c r="EXT9" s="358" t="s">
        <v>576</v>
      </c>
      <c r="EXU9" s="189" t="s">
        <v>574</v>
      </c>
      <c r="EXV9" s="352" t="s">
        <v>573</v>
      </c>
      <c r="EXW9" s="142" t="s">
        <v>575</v>
      </c>
      <c r="EXX9" s="358" t="s">
        <v>576</v>
      </c>
      <c r="EXY9" s="189" t="s">
        <v>574</v>
      </c>
      <c r="EXZ9" s="352" t="s">
        <v>573</v>
      </c>
      <c r="EYA9" s="142" t="s">
        <v>575</v>
      </c>
      <c r="EYB9" s="358" t="s">
        <v>576</v>
      </c>
      <c r="EYC9" s="189" t="s">
        <v>574</v>
      </c>
      <c r="EYD9" s="352" t="s">
        <v>573</v>
      </c>
      <c r="EYE9" s="142" t="s">
        <v>575</v>
      </c>
      <c r="EYF9" s="358" t="s">
        <v>576</v>
      </c>
      <c r="EYG9" s="189" t="s">
        <v>574</v>
      </c>
      <c r="EYH9" s="352" t="s">
        <v>573</v>
      </c>
      <c r="EYI9" s="142" t="s">
        <v>575</v>
      </c>
      <c r="EYJ9" s="358" t="s">
        <v>576</v>
      </c>
      <c r="EYK9" s="189" t="s">
        <v>574</v>
      </c>
      <c r="EYL9" s="352" t="s">
        <v>573</v>
      </c>
      <c r="EYM9" s="142" t="s">
        <v>575</v>
      </c>
      <c r="EYN9" s="358" t="s">
        <v>576</v>
      </c>
      <c r="EYO9" s="189" t="s">
        <v>574</v>
      </c>
      <c r="EYP9" s="352" t="s">
        <v>573</v>
      </c>
      <c r="EYQ9" s="142" t="s">
        <v>575</v>
      </c>
      <c r="EYR9" s="358" t="s">
        <v>576</v>
      </c>
      <c r="EYS9" s="189" t="s">
        <v>574</v>
      </c>
      <c r="EYT9" s="352" t="s">
        <v>573</v>
      </c>
      <c r="EYU9" s="142" t="s">
        <v>575</v>
      </c>
      <c r="EYV9" s="358" t="s">
        <v>576</v>
      </c>
      <c r="EYW9" s="189" t="s">
        <v>574</v>
      </c>
      <c r="EYX9" s="352" t="s">
        <v>573</v>
      </c>
      <c r="EYY9" s="142" t="s">
        <v>575</v>
      </c>
      <c r="EYZ9" s="358" t="s">
        <v>576</v>
      </c>
      <c r="EZA9" s="189" t="s">
        <v>574</v>
      </c>
      <c r="EZB9" s="352" t="s">
        <v>573</v>
      </c>
      <c r="EZC9" s="142" t="s">
        <v>575</v>
      </c>
      <c r="EZD9" s="358" t="s">
        <v>576</v>
      </c>
      <c r="EZE9" s="189" t="s">
        <v>574</v>
      </c>
      <c r="EZF9" s="352" t="s">
        <v>573</v>
      </c>
      <c r="EZG9" s="142" t="s">
        <v>575</v>
      </c>
      <c r="EZH9" s="358" t="s">
        <v>576</v>
      </c>
      <c r="EZI9" s="189" t="s">
        <v>574</v>
      </c>
      <c r="EZJ9" s="352" t="s">
        <v>573</v>
      </c>
      <c r="EZK9" s="142" t="s">
        <v>575</v>
      </c>
      <c r="EZL9" s="358" t="s">
        <v>576</v>
      </c>
      <c r="EZM9" s="189" t="s">
        <v>574</v>
      </c>
      <c r="EZN9" s="352" t="s">
        <v>573</v>
      </c>
      <c r="EZO9" s="142" t="s">
        <v>575</v>
      </c>
      <c r="EZP9" s="358" t="s">
        <v>576</v>
      </c>
      <c r="EZQ9" s="189" t="s">
        <v>574</v>
      </c>
      <c r="EZR9" s="352" t="s">
        <v>573</v>
      </c>
      <c r="EZS9" s="142" t="s">
        <v>575</v>
      </c>
      <c r="EZT9" s="358" t="s">
        <v>576</v>
      </c>
      <c r="EZU9" s="189" t="s">
        <v>574</v>
      </c>
      <c r="EZV9" s="352" t="s">
        <v>573</v>
      </c>
      <c r="EZW9" s="142" t="s">
        <v>575</v>
      </c>
      <c r="EZX9" s="358" t="s">
        <v>576</v>
      </c>
      <c r="EZY9" s="189" t="s">
        <v>574</v>
      </c>
      <c r="EZZ9" s="352" t="s">
        <v>573</v>
      </c>
      <c r="FAA9" s="142" t="s">
        <v>575</v>
      </c>
      <c r="FAB9" s="358" t="s">
        <v>576</v>
      </c>
      <c r="FAC9" s="189" t="s">
        <v>574</v>
      </c>
      <c r="FAD9" s="352" t="s">
        <v>573</v>
      </c>
      <c r="FAE9" s="142" t="s">
        <v>575</v>
      </c>
      <c r="FAF9" s="358" t="s">
        <v>576</v>
      </c>
      <c r="FAG9" s="189" t="s">
        <v>574</v>
      </c>
      <c r="FAH9" s="352" t="s">
        <v>573</v>
      </c>
      <c r="FAI9" s="142" t="s">
        <v>575</v>
      </c>
      <c r="FAJ9" s="358" t="s">
        <v>576</v>
      </c>
      <c r="FAK9" s="189" t="s">
        <v>574</v>
      </c>
      <c r="FAL9" s="352" t="s">
        <v>573</v>
      </c>
      <c r="FAM9" s="142" t="s">
        <v>575</v>
      </c>
      <c r="FAN9" s="358" t="s">
        <v>576</v>
      </c>
      <c r="FAO9" s="189" t="s">
        <v>574</v>
      </c>
      <c r="FAP9" s="352" t="s">
        <v>573</v>
      </c>
      <c r="FAQ9" s="142" t="s">
        <v>575</v>
      </c>
      <c r="FAR9" s="358" t="s">
        <v>576</v>
      </c>
      <c r="FAS9" s="189" t="s">
        <v>574</v>
      </c>
      <c r="FAT9" s="352" t="s">
        <v>573</v>
      </c>
      <c r="FAU9" s="142" t="s">
        <v>575</v>
      </c>
      <c r="FAV9" s="358" t="s">
        <v>576</v>
      </c>
      <c r="FAW9" s="189" t="s">
        <v>574</v>
      </c>
      <c r="FAX9" s="352" t="s">
        <v>573</v>
      </c>
      <c r="FAY9" s="142" t="s">
        <v>575</v>
      </c>
      <c r="FAZ9" s="358" t="s">
        <v>576</v>
      </c>
      <c r="FBA9" s="189" t="s">
        <v>574</v>
      </c>
      <c r="FBB9" s="352" t="s">
        <v>573</v>
      </c>
      <c r="FBC9" s="142" t="s">
        <v>575</v>
      </c>
      <c r="FBD9" s="358" t="s">
        <v>576</v>
      </c>
      <c r="FBE9" s="189" t="s">
        <v>574</v>
      </c>
      <c r="FBF9" s="352" t="s">
        <v>573</v>
      </c>
      <c r="FBG9" s="142" t="s">
        <v>575</v>
      </c>
      <c r="FBH9" s="358" t="s">
        <v>576</v>
      </c>
      <c r="FBI9" s="189" t="s">
        <v>574</v>
      </c>
      <c r="FBJ9" s="352" t="s">
        <v>573</v>
      </c>
      <c r="FBK9" s="142" t="s">
        <v>575</v>
      </c>
      <c r="FBL9" s="358" t="s">
        <v>576</v>
      </c>
      <c r="FBM9" s="189" t="s">
        <v>574</v>
      </c>
      <c r="FBN9" s="352" t="s">
        <v>573</v>
      </c>
      <c r="FBO9" s="142" t="s">
        <v>575</v>
      </c>
      <c r="FBP9" s="358" t="s">
        <v>576</v>
      </c>
      <c r="FBQ9" s="189" t="s">
        <v>574</v>
      </c>
      <c r="FBR9" s="352" t="s">
        <v>573</v>
      </c>
      <c r="FBS9" s="142" t="s">
        <v>575</v>
      </c>
      <c r="FBT9" s="358" t="s">
        <v>576</v>
      </c>
      <c r="FBU9" s="189" t="s">
        <v>574</v>
      </c>
      <c r="FBV9" s="352" t="s">
        <v>573</v>
      </c>
      <c r="FBW9" s="142" t="s">
        <v>575</v>
      </c>
      <c r="FBX9" s="358" t="s">
        <v>576</v>
      </c>
      <c r="FBY9" s="189" t="s">
        <v>574</v>
      </c>
      <c r="FBZ9" s="352" t="s">
        <v>573</v>
      </c>
      <c r="FCA9" s="142" t="s">
        <v>575</v>
      </c>
      <c r="FCB9" s="358" t="s">
        <v>576</v>
      </c>
      <c r="FCC9" s="189" t="s">
        <v>574</v>
      </c>
      <c r="FCD9" s="352" t="s">
        <v>573</v>
      </c>
      <c r="FCE9" s="142" t="s">
        <v>575</v>
      </c>
      <c r="FCF9" s="358" t="s">
        <v>576</v>
      </c>
      <c r="FCG9" s="189" t="s">
        <v>574</v>
      </c>
      <c r="FCH9" s="352" t="s">
        <v>573</v>
      </c>
      <c r="FCI9" s="142" t="s">
        <v>575</v>
      </c>
      <c r="FCJ9" s="358" t="s">
        <v>576</v>
      </c>
      <c r="FCK9" s="189" t="s">
        <v>574</v>
      </c>
      <c r="FCL9" s="352" t="s">
        <v>573</v>
      </c>
      <c r="FCM9" s="142" t="s">
        <v>575</v>
      </c>
      <c r="FCN9" s="358" t="s">
        <v>576</v>
      </c>
      <c r="FCO9" s="189" t="s">
        <v>574</v>
      </c>
      <c r="FCP9" s="352" t="s">
        <v>573</v>
      </c>
      <c r="FCQ9" s="142" t="s">
        <v>575</v>
      </c>
      <c r="FCR9" s="358" t="s">
        <v>576</v>
      </c>
      <c r="FCS9" s="189" t="s">
        <v>574</v>
      </c>
      <c r="FCT9" s="352" t="s">
        <v>573</v>
      </c>
      <c r="FCU9" s="142" t="s">
        <v>575</v>
      </c>
      <c r="FCV9" s="358" t="s">
        <v>576</v>
      </c>
      <c r="FCW9" s="189" t="s">
        <v>574</v>
      </c>
      <c r="FCX9" s="352" t="s">
        <v>573</v>
      </c>
      <c r="FCY9" s="142" t="s">
        <v>575</v>
      </c>
      <c r="FCZ9" s="358" t="s">
        <v>576</v>
      </c>
      <c r="FDA9" s="189" t="s">
        <v>574</v>
      </c>
      <c r="FDB9" s="352" t="s">
        <v>573</v>
      </c>
      <c r="FDC9" s="142" t="s">
        <v>575</v>
      </c>
      <c r="FDD9" s="358" t="s">
        <v>576</v>
      </c>
      <c r="FDE9" s="189" t="s">
        <v>574</v>
      </c>
      <c r="FDF9" s="352" t="s">
        <v>573</v>
      </c>
      <c r="FDG9" s="142" t="s">
        <v>575</v>
      </c>
      <c r="FDH9" s="358" t="s">
        <v>576</v>
      </c>
      <c r="FDI9" s="189" t="s">
        <v>574</v>
      </c>
      <c r="FDJ9" s="352" t="s">
        <v>573</v>
      </c>
      <c r="FDK9" s="142" t="s">
        <v>575</v>
      </c>
      <c r="FDL9" s="358" t="s">
        <v>576</v>
      </c>
      <c r="FDM9" s="189" t="s">
        <v>574</v>
      </c>
      <c r="FDN9" s="352" t="s">
        <v>573</v>
      </c>
      <c r="FDO9" s="142" t="s">
        <v>575</v>
      </c>
      <c r="FDP9" s="358" t="s">
        <v>576</v>
      </c>
      <c r="FDQ9" s="189" t="s">
        <v>574</v>
      </c>
      <c r="FDR9" s="352" t="s">
        <v>573</v>
      </c>
      <c r="FDS9" s="142" t="s">
        <v>575</v>
      </c>
      <c r="FDT9" s="358" t="s">
        <v>576</v>
      </c>
      <c r="FDU9" s="189" t="s">
        <v>574</v>
      </c>
      <c r="FDV9" s="352" t="s">
        <v>573</v>
      </c>
      <c r="FDW9" s="142" t="s">
        <v>575</v>
      </c>
      <c r="FDX9" s="358" t="s">
        <v>576</v>
      </c>
      <c r="FDY9" s="189" t="s">
        <v>574</v>
      </c>
      <c r="FDZ9" s="352" t="s">
        <v>573</v>
      </c>
      <c r="FEA9" s="142" t="s">
        <v>575</v>
      </c>
      <c r="FEB9" s="358" t="s">
        <v>576</v>
      </c>
      <c r="FEC9" s="189" t="s">
        <v>574</v>
      </c>
      <c r="FED9" s="352" t="s">
        <v>573</v>
      </c>
      <c r="FEE9" s="142" t="s">
        <v>575</v>
      </c>
      <c r="FEF9" s="358" t="s">
        <v>576</v>
      </c>
      <c r="FEG9" s="189" t="s">
        <v>574</v>
      </c>
      <c r="FEH9" s="352" t="s">
        <v>573</v>
      </c>
      <c r="FEI9" s="142" t="s">
        <v>575</v>
      </c>
      <c r="FEJ9" s="358" t="s">
        <v>576</v>
      </c>
      <c r="FEK9" s="189" t="s">
        <v>574</v>
      </c>
      <c r="FEL9" s="352" t="s">
        <v>573</v>
      </c>
      <c r="FEM9" s="142" t="s">
        <v>575</v>
      </c>
      <c r="FEN9" s="358" t="s">
        <v>576</v>
      </c>
      <c r="FEO9" s="189" t="s">
        <v>574</v>
      </c>
      <c r="FEP9" s="352" t="s">
        <v>573</v>
      </c>
      <c r="FEQ9" s="142" t="s">
        <v>575</v>
      </c>
      <c r="FER9" s="358" t="s">
        <v>576</v>
      </c>
      <c r="FES9" s="189" t="s">
        <v>574</v>
      </c>
      <c r="FET9" s="352" t="s">
        <v>573</v>
      </c>
      <c r="FEU9" s="142" t="s">
        <v>575</v>
      </c>
      <c r="FEV9" s="358" t="s">
        <v>576</v>
      </c>
      <c r="FEW9" s="189" t="s">
        <v>574</v>
      </c>
      <c r="FEX9" s="352" t="s">
        <v>573</v>
      </c>
      <c r="FEY9" s="142" t="s">
        <v>575</v>
      </c>
      <c r="FEZ9" s="358" t="s">
        <v>576</v>
      </c>
      <c r="FFA9" s="189" t="s">
        <v>574</v>
      </c>
      <c r="FFB9" s="352" t="s">
        <v>573</v>
      </c>
      <c r="FFC9" s="142" t="s">
        <v>575</v>
      </c>
      <c r="FFD9" s="358" t="s">
        <v>576</v>
      </c>
      <c r="FFE9" s="189" t="s">
        <v>574</v>
      </c>
      <c r="FFF9" s="352" t="s">
        <v>573</v>
      </c>
      <c r="FFG9" s="142" t="s">
        <v>575</v>
      </c>
      <c r="FFH9" s="358" t="s">
        <v>576</v>
      </c>
      <c r="FFI9" s="189" t="s">
        <v>574</v>
      </c>
      <c r="FFJ9" s="352" t="s">
        <v>573</v>
      </c>
      <c r="FFK9" s="142" t="s">
        <v>575</v>
      </c>
      <c r="FFL9" s="358" t="s">
        <v>576</v>
      </c>
      <c r="FFM9" s="189" t="s">
        <v>574</v>
      </c>
      <c r="FFN9" s="352" t="s">
        <v>573</v>
      </c>
      <c r="FFO9" s="142" t="s">
        <v>575</v>
      </c>
      <c r="FFP9" s="358" t="s">
        <v>576</v>
      </c>
      <c r="FFQ9" s="189" t="s">
        <v>574</v>
      </c>
      <c r="FFR9" s="352" t="s">
        <v>573</v>
      </c>
      <c r="FFS9" s="142" t="s">
        <v>575</v>
      </c>
      <c r="FFT9" s="358" t="s">
        <v>576</v>
      </c>
      <c r="FFU9" s="189" t="s">
        <v>574</v>
      </c>
      <c r="FFV9" s="352" t="s">
        <v>573</v>
      </c>
      <c r="FFW9" s="142" t="s">
        <v>575</v>
      </c>
      <c r="FFX9" s="358" t="s">
        <v>576</v>
      </c>
      <c r="FFY9" s="189" t="s">
        <v>574</v>
      </c>
      <c r="FFZ9" s="352" t="s">
        <v>573</v>
      </c>
      <c r="FGA9" s="142" t="s">
        <v>575</v>
      </c>
      <c r="FGB9" s="358" t="s">
        <v>576</v>
      </c>
      <c r="FGC9" s="189" t="s">
        <v>574</v>
      </c>
      <c r="FGD9" s="352" t="s">
        <v>573</v>
      </c>
      <c r="FGE9" s="142" t="s">
        <v>575</v>
      </c>
      <c r="FGF9" s="358" t="s">
        <v>576</v>
      </c>
      <c r="FGG9" s="189" t="s">
        <v>574</v>
      </c>
      <c r="FGH9" s="352" t="s">
        <v>573</v>
      </c>
      <c r="FGI9" s="142" t="s">
        <v>575</v>
      </c>
      <c r="FGJ9" s="358" t="s">
        <v>576</v>
      </c>
      <c r="FGK9" s="189" t="s">
        <v>574</v>
      </c>
      <c r="FGL9" s="352" t="s">
        <v>573</v>
      </c>
      <c r="FGM9" s="142" t="s">
        <v>575</v>
      </c>
      <c r="FGN9" s="358" t="s">
        <v>576</v>
      </c>
      <c r="FGO9" s="189" t="s">
        <v>574</v>
      </c>
      <c r="FGP9" s="352" t="s">
        <v>573</v>
      </c>
      <c r="FGQ9" s="142" t="s">
        <v>575</v>
      </c>
      <c r="FGR9" s="358" t="s">
        <v>576</v>
      </c>
      <c r="FGS9" s="189" t="s">
        <v>574</v>
      </c>
      <c r="FGT9" s="352" t="s">
        <v>573</v>
      </c>
      <c r="FGU9" s="142" t="s">
        <v>575</v>
      </c>
      <c r="FGV9" s="358" t="s">
        <v>576</v>
      </c>
      <c r="FGW9" s="189" t="s">
        <v>574</v>
      </c>
      <c r="FGX9" s="352" t="s">
        <v>573</v>
      </c>
      <c r="FGY9" s="142" t="s">
        <v>575</v>
      </c>
      <c r="FGZ9" s="358" t="s">
        <v>576</v>
      </c>
      <c r="FHA9" s="189" t="s">
        <v>574</v>
      </c>
      <c r="FHB9" s="352" t="s">
        <v>573</v>
      </c>
      <c r="FHC9" s="142" t="s">
        <v>575</v>
      </c>
      <c r="FHD9" s="358" t="s">
        <v>576</v>
      </c>
      <c r="FHE9" s="189" t="s">
        <v>574</v>
      </c>
      <c r="FHF9" s="352" t="s">
        <v>573</v>
      </c>
      <c r="FHG9" s="142" t="s">
        <v>575</v>
      </c>
      <c r="FHH9" s="358" t="s">
        <v>576</v>
      </c>
      <c r="FHI9" s="189" t="s">
        <v>574</v>
      </c>
      <c r="FHJ9" s="352" t="s">
        <v>573</v>
      </c>
      <c r="FHK9" s="142" t="s">
        <v>575</v>
      </c>
      <c r="FHL9" s="358" t="s">
        <v>576</v>
      </c>
      <c r="FHM9" s="189" t="s">
        <v>574</v>
      </c>
      <c r="FHN9" s="352" t="s">
        <v>573</v>
      </c>
      <c r="FHO9" s="142" t="s">
        <v>575</v>
      </c>
      <c r="FHP9" s="358" t="s">
        <v>576</v>
      </c>
      <c r="FHQ9" s="189" t="s">
        <v>574</v>
      </c>
      <c r="FHR9" s="352" t="s">
        <v>573</v>
      </c>
      <c r="FHS9" s="142" t="s">
        <v>575</v>
      </c>
      <c r="FHT9" s="358" t="s">
        <v>576</v>
      </c>
      <c r="FHU9" s="189" t="s">
        <v>574</v>
      </c>
      <c r="FHV9" s="352" t="s">
        <v>573</v>
      </c>
      <c r="FHW9" s="142" t="s">
        <v>575</v>
      </c>
      <c r="FHX9" s="358" t="s">
        <v>576</v>
      </c>
      <c r="FHY9" s="189" t="s">
        <v>574</v>
      </c>
      <c r="FHZ9" s="352" t="s">
        <v>573</v>
      </c>
      <c r="FIA9" s="142" t="s">
        <v>575</v>
      </c>
      <c r="FIB9" s="358" t="s">
        <v>576</v>
      </c>
      <c r="FIC9" s="189" t="s">
        <v>574</v>
      </c>
      <c r="FID9" s="352" t="s">
        <v>573</v>
      </c>
      <c r="FIE9" s="142" t="s">
        <v>575</v>
      </c>
      <c r="FIF9" s="358" t="s">
        <v>576</v>
      </c>
      <c r="FIG9" s="189" t="s">
        <v>574</v>
      </c>
      <c r="FIH9" s="352" t="s">
        <v>573</v>
      </c>
      <c r="FII9" s="142" t="s">
        <v>575</v>
      </c>
      <c r="FIJ9" s="358" t="s">
        <v>576</v>
      </c>
      <c r="FIK9" s="189" t="s">
        <v>574</v>
      </c>
      <c r="FIL9" s="352" t="s">
        <v>573</v>
      </c>
      <c r="FIM9" s="142" t="s">
        <v>575</v>
      </c>
      <c r="FIN9" s="358" t="s">
        <v>576</v>
      </c>
      <c r="FIO9" s="189" t="s">
        <v>574</v>
      </c>
      <c r="FIP9" s="352" t="s">
        <v>573</v>
      </c>
      <c r="FIQ9" s="142" t="s">
        <v>575</v>
      </c>
      <c r="FIR9" s="358" t="s">
        <v>576</v>
      </c>
      <c r="FIS9" s="189" t="s">
        <v>574</v>
      </c>
      <c r="FIT9" s="352" t="s">
        <v>573</v>
      </c>
      <c r="FIU9" s="142" t="s">
        <v>575</v>
      </c>
      <c r="FIV9" s="358" t="s">
        <v>576</v>
      </c>
      <c r="FIW9" s="189" t="s">
        <v>574</v>
      </c>
      <c r="FIX9" s="352" t="s">
        <v>573</v>
      </c>
      <c r="FIY9" s="142" t="s">
        <v>575</v>
      </c>
      <c r="FIZ9" s="358" t="s">
        <v>576</v>
      </c>
      <c r="FJA9" s="189" t="s">
        <v>574</v>
      </c>
      <c r="FJB9" s="352" t="s">
        <v>573</v>
      </c>
      <c r="FJC9" s="142" t="s">
        <v>575</v>
      </c>
      <c r="FJD9" s="358" t="s">
        <v>576</v>
      </c>
      <c r="FJE9" s="189" t="s">
        <v>574</v>
      </c>
      <c r="FJF9" s="352" t="s">
        <v>573</v>
      </c>
      <c r="FJG9" s="142" t="s">
        <v>575</v>
      </c>
      <c r="FJH9" s="358" t="s">
        <v>576</v>
      </c>
      <c r="FJI9" s="189" t="s">
        <v>574</v>
      </c>
      <c r="FJJ9" s="352" t="s">
        <v>573</v>
      </c>
      <c r="FJK9" s="142" t="s">
        <v>575</v>
      </c>
      <c r="FJL9" s="358" t="s">
        <v>576</v>
      </c>
      <c r="FJM9" s="189" t="s">
        <v>574</v>
      </c>
      <c r="FJN9" s="352" t="s">
        <v>573</v>
      </c>
      <c r="FJO9" s="142" t="s">
        <v>575</v>
      </c>
      <c r="FJP9" s="358" t="s">
        <v>576</v>
      </c>
      <c r="FJQ9" s="189" t="s">
        <v>574</v>
      </c>
      <c r="FJR9" s="352" t="s">
        <v>573</v>
      </c>
      <c r="FJS9" s="142" t="s">
        <v>575</v>
      </c>
      <c r="FJT9" s="358" t="s">
        <v>576</v>
      </c>
      <c r="FJU9" s="189" t="s">
        <v>574</v>
      </c>
      <c r="FJV9" s="352" t="s">
        <v>573</v>
      </c>
      <c r="FJW9" s="142" t="s">
        <v>575</v>
      </c>
      <c r="FJX9" s="358" t="s">
        <v>576</v>
      </c>
      <c r="FJY9" s="189" t="s">
        <v>574</v>
      </c>
      <c r="FJZ9" s="352" t="s">
        <v>573</v>
      </c>
      <c r="FKA9" s="142" t="s">
        <v>575</v>
      </c>
      <c r="FKB9" s="358" t="s">
        <v>576</v>
      </c>
      <c r="FKC9" s="189" t="s">
        <v>574</v>
      </c>
      <c r="FKD9" s="352" t="s">
        <v>573</v>
      </c>
      <c r="FKE9" s="142" t="s">
        <v>575</v>
      </c>
      <c r="FKF9" s="358" t="s">
        <v>576</v>
      </c>
      <c r="FKG9" s="189" t="s">
        <v>574</v>
      </c>
      <c r="FKH9" s="352" t="s">
        <v>573</v>
      </c>
      <c r="FKI9" s="142" t="s">
        <v>575</v>
      </c>
      <c r="FKJ9" s="358" t="s">
        <v>576</v>
      </c>
      <c r="FKK9" s="189" t="s">
        <v>574</v>
      </c>
      <c r="FKL9" s="352" t="s">
        <v>573</v>
      </c>
      <c r="FKM9" s="142" t="s">
        <v>575</v>
      </c>
      <c r="FKN9" s="358" t="s">
        <v>576</v>
      </c>
      <c r="FKO9" s="189" t="s">
        <v>574</v>
      </c>
      <c r="FKP9" s="352" t="s">
        <v>573</v>
      </c>
      <c r="FKQ9" s="142" t="s">
        <v>575</v>
      </c>
      <c r="FKR9" s="358" t="s">
        <v>576</v>
      </c>
      <c r="FKS9" s="189" t="s">
        <v>574</v>
      </c>
      <c r="FKT9" s="352" t="s">
        <v>573</v>
      </c>
      <c r="FKU9" s="142" t="s">
        <v>575</v>
      </c>
      <c r="FKV9" s="358" t="s">
        <v>576</v>
      </c>
      <c r="FKW9" s="189" t="s">
        <v>574</v>
      </c>
      <c r="FKX9" s="352" t="s">
        <v>573</v>
      </c>
      <c r="FKY9" s="142" t="s">
        <v>575</v>
      </c>
      <c r="FKZ9" s="358" t="s">
        <v>576</v>
      </c>
      <c r="FLA9" s="189" t="s">
        <v>574</v>
      </c>
      <c r="FLB9" s="352" t="s">
        <v>573</v>
      </c>
      <c r="FLC9" s="142" t="s">
        <v>575</v>
      </c>
      <c r="FLD9" s="358" t="s">
        <v>576</v>
      </c>
      <c r="FLE9" s="189" t="s">
        <v>574</v>
      </c>
      <c r="FLF9" s="352" t="s">
        <v>573</v>
      </c>
      <c r="FLG9" s="142" t="s">
        <v>575</v>
      </c>
      <c r="FLH9" s="358" t="s">
        <v>576</v>
      </c>
      <c r="FLI9" s="189" t="s">
        <v>574</v>
      </c>
      <c r="FLJ9" s="352" t="s">
        <v>573</v>
      </c>
      <c r="FLK9" s="142" t="s">
        <v>575</v>
      </c>
      <c r="FLL9" s="358" t="s">
        <v>576</v>
      </c>
      <c r="FLM9" s="189" t="s">
        <v>574</v>
      </c>
      <c r="FLN9" s="352" t="s">
        <v>573</v>
      </c>
      <c r="FLO9" s="142" t="s">
        <v>575</v>
      </c>
      <c r="FLP9" s="358" t="s">
        <v>576</v>
      </c>
      <c r="FLQ9" s="189" t="s">
        <v>574</v>
      </c>
      <c r="FLR9" s="352" t="s">
        <v>573</v>
      </c>
      <c r="FLS9" s="142" t="s">
        <v>575</v>
      </c>
      <c r="FLT9" s="358" t="s">
        <v>576</v>
      </c>
      <c r="FLU9" s="189" t="s">
        <v>574</v>
      </c>
      <c r="FLV9" s="352" t="s">
        <v>573</v>
      </c>
      <c r="FLW9" s="142" t="s">
        <v>575</v>
      </c>
      <c r="FLX9" s="358" t="s">
        <v>576</v>
      </c>
      <c r="FLY9" s="189" t="s">
        <v>574</v>
      </c>
      <c r="FLZ9" s="352" t="s">
        <v>573</v>
      </c>
      <c r="FMA9" s="142" t="s">
        <v>575</v>
      </c>
      <c r="FMB9" s="358" t="s">
        <v>576</v>
      </c>
      <c r="FMC9" s="189" t="s">
        <v>574</v>
      </c>
      <c r="FMD9" s="352" t="s">
        <v>573</v>
      </c>
      <c r="FME9" s="142" t="s">
        <v>575</v>
      </c>
      <c r="FMF9" s="358" t="s">
        <v>576</v>
      </c>
      <c r="FMG9" s="189" t="s">
        <v>574</v>
      </c>
      <c r="FMH9" s="352" t="s">
        <v>573</v>
      </c>
      <c r="FMI9" s="142" t="s">
        <v>575</v>
      </c>
      <c r="FMJ9" s="358" t="s">
        <v>576</v>
      </c>
      <c r="FMK9" s="189" t="s">
        <v>574</v>
      </c>
      <c r="FML9" s="352" t="s">
        <v>573</v>
      </c>
      <c r="FMM9" s="142" t="s">
        <v>575</v>
      </c>
      <c r="FMN9" s="358" t="s">
        <v>576</v>
      </c>
      <c r="FMO9" s="189" t="s">
        <v>574</v>
      </c>
      <c r="FMP9" s="352" t="s">
        <v>573</v>
      </c>
      <c r="FMQ9" s="142" t="s">
        <v>575</v>
      </c>
      <c r="FMR9" s="358" t="s">
        <v>576</v>
      </c>
      <c r="FMS9" s="189" t="s">
        <v>574</v>
      </c>
      <c r="FMT9" s="352" t="s">
        <v>573</v>
      </c>
      <c r="FMU9" s="142" t="s">
        <v>575</v>
      </c>
      <c r="FMV9" s="358" t="s">
        <v>576</v>
      </c>
      <c r="FMW9" s="189" t="s">
        <v>574</v>
      </c>
      <c r="FMX9" s="352" t="s">
        <v>573</v>
      </c>
      <c r="FMY9" s="142" t="s">
        <v>575</v>
      </c>
      <c r="FMZ9" s="358" t="s">
        <v>576</v>
      </c>
      <c r="FNA9" s="189" t="s">
        <v>574</v>
      </c>
      <c r="FNB9" s="352" t="s">
        <v>573</v>
      </c>
      <c r="FNC9" s="142" t="s">
        <v>575</v>
      </c>
      <c r="FND9" s="358" t="s">
        <v>576</v>
      </c>
      <c r="FNE9" s="189" t="s">
        <v>574</v>
      </c>
      <c r="FNF9" s="352" t="s">
        <v>573</v>
      </c>
      <c r="FNG9" s="142" t="s">
        <v>575</v>
      </c>
      <c r="FNH9" s="358" t="s">
        <v>576</v>
      </c>
      <c r="FNI9" s="189" t="s">
        <v>574</v>
      </c>
      <c r="FNJ9" s="352" t="s">
        <v>573</v>
      </c>
      <c r="FNK9" s="142" t="s">
        <v>575</v>
      </c>
      <c r="FNL9" s="358" t="s">
        <v>576</v>
      </c>
      <c r="FNM9" s="189" t="s">
        <v>574</v>
      </c>
      <c r="FNN9" s="352" t="s">
        <v>573</v>
      </c>
      <c r="FNO9" s="142" t="s">
        <v>575</v>
      </c>
      <c r="FNP9" s="358" t="s">
        <v>576</v>
      </c>
      <c r="FNQ9" s="189" t="s">
        <v>574</v>
      </c>
      <c r="FNR9" s="352" t="s">
        <v>573</v>
      </c>
      <c r="FNS9" s="142" t="s">
        <v>575</v>
      </c>
      <c r="FNT9" s="358" t="s">
        <v>576</v>
      </c>
      <c r="FNU9" s="189" t="s">
        <v>574</v>
      </c>
      <c r="FNV9" s="352" t="s">
        <v>573</v>
      </c>
      <c r="FNW9" s="142" t="s">
        <v>575</v>
      </c>
      <c r="FNX9" s="358" t="s">
        <v>576</v>
      </c>
      <c r="FNY9" s="189" t="s">
        <v>574</v>
      </c>
      <c r="FNZ9" s="352" t="s">
        <v>573</v>
      </c>
      <c r="FOA9" s="142" t="s">
        <v>575</v>
      </c>
      <c r="FOB9" s="358" t="s">
        <v>576</v>
      </c>
      <c r="FOC9" s="189" t="s">
        <v>574</v>
      </c>
      <c r="FOD9" s="352" t="s">
        <v>573</v>
      </c>
      <c r="FOE9" s="142" t="s">
        <v>575</v>
      </c>
      <c r="FOF9" s="358" t="s">
        <v>576</v>
      </c>
      <c r="FOG9" s="189" t="s">
        <v>574</v>
      </c>
      <c r="FOH9" s="352" t="s">
        <v>573</v>
      </c>
      <c r="FOI9" s="142" t="s">
        <v>575</v>
      </c>
      <c r="FOJ9" s="358" t="s">
        <v>576</v>
      </c>
      <c r="FOK9" s="189" t="s">
        <v>574</v>
      </c>
      <c r="FOL9" s="352" t="s">
        <v>573</v>
      </c>
      <c r="FOM9" s="142" t="s">
        <v>575</v>
      </c>
      <c r="FON9" s="358" t="s">
        <v>576</v>
      </c>
      <c r="FOO9" s="189" t="s">
        <v>574</v>
      </c>
      <c r="FOP9" s="352" t="s">
        <v>573</v>
      </c>
      <c r="FOQ9" s="142" t="s">
        <v>575</v>
      </c>
      <c r="FOR9" s="358" t="s">
        <v>576</v>
      </c>
      <c r="FOS9" s="189" t="s">
        <v>574</v>
      </c>
      <c r="FOT9" s="352" t="s">
        <v>573</v>
      </c>
      <c r="FOU9" s="142" t="s">
        <v>575</v>
      </c>
      <c r="FOV9" s="358" t="s">
        <v>576</v>
      </c>
      <c r="FOW9" s="189" t="s">
        <v>574</v>
      </c>
      <c r="FOX9" s="352" t="s">
        <v>573</v>
      </c>
      <c r="FOY9" s="142" t="s">
        <v>575</v>
      </c>
      <c r="FOZ9" s="358" t="s">
        <v>576</v>
      </c>
      <c r="FPA9" s="189" t="s">
        <v>574</v>
      </c>
      <c r="FPB9" s="352" t="s">
        <v>573</v>
      </c>
      <c r="FPC9" s="142" t="s">
        <v>575</v>
      </c>
      <c r="FPD9" s="358" t="s">
        <v>576</v>
      </c>
      <c r="FPE9" s="189" t="s">
        <v>574</v>
      </c>
      <c r="FPF9" s="352" t="s">
        <v>573</v>
      </c>
      <c r="FPG9" s="142" t="s">
        <v>575</v>
      </c>
      <c r="FPH9" s="358" t="s">
        <v>576</v>
      </c>
      <c r="FPI9" s="189" t="s">
        <v>574</v>
      </c>
      <c r="FPJ9" s="352" t="s">
        <v>573</v>
      </c>
      <c r="FPK9" s="142" t="s">
        <v>575</v>
      </c>
      <c r="FPL9" s="358" t="s">
        <v>576</v>
      </c>
      <c r="FPM9" s="189" t="s">
        <v>574</v>
      </c>
      <c r="FPN9" s="352" t="s">
        <v>573</v>
      </c>
      <c r="FPO9" s="142" t="s">
        <v>575</v>
      </c>
      <c r="FPP9" s="358" t="s">
        <v>576</v>
      </c>
      <c r="FPQ9" s="189" t="s">
        <v>574</v>
      </c>
      <c r="FPR9" s="352" t="s">
        <v>573</v>
      </c>
      <c r="FPS9" s="142" t="s">
        <v>575</v>
      </c>
      <c r="FPT9" s="358" t="s">
        <v>576</v>
      </c>
      <c r="FPU9" s="189" t="s">
        <v>574</v>
      </c>
      <c r="FPV9" s="352" t="s">
        <v>573</v>
      </c>
      <c r="FPW9" s="142" t="s">
        <v>575</v>
      </c>
      <c r="FPX9" s="358" t="s">
        <v>576</v>
      </c>
      <c r="FPY9" s="189" t="s">
        <v>574</v>
      </c>
      <c r="FPZ9" s="352" t="s">
        <v>573</v>
      </c>
      <c r="FQA9" s="142" t="s">
        <v>575</v>
      </c>
      <c r="FQB9" s="358" t="s">
        <v>576</v>
      </c>
      <c r="FQC9" s="189" t="s">
        <v>574</v>
      </c>
      <c r="FQD9" s="352" t="s">
        <v>573</v>
      </c>
      <c r="FQE9" s="142" t="s">
        <v>575</v>
      </c>
      <c r="FQF9" s="358" t="s">
        <v>576</v>
      </c>
      <c r="FQG9" s="189" t="s">
        <v>574</v>
      </c>
      <c r="FQH9" s="352" t="s">
        <v>573</v>
      </c>
      <c r="FQI9" s="142" t="s">
        <v>575</v>
      </c>
      <c r="FQJ9" s="358" t="s">
        <v>576</v>
      </c>
      <c r="FQK9" s="189" t="s">
        <v>574</v>
      </c>
      <c r="FQL9" s="352" t="s">
        <v>573</v>
      </c>
      <c r="FQM9" s="142" t="s">
        <v>575</v>
      </c>
      <c r="FQN9" s="358" t="s">
        <v>576</v>
      </c>
      <c r="FQO9" s="189" t="s">
        <v>574</v>
      </c>
      <c r="FQP9" s="352" t="s">
        <v>573</v>
      </c>
      <c r="FQQ9" s="142" t="s">
        <v>575</v>
      </c>
      <c r="FQR9" s="358" t="s">
        <v>576</v>
      </c>
      <c r="FQS9" s="189" t="s">
        <v>574</v>
      </c>
      <c r="FQT9" s="352" t="s">
        <v>573</v>
      </c>
      <c r="FQU9" s="142" t="s">
        <v>575</v>
      </c>
      <c r="FQV9" s="358" t="s">
        <v>576</v>
      </c>
      <c r="FQW9" s="189" t="s">
        <v>574</v>
      </c>
      <c r="FQX9" s="352" t="s">
        <v>573</v>
      </c>
      <c r="FQY9" s="142" t="s">
        <v>575</v>
      </c>
      <c r="FQZ9" s="358" t="s">
        <v>576</v>
      </c>
      <c r="FRA9" s="189" t="s">
        <v>574</v>
      </c>
      <c r="FRB9" s="352" t="s">
        <v>573</v>
      </c>
      <c r="FRC9" s="142" t="s">
        <v>575</v>
      </c>
      <c r="FRD9" s="358" t="s">
        <v>576</v>
      </c>
      <c r="FRE9" s="189" t="s">
        <v>574</v>
      </c>
      <c r="FRF9" s="352" t="s">
        <v>573</v>
      </c>
      <c r="FRG9" s="142" t="s">
        <v>575</v>
      </c>
      <c r="FRH9" s="358" t="s">
        <v>576</v>
      </c>
      <c r="FRI9" s="189" t="s">
        <v>574</v>
      </c>
      <c r="FRJ9" s="352" t="s">
        <v>573</v>
      </c>
      <c r="FRK9" s="142" t="s">
        <v>575</v>
      </c>
      <c r="FRL9" s="358" t="s">
        <v>576</v>
      </c>
      <c r="FRM9" s="189" t="s">
        <v>574</v>
      </c>
      <c r="FRN9" s="352" t="s">
        <v>573</v>
      </c>
      <c r="FRO9" s="142" t="s">
        <v>575</v>
      </c>
      <c r="FRP9" s="358" t="s">
        <v>576</v>
      </c>
      <c r="FRQ9" s="189" t="s">
        <v>574</v>
      </c>
      <c r="FRR9" s="352" t="s">
        <v>573</v>
      </c>
      <c r="FRS9" s="142" t="s">
        <v>575</v>
      </c>
      <c r="FRT9" s="358" t="s">
        <v>576</v>
      </c>
      <c r="FRU9" s="189" t="s">
        <v>574</v>
      </c>
      <c r="FRV9" s="352" t="s">
        <v>573</v>
      </c>
      <c r="FRW9" s="142" t="s">
        <v>575</v>
      </c>
      <c r="FRX9" s="358" t="s">
        <v>576</v>
      </c>
      <c r="FRY9" s="189" t="s">
        <v>574</v>
      </c>
      <c r="FRZ9" s="352" t="s">
        <v>573</v>
      </c>
      <c r="FSA9" s="142" t="s">
        <v>575</v>
      </c>
      <c r="FSB9" s="358" t="s">
        <v>576</v>
      </c>
      <c r="FSC9" s="189" t="s">
        <v>574</v>
      </c>
      <c r="FSD9" s="352" t="s">
        <v>573</v>
      </c>
      <c r="FSE9" s="142" t="s">
        <v>575</v>
      </c>
      <c r="FSF9" s="358" t="s">
        <v>576</v>
      </c>
      <c r="FSG9" s="189" t="s">
        <v>574</v>
      </c>
      <c r="FSH9" s="352" t="s">
        <v>573</v>
      </c>
      <c r="FSI9" s="142" t="s">
        <v>575</v>
      </c>
      <c r="FSJ9" s="358" t="s">
        <v>576</v>
      </c>
      <c r="FSK9" s="189" t="s">
        <v>574</v>
      </c>
      <c r="FSL9" s="352" t="s">
        <v>573</v>
      </c>
      <c r="FSM9" s="142" t="s">
        <v>575</v>
      </c>
      <c r="FSN9" s="358" t="s">
        <v>576</v>
      </c>
      <c r="FSO9" s="189" t="s">
        <v>574</v>
      </c>
      <c r="FSP9" s="352" t="s">
        <v>573</v>
      </c>
      <c r="FSQ9" s="142" t="s">
        <v>575</v>
      </c>
      <c r="FSR9" s="358" t="s">
        <v>576</v>
      </c>
      <c r="FSS9" s="189" t="s">
        <v>574</v>
      </c>
      <c r="FST9" s="352" t="s">
        <v>573</v>
      </c>
      <c r="FSU9" s="142" t="s">
        <v>575</v>
      </c>
      <c r="FSV9" s="358" t="s">
        <v>576</v>
      </c>
      <c r="FSW9" s="189" t="s">
        <v>574</v>
      </c>
      <c r="FSX9" s="352" t="s">
        <v>573</v>
      </c>
      <c r="FSY9" s="142" t="s">
        <v>575</v>
      </c>
      <c r="FSZ9" s="358" t="s">
        <v>576</v>
      </c>
      <c r="FTA9" s="189" t="s">
        <v>574</v>
      </c>
      <c r="FTB9" s="352" t="s">
        <v>573</v>
      </c>
      <c r="FTC9" s="142" t="s">
        <v>575</v>
      </c>
      <c r="FTD9" s="358" t="s">
        <v>576</v>
      </c>
      <c r="FTE9" s="189" t="s">
        <v>574</v>
      </c>
      <c r="FTF9" s="352" t="s">
        <v>573</v>
      </c>
      <c r="FTG9" s="142" t="s">
        <v>575</v>
      </c>
      <c r="FTH9" s="358" t="s">
        <v>576</v>
      </c>
      <c r="FTI9" s="189" t="s">
        <v>574</v>
      </c>
      <c r="FTJ9" s="352" t="s">
        <v>573</v>
      </c>
      <c r="FTK9" s="142" t="s">
        <v>575</v>
      </c>
      <c r="FTL9" s="358" t="s">
        <v>576</v>
      </c>
      <c r="FTM9" s="189" t="s">
        <v>574</v>
      </c>
      <c r="FTN9" s="352" t="s">
        <v>573</v>
      </c>
      <c r="FTO9" s="142" t="s">
        <v>575</v>
      </c>
      <c r="FTP9" s="358" t="s">
        <v>576</v>
      </c>
      <c r="FTQ9" s="189" t="s">
        <v>574</v>
      </c>
      <c r="FTR9" s="352" t="s">
        <v>573</v>
      </c>
      <c r="FTS9" s="142" t="s">
        <v>575</v>
      </c>
      <c r="FTT9" s="358" t="s">
        <v>576</v>
      </c>
      <c r="FTU9" s="189" t="s">
        <v>574</v>
      </c>
      <c r="FTV9" s="352" t="s">
        <v>573</v>
      </c>
      <c r="FTW9" s="142" t="s">
        <v>575</v>
      </c>
      <c r="FTX9" s="358" t="s">
        <v>576</v>
      </c>
      <c r="FTY9" s="189" t="s">
        <v>574</v>
      </c>
      <c r="FTZ9" s="352" t="s">
        <v>573</v>
      </c>
      <c r="FUA9" s="142" t="s">
        <v>575</v>
      </c>
      <c r="FUB9" s="358" t="s">
        <v>576</v>
      </c>
      <c r="FUC9" s="189" t="s">
        <v>574</v>
      </c>
      <c r="FUD9" s="352" t="s">
        <v>573</v>
      </c>
      <c r="FUE9" s="142" t="s">
        <v>575</v>
      </c>
      <c r="FUF9" s="358" t="s">
        <v>576</v>
      </c>
      <c r="FUG9" s="189" t="s">
        <v>574</v>
      </c>
      <c r="FUH9" s="352" t="s">
        <v>573</v>
      </c>
      <c r="FUI9" s="142" t="s">
        <v>575</v>
      </c>
      <c r="FUJ9" s="358" t="s">
        <v>576</v>
      </c>
      <c r="FUK9" s="189" t="s">
        <v>574</v>
      </c>
      <c r="FUL9" s="352" t="s">
        <v>573</v>
      </c>
      <c r="FUM9" s="142" t="s">
        <v>575</v>
      </c>
      <c r="FUN9" s="358" t="s">
        <v>576</v>
      </c>
      <c r="FUO9" s="189" t="s">
        <v>574</v>
      </c>
      <c r="FUP9" s="352" t="s">
        <v>573</v>
      </c>
      <c r="FUQ9" s="142" t="s">
        <v>575</v>
      </c>
      <c r="FUR9" s="358" t="s">
        <v>576</v>
      </c>
      <c r="FUS9" s="189" t="s">
        <v>574</v>
      </c>
      <c r="FUT9" s="352" t="s">
        <v>573</v>
      </c>
      <c r="FUU9" s="142" t="s">
        <v>575</v>
      </c>
      <c r="FUV9" s="358" t="s">
        <v>576</v>
      </c>
      <c r="FUW9" s="189" t="s">
        <v>574</v>
      </c>
      <c r="FUX9" s="352" t="s">
        <v>573</v>
      </c>
      <c r="FUY9" s="142" t="s">
        <v>575</v>
      </c>
      <c r="FUZ9" s="358" t="s">
        <v>576</v>
      </c>
      <c r="FVA9" s="189" t="s">
        <v>574</v>
      </c>
      <c r="FVB9" s="352" t="s">
        <v>573</v>
      </c>
      <c r="FVC9" s="142" t="s">
        <v>575</v>
      </c>
      <c r="FVD9" s="358" t="s">
        <v>576</v>
      </c>
      <c r="FVE9" s="189" t="s">
        <v>574</v>
      </c>
      <c r="FVF9" s="352" t="s">
        <v>573</v>
      </c>
      <c r="FVG9" s="142" t="s">
        <v>575</v>
      </c>
      <c r="FVH9" s="358" t="s">
        <v>576</v>
      </c>
      <c r="FVI9" s="189" t="s">
        <v>574</v>
      </c>
      <c r="FVJ9" s="352" t="s">
        <v>573</v>
      </c>
      <c r="FVK9" s="142" t="s">
        <v>575</v>
      </c>
      <c r="FVL9" s="358" t="s">
        <v>576</v>
      </c>
      <c r="FVM9" s="189" t="s">
        <v>574</v>
      </c>
      <c r="FVN9" s="352" t="s">
        <v>573</v>
      </c>
      <c r="FVO9" s="142" t="s">
        <v>575</v>
      </c>
      <c r="FVP9" s="358" t="s">
        <v>576</v>
      </c>
      <c r="FVQ9" s="189" t="s">
        <v>574</v>
      </c>
      <c r="FVR9" s="352" t="s">
        <v>573</v>
      </c>
      <c r="FVS9" s="142" t="s">
        <v>575</v>
      </c>
      <c r="FVT9" s="358" t="s">
        <v>576</v>
      </c>
      <c r="FVU9" s="189" t="s">
        <v>574</v>
      </c>
      <c r="FVV9" s="352" t="s">
        <v>573</v>
      </c>
      <c r="FVW9" s="142" t="s">
        <v>575</v>
      </c>
      <c r="FVX9" s="358" t="s">
        <v>576</v>
      </c>
      <c r="FVY9" s="189" t="s">
        <v>574</v>
      </c>
      <c r="FVZ9" s="352" t="s">
        <v>573</v>
      </c>
      <c r="FWA9" s="142" t="s">
        <v>575</v>
      </c>
      <c r="FWB9" s="358" t="s">
        <v>576</v>
      </c>
      <c r="FWC9" s="189" t="s">
        <v>574</v>
      </c>
      <c r="FWD9" s="352" t="s">
        <v>573</v>
      </c>
      <c r="FWE9" s="142" t="s">
        <v>575</v>
      </c>
      <c r="FWF9" s="358" t="s">
        <v>576</v>
      </c>
      <c r="FWG9" s="189" t="s">
        <v>574</v>
      </c>
      <c r="FWH9" s="352" t="s">
        <v>573</v>
      </c>
      <c r="FWI9" s="142" t="s">
        <v>575</v>
      </c>
      <c r="FWJ9" s="358" t="s">
        <v>576</v>
      </c>
      <c r="FWK9" s="189" t="s">
        <v>574</v>
      </c>
      <c r="FWL9" s="352" t="s">
        <v>573</v>
      </c>
      <c r="FWM9" s="142" t="s">
        <v>575</v>
      </c>
      <c r="FWN9" s="358" t="s">
        <v>576</v>
      </c>
      <c r="FWO9" s="189" t="s">
        <v>574</v>
      </c>
      <c r="FWP9" s="352" t="s">
        <v>573</v>
      </c>
      <c r="FWQ9" s="142" t="s">
        <v>575</v>
      </c>
      <c r="FWR9" s="358" t="s">
        <v>576</v>
      </c>
      <c r="FWS9" s="189" t="s">
        <v>574</v>
      </c>
      <c r="FWT9" s="352" t="s">
        <v>573</v>
      </c>
      <c r="FWU9" s="142" t="s">
        <v>575</v>
      </c>
      <c r="FWV9" s="358" t="s">
        <v>576</v>
      </c>
      <c r="FWW9" s="189" t="s">
        <v>574</v>
      </c>
      <c r="FWX9" s="352" t="s">
        <v>573</v>
      </c>
      <c r="FWY9" s="142" t="s">
        <v>575</v>
      </c>
      <c r="FWZ9" s="358" t="s">
        <v>576</v>
      </c>
      <c r="FXA9" s="189" t="s">
        <v>574</v>
      </c>
      <c r="FXB9" s="352" t="s">
        <v>573</v>
      </c>
      <c r="FXC9" s="142" t="s">
        <v>575</v>
      </c>
      <c r="FXD9" s="358" t="s">
        <v>576</v>
      </c>
      <c r="FXE9" s="189" t="s">
        <v>574</v>
      </c>
      <c r="FXF9" s="352" t="s">
        <v>573</v>
      </c>
      <c r="FXG9" s="142" t="s">
        <v>575</v>
      </c>
      <c r="FXH9" s="358" t="s">
        <v>576</v>
      </c>
      <c r="FXI9" s="189" t="s">
        <v>574</v>
      </c>
      <c r="FXJ9" s="352" t="s">
        <v>573</v>
      </c>
      <c r="FXK9" s="142" t="s">
        <v>575</v>
      </c>
      <c r="FXL9" s="358" t="s">
        <v>576</v>
      </c>
      <c r="FXM9" s="189" t="s">
        <v>574</v>
      </c>
      <c r="FXN9" s="352" t="s">
        <v>573</v>
      </c>
      <c r="FXO9" s="142" t="s">
        <v>575</v>
      </c>
      <c r="FXP9" s="358" t="s">
        <v>576</v>
      </c>
      <c r="FXQ9" s="189" t="s">
        <v>574</v>
      </c>
      <c r="FXR9" s="352" t="s">
        <v>573</v>
      </c>
      <c r="FXS9" s="142" t="s">
        <v>575</v>
      </c>
      <c r="FXT9" s="358" t="s">
        <v>576</v>
      </c>
      <c r="FXU9" s="189" t="s">
        <v>574</v>
      </c>
      <c r="FXV9" s="352" t="s">
        <v>573</v>
      </c>
      <c r="FXW9" s="142" t="s">
        <v>575</v>
      </c>
      <c r="FXX9" s="358" t="s">
        <v>576</v>
      </c>
      <c r="FXY9" s="189" t="s">
        <v>574</v>
      </c>
      <c r="FXZ9" s="352" t="s">
        <v>573</v>
      </c>
      <c r="FYA9" s="142" t="s">
        <v>575</v>
      </c>
      <c r="FYB9" s="358" t="s">
        <v>576</v>
      </c>
      <c r="FYC9" s="189" t="s">
        <v>574</v>
      </c>
      <c r="FYD9" s="352" t="s">
        <v>573</v>
      </c>
      <c r="FYE9" s="142" t="s">
        <v>575</v>
      </c>
      <c r="FYF9" s="358" t="s">
        <v>576</v>
      </c>
      <c r="FYG9" s="189" t="s">
        <v>574</v>
      </c>
      <c r="FYH9" s="352" t="s">
        <v>573</v>
      </c>
      <c r="FYI9" s="142" t="s">
        <v>575</v>
      </c>
      <c r="FYJ9" s="358" t="s">
        <v>576</v>
      </c>
      <c r="FYK9" s="189" t="s">
        <v>574</v>
      </c>
      <c r="FYL9" s="352" t="s">
        <v>573</v>
      </c>
      <c r="FYM9" s="142" t="s">
        <v>575</v>
      </c>
      <c r="FYN9" s="358" t="s">
        <v>576</v>
      </c>
      <c r="FYO9" s="189" t="s">
        <v>574</v>
      </c>
      <c r="FYP9" s="352" t="s">
        <v>573</v>
      </c>
      <c r="FYQ9" s="142" t="s">
        <v>575</v>
      </c>
      <c r="FYR9" s="358" t="s">
        <v>576</v>
      </c>
      <c r="FYS9" s="189" t="s">
        <v>574</v>
      </c>
      <c r="FYT9" s="352" t="s">
        <v>573</v>
      </c>
      <c r="FYU9" s="142" t="s">
        <v>575</v>
      </c>
      <c r="FYV9" s="358" t="s">
        <v>576</v>
      </c>
      <c r="FYW9" s="189" t="s">
        <v>574</v>
      </c>
      <c r="FYX9" s="352" t="s">
        <v>573</v>
      </c>
      <c r="FYY9" s="142" t="s">
        <v>575</v>
      </c>
      <c r="FYZ9" s="358" t="s">
        <v>576</v>
      </c>
      <c r="FZA9" s="189" t="s">
        <v>574</v>
      </c>
      <c r="FZB9" s="352" t="s">
        <v>573</v>
      </c>
      <c r="FZC9" s="142" t="s">
        <v>575</v>
      </c>
      <c r="FZD9" s="358" t="s">
        <v>576</v>
      </c>
      <c r="FZE9" s="189" t="s">
        <v>574</v>
      </c>
      <c r="FZF9" s="352" t="s">
        <v>573</v>
      </c>
      <c r="FZG9" s="142" t="s">
        <v>575</v>
      </c>
      <c r="FZH9" s="358" t="s">
        <v>576</v>
      </c>
      <c r="FZI9" s="189" t="s">
        <v>574</v>
      </c>
      <c r="FZJ9" s="352" t="s">
        <v>573</v>
      </c>
      <c r="FZK9" s="142" t="s">
        <v>575</v>
      </c>
      <c r="FZL9" s="358" t="s">
        <v>576</v>
      </c>
      <c r="FZM9" s="189" t="s">
        <v>574</v>
      </c>
      <c r="FZN9" s="352" t="s">
        <v>573</v>
      </c>
      <c r="FZO9" s="142" t="s">
        <v>575</v>
      </c>
      <c r="FZP9" s="358" t="s">
        <v>576</v>
      </c>
      <c r="FZQ9" s="189" t="s">
        <v>574</v>
      </c>
      <c r="FZR9" s="352" t="s">
        <v>573</v>
      </c>
      <c r="FZS9" s="142" t="s">
        <v>575</v>
      </c>
      <c r="FZT9" s="358" t="s">
        <v>576</v>
      </c>
      <c r="FZU9" s="189" t="s">
        <v>574</v>
      </c>
      <c r="FZV9" s="352" t="s">
        <v>573</v>
      </c>
      <c r="FZW9" s="142" t="s">
        <v>575</v>
      </c>
      <c r="FZX9" s="358" t="s">
        <v>576</v>
      </c>
      <c r="FZY9" s="189" t="s">
        <v>574</v>
      </c>
      <c r="FZZ9" s="352" t="s">
        <v>573</v>
      </c>
      <c r="GAA9" s="142" t="s">
        <v>575</v>
      </c>
      <c r="GAB9" s="358" t="s">
        <v>576</v>
      </c>
      <c r="GAC9" s="189" t="s">
        <v>574</v>
      </c>
      <c r="GAD9" s="352" t="s">
        <v>573</v>
      </c>
      <c r="GAE9" s="142" t="s">
        <v>575</v>
      </c>
      <c r="GAF9" s="358" t="s">
        <v>576</v>
      </c>
      <c r="GAG9" s="189" t="s">
        <v>574</v>
      </c>
      <c r="GAH9" s="352" t="s">
        <v>573</v>
      </c>
      <c r="GAI9" s="142" t="s">
        <v>575</v>
      </c>
      <c r="GAJ9" s="358" t="s">
        <v>576</v>
      </c>
      <c r="GAK9" s="189" t="s">
        <v>574</v>
      </c>
      <c r="GAL9" s="352" t="s">
        <v>573</v>
      </c>
      <c r="GAM9" s="142" t="s">
        <v>575</v>
      </c>
      <c r="GAN9" s="358" t="s">
        <v>576</v>
      </c>
      <c r="GAO9" s="189" t="s">
        <v>574</v>
      </c>
      <c r="GAP9" s="352" t="s">
        <v>573</v>
      </c>
      <c r="GAQ9" s="142" t="s">
        <v>575</v>
      </c>
      <c r="GAR9" s="358" t="s">
        <v>576</v>
      </c>
      <c r="GAS9" s="189" t="s">
        <v>574</v>
      </c>
      <c r="GAT9" s="352" t="s">
        <v>573</v>
      </c>
      <c r="GAU9" s="142" t="s">
        <v>575</v>
      </c>
      <c r="GAV9" s="358" t="s">
        <v>576</v>
      </c>
      <c r="GAW9" s="189" t="s">
        <v>574</v>
      </c>
      <c r="GAX9" s="352" t="s">
        <v>573</v>
      </c>
      <c r="GAY9" s="142" t="s">
        <v>575</v>
      </c>
      <c r="GAZ9" s="358" t="s">
        <v>576</v>
      </c>
      <c r="GBA9" s="189" t="s">
        <v>574</v>
      </c>
      <c r="GBB9" s="352" t="s">
        <v>573</v>
      </c>
      <c r="GBC9" s="142" t="s">
        <v>575</v>
      </c>
      <c r="GBD9" s="358" t="s">
        <v>576</v>
      </c>
      <c r="GBE9" s="189" t="s">
        <v>574</v>
      </c>
      <c r="GBF9" s="352" t="s">
        <v>573</v>
      </c>
      <c r="GBG9" s="142" t="s">
        <v>575</v>
      </c>
      <c r="GBH9" s="358" t="s">
        <v>576</v>
      </c>
      <c r="GBI9" s="189" t="s">
        <v>574</v>
      </c>
      <c r="GBJ9" s="352" t="s">
        <v>573</v>
      </c>
      <c r="GBK9" s="142" t="s">
        <v>575</v>
      </c>
      <c r="GBL9" s="358" t="s">
        <v>576</v>
      </c>
      <c r="GBM9" s="189" t="s">
        <v>574</v>
      </c>
      <c r="GBN9" s="352" t="s">
        <v>573</v>
      </c>
      <c r="GBO9" s="142" t="s">
        <v>575</v>
      </c>
      <c r="GBP9" s="358" t="s">
        <v>576</v>
      </c>
      <c r="GBQ9" s="189" t="s">
        <v>574</v>
      </c>
      <c r="GBR9" s="352" t="s">
        <v>573</v>
      </c>
      <c r="GBS9" s="142" t="s">
        <v>575</v>
      </c>
      <c r="GBT9" s="358" t="s">
        <v>576</v>
      </c>
      <c r="GBU9" s="189" t="s">
        <v>574</v>
      </c>
      <c r="GBV9" s="352" t="s">
        <v>573</v>
      </c>
      <c r="GBW9" s="142" t="s">
        <v>575</v>
      </c>
      <c r="GBX9" s="358" t="s">
        <v>576</v>
      </c>
      <c r="GBY9" s="189" t="s">
        <v>574</v>
      </c>
      <c r="GBZ9" s="352" t="s">
        <v>573</v>
      </c>
      <c r="GCA9" s="142" t="s">
        <v>575</v>
      </c>
      <c r="GCB9" s="358" t="s">
        <v>576</v>
      </c>
      <c r="GCC9" s="189" t="s">
        <v>574</v>
      </c>
      <c r="GCD9" s="352" t="s">
        <v>573</v>
      </c>
      <c r="GCE9" s="142" t="s">
        <v>575</v>
      </c>
      <c r="GCF9" s="358" t="s">
        <v>576</v>
      </c>
      <c r="GCG9" s="189" t="s">
        <v>574</v>
      </c>
      <c r="GCH9" s="352" t="s">
        <v>573</v>
      </c>
      <c r="GCI9" s="142" t="s">
        <v>575</v>
      </c>
      <c r="GCJ9" s="358" t="s">
        <v>576</v>
      </c>
      <c r="GCK9" s="189" t="s">
        <v>574</v>
      </c>
      <c r="GCL9" s="352" t="s">
        <v>573</v>
      </c>
      <c r="GCM9" s="142" t="s">
        <v>575</v>
      </c>
      <c r="GCN9" s="358" t="s">
        <v>576</v>
      </c>
      <c r="GCO9" s="189" t="s">
        <v>574</v>
      </c>
      <c r="GCP9" s="352" t="s">
        <v>573</v>
      </c>
      <c r="GCQ9" s="142" t="s">
        <v>575</v>
      </c>
      <c r="GCR9" s="358" t="s">
        <v>576</v>
      </c>
      <c r="GCS9" s="189" t="s">
        <v>574</v>
      </c>
      <c r="GCT9" s="352" t="s">
        <v>573</v>
      </c>
      <c r="GCU9" s="142" t="s">
        <v>575</v>
      </c>
      <c r="GCV9" s="358" t="s">
        <v>576</v>
      </c>
      <c r="GCW9" s="189" t="s">
        <v>574</v>
      </c>
      <c r="GCX9" s="352" t="s">
        <v>573</v>
      </c>
      <c r="GCY9" s="142" t="s">
        <v>575</v>
      </c>
      <c r="GCZ9" s="358" t="s">
        <v>576</v>
      </c>
      <c r="GDA9" s="189" t="s">
        <v>574</v>
      </c>
      <c r="GDB9" s="352" t="s">
        <v>573</v>
      </c>
      <c r="GDC9" s="142" t="s">
        <v>575</v>
      </c>
      <c r="GDD9" s="358" t="s">
        <v>576</v>
      </c>
      <c r="GDE9" s="189" t="s">
        <v>574</v>
      </c>
      <c r="GDF9" s="352" t="s">
        <v>573</v>
      </c>
      <c r="GDG9" s="142" t="s">
        <v>575</v>
      </c>
      <c r="GDH9" s="358" t="s">
        <v>576</v>
      </c>
      <c r="GDI9" s="189" t="s">
        <v>574</v>
      </c>
      <c r="GDJ9" s="352" t="s">
        <v>573</v>
      </c>
      <c r="GDK9" s="142" t="s">
        <v>575</v>
      </c>
      <c r="GDL9" s="358" t="s">
        <v>576</v>
      </c>
      <c r="GDM9" s="189" t="s">
        <v>574</v>
      </c>
      <c r="GDN9" s="352" t="s">
        <v>573</v>
      </c>
      <c r="GDO9" s="142" t="s">
        <v>575</v>
      </c>
      <c r="GDP9" s="358" t="s">
        <v>576</v>
      </c>
      <c r="GDQ9" s="189" t="s">
        <v>574</v>
      </c>
      <c r="GDR9" s="352" t="s">
        <v>573</v>
      </c>
      <c r="GDS9" s="142" t="s">
        <v>575</v>
      </c>
      <c r="GDT9" s="358" t="s">
        <v>576</v>
      </c>
      <c r="GDU9" s="189" t="s">
        <v>574</v>
      </c>
      <c r="GDV9" s="352" t="s">
        <v>573</v>
      </c>
      <c r="GDW9" s="142" t="s">
        <v>575</v>
      </c>
      <c r="GDX9" s="358" t="s">
        <v>576</v>
      </c>
      <c r="GDY9" s="189" t="s">
        <v>574</v>
      </c>
      <c r="GDZ9" s="352" t="s">
        <v>573</v>
      </c>
      <c r="GEA9" s="142" t="s">
        <v>575</v>
      </c>
      <c r="GEB9" s="358" t="s">
        <v>576</v>
      </c>
      <c r="GEC9" s="189" t="s">
        <v>574</v>
      </c>
      <c r="GED9" s="352" t="s">
        <v>573</v>
      </c>
      <c r="GEE9" s="142" t="s">
        <v>575</v>
      </c>
      <c r="GEF9" s="358" t="s">
        <v>576</v>
      </c>
      <c r="GEG9" s="189" t="s">
        <v>574</v>
      </c>
      <c r="GEH9" s="352" t="s">
        <v>573</v>
      </c>
      <c r="GEI9" s="142" t="s">
        <v>575</v>
      </c>
      <c r="GEJ9" s="358" t="s">
        <v>576</v>
      </c>
      <c r="GEK9" s="189" t="s">
        <v>574</v>
      </c>
      <c r="GEL9" s="352" t="s">
        <v>573</v>
      </c>
      <c r="GEM9" s="142" t="s">
        <v>575</v>
      </c>
      <c r="GEN9" s="358" t="s">
        <v>576</v>
      </c>
      <c r="GEO9" s="189" t="s">
        <v>574</v>
      </c>
      <c r="GEP9" s="352" t="s">
        <v>573</v>
      </c>
      <c r="GEQ9" s="142" t="s">
        <v>575</v>
      </c>
      <c r="GER9" s="358" t="s">
        <v>576</v>
      </c>
      <c r="GES9" s="189" t="s">
        <v>574</v>
      </c>
      <c r="GET9" s="352" t="s">
        <v>573</v>
      </c>
      <c r="GEU9" s="142" t="s">
        <v>575</v>
      </c>
      <c r="GEV9" s="358" t="s">
        <v>576</v>
      </c>
      <c r="GEW9" s="189" t="s">
        <v>574</v>
      </c>
      <c r="GEX9" s="352" t="s">
        <v>573</v>
      </c>
      <c r="GEY9" s="142" t="s">
        <v>575</v>
      </c>
      <c r="GEZ9" s="358" t="s">
        <v>576</v>
      </c>
      <c r="GFA9" s="189" t="s">
        <v>574</v>
      </c>
      <c r="GFB9" s="352" t="s">
        <v>573</v>
      </c>
      <c r="GFC9" s="142" t="s">
        <v>575</v>
      </c>
      <c r="GFD9" s="358" t="s">
        <v>576</v>
      </c>
      <c r="GFE9" s="189" t="s">
        <v>574</v>
      </c>
      <c r="GFF9" s="352" t="s">
        <v>573</v>
      </c>
      <c r="GFG9" s="142" t="s">
        <v>575</v>
      </c>
      <c r="GFH9" s="358" t="s">
        <v>576</v>
      </c>
      <c r="GFI9" s="189" t="s">
        <v>574</v>
      </c>
      <c r="GFJ9" s="352" t="s">
        <v>573</v>
      </c>
      <c r="GFK9" s="142" t="s">
        <v>575</v>
      </c>
      <c r="GFL9" s="358" t="s">
        <v>576</v>
      </c>
      <c r="GFM9" s="189" t="s">
        <v>574</v>
      </c>
      <c r="GFN9" s="352" t="s">
        <v>573</v>
      </c>
      <c r="GFO9" s="142" t="s">
        <v>575</v>
      </c>
      <c r="GFP9" s="358" t="s">
        <v>576</v>
      </c>
      <c r="GFQ9" s="189" t="s">
        <v>574</v>
      </c>
      <c r="GFR9" s="352" t="s">
        <v>573</v>
      </c>
      <c r="GFS9" s="142" t="s">
        <v>575</v>
      </c>
      <c r="GFT9" s="358" t="s">
        <v>576</v>
      </c>
      <c r="GFU9" s="189" t="s">
        <v>574</v>
      </c>
      <c r="GFV9" s="352" t="s">
        <v>573</v>
      </c>
      <c r="GFW9" s="142" t="s">
        <v>575</v>
      </c>
      <c r="GFX9" s="358" t="s">
        <v>576</v>
      </c>
      <c r="GFY9" s="189" t="s">
        <v>574</v>
      </c>
      <c r="GFZ9" s="352" t="s">
        <v>573</v>
      </c>
      <c r="GGA9" s="142" t="s">
        <v>575</v>
      </c>
      <c r="GGB9" s="358" t="s">
        <v>576</v>
      </c>
      <c r="GGC9" s="189" t="s">
        <v>574</v>
      </c>
      <c r="GGD9" s="352" t="s">
        <v>573</v>
      </c>
      <c r="GGE9" s="142" t="s">
        <v>575</v>
      </c>
      <c r="GGF9" s="358" t="s">
        <v>576</v>
      </c>
      <c r="GGG9" s="189" t="s">
        <v>574</v>
      </c>
      <c r="GGH9" s="352" t="s">
        <v>573</v>
      </c>
      <c r="GGI9" s="142" t="s">
        <v>575</v>
      </c>
      <c r="GGJ9" s="358" t="s">
        <v>576</v>
      </c>
      <c r="GGK9" s="189" t="s">
        <v>574</v>
      </c>
      <c r="GGL9" s="352" t="s">
        <v>573</v>
      </c>
      <c r="GGM9" s="142" t="s">
        <v>575</v>
      </c>
      <c r="GGN9" s="358" t="s">
        <v>576</v>
      </c>
      <c r="GGO9" s="189" t="s">
        <v>574</v>
      </c>
      <c r="GGP9" s="352" t="s">
        <v>573</v>
      </c>
      <c r="GGQ9" s="142" t="s">
        <v>575</v>
      </c>
      <c r="GGR9" s="358" t="s">
        <v>576</v>
      </c>
      <c r="GGS9" s="189" t="s">
        <v>574</v>
      </c>
      <c r="GGT9" s="352" t="s">
        <v>573</v>
      </c>
      <c r="GGU9" s="142" t="s">
        <v>575</v>
      </c>
      <c r="GGV9" s="358" t="s">
        <v>576</v>
      </c>
      <c r="GGW9" s="189" t="s">
        <v>574</v>
      </c>
      <c r="GGX9" s="352" t="s">
        <v>573</v>
      </c>
      <c r="GGY9" s="142" t="s">
        <v>575</v>
      </c>
      <c r="GGZ9" s="358" t="s">
        <v>576</v>
      </c>
      <c r="GHA9" s="189" t="s">
        <v>574</v>
      </c>
      <c r="GHB9" s="352" t="s">
        <v>573</v>
      </c>
      <c r="GHC9" s="142" t="s">
        <v>575</v>
      </c>
      <c r="GHD9" s="358" t="s">
        <v>576</v>
      </c>
      <c r="GHE9" s="189" t="s">
        <v>574</v>
      </c>
      <c r="GHF9" s="352" t="s">
        <v>573</v>
      </c>
      <c r="GHG9" s="142" t="s">
        <v>575</v>
      </c>
      <c r="GHH9" s="358" t="s">
        <v>576</v>
      </c>
      <c r="GHI9" s="189" t="s">
        <v>574</v>
      </c>
      <c r="GHJ9" s="352" t="s">
        <v>573</v>
      </c>
      <c r="GHK9" s="142" t="s">
        <v>575</v>
      </c>
      <c r="GHL9" s="358" t="s">
        <v>576</v>
      </c>
      <c r="GHM9" s="189" t="s">
        <v>574</v>
      </c>
      <c r="GHN9" s="352" t="s">
        <v>573</v>
      </c>
      <c r="GHO9" s="142" t="s">
        <v>575</v>
      </c>
      <c r="GHP9" s="358" t="s">
        <v>576</v>
      </c>
      <c r="GHQ9" s="189" t="s">
        <v>574</v>
      </c>
      <c r="GHR9" s="352" t="s">
        <v>573</v>
      </c>
      <c r="GHS9" s="142" t="s">
        <v>575</v>
      </c>
      <c r="GHT9" s="358" t="s">
        <v>576</v>
      </c>
      <c r="GHU9" s="189" t="s">
        <v>574</v>
      </c>
      <c r="GHV9" s="352" t="s">
        <v>573</v>
      </c>
      <c r="GHW9" s="142" t="s">
        <v>575</v>
      </c>
      <c r="GHX9" s="358" t="s">
        <v>576</v>
      </c>
      <c r="GHY9" s="189" t="s">
        <v>574</v>
      </c>
      <c r="GHZ9" s="352" t="s">
        <v>573</v>
      </c>
      <c r="GIA9" s="142" t="s">
        <v>575</v>
      </c>
      <c r="GIB9" s="358" t="s">
        <v>576</v>
      </c>
      <c r="GIC9" s="189" t="s">
        <v>574</v>
      </c>
      <c r="GID9" s="352" t="s">
        <v>573</v>
      </c>
      <c r="GIE9" s="142" t="s">
        <v>575</v>
      </c>
      <c r="GIF9" s="358" t="s">
        <v>576</v>
      </c>
      <c r="GIG9" s="189" t="s">
        <v>574</v>
      </c>
      <c r="GIH9" s="352" t="s">
        <v>573</v>
      </c>
      <c r="GII9" s="142" t="s">
        <v>575</v>
      </c>
      <c r="GIJ9" s="358" t="s">
        <v>576</v>
      </c>
      <c r="GIK9" s="189" t="s">
        <v>574</v>
      </c>
      <c r="GIL9" s="352" t="s">
        <v>573</v>
      </c>
      <c r="GIM9" s="142" t="s">
        <v>575</v>
      </c>
      <c r="GIN9" s="358" t="s">
        <v>576</v>
      </c>
      <c r="GIO9" s="189" t="s">
        <v>574</v>
      </c>
      <c r="GIP9" s="352" t="s">
        <v>573</v>
      </c>
      <c r="GIQ9" s="142" t="s">
        <v>575</v>
      </c>
      <c r="GIR9" s="358" t="s">
        <v>576</v>
      </c>
      <c r="GIS9" s="189" t="s">
        <v>574</v>
      </c>
      <c r="GIT9" s="352" t="s">
        <v>573</v>
      </c>
      <c r="GIU9" s="142" t="s">
        <v>575</v>
      </c>
      <c r="GIV9" s="358" t="s">
        <v>576</v>
      </c>
      <c r="GIW9" s="189" t="s">
        <v>574</v>
      </c>
      <c r="GIX9" s="352" t="s">
        <v>573</v>
      </c>
      <c r="GIY9" s="142" t="s">
        <v>575</v>
      </c>
      <c r="GIZ9" s="358" t="s">
        <v>576</v>
      </c>
      <c r="GJA9" s="189" t="s">
        <v>574</v>
      </c>
      <c r="GJB9" s="352" t="s">
        <v>573</v>
      </c>
      <c r="GJC9" s="142" t="s">
        <v>575</v>
      </c>
      <c r="GJD9" s="358" t="s">
        <v>576</v>
      </c>
      <c r="GJE9" s="189" t="s">
        <v>574</v>
      </c>
      <c r="GJF9" s="352" t="s">
        <v>573</v>
      </c>
      <c r="GJG9" s="142" t="s">
        <v>575</v>
      </c>
      <c r="GJH9" s="358" t="s">
        <v>576</v>
      </c>
      <c r="GJI9" s="189" t="s">
        <v>574</v>
      </c>
      <c r="GJJ9" s="352" t="s">
        <v>573</v>
      </c>
      <c r="GJK9" s="142" t="s">
        <v>575</v>
      </c>
      <c r="GJL9" s="358" t="s">
        <v>576</v>
      </c>
      <c r="GJM9" s="189" t="s">
        <v>574</v>
      </c>
      <c r="GJN9" s="352" t="s">
        <v>573</v>
      </c>
      <c r="GJO9" s="142" t="s">
        <v>575</v>
      </c>
      <c r="GJP9" s="358" t="s">
        <v>576</v>
      </c>
      <c r="GJQ9" s="189" t="s">
        <v>574</v>
      </c>
      <c r="GJR9" s="352" t="s">
        <v>573</v>
      </c>
      <c r="GJS9" s="142" t="s">
        <v>575</v>
      </c>
      <c r="GJT9" s="358" t="s">
        <v>576</v>
      </c>
      <c r="GJU9" s="189" t="s">
        <v>574</v>
      </c>
      <c r="GJV9" s="352" t="s">
        <v>573</v>
      </c>
      <c r="GJW9" s="142" t="s">
        <v>575</v>
      </c>
      <c r="GJX9" s="358" t="s">
        <v>576</v>
      </c>
      <c r="GJY9" s="189" t="s">
        <v>574</v>
      </c>
      <c r="GJZ9" s="352" t="s">
        <v>573</v>
      </c>
      <c r="GKA9" s="142" t="s">
        <v>575</v>
      </c>
      <c r="GKB9" s="358" t="s">
        <v>576</v>
      </c>
      <c r="GKC9" s="189" t="s">
        <v>574</v>
      </c>
      <c r="GKD9" s="352" t="s">
        <v>573</v>
      </c>
      <c r="GKE9" s="142" t="s">
        <v>575</v>
      </c>
      <c r="GKF9" s="358" t="s">
        <v>576</v>
      </c>
      <c r="GKG9" s="189" t="s">
        <v>574</v>
      </c>
      <c r="GKH9" s="352" t="s">
        <v>573</v>
      </c>
      <c r="GKI9" s="142" t="s">
        <v>575</v>
      </c>
      <c r="GKJ9" s="358" t="s">
        <v>576</v>
      </c>
      <c r="GKK9" s="189" t="s">
        <v>574</v>
      </c>
      <c r="GKL9" s="352" t="s">
        <v>573</v>
      </c>
      <c r="GKM9" s="142" t="s">
        <v>575</v>
      </c>
      <c r="GKN9" s="358" t="s">
        <v>576</v>
      </c>
      <c r="GKO9" s="189" t="s">
        <v>574</v>
      </c>
      <c r="GKP9" s="352" t="s">
        <v>573</v>
      </c>
      <c r="GKQ9" s="142" t="s">
        <v>575</v>
      </c>
      <c r="GKR9" s="358" t="s">
        <v>576</v>
      </c>
      <c r="GKS9" s="189" t="s">
        <v>574</v>
      </c>
      <c r="GKT9" s="352" t="s">
        <v>573</v>
      </c>
      <c r="GKU9" s="142" t="s">
        <v>575</v>
      </c>
      <c r="GKV9" s="358" t="s">
        <v>576</v>
      </c>
      <c r="GKW9" s="189" t="s">
        <v>574</v>
      </c>
      <c r="GKX9" s="352" t="s">
        <v>573</v>
      </c>
      <c r="GKY9" s="142" t="s">
        <v>575</v>
      </c>
      <c r="GKZ9" s="358" t="s">
        <v>576</v>
      </c>
      <c r="GLA9" s="189" t="s">
        <v>574</v>
      </c>
      <c r="GLB9" s="352" t="s">
        <v>573</v>
      </c>
      <c r="GLC9" s="142" t="s">
        <v>575</v>
      </c>
      <c r="GLD9" s="358" t="s">
        <v>576</v>
      </c>
      <c r="GLE9" s="189" t="s">
        <v>574</v>
      </c>
      <c r="GLF9" s="352" t="s">
        <v>573</v>
      </c>
      <c r="GLG9" s="142" t="s">
        <v>575</v>
      </c>
      <c r="GLH9" s="358" t="s">
        <v>576</v>
      </c>
      <c r="GLI9" s="189" t="s">
        <v>574</v>
      </c>
      <c r="GLJ9" s="352" t="s">
        <v>573</v>
      </c>
      <c r="GLK9" s="142" t="s">
        <v>575</v>
      </c>
      <c r="GLL9" s="358" t="s">
        <v>576</v>
      </c>
      <c r="GLM9" s="189" t="s">
        <v>574</v>
      </c>
      <c r="GLN9" s="352" t="s">
        <v>573</v>
      </c>
      <c r="GLO9" s="142" t="s">
        <v>575</v>
      </c>
      <c r="GLP9" s="358" t="s">
        <v>576</v>
      </c>
      <c r="GLQ9" s="189" t="s">
        <v>574</v>
      </c>
      <c r="GLR9" s="352" t="s">
        <v>573</v>
      </c>
      <c r="GLS9" s="142" t="s">
        <v>575</v>
      </c>
      <c r="GLT9" s="358" t="s">
        <v>576</v>
      </c>
      <c r="GLU9" s="189" t="s">
        <v>574</v>
      </c>
      <c r="GLV9" s="352" t="s">
        <v>573</v>
      </c>
      <c r="GLW9" s="142" t="s">
        <v>575</v>
      </c>
      <c r="GLX9" s="358" t="s">
        <v>576</v>
      </c>
      <c r="GLY9" s="189" t="s">
        <v>574</v>
      </c>
      <c r="GLZ9" s="352" t="s">
        <v>573</v>
      </c>
      <c r="GMA9" s="142" t="s">
        <v>575</v>
      </c>
      <c r="GMB9" s="358" t="s">
        <v>576</v>
      </c>
      <c r="GMC9" s="189" t="s">
        <v>574</v>
      </c>
      <c r="GMD9" s="352" t="s">
        <v>573</v>
      </c>
      <c r="GME9" s="142" t="s">
        <v>575</v>
      </c>
      <c r="GMF9" s="358" t="s">
        <v>576</v>
      </c>
      <c r="GMG9" s="189" t="s">
        <v>574</v>
      </c>
      <c r="GMH9" s="352" t="s">
        <v>573</v>
      </c>
      <c r="GMI9" s="142" t="s">
        <v>575</v>
      </c>
      <c r="GMJ9" s="358" t="s">
        <v>576</v>
      </c>
      <c r="GMK9" s="189" t="s">
        <v>574</v>
      </c>
      <c r="GML9" s="352" t="s">
        <v>573</v>
      </c>
      <c r="GMM9" s="142" t="s">
        <v>575</v>
      </c>
      <c r="GMN9" s="358" t="s">
        <v>576</v>
      </c>
      <c r="GMO9" s="189" t="s">
        <v>574</v>
      </c>
      <c r="GMP9" s="352" t="s">
        <v>573</v>
      </c>
      <c r="GMQ9" s="142" t="s">
        <v>575</v>
      </c>
      <c r="GMR9" s="358" t="s">
        <v>576</v>
      </c>
      <c r="GMS9" s="189" t="s">
        <v>574</v>
      </c>
      <c r="GMT9" s="352" t="s">
        <v>573</v>
      </c>
      <c r="GMU9" s="142" t="s">
        <v>575</v>
      </c>
      <c r="GMV9" s="358" t="s">
        <v>576</v>
      </c>
      <c r="GMW9" s="189" t="s">
        <v>574</v>
      </c>
      <c r="GMX9" s="352" t="s">
        <v>573</v>
      </c>
      <c r="GMY9" s="142" t="s">
        <v>575</v>
      </c>
      <c r="GMZ9" s="358" t="s">
        <v>576</v>
      </c>
      <c r="GNA9" s="189" t="s">
        <v>574</v>
      </c>
      <c r="GNB9" s="352" t="s">
        <v>573</v>
      </c>
      <c r="GNC9" s="142" t="s">
        <v>575</v>
      </c>
      <c r="GND9" s="358" t="s">
        <v>576</v>
      </c>
      <c r="GNE9" s="189" t="s">
        <v>574</v>
      </c>
      <c r="GNF9" s="352" t="s">
        <v>573</v>
      </c>
      <c r="GNG9" s="142" t="s">
        <v>575</v>
      </c>
      <c r="GNH9" s="358" t="s">
        <v>576</v>
      </c>
      <c r="GNI9" s="189" t="s">
        <v>574</v>
      </c>
      <c r="GNJ9" s="352" t="s">
        <v>573</v>
      </c>
      <c r="GNK9" s="142" t="s">
        <v>575</v>
      </c>
      <c r="GNL9" s="358" t="s">
        <v>576</v>
      </c>
      <c r="GNM9" s="189" t="s">
        <v>574</v>
      </c>
      <c r="GNN9" s="352" t="s">
        <v>573</v>
      </c>
      <c r="GNO9" s="142" t="s">
        <v>575</v>
      </c>
      <c r="GNP9" s="358" t="s">
        <v>576</v>
      </c>
      <c r="GNQ9" s="189" t="s">
        <v>574</v>
      </c>
      <c r="GNR9" s="352" t="s">
        <v>573</v>
      </c>
      <c r="GNS9" s="142" t="s">
        <v>575</v>
      </c>
      <c r="GNT9" s="358" t="s">
        <v>576</v>
      </c>
      <c r="GNU9" s="189" t="s">
        <v>574</v>
      </c>
      <c r="GNV9" s="352" t="s">
        <v>573</v>
      </c>
      <c r="GNW9" s="142" t="s">
        <v>575</v>
      </c>
      <c r="GNX9" s="358" t="s">
        <v>576</v>
      </c>
      <c r="GNY9" s="189" t="s">
        <v>574</v>
      </c>
      <c r="GNZ9" s="352" t="s">
        <v>573</v>
      </c>
      <c r="GOA9" s="142" t="s">
        <v>575</v>
      </c>
      <c r="GOB9" s="358" t="s">
        <v>576</v>
      </c>
      <c r="GOC9" s="189" t="s">
        <v>574</v>
      </c>
      <c r="GOD9" s="352" t="s">
        <v>573</v>
      </c>
      <c r="GOE9" s="142" t="s">
        <v>575</v>
      </c>
      <c r="GOF9" s="358" t="s">
        <v>576</v>
      </c>
      <c r="GOG9" s="189" t="s">
        <v>574</v>
      </c>
      <c r="GOH9" s="352" t="s">
        <v>573</v>
      </c>
      <c r="GOI9" s="142" t="s">
        <v>575</v>
      </c>
      <c r="GOJ9" s="358" t="s">
        <v>576</v>
      </c>
      <c r="GOK9" s="189" t="s">
        <v>574</v>
      </c>
      <c r="GOL9" s="352" t="s">
        <v>573</v>
      </c>
      <c r="GOM9" s="142" t="s">
        <v>575</v>
      </c>
      <c r="GON9" s="358" t="s">
        <v>576</v>
      </c>
      <c r="GOO9" s="189" t="s">
        <v>574</v>
      </c>
      <c r="GOP9" s="352" t="s">
        <v>573</v>
      </c>
      <c r="GOQ9" s="142" t="s">
        <v>575</v>
      </c>
      <c r="GOR9" s="358" t="s">
        <v>576</v>
      </c>
      <c r="GOS9" s="189" t="s">
        <v>574</v>
      </c>
      <c r="GOT9" s="352" t="s">
        <v>573</v>
      </c>
      <c r="GOU9" s="142" t="s">
        <v>575</v>
      </c>
      <c r="GOV9" s="358" t="s">
        <v>576</v>
      </c>
      <c r="GOW9" s="189" t="s">
        <v>574</v>
      </c>
      <c r="GOX9" s="352" t="s">
        <v>573</v>
      </c>
      <c r="GOY9" s="142" t="s">
        <v>575</v>
      </c>
      <c r="GOZ9" s="358" t="s">
        <v>576</v>
      </c>
      <c r="GPA9" s="189" t="s">
        <v>574</v>
      </c>
      <c r="GPB9" s="352" t="s">
        <v>573</v>
      </c>
      <c r="GPC9" s="142" t="s">
        <v>575</v>
      </c>
      <c r="GPD9" s="358" t="s">
        <v>576</v>
      </c>
      <c r="GPE9" s="189" t="s">
        <v>574</v>
      </c>
      <c r="GPF9" s="352" t="s">
        <v>573</v>
      </c>
      <c r="GPG9" s="142" t="s">
        <v>575</v>
      </c>
      <c r="GPH9" s="358" t="s">
        <v>576</v>
      </c>
      <c r="GPI9" s="189" t="s">
        <v>574</v>
      </c>
      <c r="GPJ9" s="352" t="s">
        <v>573</v>
      </c>
      <c r="GPK9" s="142" t="s">
        <v>575</v>
      </c>
      <c r="GPL9" s="358" t="s">
        <v>576</v>
      </c>
      <c r="GPM9" s="189" t="s">
        <v>574</v>
      </c>
      <c r="GPN9" s="352" t="s">
        <v>573</v>
      </c>
      <c r="GPO9" s="142" t="s">
        <v>575</v>
      </c>
      <c r="GPP9" s="358" t="s">
        <v>576</v>
      </c>
      <c r="GPQ9" s="189" t="s">
        <v>574</v>
      </c>
      <c r="GPR9" s="352" t="s">
        <v>573</v>
      </c>
      <c r="GPS9" s="142" t="s">
        <v>575</v>
      </c>
      <c r="GPT9" s="358" t="s">
        <v>576</v>
      </c>
      <c r="GPU9" s="189" t="s">
        <v>574</v>
      </c>
      <c r="GPV9" s="352" t="s">
        <v>573</v>
      </c>
      <c r="GPW9" s="142" t="s">
        <v>575</v>
      </c>
      <c r="GPX9" s="358" t="s">
        <v>576</v>
      </c>
      <c r="GPY9" s="189" t="s">
        <v>574</v>
      </c>
      <c r="GPZ9" s="352" t="s">
        <v>573</v>
      </c>
      <c r="GQA9" s="142" t="s">
        <v>575</v>
      </c>
      <c r="GQB9" s="358" t="s">
        <v>576</v>
      </c>
      <c r="GQC9" s="189" t="s">
        <v>574</v>
      </c>
      <c r="GQD9" s="352" t="s">
        <v>573</v>
      </c>
      <c r="GQE9" s="142" t="s">
        <v>575</v>
      </c>
      <c r="GQF9" s="358" t="s">
        <v>576</v>
      </c>
      <c r="GQG9" s="189" t="s">
        <v>574</v>
      </c>
      <c r="GQH9" s="352" t="s">
        <v>573</v>
      </c>
      <c r="GQI9" s="142" t="s">
        <v>575</v>
      </c>
      <c r="GQJ9" s="358" t="s">
        <v>576</v>
      </c>
      <c r="GQK9" s="189" t="s">
        <v>574</v>
      </c>
      <c r="GQL9" s="352" t="s">
        <v>573</v>
      </c>
      <c r="GQM9" s="142" t="s">
        <v>575</v>
      </c>
      <c r="GQN9" s="358" t="s">
        <v>576</v>
      </c>
      <c r="GQO9" s="189" t="s">
        <v>574</v>
      </c>
      <c r="GQP9" s="352" t="s">
        <v>573</v>
      </c>
      <c r="GQQ9" s="142" t="s">
        <v>575</v>
      </c>
      <c r="GQR9" s="358" t="s">
        <v>576</v>
      </c>
      <c r="GQS9" s="189" t="s">
        <v>574</v>
      </c>
      <c r="GQT9" s="352" t="s">
        <v>573</v>
      </c>
      <c r="GQU9" s="142" t="s">
        <v>575</v>
      </c>
      <c r="GQV9" s="358" t="s">
        <v>576</v>
      </c>
      <c r="GQW9" s="189" t="s">
        <v>574</v>
      </c>
      <c r="GQX9" s="352" t="s">
        <v>573</v>
      </c>
      <c r="GQY9" s="142" t="s">
        <v>575</v>
      </c>
      <c r="GQZ9" s="358" t="s">
        <v>576</v>
      </c>
      <c r="GRA9" s="189" t="s">
        <v>574</v>
      </c>
      <c r="GRB9" s="352" t="s">
        <v>573</v>
      </c>
      <c r="GRC9" s="142" t="s">
        <v>575</v>
      </c>
      <c r="GRD9" s="358" t="s">
        <v>576</v>
      </c>
      <c r="GRE9" s="189" t="s">
        <v>574</v>
      </c>
      <c r="GRF9" s="352" t="s">
        <v>573</v>
      </c>
      <c r="GRG9" s="142" t="s">
        <v>575</v>
      </c>
      <c r="GRH9" s="358" t="s">
        <v>576</v>
      </c>
      <c r="GRI9" s="189" t="s">
        <v>574</v>
      </c>
      <c r="GRJ9" s="352" t="s">
        <v>573</v>
      </c>
      <c r="GRK9" s="142" t="s">
        <v>575</v>
      </c>
      <c r="GRL9" s="358" t="s">
        <v>576</v>
      </c>
      <c r="GRM9" s="189" t="s">
        <v>574</v>
      </c>
      <c r="GRN9" s="352" t="s">
        <v>573</v>
      </c>
      <c r="GRO9" s="142" t="s">
        <v>575</v>
      </c>
      <c r="GRP9" s="358" t="s">
        <v>576</v>
      </c>
      <c r="GRQ9" s="189" t="s">
        <v>574</v>
      </c>
      <c r="GRR9" s="352" t="s">
        <v>573</v>
      </c>
      <c r="GRS9" s="142" t="s">
        <v>575</v>
      </c>
      <c r="GRT9" s="358" t="s">
        <v>576</v>
      </c>
      <c r="GRU9" s="189" t="s">
        <v>574</v>
      </c>
      <c r="GRV9" s="352" t="s">
        <v>573</v>
      </c>
      <c r="GRW9" s="142" t="s">
        <v>575</v>
      </c>
      <c r="GRX9" s="358" t="s">
        <v>576</v>
      </c>
      <c r="GRY9" s="189" t="s">
        <v>574</v>
      </c>
      <c r="GRZ9" s="352" t="s">
        <v>573</v>
      </c>
      <c r="GSA9" s="142" t="s">
        <v>575</v>
      </c>
      <c r="GSB9" s="358" t="s">
        <v>576</v>
      </c>
      <c r="GSC9" s="189" t="s">
        <v>574</v>
      </c>
      <c r="GSD9" s="352" t="s">
        <v>573</v>
      </c>
      <c r="GSE9" s="142" t="s">
        <v>575</v>
      </c>
      <c r="GSF9" s="358" t="s">
        <v>576</v>
      </c>
      <c r="GSG9" s="189" t="s">
        <v>574</v>
      </c>
      <c r="GSH9" s="352" t="s">
        <v>573</v>
      </c>
      <c r="GSI9" s="142" t="s">
        <v>575</v>
      </c>
      <c r="GSJ9" s="358" t="s">
        <v>576</v>
      </c>
      <c r="GSK9" s="189" t="s">
        <v>574</v>
      </c>
      <c r="GSL9" s="352" t="s">
        <v>573</v>
      </c>
      <c r="GSM9" s="142" t="s">
        <v>575</v>
      </c>
      <c r="GSN9" s="358" t="s">
        <v>576</v>
      </c>
      <c r="GSO9" s="189" t="s">
        <v>574</v>
      </c>
      <c r="GSP9" s="352" t="s">
        <v>573</v>
      </c>
      <c r="GSQ9" s="142" t="s">
        <v>575</v>
      </c>
      <c r="GSR9" s="358" t="s">
        <v>576</v>
      </c>
      <c r="GSS9" s="189" t="s">
        <v>574</v>
      </c>
      <c r="GST9" s="352" t="s">
        <v>573</v>
      </c>
      <c r="GSU9" s="142" t="s">
        <v>575</v>
      </c>
      <c r="GSV9" s="358" t="s">
        <v>576</v>
      </c>
      <c r="GSW9" s="189" t="s">
        <v>574</v>
      </c>
      <c r="GSX9" s="352" t="s">
        <v>573</v>
      </c>
      <c r="GSY9" s="142" t="s">
        <v>575</v>
      </c>
      <c r="GSZ9" s="358" t="s">
        <v>576</v>
      </c>
      <c r="GTA9" s="189" t="s">
        <v>574</v>
      </c>
      <c r="GTB9" s="352" t="s">
        <v>573</v>
      </c>
      <c r="GTC9" s="142" t="s">
        <v>575</v>
      </c>
      <c r="GTD9" s="358" t="s">
        <v>576</v>
      </c>
      <c r="GTE9" s="189" t="s">
        <v>574</v>
      </c>
      <c r="GTF9" s="352" t="s">
        <v>573</v>
      </c>
      <c r="GTG9" s="142" t="s">
        <v>575</v>
      </c>
      <c r="GTH9" s="358" t="s">
        <v>576</v>
      </c>
      <c r="GTI9" s="189" t="s">
        <v>574</v>
      </c>
      <c r="GTJ9" s="352" t="s">
        <v>573</v>
      </c>
      <c r="GTK9" s="142" t="s">
        <v>575</v>
      </c>
      <c r="GTL9" s="358" t="s">
        <v>576</v>
      </c>
      <c r="GTM9" s="189" t="s">
        <v>574</v>
      </c>
      <c r="GTN9" s="352" t="s">
        <v>573</v>
      </c>
      <c r="GTO9" s="142" t="s">
        <v>575</v>
      </c>
      <c r="GTP9" s="358" t="s">
        <v>576</v>
      </c>
      <c r="GTQ9" s="189" t="s">
        <v>574</v>
      </c>
      <c r="GTR9" s="352" t="s">
        <v>573</v>
      </c>
      <c r="GTS9" s="142" t="s">
        <v>575</v>
      </c>
      <c r="GTT9" s="358" t="s">
        <v>576</v>
      </c>
      <c r="GTU9" s="189" t="s">
        <v>574</v>
      </c>
      <c r="GTV9" s="352" t="s">
        <v>573</v>
      </c>
      <c r="GTW9" s="142" t="s">
        <v>575</v>
      </c>
      <c r="GTX9" s="358" t="s">
        <v>576</v>
      </c>
      <c r="GTY9" s="189" t="s">
        <v>574</v>
      </c>
      <c r="GTZ9" s="352" t="s">
        <v>573</v>
      </c>
      <c r="GUA9" s="142" t="s">
        <v>575</v>
      </c>
      <c r="GUB9" s="358" t="s">
        <v>576</v>
      </c>
      <c r="GUC9" s="189" t="s">
        <v>574</v>
      </c>
      <c r="GUD9" s="352" t="s">
        <v>573</v>
      </c>
      <c r="GUE9" s="142" t="s">
        <v>575</v>
      </c>
      <c r="GUF9" s="358" t="s">
        <v>576</v>
      </c>
      <c r="GUG9" s="189" t="s">
        <v>574</v>
      </c>
      <c r="GUH9" s="352" t="s">
        <v>573</v>
      </c>
      <c r="GUI9" s="142" t="s">
        <v>575</v>
      </c>
      <c r="GUJ9" s="358" t="s">
        <v>576</v>
      </c>
      <c r="GUK9" s="189" t="s">
        <v>574</v>
      </c>
      <c r="GUL9" s="352" t="s">
        <v>573</v>
      </c>
      <c r="GUM9" s="142" t="s">
        <v>575</v>
      </c>
      <c r="GUN9" s="358" t="s">
        <v>576</v>
      </c>
      <c r="GUO9" s="189" t="s">
        <v>574</v>
      </c>
      <c r="GUP9" s="352" t="s">
        <v>573</v>
      </c>
      <c r="GUQ9" s="142" t="s">
        <v>575</v>
      </c>
      <c r="GUR9" s="358" t="s">
        <v>576</v>
      </c>
      <c r="GUS9" s="189" t="s">
        <v>574</v>
      </c>
      <c r="GUT9" s="352" t="s">
        <v>573</v>
      </c>
      <c r="GUU9" s="142" t="s">
        <v>575</v>
      </c>
      <c r="GUV9" s="358" t="s">
        <v>576</v>
      </c>
      <c r="GUW9" s="189" t="s">
        <v>574</v>
      </c>
      <c r="GUX9" s="352" t="s">
        <v>573</v>
      </c>
      <c r="GUY9" s="142" t="s">
        <v>575</v>
      </c>
      <c r="GUZ9" s="358" t="s">
        <v>576</v>
      </c>
      <c r="GVA9" s="189" t="s">
        <v>574</v>
      </c>
      <c r="GVB9" s="352" t="s">
        <v>573</v>
      </c>
      <c r="GVC9" s="142" t="s">
        <v>575</v>
      </c>
      <c r="GVD9" s="358" t="s">
        <v>576</v>
      </c>
      <c r="GVE9" s="189" t="s">
        <v>574</v>
      </c>
      <c r="GVF9" s="352" t="s">
        <v>573</v>
      </c>
      <c r="GVG9" s="142" t="s">
        <v>575</v>
      </c>
      <c r="GVH9" s="358" t="s">
        <v>576</v>
      </c>
      <c r="GVI9" s="189" t="s">
        <v>574</v>
      </c>
      <c r="GVJ9" s="352" t="s">
        <v>573</v>
      </c>
      <c r="GVK9" s="142" t="s">
        <v>575</v>
      </c>
      <c r="GVL9" s="358" t="s">
        <v>576</v>
      </c>
      <c r="GVM9" s="189" t="s">
        <v>574</v>
      </c>
      <c r="GVN9" s="352" t="s">
        <v>573</v>
      </c>
      <c r="GVO9" s="142" t="s">
        <v>575</v>
      </c>
      <c r="GVP9" s="358" t="s">
        <v>576</v>
      </c>
      <c r="GVQ9" s="189" t="s">
        <v>574</v>
      </c>
      <c r="GVR9" s="352" t="s">
        <v>573</v>
      </c>
      <c r="GVS9" s="142" t="s">
        <v>575</v>
      </c>
      <c r="GVT9" s="358" t="s">
        <v>576</v>
      </c>
      <c r="GVU9" s="189" t="s">
        <v>574</v>
      </c>
      <c r="GVV9" s="352" t="s">
        <v>573</v>
      </c>
      <c r="GVW9" s="142" t="s">
        <v>575</v>
      </c>
      <c r="GVX9" s="358" t="s">
        <v>576</v>
      </c>
      <c r="GVY9" s="189" t="s">
        <v>574</v>
      </c>
      <c r="GVZ9" s="352" t="s">
        <v>573</v>
      </c>
      <c r="GWA9" s="142" t="s">
        <v>575</v>
      </c>
      <c r="GWB9" s="358" t="s">
        <v>576</v>
      </c>
      <c r="GWC9" s="189" t="s">
        <v>574</v>
      </c>
      <c r="GWD9" s="352" t="s">
        <v>573</v>
      </c>
      <c r="GWE9" s="142" t="s">
        <v>575</v>
      </c>
      <c r="GWF9" s="358" t="s">
        <v>576</v>
      </c>
      <c r="GWG9" s="189" t="s">
        <v>574</v>
      </c>
      <c r="GWH9" s="352" t="s">
        <v>573</v>
      </c>
      <c r="GWI9" s="142" t="s">
        <v>575</v>
      </c>
      <c r="GWJ9" s="358" t="s">
        <v>576</v>
      </c>
      <c r="GWK9" s="189" t="s">
        <v>574</v>
      </c>
      <c r="GWL9" s="352" t="s">
        <v>573</v>
      </c>
      <c r="GWM9" s="142" t="s">
        <v>575</v>
      </c>
      <c r="GWN9" s="358" t="s">
        <v>576</v>
      </c>
      <c r="GWO9" s="189" t="s">
        <v>574</v>
      </c>
      <c r="GWP9" s="352" t="s">
        <v>573</v>
      </c>
      <c r="GWQ9" s="142" t="s">
        <v>575</v>
      </c>
      <c r="GWR9" s="358" t="s">
        <v>576</v>
      </c>
      <c r="GWS9" s="189" t="s">
        <v>574</v>
      </c>
      <c r="GWT9" s="352" t="s">
        <v>573</v>
      </c>
      <c r="GWU9" s="142" t="s">
        <v>575</v>
      </c>
      <c r="GWV9" s="358" t="s">
        <v>576</v>
      </c>
      <c r="GWW9" s="189" t="s">
        <v>574</v>
      </c>
      <c r="GWX9" s="352" t="s">
        <v>573</v>
      </c>
      <c r="GWY9" s="142" t="s">
        <v>575</v>
      </c>
      <c r="GWZ9" s="358" t="s">
        <v>576</v>
      </c>
      <c r="GXA9" s="189" t="s">
        <v>574</v>
      </c>
      <c r="GXB9" s="352" t="s">
        <v>573</v>
      </c>
      <c r="GXC9" s="142" t="s">
        <v>575</v>
      </c>
      <c r="GXD9" s="358" t="s">
        <v>576</v>
      </c>
      <c r="GXE9" s="189" t="s">
        <v>574</v>
      </c>
      <c r="GXF9" s="352" t="s">
        <v>573</v>
      </c>
      <c r="GXG9" s="142" t="s">
        <v>575</v>
      </c>
      <c r="GXH9" s="358" t="s">
        <v>576</v>
      </c>
      <c r="GXI9" s="189" t="s">
        <v>574</v>
      </c>
      <c r="GXJ9" s="352" t="s">
        <v>573</v>
      </c>
      <c r="GXK9" s="142" t="s">
        <v>575</v>
      </c>
      <c r="GXL9" s="358" t="s">
        <v>576</v>
      </c>
      <c r="GXM9" s="189" t="s">
        <v>574</v>
      </c>
      <c r="GXN9" s="352" t="s">
        <v>573</v>
      </c>
      <c r="GXO9" s="142" t="s">
        <v>575</v>
      </c>
      <c r="GXP9" s="358" t="s">
        <v>576</v>
      </c>
      <c r="GXQ9" s="189" t="s">
        <v>574</v>
      </c>
      <c r="GXR9" s="352" t="s">
        <v>573</v>
      </c>
      <c r="GXS9" s="142" t="s">
        <v>575</v>
      </c>
      <c r="GXT9" s="358" t="s">
        <v>576</v>
      </c>
      <c r="GXU9" s="189" t="s">
        <v>574</v>
      </c>
      <c r="GXV9" s="352" t="s">
        <v>573</v>
      </c>
      <c r="GXW9" s="142" t="s">
        <v>575</v>
      </c>
      <c r="GXX9" s="358" t="s">
        <v>576</v>
      </c>
      <c r="GXY9" s="189" t="s">
        <v>574</v>
      </c>
      <c r="GXZ9" s="352" t="s">
        <v>573</v>
      </c>
      <c r="GYA9" s="142" t="s">
        <v>575</v>
      </c>
      <c r="GYB9" s="358" t="s">
        <v>576</v>
      </c>
      <c r="GYC9" s="189" t="s">
        <v>574</v>
      </c>
      <c r="GYD9" s="352" t="s">
        <v>573</v>
      </c>
      <c r="GYE9" s="142" t="s">
        <v>575</v>
      </c>
      <c r="GYF9" s="358" t="s">
        <v>576</v>
      </c>
      <c r="GYG9" s="189" t="s">
        <v>574</v>
      </c>
      <c r="GYH9" s="352" t="s">
        <v>573</v>
      </c>
      <c r="GYI9" s="142" t="s">
        <v>575</v>
      </c>
      <c r="GYJ9" s="358" t="s">
        <v>576</v>
      </c>
      <c r="GYK9" s="189" t="s">
        <v>574</v>
      </c>
      <c r="GYL9" s="352" t="s">
        <v>573</v>
      </c>
      <c r="GYM9" s="142" t="s">
        <v>575</v>
      </c>
      <c r="GYN9" s="358" t="s">
        <v>576</v>
      </c>
      <c r="GYO9" s="189" t="s">
        <v>574</v>
      </c>
      <c r="GYP9" s="352" t="s">
        <v>573</v>
      </c>
      <c r="GYQ9" s="142" t="s">
        <v>575</v>
      </c>
      <c r="GYR9" s="358" t="s">
        <v>576</v>
      </c>
      <c r="GYS9" s="189" t="s">
        <v>574</v>
      </c>
      <c r="GYT9" s="352" t="s">
        <v>573</v>
      </c>
      <c r="GYU9" s="142" t="s">
        <v>575</v>
      </c>
      <c r="GYV9" s="358" t="s">
        <v>576</v>
      </c>
      <c r="GYW9" s="189" t="s">
        <v>574</v>
      </c>
      <c r="GYX9" s="352" t="s">
        <v>573</v>
      </c>
      <c r="GYY9" s="142" t="s">
        <v>575</v>
      </c>
      <c r="GYZ9" s="358" t="s">
        <v>576</v>
      </c>
      <c r="GZA9" s="189" t="s">
        <v>574</v>
      </c>
      <c r="GZB9" s="352" t="s">
        <v>573</v>
      </c>
      <c r="GZC9" s="142" t="s">
        <v>575</v>
      </c>
      <c r="GZD9" s="358" t="s">
        <v>576</v>
      </c>
      <c r="GZE9" s="189" t="s">
        <v>574</v>
      </c>
      <c r="GZF9" s="352" t="s">
        <v>573</v>
      </c>
      <c r="GZG9" s="142" t="s">
        <v>575</v>
      </c>
      <c r="GZH9" s="358" t="s">
        <v>576</v>
      </c>
      <c r="GZI9" s="189" t="s">
        <v>574</v>
      </c>
      <c r="GZJ9" s="352" t="s">
        <v>573</v>
      </c>
      <c r="GZK9" s="142" t="s">
        <v>575</v>
      </c>
      <c r="GZL9" s="358" t="s">
        <v>576</v>
      </c>
      <c r="GZM9" s="189" t="s">
        <v>574</v>
      </c>
      <c r="GZN9" s="352" t="s">
        <v>573</v>
      </c>
      <c r="GZO9" s="142" t="s">
        <v>575</v>
      </c>
      <c r="GZP9" s="358" t="s">
        <v>576</v>
      </c>
      <c r="GZQ9" s="189" t="s">
        <v>574</v>
      </c>
      <c r="GZR9" s="352" t="s">
        <v>573</v>
      </c>
      <c r="GZS9" s="142" t="s">
        <v>575</v>
      </c>
      <c r="GZT9" s="358" t="s">
        <v>576</v>
      </c>
      <c r="GZU9" s="189" t="s">
        <v>574</v>
      </c>
      <c r="GZV9" s="352" t="s">
        <v>573</v>
      </c>
      <c r="GZW9" s="142" t="s">
        <v>575</v>
      </c>
      <c r="GZX9" s="358" t="s">
        <v>576</v>
      </c>
      <c r="GZY9" s="189" t="s">
        <v>574</v>
      </c>
      <c r="GZZ9" s="352" t="s">
        <v>573</v>
      </c>
      <c r="HAA9" s="142" t="s">
        <v>575</v>
      </c>
      <c r="HAB9" s="358" t="s">
        <v>576</v>
      </c>
      <c r="HAC9" s="189" t="s">
        <v>574</v>
      </c>
      <c r="HAD9" s="352" t="s">
        <v>573</v>
      </c>
      <c r="HAE9" s="142" t="s">
        <v>575</v>
      </c>
      <c r="HAF9" s="358" t="s">
        <v>576</v>
      </c>
      <c r="HAG9" s="189" t="s">
        <v>574</v>
      </c>
      <c r="HAH9" s="352" t="s">
        <v>573</v>
      </c>
      <c r="HAI9" s="142" t="s">
        <v>575</v>
      </c>
      <c r="HAJ9" s="358" t="s">
        <v>576</v>
      </c>
      <c r="HAK9" s="189" t="s">
        <v>574</v>
      </c>
      <c r="HAL9" s="352" t="s">
        <v>573</v>
      </c>
      <c r="HAM9" s="142" t="s">
        <v>575</v>
      </c>
      <c r="HAN9" s="358" t="s">
        <v>576</v>
      </c>
      <c r="HAO9" s="189" t="s">
        <v>574</v>
      </c>
      <c r="HAP9" s="352" t="s">
        <v>573</v>
      </c>
      <c r="HAQ9" s="142" t="s">
        <v>575</v>
      </c>
      <c r="HAR9" s="358" t="s">
        <v>576</v>
      </c>
      <c r="HAS9" s="189" t="s">
        <v>574</v>
      </c>
      <c r="HAT9" s="352" t="s">
        <v>573</v>
      </c>
      <c r="HAU9" s="142" t="s">
        <v>575</v>
      </c>
      <c r="HAV9" s="358" t="s">
        <v>576</v>
      </c>
      <c r="HAW9" s="189" t="s">
        <v>574</v>
      </c>
      <c r="HAX9" s="352" t="s">
        <v>573</v>
      </c>
      <c r="HAY9" s="142" t="s">
        <v>575</v>
      </c>
      <c r="HAZ9" s="358" t="s">
        <v>576</v>
      </c>
      <c r="HBA9" s="189" t="s">
        <v>574</v>
      </c>
      <c r="HBB9" s="352" t="s">
        <v>573</v>
      </c>
      <c r="HBC9" s="142" t="s">
        <v>575</v>
      </c>
      <c r="HBD9" s="358" t="s">
        <v>576</v>
      </c>
      <c r="HBE9" s="189" t="s">
        <v>574</v>
      </c>
      <c r="HBF9" s="352" t="s">
        <v>573</v>
      </c>
      <c r="HBG9" s="142" t="s">
        <v>575</v>
      </c>
      <c r="HBH9" s="358" t="s">
        <v>576</v>
      </c>
      <c r="HBI9" s="189" t="s">
        <v>574</v>
      </c>
      <c r="HBJ9" s="352" t="s">
        <v>573</v>
      </c>
      <c r="HBK9" s="142" t="s">
        <v>575</v>
      </c>
      <c r="HBL9" s="358" t="s">
        <v>576</v>
      </c>
      <c r="HBM9" s="189" t="s">
        <v>574</v>
      </c>
      <c r="HBN9" s="352" t="s">
        <v>573</v>
      </c>
      <c r="HBO9" s="142" t="s">
        <v>575</v>
      </c>
      <c r="HBP9" s="358" t="s">
        <v>576</v>
      </c>
      <c r="HBQ9" s="189" t="s">
        <v>574</v>
      </c>
      <c r="HBR9" s="352" t="s">
        <v>573</v>
      </c>
      <c r="HBS9" s="142" t="s">
        <v>575</v>
      </c>
      <c r="HBT9" s="358" t="s">
        <v>576</v>
      </c>
      <c r="HBU9" s="189" t="s">
        <v>574</v>
      </c>
      <c r="HBV9" s="352" t="s">
        <v>573</v>
      </c>
      <c r="HBW9" s="142" t="s">
        <v>575</v>
      </c>
      <c r="HBX9" s="358" t="s">
        <v>576</v>
      </c>
      <c r="HBY9" s="189" t="s">
        <v>574</v>
      </c>
      <c r="HBZ9" s="352" t="s">
        <v>573</v>
      </c>
      <c r="HCA9" s="142" t="s">
        <v>575</v>
      </c>
      <c r="HCB9" s="358" t="s">
        <v>576</v>
      </c>
      <c r="HCC9" s="189" t="s">
        <v>574</v>
      </c>
      <c r="HCD9" s="352" t="s">
        <v>573</v>
      </c>
      <c r="HCE9" s="142" t="s">
        <v>575</v>
      </c>
      <c r="HCF9" s="358" t="s">
        <v>576</v>
      </c>
      <c r="HCG9" s="189" t="s">
        <v>574</v>
      </c>
      <c r="HCH9" s="352" t="s">
        <v>573</v>
      </c>
      <c r="HCI9" s="142" t="s">
        <v>575</v>
      </c>
      <c r="HCJ9" s="358" t="s">
        <v>576</v>
      </c>
      <c r="HCK9" s="189" t="s">
        <v>574</v>
      </c>
      <c r="HCL9" s="352" t="s">
        <v>573</v>
      </c>
      <c r="HCM9" s="142" t="s">
        <v>575</v>
      </c>
      <c r="HCN9" s="358" t="s">
        <v>576</v>
      </c>
      <c r="HCO9" s="189" t="s">
        <v>574</v>
      </c>
      <c r="HCP9" s="352" t="s">
        <v>573</v>
      </c>
      <c r="HCQ9" s="142" t="s">
        <v>575</v>
      </c>
      <c r="HCR9" s="358" t="s">
        <v>576</v>
      </c>
      <c r="HCS9" s="189" t="s">
        <v>574</v>
      </c>
      <c r="HCT9" s="352" t="s">
        <v>573</v>
      </c>
      <c r="HCU9" s="142" t="s">
        <v>575</v>
      </c>
      <c r="HCV9" s="358" t="s">
        <v>576</v>
      </c>
      <c r="HCW9" s="189" t="s">
        <v>574</v>
      </c>
      <c r="HCX9" s="352" t="s">
        <v>573</v>
      </c>
      <c r="HCY9" s="142" t="s">
        <v>575</v>
      </c>
      <c r="HCZ9" s="358" t="s">
        <v>576</v>
      </c>
      <c r="HDA9" s="189" t="s">
        <v>574</v>
      </c>
      <c r="HDB9" s="352" t="s">
        <v>573</v>
      </c>
      <c r="HDC9" s="142" t="s">
        <v>575</v>
      </c>
      <c r="HDD9" s="358" t="s">
        <v>576</v>
      </c>
      <c r="HDE9" s="189" t="s">
        <v>574</v>
      </c>
      <c r="HDF9" s="352" t="s">
        <v>573</v>
      </c>
      <c r="HDG9" s="142" t="s">
        <v>575</v>
      </c>
      <c r="HDH9" s="358" t="s">
        <v>576</v>
      </c>
      <c r="HDI9" s="189" t="s">
        <v>574</v>
      </c>
      <c r="HDJ9" s="352" t="s">
        <v>573</v>
      </c>
      <c r="HDK9" s="142" t="s">
        <v>575</v>
      </c>
      <c r="HDL9" s="358" t="s">
        <v>576</v>
      </c>
      <c r="HDM9" s="189" t="s">
        <v>574</v>
      </c>
      <c r="HDN9" s="352" t="s">
        <v>573</v>
      </c>
      <c r="HDO9" s="142" t="s">
        <v>575</v>
      </c>
      <c r="HDP9" s="358" t="s">
        <v>576</v>
      </c>
      <c r="HDQ9" s="189" t="s">
        <v>574</v>
      </c>
      <c r="HDR9" s="352" t="s">
        <v>573</v>
      </c>
      <c r="HDS9" s="142" t="s">
        <v>575</v>
      </c>
      <c r="HDT9" s="358" t="s">
        <v>576</v>
      </c>
      <c r="HDU9" s="189" t="s">
        <v>574</v>
      </c>
      <c r="HDV9" s="352" t="s">
        <v>573</v>
      </c>
      <c r="HDW9" s="142" t="s">
        <v>575</v>
      </c>
      <c r="HDX9" s="358" t="s">
        <v>576</v>
      </c>
      <c r="HDY9" s="189" t="s">
        <v>574</v>
      </c>
      <c r="HDZ9" s="352" t="s">
        <v>573</v>
      </c>
      <c r="HEA9" s="142" t="s">
        <v>575</v>
      </c>
      <c r="HEB9" s="358" t="s">
        <v>576</v>
      </c>
      <c r="HEC9" s="189" t="s">
        <v>574</v>
      </c>
      <c r="HED9" s="352" t="s">
        <v>573</v>
      </c>
      <c r="HEE9" s="142" t="s">
        <v>575</v>
      </c>
      <c r="HEF9" s="358" t="s">
        <v>576</v>
      </c>
      <c r="HEG9" s="189" t="s">
        <v>574</v>
      </c>
      <c r="HEH9" s="352" t="s">
        <v>573</v>
      </c>
      <c r="HEI9" s="142" t="s">
        <v>575</v>
      </c>
      <c r="HEJ9" s="358" t="s">
        <v>576</v>
      </c>
      <c r="HEK9" s="189" t="s">
        <v>574</v>
      </c>
      <c r="HEL9" s="352" t="s">
        <v>573</v>
      </c>
      <c r="HEM9" s="142" t="s">
        <v>575</v>
      </c>
      <c r="HEN9" s="358" t="s">
        <v>576</v>
      </c>
      <c r="HEO9" s="189" t="s">
        <v>574</v>
      </c>
      <c r="HEP9" s="352" t="s">
        <v>573</v>
      </c>
      <c r="HEQ9" s="142" t="s">
        <v>575</v>
      </c>
      <c r="HER9" s="358" t="s">
        <v>576</v>
      </c>
      <c r="HES9" s="189" t="s">
        <v>574</v>
      </c>
      <c r="HET9" s="352" t="s">
        <v>573</v>
      </c>
      <c r="HEU9" s="142" t="s">
        <v>575</v>
      </c>
      <c r="HEV9" s="358" t="s">
        <v>576</v>
      </c>
      <c r="HEW9" s="189" t="s">
        <v>574</v>
      </c>
      <c r="HEX9" s="352" t="s">
        <v>573</v>
      </c>
      <c r="HEY9" s="142" t="s">
        <v>575</v>
      </c>
      <c r="HEZ9" s="358" t="s">
        <v>576</v>
      </c>
      <c r="HFA9" s="189" t="s">
        <v>574</v>
      </c>
      <c r="HFB9" s="352" t="s">
        <v>573</v>
      </c>
      <c r="HFC9" s="142" t="s">
        <v>575</v>
      </c>
      <c r="HFD9" s="358" t="s">
        <v>576</v>
      </c>
      <c r="HFE9" s="189" t="s">
        <v>574</v>
      </c>
      <c r="HFF9" s="352" t="s">
        <v>573</v>
      </c>
      <c r="HFG9" s="142" t="s">
        <v>575</v>
      </c>
      <c r="HFH9" s="358" t="s">
        <v>576</v>
      </c>
      <c r="HFI9" s="189" t="s">
        <v>574</v>
      </c>
      <c r="HFJ9" s="352" t="s">
        <v>573</v>
      </c>
      <c r="HFK9" s="142" t="s">
        <v>575</v>
      </c>
      <c r="HFL9" s="358" t="s">
        <v>576</v>
      </c>
      <c r="HFM9" s="189" t="s">
        <v>574</v>
      </c>
      <c r="HFN9" s="352" t="s">
        <v>573</v>
      </c>
      <c r="HFO9" s="142" t="s">
        <v>575</v>
      </c>
      <c r="HFP9" s="358" t="s">
        <v>576</v>
      </c>
      <c r="HFQ9" s="189" t="s">
        <v>574</v>
      </c>
      <c r="HFR9" s="352" t="s">
        <v>573</v>
      </c>
      <c r="HFS9" s="142" t="s">
        <v>575</v>
      </c>
      <c r="HFT9" s="358" t="s">
        <v>576</v>
      </c>
      <c r="HFU9" s="189" t="s">
        <v>574</v>
      </c>
      <c r="HFV9" s="352" t="s">
        <v>573</v>
      </c>
      <c r="HFW9" s="142" t="s">
        <v>575</v>
      </c>
      <c r="HFX9" s="358" t="s">
        <v>576</v>
      </c>
      <c r="HFY9" s="189" t="s">
        <v>574</v>
      </c>
      <c r="HFZ9" s="352" t="s">
        <v>573</v>
      </c>
      <c r="HGA9" s="142" t="s">
        <v>575</v>
      </c>
      <c r="HGB9" s="358" t="s">
        <v>576</v>
      </c>
      <c r="HGC9" s="189" t="s">
        <v>574</v>
      </c>
      <c r="HGD9" s="352" t="s">
        <v>573</v>
      </c>
      <c r="HGE9" s="142" t="s">
        <v>575</v>
      </c>
      <c r="HGF9" s="358" t="s">
        <v>576</v>
      </c>
      <c r="HGG9" s="189" t="s">
        <v>574</v>
      </c>
      <c r="HGH9" s="352" t="s">
        <v>573</v>
      </c>
      <c r="HGI9" s="142" t="s">
        <v>575</v>
      </c>
      <c r="HGJ9" s="358" t="s">
        <v>576</v>
      </c>
      <c r="HGK9" s="189" t="s">
        <v>574</v>
      </c>
      <c r="HGL9" s="352" t="s">
        <v>573</v>
      </c>
      <c r="HGM9" s="142" t="s">
        <v>575</v>
      </c>
      <c r="HGN9" s="358" t="s">
        <v>576</v>
      </c>
      <c r="HGO9" s="189" t="s">
        <v>574</v>
      </c>
      <c r="HGP9" s="352" t="s">
        <v>573</v>
      </c>
      <c r="HGQ9" s="142" t="s">
        <v>575</v>
      </c>
      <c r="HGR9" s="358" t="s">
        <v>576</v>
      </c>
      <c r="HGS9" s="189" t="s">
        <v>574</v>
      </c>
      <c r="HGT9" s="352" t="s">
        <v>573</v>
      </c>
      <c r="HGU9" s="142" t="s">
        <v>575</v>
      </c>
      <c r="HGV9" s="358" t="s">
        <v>576</v>
      </c>
      <c r="HGW9" s="189" t="s">
        <v>574</v>
      </c>
      <c r="HGX9" s="352" t="s">
        <v>573</v>
      </c>
      <c r="HGY9" s="142" t="s">
        <v>575</v>
      </c>
      <c r="HGZ9" s="358" t="s">
        <v>576</v>
      </c>
      <c r="HHA9" s="189" t="s">
        <v>574</v>
      </c>
      <c r="HHB9" s="352" t="s">
        <v>573</v>
      </c>
      <c r="HHC9" s="142" t="s">
        <v>575</v>
      </c>
      <c r="HHD9" s="358" t="s">
        <v>576</v>
      </c>
      <c r="HHE9" s="189" t="s">
        <v>574</v>
      </c>
      <c r="HHF9" s="352" t="s">
        <v>573</v>
      </c>
      <c r="HHG9" s="142" t="s">
        <v>575</v>
      </c>
      <c r="HHH9" s="358" t="s">
        <v>576</v>
      </c>
      <c r="HHI9" s="189" t="s">
        <v>574</v>
      </c>
      <c r="HHJ9" s="352" t="s">
        <v>573</v>
      </c>
      <c r="HHK9" s="142" t="s">
        <v>575</v>
      </c>
      <c r="HHL9" s="358" t="s">
        <v>576</v>
      </c>
      <c r="HHM9" s="189" t="s">
        <v>574</v>
      </c>
      <c r="HHN9" s="352" t="s">
        <v>573</v>
      </c>
      <c r="HHO9" s="142" t="s">
        <v>575</v>
      </c>
      <c r="HHP9" s="358" t="s">
        <v>576</v>
      </c>
      <c r="HHQ9" s="189" t="s">
        <v>574</v>
      </c>
      <c r="HHR9" s="352" t="s">
        <v>573</v>
      </c>
      <c r="HHS9" s="142" t="s">
        <v>575</v>
      </c>
      <c r="HHT9" s="358" t="s">
        <v>576</v>
      </c>
      <c r="HHU9" s="189" t="s">
        <v>574</v>
      </c>
      <c r="HHV9" s="352" t="s">
        <v>573</v>
      </c>
      <c r="HHW9" s="142" t="s">
        <v>575</v>
      </c>
      <c r="HHX9" s="358" t="s">
        <v>576</v>
      </c>
      <c r="HHY9" s="189" t="s">
        <v>574</v>
      </c>
      <c r="HHZ9" s="352" t="s">
        <v>573</v>
      </c>
      <c r="HIA9" s="142" t="s">
        <v>575</v>
      </c>
      <c r="HIB9" s="358" t="s">
        <v>576</v>
      </c>
      <c r="HIC9" s="189" t="s">
        <v>574</v>
      </c>
      <c r="HID9" s="352" t="s">
        <v>573</v>
      </c>
      <c r="HIE9" s="142" t="s">
        <v>575</v>
      </c>
      <c r="HIF9" s="358" t="s">
        <v>576</v>
      </c>
      <c r="HIG9" s="189" t="s">
        <v>574</v>
      </c>
      <c r="HIH9" s="352" t="s">
        <v>573</v>
      </c>
      <c r="HII9" s="142" t="s">
        <v>575</v>
      </c>
      <c r="HIJ9" s="358" t="s">
        <v>576</v>
      </c>
      <c r="HIK9" s="189" t="s">
        <v>574</v>
      </c>
      <c r="HIL9" s="352" t="s">
        <v>573</v>
      </c>
      <c r="HIM9" s="142" t="s">
        <v>575</v>
      </c>
      <c r="HIN9" s="358" t="s">
        <v>576</v>
      </c>
      <c r="HIO9" s="189" t="s">
        <v>574</v>
      </c>
      <c r="HIP9" s="352" t="s">
        <v>573</v>
      </c>
      <c r="HIQ9" s="142" t="s">
        <v>575</v>
      </c>
      <c r="HIR9" s="358" t="s">
        <v>576</v>
      </c>
      <c r="HIS9" s="189" t="s">
        <v>574</v>
      </c>
      <c r="HIT9" s="352" t="s">
        <v>573</v>
      </c>
      <c r="HIU9" s="142" t="s">
        <v>575</v>
      </c>
      <c r="HIV9" s="358" t="s">
        <v>576</v>
      </c>
      <c r="HIW9" s="189" t="s">
        <v>574</v>
      </c>
      <c r="HIX9" s="352" t="s">
        <v>573</v>
      </c>
      <c r="HIY9" s="142" t="s">
        <v>575</v>
      </c>
      <c r="HIZ9" s="358" t="s">
        <v>576</v>
      </c>
      <c r="HJA9" s="189" t="s">
        <v>574</v>
      </c>
      <c r="HJB9" s="352" t="s">
        <v>573</v>
      </c>
      <c r="HJC9" s="142" t="s">
        <v>575</v>
      </c>
      <c r="HJD9" s="358" t="s">
        <v>576</v>
      </c>
      <c r="HJE9" s="189" t="s">
        <v>574</v>
      </c>
      <c r="HJF9" s="352" t="s">
        <v>573</v>
      </c>
      <c r="HJG9" s="142" t="s">
        <v>575</v>
      </c>
      <c r="HJH9" s="358" t="s">
        <v>576</v>
      </c>
      <c r="HJI9" s="189" t="s">
        <v>574</v>
      </c>
      <c r="HJJ9" s="352" t="s">
        <v>573</v>
      </c>
      <c r="HJK9" s="142" t="s">
        <v>575</v>
      </c>
      <c r="HJL9" s="358" t="s">
        <v>576</v>
      </c>
      <c r="HJM9" s="189" t="s">
        <v>574</v>
      </c>
      <c r="HJN9" s="352" t="s">
        <v>573</v>
      </c>
      <c r="HJO9" s="142" t="s">
        <v>575</v>
      </c>
      <c r="HJP9" s="358" t="s">
        <v>576</v>
      </c>
      <c r="HJQ9" s="189" t="s">
        <v>574</v>
      </c>
      <c r="HJR9" s="352" t="s">
        <v>573</v>
      </c>
      <c r="HJS9" s="142" t="s">
        <v>575</v>
      </c>
      <c r="HJT9" s="358" t="s">
        <v>576</v>
      </c>
      <c r="HJU9" s="189" t="s">
        <v>574</v>
      </c>
      <c r="HJV9" s="352" t="s">
        <v>573</v>
      </c>
      <c r="HJW9" s="142" t="s">
        <v>575</v>
      </c>
      <c r="HJX9" s="358" t="s">
        <v>576</v>
      </c>
      <c r="HJY9" s="189" t="s">
        <v>574</v>
      </c>
      <c r="HJZ9" s="352" t="s">
        <v>573</v>
      </c>
      <c r="HKA9" s="142" t="s">
        <v>575</v>
      </c>
      <c r="HKB9" s="358" t="s">
        <v>576</v>
      </c>
      <c r="HKC9" s="189" t="s">
        <v>574</v>
      </c>
      <c r="HKD9" s="352" t="s">
        <v>573</v>
      </c>
      <c r="HKE9" s="142" t="s">
        <v>575</v>
      </c>
      <c r="HKF9" s="358" t="s">
        <v>576</v>
      </c>
      <c r="HKG9" s="189" t="s">
        <v>574</v>
      </c>
      <c r="HKH9" s="352" t="s">
        <v>573</v>
      </c>
      <c r="HKI9" s="142" t="s">
        <v>575</v>
      </c>
      <c r="HKJ9" s="358" t="s">
        <v>576</v>
      </c>
      <c r="HKK9" s="189" t="s">
        <v>574</v>
      </c>
      <c r="HKL9" s="352" t="s">
        <v>573</v>
      </c>
      <c r="HKM9" s="142" t="s">
        <v>575</v>
      </c>
      <c r="HKN9" s="358" t="s">
        <v>576</v>
      </c>
      <c r="HKO9" s="189" t="s">
        <v>574</v>
      </c>
      <c r="HKP9" s="352" t="s">
        <v>573</v>
      </c>
      <c r="HKQ9" s="142" t="s">
        <v>575</v>
      </c>
      <c r="HKR9" s="358" t="s">
        <v>576</v>
      </c>
      <c r="HKS9" s="189" t="s">
        <v>574</v>
      </c>
      <c r="HKT9" s="352" t="s">
        <v>573</v>
      </c>
      <c r="HKU9" s="142" t="s">
        <v>575</v>
      </c>
      <c r="HKV9" s="358" t="s">
        <v>576</v>
      </c>
      <c r="HKW9" s="189" t="s">
        <v>574</v>
      </c>
      <c r="HKX9" s="352" t="s">
        <v>573</v>
      </c>
      <c r="HKY9" s="142" t="s">
        <v>575</v>
      </c>
      <c r="HKZ9" s="358" t="s">
        <v>576</v>
      </c>
      <c r="HLA9" s="189" t="s">
        <v>574</v>
      </c>
      <c r="HLB9" s="352" t="s">
        <v>573</v>
      </c>
      <c r="HLC9" s="142" t="s">
        <v>575</v>
      </c>
      <c r="HLD9" s="358" t="s">
        <v>576</v>
      </c>
      <c r="HLE9" s="189" t="s">
        <v>574</v>
      </c>
      <c r="HLF9" s="352" t="s">
        <v>573</v>
      </c>
      <c r="HLG9" s="142" t="s">
        <v>575</v>
      </c>
      <c r="HLH9" s="358" t="s">
        <v>576</v>
      </c>
      <c r="HLI9" s="189" t="s">
        <v>574</v>
      </c>
      <c r="HLJ9" s="352" t="s">
        <v>573</v>
      </c>
      <c r="HLK9" s="142" t="s">
        <v>575</v>
      </c>
      <c r="HLL9" s="358" t="s">
        <v>576</v>
      </c>
      <c r="HLM9" s="189" t="s">
        <v>574</v>
      </c>
      <c r="HLN9" s="352" t="s">
        <v>573</v>
      </c>
      <c r="HLO9" s="142" t="s">
        <v>575</v>
      </c>
      <c r="HLP9" s="358" t="s">
        <v>576</v>
      </c>
      <c r="HLQ9" s="189" t="s">
        <v>574</v>
      </c>
      <c r="HLR9" s="352" t="s">
        <v>573</v>
      </c>
      <c r="HLS9" s="142" t="s">
        <v>575</v>
      </c>
      <c r="HLT9" s="358" t="s">
        <v>576</v>
      </c>
      <c r="HLU9" s="189" t="s">
        <v>574</v>
      </c>
      <c r="HLV9" s="352" t="s">
        <v>573</v>
      </c>
      <c r="HLW9" s="142" t="s">
        <v>575</v>
      </c>
      <c r="HLX9" s="358" t="s">
        <v>576</v>
      </c>
      <c r="HLY9" s="189" t="s">
        <v>574</v>
      </c>
      <c r="HLZ9" s="352" t="s">
        <v>573</v>
      </c>
      <c r="HMA9" s="142" t="s">
        <v>575</v>
      </c>
      <c r="HMB9" s="358" t="s">
        <v>576</v>
      </c>
      <c r="HMC9" s="189" t="s">
        <v>574</v>
      </c>
      <c r="HMD9" s="352" t="s">
        <v>573</v>
      </c>
      <c r="HME9" s="142" t="s">
        <v>575</v>
      </c>
      <c r="HMF9" s="358" t="s">
        <v>576</v>
      </c>
      <c r="HMG9" s="189" t="s">
        <v>574</v>
      </c>
      <c r="HMH9" s="352" t="s">
        <v>573</v>
      </c>
      <c r="HMI9" s="142" t="s">
        <v>575</v>
      </c>
      <c r="HMJ9" s="358" t="s">
        <v>576</v>
      </c>
      <c r="HMK9" s="189" t="s">
        <v>574</v>
      </c>
      <c r="HML9" s="352" t="s">
        <v>573</v>
      </c>
      <c r="HMM9" s="142" t="s">
        <v>575</v>
      </c>
      <c r="HMN9" s="358" t="s">
        <v>576</v>
      </c>
      <c r="HMO9" s="189" t="s">
        <v>574</v>
      </c>
      <c r="HMP9" s="352" t="s">
        <v>573</v>
      </c>
      <c r="HMQ9" s="142" t="s">
        <v>575</v>
      </c>
      <c r="HMR9" s="358" t="s">
        <v>576</v>
      </c>
      <c r="HMS9" s="189" t="s">
        <v>574</v>
      </c>
      <c r="HMT9" s="352" t="s">
        <v>573</v>
      </c>
      <c r="HMU9" s="142" t="s">
        <v>575</v>
      </c>
      <c r="HMV9" s="358" t="s">
        <v>576</v>
      </c>
      <c r="HMW9" s="189" t="s">
        <v>574</v>
      </c>
      <c r="HMX9" s="352" t="s">
        <v>573</v>
      </c>
      <c r="HMY9" s="142" t="s">
        <v>575</v>
      </c>
      <c r="HMZ9" s="358" t="s">
        <v>576</v>
      </c>
      <c r="HNA9" s="189" t="s">
        <v>574</v>
      </c>
      <c r="HNB9" s="352" t="s">
        <v>573</v>
      </c>
      <c r="HNC9" s="142" t="s">
        <v>575</v>
      </c>
      <c r="HND9" s="358" t="s">
        <v>576</v>
      </c>
      <c r="HNE9" s="189" t="s">
        <v>574</v>
      </c>
      <c r="HNF9" s="352" t="s">
        <v>573</v>
      </c>
      <c r="HNG9" s="142" t="s">
        <v>575</v>
      </c>
      <c r="HNH9" s="358" t="s">
        <v>576</v>
      </c>
      <c r="HNI9" s="189" t="s">
        <v>574</v>
      </c>
      <c r="HNJ9" s="352" t="s">
        <v>573</v>
      </c>
      <c r="HNK9" s="142" t="s">
        <v>575</v>
      </c>
      <c r="HNL9" s="358" t="s">
        <v>576</v>
      </c>
      <c r="HNM9" s="189" t="s">
        <v>574</v>
      </c>
      <c r="HNN9" s="352" t="s">
        <v>573</v>
      </c>
      <c r="HNO9" s="142" t="s">
        <v>575</v>
      </c>
      <c r="HNP9" s="358" t="s">
        <v>576</v>
      </c>
      <c r="HNQ9" s="189" t="s">
        <v>574</v>
      </c>
      <c r="HNR9" s="352" t="s">
        <v>573</v>
      </c>
      <c r="HNS9" s="142" t="s">
        <v>575</v>
      </c>
      <c r="HNT9" s="358" t="s">
        <v>576</v>
      </c>
      <c r="HNU9" s="189" t="s">
        <v>574</v>
      </c>
      <c r="HNV9" s="352" t="s">
        <v>573</v>
      </c>
      <c r="HNW9" s="142" t="s">
        <v>575</v>
      </c>
      <c r="HNX9" s="358" t="s">
        <v>576</v>
      </c>
      <c r="HNY9" s="189" t="s">
        <v>574</v>
      </c>
      <c r="HNZ9" s="352" t="s">
        <v>573</v>
      </c>
      <c r="HOA9" s="142" t="s">
        <v>575</v>
      </c>
      <c r="HOB9" s="358" t="s">
        <v>576</v>
      </c>
      <c r="HOC9" s="189" t="s">
        <v>574</v>
      </c>
      <c r="HOD9" s="352" t="s">
        <v>573</v>
      </c>
      <c r="HOE9" s="142" t="s">
        <v>575</v>
      </c>
      <c r="HOF9" s="358" t="s">
        <v>576</v>
      </c>
      <c r="HOG9" s="189" t="s">
        <v>574</v>
      </c>
      <c r="HOH9" s="352" t="s">
        <v>573</v>
      </c>
      <c r="HOI9" s="142" t="s">
        <v>575</v>
      </c>
      <c r="HOJ9" s="358" t="s">
        <v>576</v>
      </c>
      <c r="HOK9" s="189" t="s">
        <v>574</v>
      </c>
      <c r="HOL9" s="352" t="s">
        <v>573</v>
      </c>
      <c r="HOM9" s="142" t="s">
        <v>575</v>
      </c>
      <c r="HON9" s="358" t="s">
        <v>576</v>
      </c>
      <c r="HOO9" s="189" t="s">
        <v>574</v>
      </c>
      <c r="HOP9" s="352" t="s">
        <v>573</v>
      </c>
      <c r="HOQ9" s="142" t="s">
        <v>575</v>
      </c>
      <c r="HOR9" s="358" t="s">
        <v>576</v>
      </c>
      <c r="HOS9" s="189" t="s">
        <v>574</v>
      </c>
      <c r="HOT9" s="352" t="s">
        <v>573</v>
      </c>
      <c r="HOU9" s="142" t="s">
        <v>575</v>
      </c>
      <c r="HOV9" s="358" t="s">
        <v>576</v>
      </c>
      <c r="HOW9" s="189" t="s">
        <v>574</v>
      </c>
      <c r="HOX9" s="352" t="s">
        <v>573</v>
      </c>
      <c r="HOY9" s="142" t="s">
        <v>575</v>
      </c>
      <c r="HOZ9" s="358" t="s">
        <v>576</v>
      </c>
      <c r="HPA9" s="189" t="s">
        <v>574</v>
      </c>
      <c r="HPB9" s="352" t="s">
        <v>573</v>
      </c>
      <c r="HPC9" s="142" t="s">
        <v>575</v>
      </c>
      <c r="HPD9" s="358" t="s">
        <v>576</v>
      </c>
      <c r="HPE9" s="189" t="s">
        <v>574</v>
      </c>
      <c r="HPF9" s="352" t="s">
        <v>573</v>
      </c>
      <c r="HPG9" s="142" t="s">
        <v>575</v>
      </c>
      <c r="HPH9" s="358" t="s">
        <v>576</v>
      </c>
      <c r="HPI9" s="189" t="s">
        <v>574</v>
      </c>
      <c r="HPJ9" s="352" t="s">
        <v>573</v>
      </c>
      <c r="HPK9" s="142" t="s">
        <v>575</v>
      </c>
      <c r="HPL9" s="358" t="s">
        <v>576</v>
      </c>
      <c r="HPM9" s="189" t="s">
        <v>574</v>
      </c>
      <c r="HPN9" s="352" t="s">
        <v>573</v>
      </c>
      <c r="HPO9" s="142" t="s">
        <v>575</v>
      </c>
      <c r="HPP9" s="358" t="s">
        <v>576</v>
      </c>
      <c r="HPQ9" s="189" t="s">
        <v>574</v>
      </c>
      <c r="HPR9" s="352" t="s">
        <v>573</v>
      </c>
      <c r="HPS9" s="142" t="s">
        <v>575</v>
      </c>
      <c r="HPT9" s="358" t="s">
        <v>576</v>
      </c>
      <c r="HPU9" s="189" t="s">
        <v>574</v>
      </c>
      <c r="HPV9" s="352" t="s">
        <v>573</v>
      </c>
      <c r="HPW9" s="142" t="s">
        <v>575</v>
      </c>
      <c r="HPX9" s="358" t="s">
        <v>576</v>
      </c>
      <c r="HPY9" s="189" t="s">
        <v>574</v>
      </c>
      <c r="HPZ9" s="352" t="s">
        <v>573</v>
      </c>
      <c r="HQA9" s="142" t="s">
        <v>575</v>
      </c>
      <c r="HQB9" s="358" t="s">
        <v>576</v>
      </c>
      <c r="HQC9" s="189" t="s">
        <v>574</v>
      </c>
      <c r="HQD9" s="352" t="s">
        <v>573</v>
      </c>
      <c r="HQE9" s="142" t="s">
        <v>575</v>
      </c>
      <c r="HQF9" s="358" t="s">
        <v>576</v>
      </c>
      <c r="HQG9" s="189" t="s">
        <v>574</v>
      </c>
      <c r="HQH9" s="352" t="s">
        <v>573</v>
      </c>
      <c r="HQI9" s="142" t="s">
        <v>575</v>
      </c>
      <c r="HQJ9" s="358" t="s">
        <v>576</v>
      </c>
      <c r="HQK9" s="189" t="s">
        <v>574</v>
      </c>
      <c r="HQL9" s="352" t="s">
        <v>573</v>
      </c>
      <c r="HQM9" s="142" t="s">
        <v>575</v>
      </c>
      <c r="HQN9" s="358" t="s">
        <v>576</v>
      </c>
      <c r="HQO9" s="189" t="s">
        <v>574</v>
      </c>
      <c r="HQP9" s="352" t="s">
        <v>573</v>
      </c>
      <c r="HQQ9" s="142" t="s">
        <v>575</v>
      </c>
      <c r="HQR9" s="358" t="s">
        <v>576</v>
      </c>
      <c r="HQS9" s="189" t="s">
        <v>574</v>
      </c>
      <c r="HQT9" s="352" t="s">
        <v>573</v>
      </c>
      <c r="HQU9" s="142" t="s">
        <v>575</v>
      </c>
      <c r="HQV9" s="358" t="s">
        <v>576</v>
      </c>
      <c r="HQW9" s="189" t="s">
        <v>574</v>
      </c>
      <c r="HQX9" s="352" t="s">
        <v>573</v>
      </c>
      <c r="HQY9" s="142" t="s">
        <v>575</v>
      </c>
      <c r="HQZ9" s="358" t="s">
        <v>576</v>
      </c>
      <c r="HRA9" s="189" t="s">
        <v>574</v>
      </c>
      <c r="HRB9" s="352" t="s">
        <v>573</v>
      </c>
      <c r="HRC9" s="142" t="s">
        <v>575</v>
      </c>
      <c r="HRD9" s="358" t="s">
        <v>576</v>
      </c>
      <c r="HRE9" s="189" t="s">
        <v>574</v>
      </c>
      <c r="HRF9" s="352" t="s">
        <v>573</v>
      </c>
      <c r="HRG9" s="142" t="s">
        <v>575</v>
      </c>
      <c r="HRH9" s="358" t="s">
        <v>576</v>
      </c>
      <c r="HRI9" s="189" t="s">
        <v>574</v>
      </c>
      <c r="HRJ9" s="352" t="s">
        <v>573</v>
      </c>
      <c r="HRK9" s="142" t="s">
        <v>575</v>
      </c>
      <c r="HRL9" s="358" t="s">
        <v>576</v>
      </c>
      <c r="HRM9" s="189" t="s">
        <v>574</v>
      </c>
      <c r="HRN9" s="352" t="s">
        <v>573</v>
      </c>
      <c r="HRO9" s="142" t="s">
        <v>575</v>
      </c>
      <c r="HRP9" s="358" t="s">
        <v>576</v>
      </c>
      <c r="HRQ9" s="189" t="s">
        <v>574</v>
      </c>
      <c r="HRR9" s="352" t="s">
        <v>573</v>
      </c>
      <c r="HRS9" s="142" t="s">
        <v>575</v>
      </c>
      <c r="HRT9" s="358" t="s">
        <v>576</v>
      </c>
      <c r="HRU9" s="189" t="s">
        <v>574</v>
      </c>
      <c r="HRV9" s="352" t="s">
        <v>573</v>
      </c>
      <c r="HRW9" s="142" t="s">
        <v>575</v>
      </c>
      <c r="HRX9" s="358" t="s">
        <v>576</v>
      </c>
      <c r="HRY9" s="189" t="s">
        <v>574</v>
      </c>
      <c r="HRZ9" s="352" t="s">
        <v>573</v>
      </c>
      <c r="HSA9" s="142" t="s">
        <v>575</v>
      </c>
      <c r="HSB9" s="358" t="s">
        <v>576</v>
      </c>
      <c r="HSC9" s="189" t="s">
        <v>574</v>
      </c>
      <c r="HSD9" s="352" t="s">
        <v>573</v>
      </c>
      <c r="HSE9" s="142" t="s">
        <v>575</v>
      </c>
      <c r="HSF9" s="358" t="s">
        <v>576</v>
      </c>
      <c r="HSG9" s="189" t="s">
        <v>574</v>
      </c>
      <c r="HSH9" s="352" t="s">
        <v>573</v>
      </c>
      <c r="HSI9" s="142" t="s">
        <v>575</v>
      </c>
      <c r="HSJ9" s="358" t="s">
        <v>576</v>
      </c>
      <c r="HSK9" s="189" t="s">
        <v>574</v>
      </c>
      <c r="HSL9" s="352" t="s">
        <v>573</v>
      </c>
      <c r="HSM9" s="142" t="s">
        <v>575</v>
      </c>
      <c r="HSN9" s="358" t="s">
        <v>576</v>
      </c>
      <c r="HSO9" s="189" t="s">
        <v>574</v>
      </c>
      <c r="HSP9" s="352" t="s">
        <v>573</v>
      </c>
      <c r="HSQ9" s="142" t="s">
        <v>575</v>
      </c>
      <c r="HSR9" s="358" t="s">
        <v>576</v>
      </c>
      <c r="HSS9" s="189" t="s">
        <v>574</v>
      </c>
      <c r="HST9" s="352" t="s">
        <v>573</v>
      </c>
      <c r="HSU9" s="142" t="s">
        <v>575</v>
      </c>
      <c r="HSV9" s="358" t="s">
        <v>576</v>
      </c>
      <c r="HSW9" s="189" t="s">
        <v>574</v>
      </c>
      <c r="HSX9" s="352" t="s">
        <v>573</v>
      </c>
      <c r="HSY9" s="142" t="s">
        <v>575</v>
      </c>
      <c r="HSZ9" s="358" t="s">
        <v>576</v>
      </c>
      <c r="HTA9" s="189" t="s">
        <v>574</v>
      </c>
      <c r="HTB9" s="352" t="s">
        <v>573</v>
      </c>
      <c r="HTC9" s="142" t="s">
        <v>575</v>
      </c>
      <c r="HTD9" s="358" t="s">
        <v>576</v>
      </c>
      <c r="HTE9" s="189" t="s">
        <v>574</v>
      </c>
      <c r="HTF9" s="352" t="s">
        <v>573</v>
      </c>
      <c r="HTG9" s="142" t="s">
        <v>575</v>
      </c>
      <c r="HTH9" s="358" t="s">
        <v>576</v>
      </c>
      <c r="HTI9" s="189" t="s">
        <v>574</v>
      </c>
      <c r="HTJ9" s="352" t="s">
        <v>573</v>
      </c>
      <c r="HTK9" s="142" t="s">
        <v>575</v>
      </c>
      <c r="HTL9" s="358" t="s">
        <v>576</v>
      </c>
      <c r="HTM9" s="189" t="s">
        <v>574</v>
      </c>
      <c r="HTN9" s="352" t="s">
        <v>573</v>
      </c>
      <c r="HTO9" s="142" t="s">
        <v>575</v>
      </c>
      <c r="HTP9" s="358" t="s">
        <v>576</v>
      </c>
      <c r="HTQ9" s="189" t="s">
        <v>574</v>
      </c>
      <c r="HTR9" s="352" t="s">
        <v>573</v>
      </c>
      <c r="HTS9" s="142" t="s">
        <v>575</v>
      </c>
      <c r="HTT9" s="358" t="s">
        <v>576</v>
      </c>
      <c r="HTU9" s="189" t="s">
        <v>574</v>
      </c>
      <c r="HTV9" s="352" t="s">
        <v>573</v>
      </c>
      <c r="HTW9" s="142" t="s">
        <v>575</v>
      </c>
      <c r="HTX9" s="358" t="s">
        <v>576</v>
      </c>
      <c r="HTY9" s="189" t="s">
        <v>574</v>
      </c>
      <c r="HTZ9" s="352" t="s">
        <v>573</v>
      </c>
      <c r="HUA9" s="142" t="s">
        <v>575</v>
      </c>
      <c r="HUB9" s="358" t="s">
        <v>576</v>
      </c>
      <c r="HUC9" s="189" t="s">
        <v>574</v>
      </c>
      <c r="HUD9" s="352" t="s">
        <v>573</v>
      </c>
      <c r="HUE9" s="142" t="s">
        <v>575</v>
      </c>
      <c r="HUF9" s="358" t="s">
        <v>576</v>
      </c>
      <c r="HUG9" s="189" t="s">
        <v>574</v>
      </c>
      <c r="HUH9" s="352" t="s">
        <v>573</v>
      </c>
      <c r="HUI9" s="142" t="s">
        <v>575</v>
      </c>
      <c r="HUJ9" s="358" t="s">
        <v>576</v>
      </c>
      <c r="HUK9" s="189" t="s">
        <v>574</v>
      </c>
      <c r="HUL9" s="352" t="s">
        <v>573</v>
      </c>
      <c r="HUM9" s="142" t="s">
        <v>575</v>
      </c>
      <c r="HUN9" s="358" t="s">
        <v>576</v>
      </c>
      <c r="HUO9" s="189" t="s">
        <v>574</v>
      </c>
      <c r="HUP9" s="352" t="s">
        <v>573</v>
      </c>
      <c r="HUQ9" s="142" t="s">
        <v>575</v>
      </c>
      <c r="HUR9" s="358" t="s">
        <v>576</v>
      </c>
      <c r="HUS9" s="189" t="s">
        <v>574</v>
      </c>
      <c r="HUT9" s="352" t="s">
        <v>573</v>
      </c>
      <c r="HUU9" s="142" t="s">
        <v>575</v>
      </c>
      <c r="HUV9" s="358" t="s">
        <v>576</v>
      </c>
      <c r="HUW9" s="189" t="s">
        <v>574</v>
      </c>
      <c r="HUX9" s="352" t="s">
        <v>573</v>
      </c>
      <c r="HUY9" s="142" t="s">
        <v>575</v>
      </c>
      <c r="HUZ9" s="358" t="s">
        <v>576</v>
      </c>
      <c r="HVA9" s="189" t="s">
        <v>574</v>
      </c>
      <c r="HVB9" s="352" t="s">
        <v>573</v>
      </c>
      <c r="HVC9" s="142" t="s">
        <v>575</v>
      </c>
      <c r="HVD9" s="358" t="s">
        <v>576</v>
      </c>
      <c r="HVE9" s="189" t="s">
        <v>574</v>
      </c>
      <c r="HVF9" s="352" t="s">
        <v>573</v>
      </c>
      <c r="HVG9" s="142" t="s">
        <v>575</v>
      </c>
      <c r="HVH9" s="358" t="s">
        <v>576</v>
      </c>
      <c r="HVI9" s="189" t="s">
        <v>574</v>
      </c>
      <c r="HVJ9" s="352" t="s">
        <v>573</v>
      </c>
      <c r="HVK9" s="142" t="s">
        <v>575</v>
      </c>
      <c r="HVL9" s="358" t="s">
        <v>576</v>
      </c>
      <c r="HVM9" s="189" t="s">
        <v>574</v>
      </c>
      <c r="HVN9" s="352" t="s">
        <v>573</v>
      </c>
      <c r="HVO9" s="142" t="s">
        <v>575</v>
      </c>
      <c r="HVP9" s="358" t="s">
        <v>576</v>
      </c>
      <c r="HVQ9" s="189" t="s">
        <v>574</v>
      </c>
      <c r="HVR9" s="352" t="s">
        <v>573</v>
      </c>
      <c r="HVS9" s="142" t="s">
        <v>575</v>
      </c>
      <c r="HVT9" s="358" t="s">
        <v>576</v>
      </c>
      <c r="HVU9" s="189" t="s">
        <v>574</v>
      </c>
      <c r="HVV9" s="352" t="s">
        <v>573</v>
      </c>
      <c r="HVW9" s="142" t="s">
        <v>575</v>
      </c>
      <c r="HVX9" s="358" t="s">
        <v>576</v>
      </c>
      <c r="HVY9" s="189" t="s">
        <v>574</v>
      </c>
      <c r="HVZ9" s="352" t="s">
        <v>573</v>
      </c>
      <c r="HWA9" s="142" t="s">
        <v>575</v>
      </c>
      <c r="HWB9" s="358" t="s">
        <v>576</v>
      </c>
      <c r="HWC9" s="189" t="s">
        <v>574</v>
      </c>
      <c r="HWD9" s="352" t="s">
        <v>573</v>
      </c>
      <c r="HWE9" s="142" t="s">
        <v>575</v>
      </c>
      <c r="HWF9" s="358" t="s">
        <v>576</v>
      </c>
      <c r="HWG9" s="189" t="s">
        <v>574</v>
      </c>
      <c r="HWH9" s="352" t="s">
        <v>573</v>
      </c>
      <c r="HWI9" s="142" t="s">
        <v>575</v>
      </c>
      <c r="HWJ9" s="358" t="s">
        <v>576</v>
      </c>
      <c r="HWK9" s="189" t="s">
        <v>574</v>
      </c>
      <c r="HWL9" s="352" t="s">
        <v>573</v>
      </c>
      <c r="HWM9" s="142" t="s">
        <v>575</v>
      </c>
      <c r="HWN9" s="358" t="s">
        <v>576</v>
      </c>
      <c r="HWO9" s="189" t="s">
        <v>574</v>
      </c>
      <c r="HWP9" s="352" t="s">
        <v>573</v>
      </c>
      <c r="HWQ9" s="142" t="s">
        <v>575</v>
      </c>
      <c r="HWR9" s="358" t="s">
        <v>576</v>
      </c>
      <c r="HWS9" s="189" t="s">
        <v>574</v>
      </c>
      <c r="HWT9" s="352" t="s">
        <v>573</v>
      </c>
      <c r="HWU9" s="142" t="s">
        <v>575</v>
      </c>
      <c r="HWV9" s="358" t="s">
        <v>576</v>
      </c>
      <c r="HWW9" s="189" t="s">
        <v>574</v>
      </c>
      <c r="HWX9" s="352" t="s">
        <v>573</v>
      </c>
      <c r="HWY9" s="142" t="s">
        <v>575</v>
      </c>
      <c r="HWZ9" s="358" t="s">
        <v>576</v>
      </c>
      <c r="HXA9" s="189" t="s">
        <v>574</v>
      </c>
      <c r="HXB9" s="352" t="s">
        <v>573</v>
      </c>
      <c r="HXC9" s="142" t="s">
        <v>575</v>
      </c>
      <c r="HXD9" s="358" t="s">
        <v>576</v>
      </c>
      <c r="HXE9" s="189" t="s">
        <v>574</v>
      </c>
      <c r="HXF9" s="352" t="s">
        <v>573</v>
      </c>
      <c r="HXG9" s="142" t="s">
        <v>575</v>
      </c>
      <c r="HXH9" s="358" t="s">
        <v>576</v>
      </c>
      <c r="HXI9" s="189" t="s">
        <v>574</v>
      </c>
      <c r="HXJ9" s="352" t="s">
        <v>573</v>
      </c>
      <c r="HXK9" s="142" t="s">
        <v>575</v>
      </c>
      <c r="HXL9" s="358" t="s">
        <v>576</v>
      </c>
      <c r="HXM9" s="189" t="s">
        <v>574</v>
      </c>
      <c r="HXN9" s="352" t="s">
        <v>573</v>
      </c>
      <c r="HXO9" s="142" t="s">
        <v>575</v>
      </c>
      <c r="HXP9" s="358" t="s">
        <v>576</v>
      </c>
      <c r="HXQ9" s="189" t="s">
        <v>574</v>
      </c>
      <c r="HXR9" s="352" t="s">
        <v>573</v>
      </c>
      <c r="HXS9" s="142" t="s">
        <v>575</v>
      </c>
      <c r="HXT9" s="358" t="s">
        <v>576</v>
      </c>
      <c r="HXU9" s="189" t="s">
        <v>574</v>
      </c>
      <c r="HXV9" s="352" t="s">
        <v>573</v>
      </c>
      <c r="HXW9" s="142" t="s">
        <v>575</v>
      </c>
      <c r="HXX9" s="358" t="s">
        <v>576</v>
      </c>
      <c r="HXY9" s="189" t="s">
        <v>574</v>
      </c>
      <c r="HXZ9" s="352" t="s">
        <v>573</v>
      </c>
      <c r="HYA9" s="142" t="s">
        <v>575</v>
      </c>
      <c r="HYB9" s="358" t="s">
        <v>576</v>
      </c>
      <c r="HYC9" s="189" t="s">
        <v>574</v>
      </c>
      <c r="HYD9" s="352" t="s">
        <v>573</v>
      </c>
      <c r="HYE9" s="142" t="s">
        <v>575</v>
      </c>
      <c r="HYF9" s="358" t="s">
        <v>576</v>
      </c>
      <c r="HYG9" s="189" t="s">
        <v>574</v>
      </c>
      <c r="HYH9" s="352" t="s">
        <v>573</v>
      </c>
      <c r="HYI9" s="142" t="s">
        <v>575</v>
      </c>
      <c r="HYJ9" s="358" t="s">
        <v>576</v>
      </c>
      <c r="HYK9" s="189" t="s">
        <v>574</v>
      </c>
      <c r="HYL9" s="352" t="s">
        <v>573</v>
      </c>
      <c r="HYM9" s="142" t="s">
        <v>575</v>
      </c>
      <c r="HYN9" s="358" t="s">
        <v>576</v>
      </c>
      <c r="HYO9" s="189" t="s">
        <v>574</v>
      </c>
      <c r="HYP9" s="352" t="s">
        <v>573</v>
      </c>
      <c r="HYQ9" s="142" t="s">
        <v>575</v>
      </c>
      <c r="HYR9" s="358" t="s">
        <v>576</v>
      </c>
      <c r="HYS9" s="189" t="s">
        <v>574</v>
      </c>
      <c r="HYT9" s="352" t="s">
        <v>573</v>
      </c>
      <c r="HYU9" s="142" t="s">
        <v>575</v>
      </c>
      <c r="HYV9" s="358" t="s">
        <v>576</v>
      </c>
      <c r="HYW9" s="189" t="s">
        <v>574</v>
      </c>
      <c r="HYX9" s="352" t="s">
        <v>573</v>
      </c>
      <c r="HYY9" s="142" t="s">
        <v>575</v>
      </c>
      <c r="HYZ9" s="358" t="s">
        <v>576</v>
      </c>
      <c r="HZA9" s="189" t="s">
        <v>574</v>
      </c>
      <c r="HZB9" s="352" t="s">
        <v>573</v>
      </c>
      <c r="HZC9" s="142" t="s">
        <v>575</v>
      </c>
      <c r="HZD9" s="358" t="s">
        <v>576</v>
      </c>
      <c r="HZE9" s="189" t="s">
        <v>574</v>
      </c>
      <c r="HZF9" s="352" t="s">
        <v>573</v>
      </c>
      <c r="HZG9" s="142" t="s">
        <v>575</v>
      </c>
      <c r="HZH9" s="358" t="s">
        <v>576</v>
      </c>
      <c r="HZI9" s="189" t="s">
        <v>574</v>
      </c>
      <c r="HZJ9" s="352" t="s">
        <v>573</v>
      </c>
      <c r="HZK9" s="142" t="s">
        <v>575</v>
      </c>
      <c r="HZL9" s="358" t="s">
        <v>576</v>
      </c>
      <c r="HZM9" s="189" t="s">
        <v>574</v>
      </c>
      <c r="HZN9" s="352" t="s">
        <v>573</v>
      </c>
      <c r="HZO9" s="142" t="s">
        <v>575</v>
      </c>
      <c r="HZP9" s="358" t="s">
        <v>576</v>
      </c>
      <c r="HZQ9" s="189" t="s">
        <v>574</v>
      </c>
      <c r="HZR9" s="352" t="s">
        <v>573</v>
      </c>
      <c r="HZS9" s="142" t="s">
        <v>575</v>
      </c>
      <c r="HZT9" s="358" t="s">
        <v>576</v>
      </c>
      <c r="HZU9" s="189" t="s">
        <v>574</v>
      </c>
      <c r="HZV9" s="352" t="s">
        <v>573</v>
      </c>
      <c r="HZW9" s="142" t="s">
        <v>575</v>
      </c>
      <c r="HZX9" s="358" t="s">
        <v>576</v>
      </c>
      <c r="HZY9" s="189" t="s">
        <v>574</v>
      </c>
      <c r="HZZ9" s="352" t="s">
        <v>573</v>
      </c>
      <c r="IAA9" s="142" t="s">
        <v>575</v>
      </c>
      <c r="IAB9" s="358" t="s">
        <v>576</v>
      </c>
      <c r="IAC9" s="189" t="s">
        <v>574</v>
      </c>
      <c r="IAD9" s="352" t="s">
        <v>573</v>
      </c>
      <c r="IAE9" s="142" t="s">
        <v>575</v>
      </c>
      <c r="IAF9" s="358" t="s">
        <v>576</v>
      </c>
      <c r="IAG9" s="189" t="s">
        <v>574</v>
      </c>
      <c r="IAH9" s="352" t="s">
        <v>573</v>
      </c>
      <c r="IAI9" s="142" t="s">
        <v>575</v>
      </c>
      <c r="IAJ9" s="358" t="s">
        <v>576</v>
      </c>
      <c r="IAK9" s="189" t="s">
        <v>574</v>
      </c>
      <c r="IAL9" s="352" t="s">
        <v>573</v>
      </c>
      <c r="IAM9" s="142" t="s">
        <v>575</v>
      </c>
      <c r="IAN9" s="358" t="s">
        <v>576</v>
      </c>
      <c r="IAO9" s="189" t="s">
        <v>574</v>
      </c>
      <c r="IAP9" s="352" t="s">
        <v>573</v>
      </c>
      <c r="IAQ9" s="142" t="s">
        <v>575</v>
      </c>
      <c r="IAR9" s="358" t="s">
        <v>576</v>
      </c>
      <c r="IAS9" s="189" t="s">
        <v>574</v>
      </c>
      <c r="IAT9" s="352" t="s">
        <v>573</v>
      </c>
      <c r="IAU9" s="142" t="s">
        <v>575</v>
      </c>
      <c r="IAV9" s="358" t="s">
        <v>576</v>
      </c>
      <c r="IAW9" s="189" t="s">
        <v>574</v>
      </c>
      <c r="IAX9" s="352" t="s">
        <v>573</v>
      </c>
      <c r="IAY9" s="142" t="s">
        <v>575</v>
      </c>
      <c r="IAZ9" s="358" t="s">
        <v>576</v>
      </c>
      <c r="IBA9" s="189" t="s">
        <v>574</v>
      </c>
      <c r="IBB9" s="352" t="s">
        <v>573</v>
      </c>
      <c r="IBC9" s="142" t="s">
        <v>575</v>
      </c>
      <c r="IBD9" s="358" t="s">
        <v>576</v>
      </c>
      <c r="IBE9" s="189" t="s">
        <v>574</v>
      </c>
      <c r="IBF9" s="352" t="s">
        <v>573</v>
      </c>
      <c r="IBG9" s="142" t="s">
        <v>575</v>
      </c>
      <c r="IBH9" s="358" t="s">
        <v>576</v>
      </c>
      <c r="IBI9" s="189" t="s">
        <v>574</v>
      </c>
      <c r="IBJ9" s="352" t="s">
        <v>573</v>
      </c>
      <c r="IBK9" s="142" t="s">
        <v>575</v>
      </c>
      <c r="IBL9" s="358" t="s">
        <v>576</v>
      </c>
      <c r="IBM9" s="189" t="s">
        <v>574</v>
      </c>
      <c r="IBN9" s="352" t="s">
        <v>573</v>
      </c>
      <c r="IBO9" s="142" t="s">
        <v>575</v>
      </c>
      <c r="IBP9" s="358" t="s">
        <v>576</v>
      </c>
      <c r="IBQ9" s="189" t="s">
        <v>574</v>
      </c>
      <c r="IBR9" s="352" t="s">
        <v>573</v>
      </c>
      <c r="IBS9" s="142" t="s">
        <v>575</v>
      </c>
      <c r="IBT9" s="358" t="s">
        <v>576</v>
      </c>
      <c r="IBU9" s="189" t="s">
        <v>574</v>
      </c>
      <c r="IBV9" s="352" t="s">
        <v>573</v>
      </c>
      <c r="IBW9" s="142" t="s">
        <v>575</v>
      </c>
      <c r="IBX9" s="358" t="s">
        <v>576</v>
      </c>
      <c r="IBY9" s="189" t="s">
        <v>574</v>
      </c>
      <c r="IBZ9" s="352" t="s">
        <v>573</v>
      </c>
      <c r="ICA9" s="142" t="s">
        <v>575</v>
      </c>
      <c r="ICB9" s="358" t="s">
        <v>576</v>
      </c>
      <c r="ICC9" s="189" t="s">
        <v>574</v>
      </c>
      <c r="ICD9" s="352" t="s">
        <v>573</v>
      </c>
      <c r="ICE9" s="142" t="s">
        <v>575</v>
      </c>
      <c r="ICF9" s="358" t="s">
        <v>576</v>
      </c>
      <c r="ICG9" s="189" t="s">
        <v>574</v>
      </c>
      <c r="ICH9" s="352" t="s">
        <v>573</v>
      </c>
      <c r="ICI9" s="142" t="s">
        <v>575</v>
      </c>
      <c r="ICJ9" s="358" t="s">
        <v>576</v>
      </c>
      <c r="ICK9" s="189" t="s">
        <v>574</v>
      </c>
      <c r="ICL9" s="352" t="s">
        <v>573</v>
      </c>
      <c r="ICM9" s="142" t="s">
        <v>575</v>
      </c>
      <c r="ICN9" s="358" t="s">
        <v>576</v>
      </c>
      <c r="ICO9" s="189" t="s">
        <v>574</v>
      </c>
      <c r="ICP9" s="352" t="s">
        <v>573</v>
      </c>
      <c r="ICQ9" s="142" t="s">
        <v>575</v>
      </c>
      <c r="ICR9" s="358" t="s">
        <v>576</v>
      </c>
      <c r="ICS9" s="189" t="s">
        <v>574</v>
      </c>
      <c r="ICT9" s="352" t="s">
        <v>573</v>
      </c>
      <c r="ICU9" s="142" t="s">
        <v>575</v>
      </c>
      <c r="ICV9" s="358" t="s">
        <v>576</v>
      </c>
      <c r="ICW9" s="189" t="s">
        <v>574</v>
      </c>
      <c r="ICX9" s="352" t="s">
        <v>573</v>
      </c>
      <c r="ICY9" s="142" t="s">
        <v>575</v>
      </c>
      <c r="ICZ9" s="358" t="s">
        <v>576</v>
      </c>
      <c r="IDA9" s="189" t="s">
        <v>574</v>
      </c>
      <c r="IDB9" s="352" t="s">
        <v>573</v>
      </c>
      <c r="IDC9" s="142" t="s">
        <v>575</v>
      </c>
      <c r="IDD9" s="358" t="s">
        <v>576</v>
      </c>
      <c r="IDE9" s="189" t="s">
        <v>574</v>
      </c>
      <c r="IDF9" s="352" t="s">
        <v>573</v>
      </c>
      <c r="IDG9" s="142" t="s">
        <v>575</v>
      </c>
      <c r="IDH9" s="358" t="s">
        <v>576</v>
      </c>
      <c r="IDI9" s="189" t="s">
        <v>574</v>
      </c>
      <c r="IDJ9" s="352" t="s">
        <v>573</v>
      </c>
      <c r="IDK9" s="142" t="s">
        <v>575</v>
      </c>
      <c r="IDL9" s="358" t="s">
        <v>576</v>
      </c>
      <c r="IDM9" s="189" t="s">
        <v>574</v>
      </c>
      <c r="IDN9" s="352" t="s">
        <v>573</v>
      </c>
      <c r="IDO9" s="142" t="s">
        <v>575</v>
      </c>
      <c r="IDP9" s="358" t="s">
        <v>576</v>
      </c>
      <c r="IDQ9" s="189" t="s">
        <v>574</v>
      </c>
      <c r="IDR9" s="352" t="s">
        <v>573</v>
      </c>
      <c r="IDS9" s="142" t="s">
        <v>575</v>
      </c>
      <c r="IDT9" s="358" t="s">
        <v>576</v>
      </c>
      <c r="IDU9" s="189" t="s">
        <v>574</v>
      </c>
      <c r="IDV9" s="352" t="s">
        <v>573</v>
      </c>
      <c r="IDW9" s="142" t="s">
        <v>575</v>
      </c>
      <c r="IDX9" s="358" t="s">
        <v>576</v>
      </c>
      <c r="IDY9" s="189" t="s">
        <v>574</v>
      </c>
      <c r="IDZ9" s="352" t="s">
        <v>573</v>
      </c>
      <c r="IEA9" s="142" t="s">
        <v>575</v>
      </c>
      <c r="IEB9" s="358" t="s">
        <v>576</v>
      </c>
      <c r="IEC9" s="189" t="s">
        <v>574</v>
      </c>
      <c r="IED9" s="352" t="s">
        <v>573</v>
      </c>
      <c r="IEE9" s="142" t="s">
        <v>575</v>
      </c>
      <c r="IEF9" s="358" t="s">
        <v>576</v>
      </c>
      <c r="IEG9" s="189" t="s">
        <v>574</v>
      </c>
      <c r="IEH9" s="352" t="s">
        <v>573</v>
      </c>
      <c r="IEI9" s="142" t="s">
        <v>575</v>
      </c>
      <c r="IEJ9" s="358" t="s">
        <v>576</v>
      </c>
      <c r="IEK9" s="189" t="s">
        <v>574</v>
      </c>
      <c r="IEL9" s="352" t="s">
        <v>573</v>
      </c>
      <c r="IEM9" s="142" t="s">
        <v>575</v>
      </c>
      <c r="IEN9" s="358" t="s">
        <v>576</v>
      </c>
      <c r="IEO9" s="189" t="s">
        <v>574</v>
      </c>
      <c r="IEP9" s="352" t="s">
        <v>573</v>
      </c>
      <c r="IEQ9" s="142" t="s">
        <v>575</v>
      </c>
      <c r="IER9" s="358" t="s">
        <v>576</v>
      </c>
      <c r="IES9" s="189" t="s">
        <v>574</v>
      </c>
      <c r="IET9" s="352" t="s">
        <v>573</v>
      </c>
      <c r="IEU9" s="142" t="s">
        <v>575</v>
      </c>
      <c r="IEV9" s="358" t="s">
        <v>576</v>
      </c>
      <c r="IEW9" s="189" t="s">
        <v>574</v>
      </c>
      <c r="IEX9" s="352" t="s">
        <v>573</v>
      </c>
      <c r="IEY9" s="142" t="s">
        <v>575</v>
      </c>
      <c r="IEZ9" s="358" t="s">
        <v>576</v>
      </c>
      <c r="IFA9" s="189" t="s">
        <v>574</v>
      </c>
      <c r="IFB9" s="352" t="s">
        <v>573</v>
      </c>
      <c r="IFC9" s="142" t="s">
        <v>575</v>
      </c>
      <c r="IFD9" s="358" t="s">
        <v>576</v>
      </c>
      <c r="IFE9" s="189" t="s">
        <v>574</v>
      </c>
      <c r="IFF9" s="352" t="s">
        <v>573</v>
      </c>
      <c r="IFG9" s="142" t="s">
        <v>575</v>
      </c>
      <c r="IFH9" s="358" t="s">
        <v>576</v>
      </c>
      <c r="IFI9" s="189" t="s">
        <v>574</v>
      </c>
      <c r="IFJ9" s="352" t="s">
        <v>573</v>
      </c>
      <c r="IFK9" s="142" t="s">
        <v>575</v>
      </c>
      <c r="IFL9" s="358" t="s">
        <v>576</v>
      </c>
      <c r="IFM9" s="189" t="s">
        <v>574</v>
      </c>
      <c r="IFN9" s="352" t="s">
        <v>573</v>
      </c>
      <c r="IFO9" s="142" t="s">
        <v>575</v>
      </c>
      <c r="IFP9" s="358" t="s">
        <v>576</v>
      </c>
      <c r="IFQ9" s="189" t="s">
        <v>574</v>
      </c>
      <c r="IFR9" s="352" t="s">
        <v>573</v>
      </c>
      <c r="IFS9" s="142" t="s">
        <v>575</v>
      </c>
      <c r="IFT9" s="358" t="s">
        <v>576</v>
      </c>
      <c r="IFU9" s="189" t="s">
        <v>574</v>
      </c>
      <c r="IFV9" s="352" t="s">
        <v>573</v>
      </c>
      <c r="IFW9" s="142" t="s">
        <v>575</v>
      </c>
      <c r="IFX9" s="358" t="s">
        <v>576</v>
      </c>
      <c r="IFY9" s="189" t="s">
        <v>574</v>
      </c>
      <c r="IFZ9" s="352" t="s">
        <v>573</v>
      </c>
      <c r="IGA9" s="142" t="s">
        <v>575</v>
      </c>
      <c r="IGB9" s="358" t="s">
        <v>576</v>
      </c>
      <c r="IGC9" s="189" t="s">
        <v>574</v>
      </c>
      <c r="IGD9" s="352" t="s">
        <v>573</v>
      </c>
      <c r="IGE9" s="142" t="s">
        <v>575</v>
      </c>
      <c r="IGF9" s="358" t="s">
        <v>576</v>
      </c>
      <c r="IGG9" s="189" t="s">
        <v>574</v>
      </c>
      <c r="IGH9" s="352" t="s">
        <v>573</v>
      </c>
      <c r="IGI9" s="142" t="s">
        <v>575</v>
      </c>
      <c r="IGJ9" s="358" t="s">
        <v>576</v>
      </c>
      <c r="IGK9" s="189" t="s">
        <v>574</v>
      </c>
      <c r="IGL9" s="352" t="s">
        <v>573</v>
      </c>
      <c r="IGM9" s="142" t="s">
        <v>575</v>
      </c>
      <c r="IGN9" s="358" t="s">
        <v>576</v>
      </c>
      <c r="IGO9" s="189" t="s">
        <v>574</v>
      </c>
      <c r="IGP9" s="352" t="s">
        <v>573</v>
      </c>
      <c r="IGQ9" s="142" t="s">
        <v>575</v>
      </c>
      <c r="IGR9" s="358" t="s">
        <v>576</v>
      </c>
      <c r="IGS9" s="189" t="s">
        <v>574</v>
      </c>
      <c r="IGT9" s="352" t="s">
        <v>573</v>
      </c>
      <c r="IGU9" s="142" t="s">
        <v>575</v>
      </c>
      <c r="IGV9" s="358" t="s">
        <v>576</v>
      </c>
      <c r="IGW9" s="189" t="s">
        <v>574</v>
      </c>
      <c r="IGX9" s="352" t="s">
        <v>573</v>
      </c>
      <c r="IGY9" s="142" t="s">
        <v>575</v>
      </c>
      <c r="IGZ9" s="358" t="s">
        <v>576</v>
      </c>
      <c r="IHA9" s="189" t="s">
        <v>574</v>
      </c>
      <c r="IHB9" s="352" t="s">
        <v>573</v>
      </c>
      <c r="IHC9" s="142" t="s">
        <v>575</v>
      </c>
      <c r="IHD9" s="358" t="s">
        <v>576</v>
      </c>
      <c r="IHE9" s="189" t="s">
        <v>574</v>
      </c>
      <c r="IHF9" s="352" t="s">
        <v>573</v>
      </c>
      <c r="IHG9" s="142" t="s">
        <v>575</v>
      </c>
      <c r="IHH9" s="358" t="s">
        <v>576</v>
      </c>
      <c r="IHI9" s="189" t="s">
        <v>574</v>
      </c>
      <c r="IHJ9" s="352" t="s">
        <v>573</v>
      </c>
      <c r="IHK9" s="142" t="s">
        <v>575</v>
      </c>
      <c r="IHL9" s="358" t="s">
        <v>576</v>
      </c>
      <c r="IHM9" s="189" t="s">
        <v>574</v>
      </c>
      <c r="IHN9" s="352" t="s">
        <v>573</v>
      </c>
      <c r="IHO9" s="142" t="s">
        <v>575</v>
      </c>
      <c r="IHP9" s="358" t="s">
        <v>576</v>
      </c>
      <c r="IHQ9" s="189" t="s">
        <v>574</v>
      </c>
      <c r="IHR9" s="352" t="s">
        <v>573</v>
      </c>
      <c r="IHS9" s="142" t="s">
        <v>575</v>
      </c>
      <c r="IHT9" s="358" t="s">
        <v>576</v>
      </c>
      <c r="IHU9" s="189" t="s">
        <v>574</v>
      </c>
      <c r="IHV9" s="352" t="s">
        <v>573</v>
      </c>
      <c r="IHW9" s="142" t="s">
        <v>575</v>
      </c>
      <c r="IHX9" s="358" t="s">
        <v>576</v>
      </c>
      <c r="IHY9" s="189" t="s">
        <v>574</v>
      </c>
      <c r="IHZ9" s="352" t="s">
        <v>573</v>
      </c>
      <c r="IIA9" s="142" t="s">
        <v>575</v>
      </c>
      <c r="IIB9" s="358" t="s">
        <v>576</v>
      </c>
      <c r="IIC9" s="189" t="s">
        <v>574</v>
      </c>
      <c r="IID9" s="352" t="s">
        <v>573</v>
      </c>
      <c r="IIE9" s="142" t="s">
        <v>575</v>
      </c>
      <c r="IIF9" s="358" t="s">
        <v>576</v>
      </c>
      <c r="IIG9" s="189" t="s">
        <v>574</v>
      </c>
      <c r="IIH9" s="352" t="s">
        <v>573</v>
      </c>
      <c r="III9" s="142" t="s">
        <v>575</v>
      </c>
      <c r="IIJ9" s="358" t="s">
        <v>576</v>
      </c>
      <c r="IIK9" s="189" t="s">
        <v>574</v>
      </c>
      <c r="IIL9" s="352" t="s">
        <v>573</v>
      </c>
      <c r="IIM9" s="142" t="s">
        <v>575</v>
      </c>
      <c r="IIN9" s="358" t="s">
        <v>576</v>
      </c>
      <c r="IIO9" s="189" t="s">
        <v>574</v>
      </c>
      <c r="IIP9" s="352" t="s">
        <v>573</v>
      </c>
      <c r="IIQ9" s="142" t="s">
        <v>575</v>
      </c>
      <c r="IIR9" s="358" t="s">
        <v>576</v>
      </c>
      <c r="IIS9" s="189" t="s">
        <v>574</v>
      </c>
      <c r="IIT9" s="352" t="s">
        <v>573</v>
      </c>
      <c r="IIU9" s="142" t="s">
        <v>575</v>
      </c>
      <c r="IIV9" s="358" t="s">
        <v>576</v>
      </c>
      <c r="IIW9" s="189" t="s">
        <v>574</v>
      </c>
      <c r="IIX9" s="352" t="s">
        <v>573</v>
      </c>
      <c r="IIY9" s="142" t="s">
        <v>575</v>
      </c>
      <c r="IIZ9" s="358" t="s">
        <v>576</v>
      </c>
      <c r="IJA9" s="189" t="s">
        <v>574</v>
      </c>
      <c r="IJB9" s="352" t="s">
        <v>573</v>
      </c>
      <c r="IJC9" s="142" t="s">
        <v>575</v>
      </c>
      <c r="IJD9" s="358" t="s">
        <v>576</v>
      </c>
      <c r="IJE9" s="189" t="s">
        <v>574</v>
      </c>
      <c r="IJF9" s="352" t="s">
        <v>573</v>
      </c>
      <c r="IJG9" s="142" t="s">
        <v>575</v>
      </c>
      <c r="IJH9" s="358" t="s">
        <v>576</v>
      </c>
      <c r="IJI9" s="189" t="s">
        <v>574</v>
      </c>
      <c r="IJJ9" s="352" t="s">
        <v>573</v>
      </c>
      <c r="IJK9" s="142" t="s">
        <v>575</v>
      </c>
      <c r="IJL9" s="358" t="s">
        <v>576</v>
      </c>
      <c r="IJM9" s="189" t="s">
        <v>574</v>
      </c>
      <c r="IJN9" s="352" t="s">
        <v>573</v>
      </c>
      <c r="IJO9" s="142" t="s">
        <v>575</v>
      </c>
      <c r="IJP9" s="358" t="s">
        <v>576</v>
      </c>
      <c r="IJQ9" s="189" t="s">
        <v>574</v>
      </c>
      <c r="IJR9" s="352" t="s">
        <v>573</v>
      </c>
      <c r="IJS9" s="142" t="s">
        <v>575</v>
      </c>
      <c r="IJT9" s="358" t="s">
        <v>576</v>
      </c>
      <c r="IJU9" s="189" t="s">
        <v>574</v>
      </c>
      <c r="IJV9" s="352" t="s">
        <v>573</v>
      </c>
      <c r="IJW9" s="142" t="s">
        <v>575</v>
      </c>
      <c r="IJX9" s="358" t="s">
        <v>576</v>
      </c>
      <c r="IJY9" s="189" t="s">
        <v>574</v>
      </c>
      <c r="IJZ9" s="352" t="s">
        <v>573</v>
      </c>
      <c r="IKA9" s="142" t="s">
        <v>575</v>
      </c>
      <c r="IKB9" s="358" t="s">
        <v>576</v>
      </c>
      <c r="IKC9" s="189" t="s">
        <v>574</v>
      </c>
      <c r="IKD9" s="352" t="s">
        <v>573</v>
      </c>
      <c r="IKE9" s="142" t="s">
        <v>575</v>
      </c>
      <c r="IKF9" s="358" t="s">
        <v>576</v>
      </c>
      <c r="IKG9" s="189" t="s">
        <v>574</v>
      </c>
      <c r="IKH9" s="352" t="s">
        <v>573</v>
      </c>
      <c r="IKI9" s="142" t="s">
        <v>575</v>
      </c>
      <c r="IKJ9" s="358" t="s">
        <v>576</v>
      </c>
      <c r="IKK9" s="189" t="s">
        <v>574</v>
      </c>
      <c r="IKL9" s="352" t="s">
        <v>573</v>
      </c>
      <c r="IKM9" s="142" t="s">
        <v>575</v>
      </c>
      <c r="IKN9" s="358" t="s">
        <v>576</v>
      </c>
      <c r="IKO9" s="189" t="s">
        <v>574</v>
      </c>
      <c r="IKP9" s="352" t="s">
        <v>573</v>
      </c>
      <c r="IKQ9" s="142" t="s">
        <v>575</v>
      </c>
      <c r="IKR9" s="358" t="s">
        <v>576</v>
      </c>
      <c r="IKS9" s="189" t="s">
        <v>574</v>
      </c>
      <c r="IKT9" s="352" t="s">
        <v>573</v>
      </c>
      <c r="IKU9" s="142" t="s">
        <v>575</v>
      </c>
      <c r="IKV9" s="358" t="s">
        <v>576</v>
      </c>
      <c r="IKW9" s="189" t="s">
        <v>574</v>
      </c>
      <c r="IKX9" s="352" t="s">
        <v>573</v>
      </c>
      <c r="IKY9" s="142" t="s">
        <v>575</v>
      </c>
      <c r="IKZ9" s="358" t="s">
        <v>576</v>
      </c>
      <c r="ILA9" s="189" t="s">
        <v>574</v>
      </c>
      <c r="ILB9" s="352" t="s">
        <v>573</v>
      </c>
      <c r="ILC9" s="142" t="s">
        <v>575</v>
      </c>
      <c r="ILD9" s="358" t="s">
        <v>576</v>
      </c>
      <c r="ILE9" s="189" t="s">
        <v>574</v>
      </c>
      <c r="ILF9" s="352" t="s">
        <v>573</v>
      </c>
      <c r="ILG9" s="142" t="s">
        <v>575</v>
      </c>
      <c r="ILH9" s="358" t="s">
        <v>576</v>
      </c>
      <c r="ILI9" s="189" t="s">
        <v>574</v>
      </c>
      <c r="ILJ9" s="352" t="s">
        <v>573</v>
      </c>
      <c r="ILK9" s="142" t="s">
        <v>575</v>
      </c>
      <c r="ILL9" s="358" t="s">
        <v>576</v>
      </c>
      <c r="ILM9" s="189" t="s">
        <v>574</v>
      </c>
      <c r="ILN9" s="352" t="s">
        <v>573</v>
      </c>
      <c r="ILO9" s="142" t="s">
        <v>575</v>
      </c>
      <c r="ILP9" s="358" t="s">
        <v>576</v>
      </c>
      <c r="ILQ9" s="189" t="s">
        <v>574</v>
      </c>
      <c r="ILR9" s="352" t="s">
        <v>573</v>
      </c>
      <c r="ILS9" s="142" t="s">
        <v>575</v>
      </c>
      <c r="ILT9" s="358" t="s">
        <v>576</v>
      </c>
      <c r="ILU9" s="189" t="s">
        <v>574</v>
      </c>
      <c r="ILV9" s="352" t="s">
        <v>573</v>
      </c>
      <c r="ILW9" s="142" t="s">
        <v>575</v>
      </c>
      <c r="ILX9" s="358" t="s">
        <v>576</v>
      </c>
      <c r="ILY9" s="189" t="s">
        <v>574</v>
      </c>
      <c r="ILZ9" s="352" t="s">
        <v>573</v>
      </c>
      <c r="IMA9" s="142" t="s">
        <v>575</v>
      </c>
      <c r="IMB9" s="358" t="s">
        <v>576</v>
      </c>
      <c r="IMC9" s="189" t="s">
        <v>574</v>
      </c>
      <c r="IMD9" s="352" t="s">
        <v>573</v>
      </c>
      <c r="IME9" s="142" t="s">
        <v>575</v>
      </c>
      <c r="IMF9" s="358" t="s">
        <v>576</v>
      </c>
      <c r="IMG9" s="189" t="s">
        <v>574</v>
      </c>
      <c r="IMH9" s="352" t="s">
        <v>573</v>
      </c>
      <c r="IMI9" s="142" t="s">
        <v>575</v>
      </c>
      <c r="IMJ9" s="358" t="s">
        <v>576</v>
      </c>
      <c r="IMK9" s="189" t="s">
        <v>574</v>
      </c>
      <c r="IML9" s="352" t="s">
        <v>573</v>
      </c>
      <c r="IMM9" s="142" t="s">
        <v>575</v>
      </c>
      <c r="IMN9" s="358" t="s">
        <v>576</v>
      </c>
      <c r="IMO9" s="189" t="s">
        <v>574</v>
      </c>
      <c r="IMP9" s="352" t="s">
        <v>573</v>
      </c>
      <c r="IMQ9" s="142" t="s">
        <v>575</v>
      </c>
      <c r="IMR9" s="358" t="s">
        <v>576</v>
      </c>
      <c r="IMS9" s="189" t="s">
        <v>574</v>
      </c>
      <c r="IMT9" s="352" t="s">
        <v>573</v>
      </c>
      <c r="IMU9" s="142" t="s">
        <v>575</v>
      </c>
      <c r="IMV9" s="358" t="s">
        <v>576</v>
      </c>
      <c r="IMW9" s="189" t="s">
        <v>574</v>
      </c>
      <c r="IMX9" s="352" t="s">
        <v>573</v>
      </c>
      <c r="IMY9" s="142" t="s">
        <v>575</v>
      </c>
      <c r="IMZ9" s="358" t="s">
        <v>576</v>
      </c>
      <c r="INA9" s="189" t="s">
        <v>574</v>
      </c>
      <c r="INB9" s="352" t="s">
        <v>573</v>
      </c>
      <c r="INC9" s="142" t="s">
        <v>575</v>
      </c>
      <c r="IND9" s="358" t="s">
        <v>576</v>
      </c>
      <c r="INE9" s="189" t="s">
        <v>574</v>
      </c>
      <c r="INF9" s="352" t="s">
        <v>573</v>
      </c>
      <c r="ING9" s="142" t="s">
        <v>575</v>
      </c>
      <c r="INH9" s="358" t="s">
        <v>576</v>
      </c>
      <c r="INI9" s="189" t="s">
        <v>574</v>
      </c>
      <c r="INJ9" s="352" t="s">
        <v>573</v>
      </c>
      <c r="INK9" s="142" t="s">
        <v>575</v>
      </c>
      <c r="INL9" s="358" t="s">
        <v>576</v>
      </c>
      <c r="INM9" s="189" t="s">
        <v>574</v>
      </c>
      <c r="INN9" s="352" t="s">
        <v>573</v>
      </c>
      <c r="INO9" s="142" t="s">
        <v>575</v>
      </c>
      <c r="INP9" s="358" t="s">
        <v>576</v>
      </c>
      <c r="INQ9" s="189" t="s">
        <v>574</v>
      </c>
      <c r="INR9" s="352" t="s">
        <v>573</v>
      </c>
      <c r="INS9" s="142" t="s">
        <v>575</v>
      </c>
      <c r="INT9" s="358" t="s">
        <v>576</v>
      </c>
      <c r="INU9" s="189" t="s">
        <v>574</v>
      </c>
      <c r="INV9" s="352" t="s">
        <v>573</v>
      </c>
      <c r="INW9" s="142" t="s">
        <v>575</v>
      </c>
      <c r="INX9" s="358" t="s">
        <v>576</v>
      </c>
      <c r="INY9" s="189" t="s">
        <v>574</v>
      </c>
      <c r="INZ9" s="352" t="s">
        <v>573</v>
      </c>
      <c r="IOA9" s="142" t="s">
        <v>575</v>
      </c>
      <c r="IOB9" s="358" t="s">
        <v>576</v>
      </c>
      <c r="IOC9" s="189" t="s">
        <v>574</v>
      </c>
      <c r="IOD9" s="352" t="s">
        <v>573</v>
      </c>
      <c r="IOE9" s="142" t="s">
        <v>575</v>
      </c>
      <c r="IOF9" s="358" t="s">
        <v>576</v>
      </c>
      <c r="IOG9" s="189" t="s">
        <v>574</v>
      </c>
      <c r="IOH9" s="352" t="s">
        <v>573</v>
      </c>
      <c r="IOI9" s="142" t="s">
        <v>575</v>
      </c>
      <c r="IOJ9" s="358" t="s">
        <v>576</v>
      </c>
      <c r="IOK9" s="189" t="s">
        <v>574</v>
      </c>
      <c r="IOL9" s="352" t="s">
        <v>573</v>
      </c>
      <c r="IOM9" s="142" t="s">
        <v>575</v>
      </c>
      <c r="ION9" s="358" t="s">
        <v>576</v>
      </c>
      <c r="IOO9" s="189" t="s">
        <v>574</v>
      </c>
      <c r="IOP9" s="352" t="s">
        <v>573</v>
      </c>
      <c r="IOQ9" s="142" t="s">
        <v>575</v>
      </c>
      <c r="IOR9" s="358" t="s">
        <v>576</v>
      </c>
      <c r="IOS9" s="189" t="s">
        <v>574</v>
      </c>
      <c r="IOT9" s="352" t="s">
        <v>573</v>
      </c>
      <c r="IOU9" s="142" t="s">
        <v>575</v>
      </c>
      <c r="IOV9" s="358" t="s">
        <v>576</v>
      </c>
      <c r="IOW9" s="189" t="s">
        <v>574</v>
      </c>
      <c r="IOX9" s="352" t="s">
        <v>573</v>
      </c>
      <c r="IOY9" s="142" t="s">
        <v>575</v>
      </c>
      <c r="IOZ9" s="358" t="s">
        <v>576</v>
      </c>
      <c r="IPA9" s="189" t="s">
        <v>574</v>
      </c>
      <c r="IPB9" s="352" t="s">
        <v>573</v>
      </c>
      <c r="IPC9" s="142" t="s">
        <v>575</v>
      </c>
      <c r="IPD9" s="358" t="s">
        <v>576</v>
      </c>
      <c r="IPE9" s="189" t="s">
        <v>574</v>
      </c>
      <c r="IPF9" s="352" t="s">
        <v>573</v>
      </c>
      <c r="IPG9" s="142" t="s">
        <v>575</v>
      </c>
      <c r="IPH9" s="358" t="s">
        <v>576</v>
      </c>
      <c r="IPI9" s="189" t="s">
        <v>574</v>
      </c>
      <c r="IPJ9" s="352" t="s">
        <v>573</v>
      </c>
      <c r="IPK9" s="142" t="s">
        <v>575</v>
      </c>
      <c r="IPL9" s="358" t="s">
        <v>576</v>
      </c>
      <c r="IPM9" s="189" t="s">
        <v>574</v>
      </c>
      <c r="IPN9" s="352" t="s">
        <v>573</v>
      </c>
      <c r="IPO9" s="142" t="s">
        <v>575</v>
      </c>
      <c r="IPP9" s="358" t="s">
        <v>576</v>
      </c>
      <c r="IPQ9" s="189" t="s">
        <v>574</v>
      </c>
      <c r="IPR9" s="352" t="s">
        <v>573</v>
      </c>
      <c r="IPS9" s="142" t="s">
        <v>575</v>
      </c>
      <c r="IPT9" s="358" t="s">
        <v>576</v>
      </c>
      <c r="IPU9" s="189" t="s">
        <v>574</v>
      </c>
      <c r="IPV9" s="352" t="s">
        <v>573</v>
      </c>
      <c r="IPW9" s="142" t="s">
        <v>575</v>
      </c>
      <c r="IPX9" s="358" t="s">
        <v>576</v>
      </c>
      <c r="IPY9" s="189" t="s">
        <v>574</v>
      </c>
      <c r="IPZ9" s="352" t="s">
        <v>573</v>
      </c>
      <c r="IQA9" s="142" t="s">
        <v>575</v>
      </c>
      <c r="IQB9" s="358" t="s">
        <v>576</v>
      </c>
      <c r="IQC9" s="189" t="s">
        <v>574</v>
      </c>
      <c r="IQD9" s="352" t="s">
        <v>573</v>
      </c>
      <c r="IQE9" s="142" t="s">
        <v>575</v>
      </c>
      <c r="IQF9" s="358" t="s">
        <v>576</v>
      </c>
      <c r="IQG9" s="189" t="s">
        <v>574</v>
      </c>
      <c r="IQH9" s="352" t="s">
        <v>573</v>
      </c>
      <c r="IQI9" s="142" t="s">
        <v>575</v>
      </c>
      <c r="IQJ9" s="358" t="s">
        <v>576</v>
      </c>
      <c r="IQK9" s="189" t="s">
        <v>574</v>
      </c>
      <c r="IQL9" s="352" t="s">
        <v>573</v>
      </c>
      <c r="IQM9" s="142" t="s">
        <v>575</v>
      </c>
      <c r="IQN9" s="358" t="s">
        <v>576</v>
      </c>
      <c r="IQO9" s="189" t="s">
        <v>574</v>
      </c>
      <c r="IQP9" s="352" t="s">
        <v>573</v>
      </c>
      <c r="IQQ9" s="142" t="s">
        <v>575</v>
      </c>
      <c r="IQR9" s="358" t="s">
        <v>576</v>
      </c>
      <c r="IQS9" s="189" t="s">
        <v>574</v>
      </c>
      <c r="IQT9" s="352" t="s">
        <v>573</v>
      </c>
      <c r="IQU9" s="142" t="s">
        <v>575</v>
      </c>
      <c r="IQV9" s="358" t="s">
        <v>576</v>
      </c>
      <c r="IQW9" s="189" t="s">
        <v>574</v>
      </c>
      <c r="IQX9" s="352" t="s">
        <v>573</v>
      </c>
      <c r="IQY9" s="142" t="s">
        <v>575</v>
      </c>
      <c r="IQZ9" s="358" t="s">
        <v>576</v>
      </c>
      <c r="IRA9" s="189" t="s">
        <v>574</v>
      </c>
      <c r="IRB9" s="352" t="s">
        <v>573</v>
      </c>
      <c r="IRC9" s="142" t="s">
        <v>575</v>
      </c>
      <c r="IRD9" s="358" t="s">
        <v>576</v>
      </c>
      <c r="IRE9" s="189" t="s">
        <v>574</v>
      </c>
      <c r="IRF9" s="352" t="s">
        <v>573</v>
      </c>
      <c r="IRG9" s="142" t="s">
        <v>575</v>
      </c>
      <c r="IRH9" s="358" t="s">
        <v>576</v>
      </c>
      <c r="IRI9" s="189" t="s">
        <v>574</v>
      </c>
      <c r="IRJ9" s="352" t="s">
        <v>573</v>
      </c>
      <c r="IRK9" s="142" t="s">
        <v>575</v>
      </c>
      <c r="IRL9" s="358" t="s">
        <v>576</v>
      </c>
      <c r="IRM9" s="189" t="s">
        <v>574</v>
      </c>
      <c r="IRN9" s="352" t="s">
        <v>573</v>
      </c>
      <c r="IRO9" s="142" t="s">
        <v>575</v>
      </c>
      <c r="IRP9" s="358" t="s">
        <v>576</v>
      </c>
      <c r="IRQ9" s="189" t="s">
        <v>574</v>
      </c>
      <c r="IRR9" s="352" t="s">
        <v>573</v>
      </c>
      <c r="IRS9" s="142" t="s">
        <v>575</v>
      </c>
      <c r="IRT9" s="358" t="s">
        <v>576</v>
      </c>
      <c r="IRU9" s="189" t="s">
        <v>574</v>
      </c>
      <c r="IRV9" s="352" t="s">
        <v>573</v>
      </c>
      <c r="IRW9" s="142" t="s">
        <v>575</v>
      </c>
      <c r="IRX9" s="358" t="s">
        <v>576</v>
      </c>
      <c r="IRY9" s="189" t="s">
        <v>574</v>
      </c>
      <c r="IRZ9" s="352" t="s">
        <v>573</v>
      </c>
      <c r="ISA9" s="142" t="s">
        <v>575</v>
      </c>
      <c r="ISB9" s="358" t="s">
        <v>576</v>
      </c>
      <c r="ISC9" s="189" t="s">
        <v>574</v>
      </c>
      <c r="ISD9" s="352" t="s">
        <v>573</v>
      </c>
      <c r="ISE9" s="142" t="s">
        <v>575</v>
      </c>
      <c r="ISF9" s="358" t="s">
        <v>576</v>
      </c>
      <c r="ISG9" s="189" t="s">
        <v>574</v>
      </c>
      <c r="ISH9" s="352" t="s">
        <v>573</v>
      </c>
      <c r="ISI9" s="142" t="s">
        <v>575</v>
      </c>
      <c r="ISJ9" s="358" t="s">
        <v>576</v>
      </c>
      <c r="ISK9" s="189" t="s">
        <v>574</v>
      </c>
      <c r="ISL9" s="352" t="s">
        <v>573</v>
      </c>
      <c r="ISM9" s="142" t="s">
        <v>575</v>
      </c>
      <c r="ISN9" s="358" t="s">
        <v>576</v>
      </c>
      <c r="ISO9" s="189" t="s">
        <v>574</v>
      </c>
      <c r="ISP9" s="352" t="s">
        <v>573</v>
      </c>
      <c r="ISQ9" s="142" t="s">
        <v>575</v>
      </c>
      <c r="ISR9" s="358" t="s">
        <v>576</v>
      </c>
      <c r="ISS9" s="189" t="s">
        <v>574</v>
      </c>
      <c r="IST9" s="352" t="s">
        <v>573</v>
      </c>
      <c r="ISU9" s="142" t="s">
        <v>575</v>
      </c>
      <c r="ISV9" s="358" t="s">
        <v>576</v>
      </c>
      <c r="ISW9" s="189" t="s">
        <v>574</v>
      </c>
      <c r="ISX9" s="352" t="s">
        <v>573</v>
      </c>
      <c r="ISY9" s="142" t="s">
        <v>575</v>
      </c>
      <c r="ISZ9" s="358" t="s">
        <v>576</v>
      </c>
      <c r="ITA9" s="189" t="s">
        <v>574</v>
      </c>
      <c r="ITB9" s="352" t="s">
        <v>573</v>
      </c>
      <c r="ITC9" s="142" t="s">
        <v>575</v>
      </c>
      <c r="ITD9" s="358" t="s">
        <v>576</v>
      </c>
      <c r="ITE9" s="189" t="s">
        <v>574</v>
      </c>
      <c r="ITF9" s="352" t="s">
        <v>573</v>
      </c>
      <c r="ITG9" s="142" t="s">
        <v>575</v>
      </c>
      <c r="ITH9" s="358" t="s">
        <v>576</v>
      </c>
      <c r="ITI9" s="189" t="s">
        <v>574</v>
      </c>
      <c r="ITJ9" s="352" t="s">
        <v>573</v>
      </c>
      <c r="ITK9" s="142" t="s">
        <v>575</v>
      </c>
      <c r="ITL9" s="358" t="s">
        <v>576</v>
      </c>
      <c r="ITM9" s="189" t="s">
        <v>574</v>
      </c>
      <c r="ITN9" s="352" t="s">
        <v>573</v>
      </c>
      <c r="ITO9" s="142" t="s">
        <v>575</v>
      </c>
      <c r="ITP9" s="358" t="s">
        <v>576</v>
      </c>
      <c r="ITQ9" s="189" t="s">
        <v>574</v>
      </c>
      <c r="ITR9" s="352" t="s">
        <v>573</v>
      </c>
      <c r="ITS9" s="142" t="s">
        <v>575</v>
      </c>
      <c r="ITT9" s="358" t="s">
        <v>576</v>
      </c>
      <c r="ITU9" s="189" t="s">
        <v>574</v>
      </c>
      <c r="ITV9" s="352" t="s">
        <v>573</v>
      </c>
      <c r="ITW9" s="142" t="s">
        <v>575</v>
      </c>
      <c r="ITX9" s="358" t="s">
        <v>576</v>
      </c>
      <c r="ITY9" s="189" t="s">
        <v>574</v>
      </c>
      <c r="ITZ9" s="352" t="s">
        <v>573</v>
      </c>
      <c r="IUA9" s="142" t="s">
        <v>575</v>
      </c>
      <c r="IUB9" s="358" t="s">
        <v>576</v>
      </c>
      <c r="IUC9" s="189" t="s">
        <v>574</v>
      </c>
      <c r="IUD9" s="352" t="s">
        <v>573</v>
      </c>
      <c r="IUE9" s="142" t="s">
        <v>575</v>
      </c>
      <c r="IUF9" s="358" t="s">
        <v>576</v>
      </c>
      <c r="IUG9" s="189" t="s">
        <v>574</v>
      </c>
      <c r="IUH9" s="352" t="s">
        <v>573</v>
      </c>
      <c r="IUI9" s="142" t="s">
        <v>575</v>
      </c>
      <c r="IUJ9" s="358" t="s">
        <v>576</v>
      </c>
      <c r="IUK9" s="189" t="s">
        <v>574</v>
      </c>
      <c r="IUL9" s="352" t="s">
        <v>573</v>
      </c>
      <c r="IUM9" s="142" t="s">
        <v>575</v>
      </c>
      <c r="IUN9" s="358" t="s">
        <v>576</v>
      </c>
      <c r="IUO9" s="189" t="s">
        <v>574</v>
      </c>
      <c r="IUP9" s="352" t="s">
        <v>573</v>
      </c>
      <c r="IUQ9" s="142" t="s">
        <v>575</v>
      </c>
      <c r="IUR9" s="358" t="s">
        <v>576</v>
      </c>
      <c r="IUS9" s="189" t="s">
        <v>574</v>
      </c>
      <c r="IUT9" s="352" t="s">
        <v>573</v>
      </c>
      <c r="IUU9" s="142" t="s">
        <v>575</v>
      </c>
      <c r="IUV9" s="358" t="s">
        <v>576</v>
      </c>
      <c r="IUW9" s="189" t="s">
        <v>574</v>
      </c>
      <c r="IUX9" s="352" t="s">
        <v>573</v>
      </c>
      <c r="IUY9" s="142" t="s">
        <v>575</v>
      </c>
      <c r="IUZ9" s="358" t="s">
        <v>576</v>
      </c>
      <c r="IVA9" s="189" t="s">
        <v>574</v>
      </c>
      <c r="IVB9" s="352" t="s">
        <v>573</v>
      </c>
      <c r="IVC9" s="142" t="s">
        <v>575</v>
      </c>
      <c r="IVD9" s="358" t="s">
        <v>576</v>
      </c>
      <c r="IVE9" s="189" t="s">
        <v>574</v>
      </c>
      <c r="IVF9" s="352" t="s">
        <v>573</v>
      </c>
      <c r="IVG9" s="142" t="s">
        <v>575</v>
      </c>
      <c r="IVH9" s="358" t="s">
        <v>576</v>
      </c>
      <c r="IVI9" s="189" t="s">
        <v>574</v>
      </c>
      <c r="IVJ9" s="352" t="s">
        <v>573</v>
      </c>
      <c r="IVK9" s="142" t="s">
        <v>575</v>
      </c>
      <c r="IVL9" s="358" t="s">
        <v>576</v>
      </c>
      <c r="IVM9" s="189" t="s">
        <v>574</v>
      </c>
      <c r="IVN9" s="352" t="s">
        <v>573</v>
      </c>
      <c r="IVO9" s="142" t="s">
        <v>575</v>
      </c>
      <c r="IVP9" s="358" t="s">
        <v>576</v>
      </c>
      <c r="IVQ9" s="189" t="s">
        <v>574</v>
      </c>
      <c r="IVR9" s="352" t="s">
        <v>573</v>
      </c>
      <c r="IVS9" s="142" t="s">
        <v>575</v>
      </c>
      <c r="IVT9" s="358" t="s">
        <v>576</v>
      </c>
      <c r="IVU9" s="189" t="s">
        <v>574</v>
      </c>
      <c r="IVV9" s="352" t="s">
        <v>573</v>
      </c>
      <c r="IVW9" s="142" t="s">
        <v>575</v>
      </c>
      <c r="IVX9" s="358" t="s">
        <v>576</v>
      </c>
      <c r="IVY9" s="189" t="s">
        <v>574</v>
      </c>
      <c r="IVZ9" s="352" t="s">
        <v>573</v>
      </c>
      <c r="IWA9" s="142" t="s">
        <v>575</v>
      </c>
      <c r="IWB9" s="358" t="s">
        <v>576</v>
      </c>
      <c r="IWC9" s="189" t="s">
        <v>574</v>
      </c>
      <c r="IWD9" s="352" t="s">
        <v>573</v>
      </c>
      <c r="IWE9" s="142" t="s">
        <v>575</v>
      </c>
      <c r="IWF9" s="358" t="s">
        <v>576</v>
      </c>
      <c r="IWG9" s="189" t="s">
        <v>574</v>
      </c>
      <c r="IWH9" s="352" t="s">
        <v>573</v>
      </c>
      <c r="IWI9" s="142" t="s">
        <v>575</v>
      </c>
      <c r="IWJ9" s="358" t="s">
        <v>576</v>
      </c>
      <c r="IWK9" s="189" t="s">
        <v>574</v>
      </c>
      <c r="IWL9" s="352" t="s">
        <v>573</v>
      </c>
      <c r="IWM9" s="142" t="s">
        <v>575</v>
      </c>
      <c r="IWN9" s="358" t="s">
        <v>576</v>
      </c>
      <c r="IWO9" s="189" t="s">
        <v>574</v>
      </c>
      <c r="IWP9" s="352" t="s">
        <v>573</v>
      </c>
      <c r="IWQ9" s="142" t="s">
        <v>575</v>
      </c>
      <c r="IWR9" s="358" t="s">
        <v>576</v>
      </c>
      <c r="IWS9" s="189" t="s">
        <v>574</v>
      </c>
      <c r="IWT9" s="352" t="s">
        <v>573</v>
      </c>
      <c r="IWU9" s="142" t="s">
        <v>575</v>
      </c>
      <c r="IWV9" s="358" t="s">
        <v>576</v>
      </c>
      <c r="IWW9" s="189" t="s">
        <v>574</v>
      </c>
      <c r="IWX9" s="352" t="s">
        <v>573</v>
      </c>
      <c r="IWY9" s="142" t="s">
        <v>575</v>
      </c>
      <c r="IWZ9" s="358" t="s">
        <v>576</v>
      </c>
      <c r="IXA9" s="189" t="s">
        <v>574</v>
      </c>
      <c r="IXB9" s="352" t="s">
        <v>573</v>
      </c>
      <c r="IXC9" s="142" t="s">
        <v>575</v>
      </c>
      <c r="IXD9" s="358" t="s">
        <v>576</v>
      </c>
      <c r="IXE9" s="189" t="s">
        <v>574</v>
      </c>
      <c r="IXF9" s="352" t="s">
        <v>573</v>
      </c>
      <c r="IXG9" s="142" t="s">
        <v>575</v>
      </c>
      <c r="IXH9" s="358" t="s">
        <v>576</v>
      </c>
      <c r="IXI9" s="189" t="s">
        <v>574</v>
      </c>
      <c r="IXJ9" s="352" t="s">
        <v>573</v>
      </c>
      <c r="IXK9" s="142" t="s">
        <v>575</v>
      </c>
      <c r="IXL9" s="358" t="s">
        <v>576</v>
      </c>
      <c r="IXM9" s="189" t="s">
        <v>574</v>
      </c>
      <c r="IXN9" s="352" t="s">
        <v>573</v>
      </c>
      <c r="IXO9" s="142" t="s">
        <v>575</v>
      </c>
      <c r="IXP9" s="358" t="s">
        <v>576</v>
      </c>
      <c r="IXQ9" s="189" t="s">
        <v>574</v>
      </c>
      <c r="IXR9" s="352" t="s">
        <v>573</v>
      </c>
      <c r="IXS9" s="142" t="s">
        <v>575</v>
      </c>
      <c r="IXT9" s="358" t="s">
        <v>576</v>
      </c>
      <c r="IXU9" s="189" t="s">
        <v>574</v>
      </c>
      <c r="IXV9" s="352" t="s">
        <v>573</v>
      </c>
      <c r="IXW9" s="142" t="s">
        <v>575</v>
      </c>
      <c r="IXX9" s="358" t="s">
        <v>576</v>
      </c>
      <c r="IXY9" s="189" t="s">
        <v>574</v>
      </c>
      <c r="IXZ9" s="352" t="s">
        <v>573</v>
      </c>
      <c r="IYA9" s="142" t="s">
        <v>575</v>
      </c>
      <c r="IYB9" s="358" t="s">
        <v>576</v>
      </c>
      <c r="IYC9" s="189" t="s">
        <v>574</v>
      </c>
      <c r="IYD9" s="352" t="s">
        <v>573</v>
      </c>
      <c r="IYE9" s="142" t="s">
        <v>575</v>
      </c>
      <c r="IYF9" s="358" t="s">
        <v>576</v>
      </c>
      <c r="IYG9" s="189" t="s">
        <v>574</v>
      </c>
      <c r="IYH9" s="352" t="s">
        <v>573</v>
      </c>
      <c r="IYI9" s="142" t="s">
        <v>575</v>
      </c>
      <c r="IYJ9" s="358" t="s">
        <v>576</v>
      </c>
      <c r="IYK9" s="189" t="s">
        <v>574</v>
      </c>
      <c r="IYL9" s="352" t="s">
        <v>573</v>
      </c>
      <c r="IYM9" s="142" t="s">
        <v>575</v>
      </c>
      <c r="IYN9" s="358" t="s">
        <v>576</v>
      </c>
      <c r="IYO9" s="189" t="s">
        <v>574</v>
      </c>
      <c r="IYP9" s="352" t="s">
        <v>573</v>
      </c>
      <c r="IYQ9" s="142" t="s">
        <v>575</v>
      </c>
      <c r="IYR9" s="358" t="s">
        <v>576</v>
      </c>
      <c r="IYS9" s="189" t="s">
        <v>574</v>
      </c>
      <c r="IYT9" s="352" t="s">
        <v>573</v>
      </c>
      <c r="IYU9" s="142" t="s">
        <v>575</v>
      </c>
      <c r="IYV9" s="358" t="s">
        <v>576</v>
      </c>
      <c r="IYW9" s="189" t="s">
        <v>574</v>
      </c>
      <c r="IYX9" s="352" t="s">
        <v>573</v>
      </c>
      <c r="IYY9" s="142" t="s">
        <v>575</v>
      </c>
      <c r="IYZ9" s="358" t="s">
        <v>576</v>
      </c>
      <c r="IZA9" s="189" t="s">
        <v>574</v>
      </c>
      <c r="IZB9" s="352" t="s">
        <v>573</v>
      </c>
      <c r="IZC9" s="142" t="s">
        <v>575</v>
      </c>
      <c r="IZD9" s="358" t="s">
        <v>576</v>
      </c>
      <c r="IZE9" s="189" t="s">
        <v>574</v>
      </c>
      <c r="IZF9" s="352" t="s">
        <v>573</v>
      </c>
      <c r="IZG9" s="142" t="s">
        <v>575</v>
      </c>
      <c r="IZH9" s="358" t="s">
        <v>576</v>
      </c>
      <c r="IZI9" s="189" t="s">
        <v>574</v>
      </c>
      <c r="IZJ9" s="352" t="s">
        <v>573</v>
      </c>
      <c r="IZK9" s="142" t="s">
        <v>575</v>
      </c>
      <c r="IZL9" s="358" t="s">
        <v>576</v>
      </c>
      <c r="IZM9" s="189" t="s">
        <v>574</v>
      </c>
      <c r="IZN9" s="352" t="s">
        <v>573</v>
      </c>
      <c r="IZO9" s="142" t="s">
        <v>575</v>
      </c>
      <c r="IZP9" s="358" t="s">
        <v>576</v>
      </c>
      <c r="IZQ9" s="189" t="s">
        <v>574</v>
      </c>
      <c r="IZR9" s="352" t="s">
        <v>573</v>
      </c>
      <c r="IZS9" s="142" t="s">
        <v>575</v>
      </c>
      <c r="IZT9" s="358" t="s">
        <v>576</v>
      </c>
      <c r="IZU9" s="189" t="s">
        <v>574</v>
      </c>
      <c r="IZV9" s="352" t="s">
        <v>573</v>
      </c>
      <c r="IZW9" s="142" t="s">
        <v>575</v>
      </c>
      <c r="IZX9" s="358" t="s">
        <v>576</v>
      </c>
      <c r="IZY9" s="189" t="s">
        <v>574</v>
      </c>
      <c r="IZZ9" s="352" t="s">
        <v>573</v>
      </c>
      <c r="JAA9" s="142" t="s">
        <v>575</v>
      </c>
      <c r="JAB9" s="358" t="s">
        <v>576</v>
      </c>
      <c r="JAC9" s="189" t="s">
        <v>574</v>
      </c>
      <c r="JAD9" s="352" t="s">
        <v>573</v>
      </c>
      <c r="JAE9" s="142" t="s">
        <v>575</v>
      </c>
      <c r="JAF9" s="358" t="s">
        <v>576</v>
      </c>
      <c r="JAG9" s="189" t="s">
        <v>574</v>
      </c>
      <c r="JAH9" s="352" t="s">
        <v>573</v>
      </c>
      <c r="JAI9" s="142" t="s">
        <v>575</v>
      </c>
      <c r="JAJ9" s="358" t="s">
        <v>576</v>
      </c>
      <c r="JAK9" s="189" t="s">
        <v>574</v>
      </c>
      <c r="JAL9" s="352" t="s">
        <v>573</v>
      </c>
      <c r="JAM9" s="142" t="s">
        <v>575</v>
      </c>
      <c r="JAN9" s="358" t="s">
        <v>576</v>
      </c>
      <c r="JAO9" s="189" t="s">
        <v>574</v>
      </c>
      <c r="JAP9" s="352" t="s">
        <v>573</v>
      </c>
      <c r="JAQ9" s="142" t="s">
        <v>575</v>
      </c>
      <c r="JAR9" s="358" t="s">
        <v>576</v>
      </c>
      <c r="JAS9" s="189" t="s">
        <v>574</v>
      </c>
      <c r="JAT9" s="352" t="s">
        <v>573</v>
      </c>
      <c r="JAU9" s="142" t="s">
        <v>575</v>
      </c>
      <c r="JAV9" s="358" t="s">
        <v>576</v>
      </c>
      <c r="JAW9" s="189" t="s">
        <v>574</v>
      </c>
      <c r="JAX9" s="352" t="s">
        <v>573</v>
      </c>
      <c r="JAY9" s="142" t="s">
        <v>575</v>
      </c>
      <c r="JAZ9" s="358" t="s">
        <v>576</v>
      </c>
      <c r="JBA9" s="189" t="s">
        <v>574</v>
      </c>
      <c r="JBB9" s="352" t="s">
        <v>573</v>
      </c>
      <c r="JBC9" s="142" t="s">
        <v>575</v>
      </c>
      <c r="JBD9" s="358" t="s">
        <v>576</v>
      </c>
      <c r="JBE9" s="189" t="s">
        <v>574</v>
      </c>
      <c r="JBF9" s="352" t="s">
        <v>573</v>
      </c>
      <c r="JBG9" s="142" t="s">
        <v>575</v>
      </c>
      <c r="JBH9" s="358" t="s">
        <v>576</v>
      </c>
      <c r="JBI9" s="189" t="s">
        <v>574</v>
      </c>
      <c r="JBJ9" s="352" t="s">
        <v>573</v>
      </c>
      <c r="JBK9" s="142" t="s">
        <v>575</v>
      </c>
      <c r="JBL9" s="358" t="s">
        <v>576</v>
      </c>
      <c r="JBM9" s="189" t="s">
        <v>574</v>
      </c>
      <c r="JBN9" s="352" t="s">
        <v>573</v>
      </c>
      <c r="JBO9" s="142" t="s">
        <v>575</v>
      </c>
      <c r="JBP9" s="358" t="s">
        <v>576</v>
      </c>
      <c r="JBQ9" s="189" t="s">
        <v>574</v>
      </c>
      <c r="JBR9" s="352" t="s">
        <v>573</v>
      </c>
      <c r="JBS9" s="142" t="s">
        <v>575</v>
      </c>
      <c r="JBT9" s="358" t="s">
        <v>576</v>
      </c>
      <c r="JBU9" s="189" t="s">
        <v>574</v>
      </c>
      <c r="JBV9" s="352" t="s">
        <v>573</v>
      </c>
      <c r="JBW9" s="142" t="s">
        <v>575</v>
      </c>
      <c r="JBX9" s="358" t="s">
        <v>576</v>
      </c>
      <c r="JBY9" s="189" t="s">
        <v>574</v>
      </c>
      <c r="JBZ9" s="352" t="s">
        <v>573</v>
      </c>
      <c r="JCA9" s="142" t="s">
        <v>575</v>
      </c>
      <c r="JCB9" s="358" t="s">
        <v>576</v>
      </c>
      <c r="JCC9" s="189" t="s">
        <v>574</v>
      </c>
      <c r="JCD9" s="352" t="s">
        <v>573</v>
      </c>
      <c r="JCE9" s="142" t="s">
        <v>575</v>
      </c>
      <c r="JCF9" s="358" t="s">
        <v>576</v>
      </c>
      <c r="JCG9" s="189" t="s">
        <v>574</v>
      </c>
      <c r="JCH9" s="352" t="s">
        <v>573</v>
      </c>
      <c r="JCI9" s="142" t="s">
        <v>575</v>
      </c>
      <c r="JCJ9" s="358" t="s">
        <v>576</v>
      </c>
      <c r="JCK9" s="189" t="s">
        <v>574</v>
      </c>
      <c r="JCL9" s="352" t="s">
        <v>573</v>
      </c>
      <c r="JCM9" s="142" t="s">
        <v>575</v>
      </c>
      <c r="JCN9" s="358" t="s">
        <v>576</v>
      </c>
      <c r="JCO9" s="189" t="s">
        <v>574</v>
      </c>
      <c r="JCP9" s="352" t="s">
        <v>573</v>
      </c>
      <c r="JCQ9" s="142" t="s">
        <v>575</v>
      </c>
      <c r="JCR9" s="358" t="s">
        <v>576</v>
      </c>
      <c r="JCS9" s="189" t="s">
        <v>574</v>
      </c>
      <c r="JCT9" s="352" t="s">
        <v>573</v>
      </c>
      <c r="JCU9" s="142" t="s">
        <v>575</v>
      </c>
      <c r="JCV9" s="358" t="s">
        <v>576</v>
      </c>
      <c r="JCW9" s="189" t="s">
        <v>574</v>
      </c>
      <c r="JCX9" s="352" t="s">
        <v>573</v>
      </c>
      <c r="JCY9" s="142" t="s">
        <v>575</v>
      </c>
      <c r="JCZ9" s="358" t="s">
        <v>576</v>
      </c>
      <c r="JDA9" s="189" t="s">
        <v>574</v>
      </c>
      <c r="JDB9" s="352" t="s">
        <v>573</v>
      </c>
      <c r="JDC9" s="142" t="s">
        <v>575</v>
      </c>
      <c r="JDD9" s="358" t="s">
        <v>576</v>
      </c>
      <c r="JDE9" s="189" t="s">
        <v>574</v>
      </c>
      <c r="JDF9" s="352" t="s">
        <v>573</v>
      </c>
      <c r="JDG9" s="142" t="s">
        <v>575</v>
      </c>
      <c r="JDH9" s="358" t="s">
        <v>576</v>
      </c>
      <c r="JDI9" s="189" t="s">
        <v>574</v>
      </c>
      <c r="JDJ9" s="352" t="s">
        <v>573</v>
      </c>
      <c r="JDK9" s="142" t="s">
        <v>575</v>
      </c>
      <c r="JDL9" s="358" t="s">
        <v>576</v>
      </c>
      <c r="JDM9" s="189" t="s">
        <v>574</v>
      </c>
      <c r="JDN9" s="352" t="s">
        <v>573</v>
      </c>
      <c r="JDO9" s="142" t="s">
        <v>575</v>
      </c>
      <c r="JDP9" s="358" t="s">
        <v>576</v>
      </c>
      <c r="JDQ9" s="189" t="s">
        <v>574</v>
      </c>
      <c r="JDR9" s="352" t="s">
        <v>573</v>
      </c>
      <c r="JDS9" s="142" t="s">
        <v>575</v>
      </c>
      <c r="JDT9" s="358" t="s">
        <v>576</v>
      </c>
      <c r="JDU9" s="189" t="s">
        <v>574</v>
      </c>
      <c r="JDV9" s="352" t="s">
        <v>573</v>
      </c>
      <c r="JDW9" s="142" t="s">
        <v>575</v>
      </c>
      <c r="JDX9" s="358" t="s">
        <v>576</v>
      </c>
      <c r="JDY9" s="189" t="s">
        <v>574</v>
      </c>
      <c r="JDZ9" s="352" t="s">
        <v>573</v>
      </c>
      <c r="JEA9" s="142" t="s">
        <v>575</v>
      </c>
      <c r="JEB9" s="358" t="s">
        <v>576</v>
      </c>
      <c r="JEC9" s="189" t="s">
        <v>574</v>
      </c>
      <c r="JED9" s="352" t="s">
        <v>573</v>
      </c>
      <c r="JEE9" s="142" t="s">
        <v>575</v>
      </c>
      <c r="JEF9" s="358" t="s">
        <v>576</v>
      </c>
      <c r="JEG9" s="189" t="s">
        <v>574</v>
      </c>
      <c r="JEH9" s="352" t="s">
        <v>573</v>
      </c>
      <c r="JEI9" s="142" t="s">
        <v>575</v>
      </c>
      <c r="JEJ9" s="358" t="s">
        <v>576</v>
      </c>
      <c r="JEK9" s="189" t="s">
        <v>574</v>
      </c>
      <c r="JEL9" s="352" t="s">
        <v>573</v>
      </c>
      <c r="JEM9" s="142" t="s">
        <v>575</v>
      </c>
      <c r="JEN9" s="358" t="s">
        <v>576</v>
      </c>
      <c r="JEO9" s="189" t="s">
        <v>574</v>
      </c>
      <c r="JEP9" s="352" t="s">
        <v>573</v>
      </c>
      <c r="JEQ9" s="142" t="s">
        <v>575</v>
      </c>
      <c r="JER9" s="358" t="s">
        <v>576</v>
      </c>
      <c r="JES9" s="189" t="s">
        <v>574</v>
      </c>
      <c r="JET9" s="352" t="s">
        <v>573</v>
      </c>
      <c r="JEU9" s="142" t="s">
        <v>575</v>
      </c>
      <c r="JEV9" s="358" t="s">
        <v>576</v>
      </c>
      <c r="JEW9" s="189" t="s">
        <v>574</v>
      </c>
      <c r="JEX9" s="352" t="s">
        <v>573</v>
      </c>
      <c r="JEY9" s="142" t="s">
        <v>575</v>
      </c>
      <c r="JEZ9" s="358" t="s">
        <v>576</v>
      </c>
      <c r="JFA9" s="189" t="s">
        <v>574</v>
      </c>
      <c r="JFB9" s="352" t="s">
        <v>573</v>
      </c>
      <c r="JFC9" s="142" t="s">
        <v>575</v>
      </c>
      <c r="JFD9" s="358" t="s">
        <v>576</v>
      </c>
      <c r="JFE9" s="189" t="s">
        <v>574</v>
      </c>
      <c r="JFF9" s="352" t="s">
        <v>573</v>
      </c>
      <c r="JFG9" s="142" t="s">
        <v>575</v>
      </c>
      <c r="JFH9" s="358" t="s">
        <v>576</v>
      </c>
      <c r="JFI9" s="189" t="s">
        <v>574</v>
      </c>
      <c r="JFJ9" s="352" t="s">
        <v>573</v>
      </c>
      <c r="JFK9" s="142" t="s">
        <v>575</v>
      </c>
      <c r="JFL9" s="358" t="s">
        <v>576</v>
      </c>
      <c r="JFM9" s="189" t="s">
        <v>574</v>
      </c>
      <c r="JFN9" s="352" t="s">
        <v>573</v>
      </c>
      <c r="JFO9" s="142" t="s">
        <v>575</v>
      </c>
      <c r="JFP9" s="358" t="s">
        <v>576</v>
      </c>
      <c r="JFQ9" s="189" t="s">
        <v>574</v>
      </c>
      <c r="JFR9" s="352" t="s">
        <v>573</v>
      </c>
      <c r="JFS9" s="142" t="s">
        <v>575</v>
      </c>
      <c r="JFT9" s="358" t="s">
        <v>576</v>
      </c>
      <c r="JFU9" s="189" t="s">
        <v>574</v>
      </c>
      <c r="JFV9" s="352" t="s">
        <v>573</v>
      </c>
      <c r="JFW9" s="142" t="s">
        <v>575</v>
      </c>
      <c r="JFX9" s="358" t="s">
        <v>576</v>
      </c>
      <c r="JFY9" s="189" t="s">
        <v>574</v>
      </c>
      <c r="JFZ9" s="352" t="s">
        <v>573</v>
      </c>
      <c r="JGA9" s="142" t="s">
        <v>575</v>
      </c>
      <c r="JGB9" s="358" t="s">
        <v>576</v>
      </c>
      <c r="JGC9" s="189" t="s">
        <v>574</v>
      </c>
      <c r="JGD9" s="352" t="s">
        <v>573</v>
      </c>
      <c r="JGE9" s="142" t="s">
        <v>575</v>
      </c>
      <c r="JGF9" s="358" t="s">
        <v>576</v>
      </c>
      <c r="JGG9" s="189" t="s">
        <v>574</v>
      </c>
      <c r="JGH9" s="352" t="s">
        <v>573</v>
      </c>
      <c r="JGI9" s="142" t="s">
        <v>575</v>
      </c>
      <c r="JGJ9" s="358" t="s">
        <v>576</v>
      </c>
      <c r="JGK9" s="189" t="s">
        <v>574</v>
      </c>
      <c r="JGL9" s="352" t="s">
        <v>573</v>
      </c>
      <c r="JGM9" s="142" t="s">
        <v>575</v>
      </c>
      <c r="JGN9" s="358" t="s">
        <v>576</v>
      </c>
      <c r="JGO9" s="189" t="s">
        <v>574</v>
      </c>
      <c r="JGP9" s="352" t="s">
        <v>573</v>
      </c>
      <c r="JGQ9" s="142" t="s">
        <v>575</v>
      </c>
      <c r="JGR9" s="358" t="s">
        <v>576</v>
      </c>
      <c r="JGS9" s="189" t="s">
        <v>574</v>
      </c>
      <c r="JGT9" s="352" t="s">
        <v>573</v>
      </c>
      <c r="JGU9" s="142" t="s">
        <v>575</v>
      </c>
      <c r="JGV9" s="358" t="s">
        <v>576</v>
      </c>
      <c r="JGW9" s="189" t="s">
        <v>574</v>
      </c>
      <c r="JGX9" s="352" t="s">
        <v>573</v>
      </c>
      <c r="JGY9" s="142" t="s">
        <v>575</v>
      </c>
      <c r="JGZ9" s="358" t="s">
        <v>576</v>
      </c>
      <c r="JHA9" s="189" t="s">
        <v>574</v>
      </c>
      <c r="JHB9" s="352" t="s">
        <v>573</v>
      </c>
      <c r="JHC9" s="142" t="s">
        <v>575</v>
      </c>
      <c r="JHD9" s="358" t="s">
        <v>576</v>
      </c>
      <c r="JHE9" s="189" t="s">
        <v>574</v>
      </c>
      <c r="JHF9" s="352" t="s">
        <v>573</v>
      </c>
      <c r="JHG9" s="142" t="s">
        <v>575</v>
      </c>
      <c r="JHH9" s="358" t="s">
        <v>576</v>
      </c>
      <c r="JHI9" s="189" t="s">
        <v>574</v>
      </c>
      <c r="JHJ9" s="352" t="s">
        <v>573</v>
      </c>
      <c r="JHK9" s="142" t="s">
        <v>575</v>
      </c>
      <c r="JHL9" s="358" t="s">
        <v>576</v>
      </c>
      <c r="JHM9" s="189" t="s">
        <v>574</v>
      </c>
      <c r="JHN9" s="352" t="s">
        <v>573</v>
      </c>
      <c r="JHO9" s="142" t="s">
        <v>575</v>
      </c>
      <c r="JHP9" s="358" t="s">
        <v>576</v>
      </c>
      <c r="JHQ9" s="189" t="s">
        <v>574</v>
      </c>
      <c r="JHR9" s="352" t="s">
        <v>573</v>
      </c>
      <c r="JHS9" s="142" t="s">
        <v>575</v>
      </c>
      <c r="JHT9" s="358" t="s">
        <v>576</v>
      </c>
      <c r="JHU9" s="189" t="s">
        <v>574</v>
      </c>
      <c r="JHV9" s="352" t="s">
        <v>573</v>
      </c>
      <c r="JHW9" s="142" t="s">
        <v>575</v>
      </c>
      <c r="JHX9" s="358" t="s">
        <v>576</v>
      </c>
      <c r="JHY9" s="189" t="s">
        <v>574</v>
      </c>
      <c r="JHZ9" s="352" t="s">
        <v>573</v>
      </c>
      <c r="JIA9" s="142" t="s">
        <v>575</v>
      </c>
      <c r="JIB9" s="358" t="s">
        <v>576</v>
      </c>
      <c r="JIC9" s="189" t="s">
        <v>574</v>
      </c>
      <c r="JID9" s="352" t="s">
        <v>573</v>
      </c>
      <c r="JIE9" s="142" t="s">
        <v>575</v>
      </c>
      <c r="JIF9" s="358" t="s">
        <v>576</v>
      </c>
      <c r="JIG9" s="189" t="s">
        <v>574</v>
      </c>
      <c r="JIH9" s="352" t="s">
        <v>573</v>
      </c>
      <c r="JII9" s="142" t="s">
        <v>575</v>
      </c>
      <c r="JIJ9" s="358" t="s">
        <v>576</v>
      </c>
      <c r="JIK9" s="189" t="s">
        <v>574</v>
      </c>
      <c r="JIL9" s="352" t="s">
        <v>573</v>
      </c>
      <c r="JIM9" s="142" t="s">
        <v>575</v>
      </c>
      <c r="JIN9" s="358" t="s">
        <v>576</v>
      </c>
      <c r="JIO9" s="189" t="s">
        <v>574</v>
      </c>
      <c r="JIP9" s="352" t="s">
        <v>573</v>
      </c>
      <c r="JIQ9" s="142" t="s">
        <v>575</v>
      </c>
      <c r="JIR9" s="358" t="s">
        <v>576</v>
      </c>
      <c r="JIS9" s="189" t="s">
        <v>574</v>
      </c>
      <c r="JIT9" s="352" t="s">
        <v>573</v>
      </c>
      <c r="JIU9" s="142" t="s">
        <v>575</v>
      </c>
      <c r="JIV9" s="358" t="s">
        <v>576</v>
      </c>
      <c r="JIW9" s="189" t="s">
        <v>574</v>
      </c>
      <c r="JIX9" s="352" t="s">
        <v>573</v>
      </c>
      <c r="JIY9" s="142" t="s">
        <v>575</v>
      </c>
      <c r="JIZ9" s="358" t="s">
        <v>576</v>
      </c>
      <c r="JJA9" s="189" t="s">
        <v>574</v>
      </c>
      <c r="JJB9" s="352" t="s">
        <v>573</v>
      </c>
      <c r="JJC9" s="142" t="s">
        <v>575</v>
      </c>
      <c r="JJD9" s="358" t="s">
        <v>576</v>
      </c>
      <c r="JJE9" s="189" t="s">
        <v>574</v>
      </c>
      <c r="JJF9" s="352" t="s">
        <v>573</v>
      </c>
      <c r="JJG9" s="142" t="s">
        <v>575</v>
      </c>
      <c r="JJH9" s="358" t="s">
        <v>576</v>
      </c>
      <c r="JJI9" s="189" t="s">
        <v>574</v>
      </c>
      <c r="JJJ9" s="352" t="s">
        <v>573</v>
      </c>
      <c r="JJK9" s="142" t="s">
        <v>575</v>
      </c>
      <c r="JJL9" s="358" t="s">
        <v>576</v>
      </c>
      <c r="JJM9" s="189" t="s">
        <v>574</v>
      </c>
      <c r="JJN9" s="352" t="s">
        <v>573</v>
      </c>
      <c r="JJO9" s="142" t="s">
        <v>575</v>
      </c>
      <c r="JJP9" s="358" t="s">
        <v>576</v>
      </c>
      <c r="JJQ9" s="189" t="s">
        <v>574</v>
      </c>
      <c r="JJR9" s="352" t="s">
        <v>573</v>
      </c>
      <c r="JJS9" s="142" t="s">
        <v>575</v>
      </c>
      <c r="JJT9" s="358" t="s">
        <v>576</v>
      </c>
      <c r="JJU9" s="189" t="s">
        <v>574</v>
      </c>
      <c r="JJV9" s="352" t="s">
        <v>573</v>
      </c>
      <c r="JJW9" s="142" t="s">
        <v>575</v>
      </c>
      <c r="JJX9" s="358" t="s">
        <v>576</v>
      </c>
      <c r="JJY9" s="189" t="s">
        <v>574</v>
      </c>
      <c r="JJZ9" s="352" t="s">
        <v>573</v>
      </c>
      <c r="JKA9" s="142" t="s">
        <v>575</v>
      </c>
      <c r="JKB9" s="358" t="s">
        <v>576</v>
      </c>
      <c r="JKC9" s="189" t="s">
        <v>574</v>
      </c>
      <c r="JKD9" s="352" t="s">
        <v>573</v>
      </c>
      <c r="JKE9" s="142" t="s">
        <v>575</v>
      </c>
      <c r="JKF9" s="358" t="s">
        <v>576</v>
      </c>
      <c r="JKG9" s="189" t="s">
        <v>574</v>
      </c>
      <c r="JKH9" s="352" t="s">
        <v>573</v>
      </c>
      <c r="JKI9" s="142" t="s">
        <v>575</v>
      </c>
      <c r="JKJ9" s="358" t="s">
        <v>576</v>
      </c>
      <c r="JKK9" s="189" t="s">
        <v>574</v>
      </c>
      <c r="JKL9" s="352" t="s">
        <v>573</v>
      </c>
      <c r="JKM9" s="142" t="s">
        <v>575</v>
      </c>
      <c r="JKN9" s="358" t="s">
        <v>576</v>
      </c>
      <c r="JKO9" s="189" t="s">
        <v>574</v>
      </c>
      <c r="JKP9" s="352" t="s">
        <v>573</v>
      </c>
      <c r="JKQ9" s="142" t="s">
        <v>575</v>
      </c>
      <c r="JKR9" s="358" t="s">
        <v>576</v>
      </c>
      <c r="JKS9" s="189" t="s">
        <v>574</v>
      </c>
      <c r="JKT9" s="352" t="s">
        <v>573</v>
      </c>
      <c r="JKU9" s="142" t="s">
        <v>575</v>
      </c>
      <c r="JKV9" s="358" t="s">
        <v>576</v>
      </c>
      <c r="JKW9" s="189" t="s">
        <v>574</v>
      </c>
      <c r="JKX9" s="352" t="s">
        <v>573</v>
      </c>
      <c r="JKY9" s="142" t="s">
        <v>575</v>
      </c>
      <c r="JKZ9" s="358" t="s">
        <v>576</v>
      </c>
      <c r="JLA9" s="189" t="s">
        <v>574</v>
      </c>
      <c r="JLB9" s="352" t="s">
        <v>573</v>
      </c>
      <c r="JLC9" s="142" t="s">
        <v>575</v>
      </c>
      <c r="JLD9" s="358" t="s">
        <v>576</v>
      </c>
      <c r="JLE9" s="189" t="s">
        <v>574</v>
      </c>
      <c r="JLF9" s="352" t="s">
        <v>573</v>
      </c>
      <c r="JLG9" s="142" t="s">
        <v>575</v>
      </c>
      <c r="JLH9" s="358" t="s">
        <v>576</v>
      </c>
      <c r="JLI9" s="189" t="s">
        <v>574</v>
      </c>
      <c r="JLJ9" s="352" t="s">
        <v>573</v>
      </c>
      <c r="JLK9" s="142" t="s">
        <v>575</v>
      </c>
      <c r="JLL9" s="358" t="s">
        <v>576</v>
      </c>
      <c r="JLM9" s="189" t="s">
        <v>574</v>
      </c>
      <c r="JLN9" s="352" t="s">
        <v>573</v>
      </c>
      <c r="JLO9" s="142" t="s">
        <v>575</v>
      </c>
      <c r="JLP9" s="358" t="s">
        <v>576</v>
      </c>
      <c r="JLQ9" s="189" t="s">
        <v>574</v>
      </c>
      <c r="JLR9" s="352" t="s">
        <v>573</v>
      </c>
      <c r="JLS9" s="142" t="s">
        <v>575</v>
      </c>
      <c r="JLT9" s="358" t="s">
        <v>576</v>
      </c>
      <c r="JLU9" s="189" t="s">
        <v>574</v>
      </c>
      <c r="JLV9" s="352" t="s">
        <v>573</v>
      </c>
      <c r="JLW9" s="142" t="s">
        <v>575</v>
      </c>
      <c r="JLX9" s="358" t="s">
        <v>576</v>
      </c>
      <c r="JLY9" s="189" t="s">
        <v>574</v>
      </c>
      <c r="JLZ9" s="352" t="s">
        <v>573</v>
      </c>
      <c r="JMA9" s="142" t="s">
        <v>575</v>
      </c>
      <c r="JMB9" s="358" t="s">
        <v>576</v>
      </c>
      <c r="JMC9" s="189" t="s">
        <v>574</v>
      </c>
      <c r="JMD9" s="352" t="s">
        <v>573</v>
      </c>
      <c r="JME9" s="142" t="s">
        <v>575</v>
      </c>
      <c r="JMF9" s="358" t="s">
        <v>576</v>
      </c>
      <c r="JMG9" s="189" t="s">
        <v>574</v>
      </c>
      <c r="JMH9" s="352" t="s">
        <v>573</v>
      </c>
      <c r="JMI9" s="142" t="s">
        <v>575</v>
      </c>
      <c r="JMJ9" s="358" t="s">
        <v>576</v>
      </c>
      <c r="JMK9" s="189" t="s">
        <v>574</v>
      </c>
      <c r="JML9" s="352" t="s">
        <v>573</v>
      </c>
      <c r="JMM9" s="142" t="s">
        <v>575</v>
      </c>
      <c r="JMN9" s="358" t="s">
        <v>576</v>
      </c>
      <c r="JMO9" s="189" t="s">
        <v>574</v>
      </c>
      <c r="JMP9" s="352" t="s">
        <v>573</v>
      </c>
      <c r="JMQ9" s="142" t="s">
        <v>575</v>
      </c>
      <c r="JMR9" s="358" t="s">
        <v>576</v>
      </c>
      <c r="JMS9" s="189" t="s">
        <v>574</v>
      </c>
      <c r="JMT9" s="352" t="s">
        <v>573</v>
      </c>
      <c r="JMU9" s="142" t="s">
        <v>575</v>
      </c>
      <c r="JMV9" s="358" t="s">
        <v>576</v>
      </c>
      <c r="JMW9" s="189" t="s">
        <v>574</v>
      </c>
      <c r="JMX9" s="352" t="s">
        <v>573</v>
      </c>
      <c r="JMY9" s="142" t="s">
        <v>575</v>
      </c>
      <c r="JMZ9" s="358" t="s">
        <v>576</v>
      </c>
      <c r="JNA9" s="189" t="s">
        <v>574</v>
      </c>
      <c r="JNB9" s="352" t="s">
        <v>573</v>
      </c>
      <c r="JNC9" s="142" t="s">
        <v>575</v>
      </c>
      <c r="JND9" s="358" t="s">
        <v>576</v>
      </c>
      <c r="JNE9" s="189" t="s">
        <v>574</v>
      </c>
      <c r="JNF9" s="352" t="s">
        <v>573</v>
      </c>
      <c r="JNG9" s="142" t="s">
        <v>575</v>
      </c>
      <c r="JNH9" s="358" t="s">
        <v>576</v>
      </c>
      <c r="JNI9" s="189" t="s">
        <v>574</v>
      </c>
      <c r="JNJ9" s="352" t="s">
        <v>573</v>
      </c>
      <c r="JNK9" s="142" t="s">
        <v>575</v>
      </c>
      <c r="JNL9" s="358" t="s">
        <v>576</v>
      </c>
      <c r="JNM9" s="189" t="s">
        <v>574</v>
      </c>
      <c r="JNN9" s="352" t="s">
        <v>573</v>
      </c>
      <c r="JNO9" s="142" t="s">
        <v>575</v>
      </c>
      <c r="JNP9" s="358" t="s">
        <v>576</v>
      </c>
      <c r="JNQ9" s="189" t="s">
        <v>574</v>
      </c>
      <c r="JNR9" s="352" t="s">
        <v>573</v>
      </c>
      <c r="JNS9" s="142" t="s">
        <v>575</v>
      </c>
      <c r="JNT9" s="358" t="s">
        <v>576</v>
      </c>
      <c r="JNU9" s="189" t="s">
        <v>574</v>
      </c>
      <c r="JNV9" s="352" t="s">
        <v>573</v>
      </c>
      <c r="JNW9" s="142" t="s">
        <v>575</v>
      </c>
      <c r="JNX9" s="358" t="s">
        <v>576</v>
      </c>
      <c r="JNY9" s="189" t="s">
        <v>574</v>
      </c>
      <c r="JNZ9" s="352" t="s">
        <v>573</v>
      </c>
      <c r="JOA9" s="142" t="s">
        <v>575</v>
      </c>
      <c r="JOB9" s="358" t="s">
        <v>576</v>
      </c>
      <c r="JOC9" s="189" t="s">
        <v>574</v>
      </c>
      <c r="JOD9" s="352" t="s">
        <v>573</v>
      </c>
      <c r="JOE9" s="142" t="s">
        <v>575</v>
      </c>
      <c r="JOF9" s="358" t="s">
        <v>576</v>
      </c>
      <c r="JOG9" s="189" t="s">
        <v>574</v>
      </c>
      <c r="JOH9" s="352" t="s">
        <v>573</v>
      </c>
      <c r="JOI9" s="142" t="s">
        <v>575</v>
      </c>
      <c r="JOJ9" s="358" t="s">
        <v>576</v>
      </c>
      <c r="JOK9" s="189" t="s">
        <v>574</v>
      </c>
      <c r="JOL9" s="352" t="s">
        <v>573</v>
      </c>
      <c r="JOM9" s="142" t="s">
        <v>575</v>
      </c>
      <c r="JON9" s="358" t="s">
        <v>576</v>
      </c>
      <c r="JOO9" s="189" t="s">
        <v>574</v>
      </c>
      <c r="JOP9" s="352" t="s">
        <v>573</v>
      </c>
      <c r="JOQ9" s="142" t="s">
        <v>575</v>
      </c>
      <c r="JOR9" s="358" t="s">
        <v>576</v>
      </c>
      <c r="JOS9" s="189" t="s">
        <v>574</v>
      </c>
      <c r="JOT9" s="352" t="s">
        <v>573</v>
      </c>
      <c r="JOU9" s="142" t="s">
        <v>575</v>
      </c>
      <c r="JOV9" s="358" t="s">
        <v>576</v>
      </c>
      <c r="JOW9" s="189" t="s">
        <v>574</v>
      </c>
      <c r="JOX9" s="352" t="s">
        <v>573</v>
      </c>
      <c r="JOY9" s="142" t="s">
        <v>575</v>
      </c>
      <c r="JOZ9" s="358" t="s">
        <v>576</v>
      </c>
      <c r="JPA9" s="189" t="s">
        <v>574</v>
      </c>
      <c r="JPB9" s="352" t="s">
        <v>573</v>
      </c>
      <c r="JPC9" s="142" t="s">
        <v>575</v>
      </c>
      <c r="JPD9" s="358" t="s">
        <v>576</v>
      </c>
      <c r="JPE9" s="189" t="s">
        <v>574</v>
      </c>
      <c r="JPF9" s="352" t="s">
        <v>573</v>
      </c>
      <c r="JPG9" s="142" t="s">
        <v>575</v>
      </c>
      <c r="JPH9" s="358" t="s">
        <v>576</v>
      </c>
      <c r="JPI9" s="189" t="s">
        <v>574</v>
      </c>
      <c r="JPJ9" s="352" t="s">
        <v>573</v>
      </c>
      <c r="JPK9" s="142" t="s">
        <v>575</v>
      </c>
      <c r="JPL9" s="358" t="s">
        <v>576</v>
      </c>
      <c r="JPM9" s="189" t="s">
        <v>574</v>
      </c>
      <c r="JPN9" s="352" t="s">
        <v>573</v>
      </c>
      <c r="JPO9" s="142" t="s">
        <v>575</v>
      </c>
      <c r="JPP9" s="358" t="s">
        <v>576</v>
      </c>
      <c r="JPQ9" s="189" t="s">
        <v>574</v>
      </c>
      <c r="JPR9" s="352" t="s">
        <v>573</v>
      </c>
      <c r="JPS9" s="142" t="s">
        <v>575</v>
      </c>
      <c r="JPT9" s="358" t="s">
        <v>576</v>
      </c>
      <c r="JPU9" s="189" t="s">
        <v>574</v>
      </c>
      <c r="JPV9" s="352" t="s">
        <v>573</v>
      </c>
      <c r="JPW9" s="142" t="s">
        <v>575</v>
      </c>
      <c r="JPX9" s="358" t="s">
        <v>576</v>
      </c>
      <c r="JPY9" s="189" t="s">
        <v>574</v>
      </c>
      <c r="JPZ9" s="352" t="s">
        <v>573</v>
      </c>
      <c r="JQA9" s="142" t="s">
        <v>575</v>
      </c>
      <c r="JQB9" s="358" t="s">
        <v>576</v>
      </c>
      <c r="JQC9" s="189" t="s">
        <v>574</v>
      </c>
      <c r="JQD9" s="352" t="s">
        <v>573</v>
      </c>
      <c r="JQE9" s="142" t="s">
        <v>575</v>
      </c>
      <c r="JQF9" s="358" t="s">
        <v>576</v>
      </c>
      <c r="JQG9" s="189" t="s">
        <v>574</v>
      </c>
      <c r="JQH9" s="352" t="s">
        <v>573</v>
      </c>
      <c r="JQI9" s="142" t="s">
        <v>575</v>
      </c>
      <c r="JQJ9" s="358" t="s">
        <v>576</v>
      </c>
      <c r="JQK9" s="189" t="s">
        <v>574</v>
      </c>
      <c r="JQL9" s="352" t="s">
        <v>573</v>
      </c>
      <c r="JQM9" s="142" t="s">
        <v>575</v>
      </c>
      <c r="JQN9" s="358" t="s">
        <v>576</v>
      </c>
      <c r="JQO9" s="189" t="s">
        <v>574</v>
      </c>
      <c r="JQP9" s="352" t="s">
        <v>573</v>
      </c>
      <c r="JQQ9" s="142" t="s">
        <v>575</v>
      </c>
      <c r="JQR9" s="358" t="s">
        <v>576</v>
      </c>
      <c r="JQS9" s="189" t="s">
        <v>574</v>
      </c>
      <c r="JQT9" s="352" t="s">
        <v>573</v>
      </c>
      <c r="JQU9" s="142" t="s">
        <v>575</v>
      </c>
      <c r="JQV9" s="358" t="s">
        <v>576</v>
      </c>
      <c r="JQW9" s="189" t="s">
        <v>574</v>
      </c>
      <c r="JQX9" s="352" t="s">
        <v>573</v>
      </c>
      <c r="JQY9" s="142" t="s">
        <v>575</v>
      </c>
      <c r="JQZ9" s="358" t="s">
        <v>576</v>
      </c>
      <c r="JRA9" s="189" t="s">
        <v>574</v>
      </c>
      <c r="JRB9" s="352" t="s">
        <v>573</v>
      </c>
      <c r="JRC9" s="142" t="s">
        <v>575</v>
      </c>
      <c r="JRD9" s="358" t="s">
        <v>576</v>
      </c>
      <c r="JRE9" s="189" t="s">
        <v>574</v>
      </c>
      <c r="JRF9" s="352" t="s">
        <v>573</v>
      </c>
      <c r="JRG9" s="142" t="s">
        <v>575</v>
      </c>
      <c r="JRH9" s="358" t="s">
        <v>576</v>
      </c>
      <c r="JRI9" s="189" t="s">
        <v>574</v>
      </c>
      <c r="JRJ9" s="352" t="s">
        <v>573</v>
      </c>
      <c r="JRK9" s="142" t="s">
        <v>575</v>
      </c>
      <c r="JRL9" s="358" t="s">
        <v>576</v>
      </c>
      <c r="JRM9" s="189" t="s">
        <v>574</v>
      </c>
      <c r="JRN9" s="352" t="s">
        <v>573</v>
      </c>
      <c r="JRO9" s="142" t="s">
        <v>575</v>
      </c>
      <c r="JRP9" s="358" t="s">
        <v>576</v>
      </c>
      <c r="JRQ9" s="189" t="s">
        <v>574</v>
      </c>
      <c r="JRR9" s="352" t="s">
        <v>573</v>
      </c>
      <c r="JRS9" s="142" t="s">
        <v>575</v>
      </c>
      <c r="JRT9" s="358" t="s">
        <v>576</v>
      </c>
      <c r="JRU9" s="189" t="s">
        <v>574</v>
      </c>
      <c r="JRV9" s="352" t="s">
        <v>573</v>
      </c>
      <c r="JRW9" s="142" t="s">
        <v>575</v>
      </c>
      <c r="JRX9" s="358" t="s">
        <v>576</v>
      </c>
      <c r="JRY9" s="189" t="s">
        <v>574</v>
      </c>
      <c r="JRZ9" s="352" t="s">
        <v>573</v>
      </c>
      <c r="JSA9" s="142" t="s">
        <v>575</v>
      </c>
      <c r="JSB9" s="358" t="s">
        <v>576</v>
      </c>
      <c r="JSC9" s="189" t="s">
        <v>574</v>
      </c>
      <c r="JSD9" s="352" t="s">
        <v>573</v>
      </c>
      <c r="JSE9" s="142" t="s">
        <v>575</v>
      </c>
      <c r="JSF9" s="358" t="s">
        <v>576</v>
      </c>
      <c r="JSG9" s="189" t="s">
        <v>574</v>
      </c>
      <c r="JSH9" s="352" t="s">
        <v>573</v>
      </c>
      <c r="JSI9" s="142" t="s">
        <v>575</v>
      </c>
      <c r="JSJ9" s="358" t="s">
        <v>576</v>
      </c>
      <c r="JSK9" s="189" t="s">
        <v>574</v>
      </c>
      <c r="JSL9" s="352" t="s">
        <v>573</v>
      </c>
      <c r="JSM9" s="142" t="s">
        <v>575</v>
      </c>
      <c r="JSN9" s="358" t="s">
        <v>576</v>
      </c>
      <c r="JSO9" s="189" t="s">
        <v>574</v>
      </c>
      <c r="JSP9" s="352" t="s">
        <v>573</v>
      </c>
      <c r="JSQ9" s="142" t="s">
        <v>575</v>
      </c>
      <c r="JSR9" s="358" t="s">
        <v>576</v>
      </c>
      <c r="JSS9" s="189" t="s">
        <v>574</v>
      </c>
      <c r="JST9" s="352" t="s">
        <v>573</v>
      </c>
      <c r="JSU9" s="142" t="s">
        <v>575</v>
      </c>
      <c r="JSV9" s="358" t="s">
        <v>576</v>
      </c>
      <c r="JSW9" s="189" t="s">
        <v>574</v>
      </c>
      <c r="JSX9" s="352" t="s">
        <v>573</v>
      </c>
      <c r="JSY9" s="142" t="s">
        <v>575</v>
      </c>
      <c r="JSZ9" s="358" t="s">
        <v>576</v>
      </c>
      <c r="JTA9" s="189" t="s">
        <v>574</v>
      </c>
      <c r="JTB9" s="352" t="s">
        <v>573</v>
      </c>
      <c r="JTC9" s="142" t="s">
        <v>575</v>
      </c>
      <c r="JTD9" s="358" t="s">
        <v>576</v>
      </c>
      <c r="JTE9" s="189" t="s">
        <v>574</v>
      </c>
      <c r="JTF9" s="352" t="s">
        <v>573</v>
      </c>
      <c r="JTG9" s="142" t="s">
        <v>575</v>
      </c>
      <c r="JTH9" s="358" t="s">
        <v>576</v>
      </c>
      <c r="JTI9" s="189" t="s">
        <v>574</v>
      </c>
      <c r="JTJ9" s="352" t="s">
        <v>573</v>
      </c>
      <c r="JTK9" s="142" t="s">
        <v>575</v>
      </c>
      <c r="JTL9" s="358" t="s">
        <v>576</v>
      </c>
      <c r="JTM9" s="189" t="s">
        <v>574</v>
      </c>
      <c r="JTN9" s="352" t="s">
        <v>573</v>
      </c>
      <c r="JTO9" s="142" t="s">
        <v>575</v>
      </c>
      <c r="JTP9" s="358" t="s">
        <v>576</v>
      </c>
      <c r="JTQ9" s="189" t="s">
        <v>574</v>
      </c>
      <c r="JTR9" s="352" t="s">
        <v>573</v>
      </c>
      <c r="JTS9" s="142" t="s">
        <v>575</v>
      </c>
      <c r="JTT9" s="358" t="s">
        <v>576</v>
      </c>
      <c r="JTU9" s="189" t="s">
        <v>574</v>
      </c>
      <c r="JTV9" s="352" t="s">
        <v>573</v>
      </c>
      <c r="JTW9" s="142" t="s">
        <v>575</v>
      </c>
      <c r="JTX9" s="358" t="s">
        <v>576</v>
      </c>
      <c r="JTY9" s="189" t="s">
        <v>574</v>
      </c>
      <c r="JTZ9" s="352" t="s">
        <v>573</v>
      </c>
      <c r="JUA9" s="142" t="s">
        <v>575</v>
      </c>
      <c r="JUB9" s="358" t="s">
        <v>576</v>
      </c>
      <c r="JUC9" s="189" t="s">
        <v>574</v>
      </c>
      <c r="JUD9" s="352" t="s">
        <v>573</v>
      </c>
      <c r="JUE9" s="142" t="s">
        <v>575</v>
      </c>
      <c r="JUF9" s="358" t="s">
        <v>576</v>
      </c>
      <c r="JUG9" s="189" t="s">
        <v>574</v>
      </c>
      <c r="JUH9" s="352" t="s">
        <v>573</v>
      </c>
      <c r="JUI9" s="142" t="s">
        <v>575</v>
      </c>
      <c r="JUJ9" s="358" t="s">
        <v>576</v>
      </c>
      <c r="JUK9" s="189" t="s">
        <v>574</v>
      </c>
      <c r="JUL9" s="352" t="s">
        <v>573</v>
      </c>
      <c r="JUM9" s="142" t="s">
        <v>575</v>
      </c>
      <c r="JUN9" s="358" t="s">
        <v>576</v>
      </c>
      <c r="JUO9" s="189" t="s">
        <v>574</v>
      </c>
      <c r="JUP9" s="352" t="s">
        <v>573</v>
      </c>
      <c r="JUQ9" s="142" t="s">
        <v>575</v>
      </c>
      <c r="JUR9" s="358" t="s">
        <v>576</v>
      </c>
      <c r="JUS9" s="189" t="s">
        <v>574</v>
      </c>
      <c r="JUT9" s="352" t="s">
        <v>573</v>
      </c>
      <c r="JUU9" s="142" t="s">
        <v>575</v>
      </c>
      <c r="JUV9" s="358" t="s">
        <v>576</v>
      </c>
      <c r="JUW9" s="189" t="s">
        <v>574</v>
      </c>
      <c r="JUX9" s="352" t="s">
        <v>573</v>
      </c>
      <c r="JUY9" s="142" t="s">
        <v>575</v>
      </c>
      <c r="JUZ9" s="358" t="s">
        <v>576</v>
      </c>
      <c r="JVA9" s="189" t="s">
        <v>574</v>
      </c>
      <c r="JVB9" s="352" t="s">
        <v>573</v>
      </c>
      <c r="JVC9" s="142" t="s">
        <v>575</v>
      </c>
      <c r="JVD9" s="358" t="s">
        <v>576</v>
      </c>
      <c r="JVE9" s="189" t="s">
        <v>574</v>
      </c>
      <c r="JVF9" s="352" t="s">
        <v>573</v>
      </c>
      <c r="JVG9" s="142" t="s">
        <v>575</v>
      </c>
      <c r="JVH9" s="358" t="s">
        <v>576</v>
      </c>
      <c r="JVI9" s="189" t="s">
        <v>574</v>
      </c>
      <c r="JVJ9" s="352" t="s">
        <v>573</v>
      </c>
      <c r="JVK9" s="142" t="s">
        <v>575</v>
      </c>
      <c r="JVL9" s="358" t="s">
        <v>576</v>
      </c>
      <c r="JVM9" s="189" t="s">
        <v>574</v>
      </c>
      <c r="JVN9" s="352" t="s">
        <v>573</v>
      </c>
      <c r="JVO9" s="142" t="s">
        <v>575</v>
      </c>
      <c r="JVP9" s="358" t="s">
        <v>576</v>
      </c>
      <c r="JVQ9" s="189" t="s">
        <v>574</v>
      </c>
      <c r="JVR9" s="352" t="s">
        <v>573</v>
      </c>
      <c r="JVS9" s="142" t="s">
        <v>575</v>
      </c>
      <c r="JVT9" s="358" t="s">
        <v>576</v>
      </c>
      <c r="JVU9" s="189" t="s">
        <v>574</v>
      </c>
      <c r="JVV9" s="352" t="s">
        <v>573</v>
      </c>
      <c r="JVW9" s="142" t="s">
        <v>575</v>
      </c>
      <c r="JVX9" s="358" t="s">
        <v>576</v>
      </c>
      <c r="JVY9" s="189" t="s">
        <v>574</v>
      </c>
      <c r="JVZ9" s="352" t="s">
        <v>573</v>
      </c>
      <c r="JWA9" s="142" t="s">
        <v>575</v>
      </c>
      <c r="JWB9" s="358" t="s">
        <v>576</v>
      </c>
      <c r="JWC9" s="189" t="s">
        <v>574</v>
      </c>
      <c r="JWD9" s="352" t="s">
        <v>573</v>
      </c>
      <c r="JWE9" s="142" t="s">
        <v>575</v>
      </c>
      <c r="JWF9" s="358" t="s">
        <v>576</v>
      </c>
      <c r="JWG9" s="189" t="s">
        <v>574</v>
      </c>
      <c r="JWH9" s="352" t="s">
        <v>573</v>
      </c>
      <c r="JWI9" s="142" t="s">
        <v>575</v>
      </c>
      <c r="JWJ9" s="358" t="s">
        <v>576</v>
      </c>
      <c r="JWK9" s="189" t="s">
        <v>574</v>
      </c>
      <c r="JWL9" s="352" t="s">
        <v>573</v>
      </c>
      <c r="JWM9" s="142" t="s">
        <v>575</v>
      </c>
      <c r="JWN9" s="358" t="s">
        <v>576</v>
      </c>
      <c r="JWO9" s="189" t="s">
        <v>574</v>
      </c>
      <c r="JWP9" s="352" t="s">
        <v>573</v>
      </c>
      <c r="JWQ9" s="142" t="s">
        <v>575</v>
      </c>
      <c r="JWR9" s="358" t="s">
        <v>576</v>
      </c>
      <c r="JWS9" s="189" t="s">
        <v>574</v>
      </c>
      <c r="JWT9" s="352" t="s">
        <v>573</v>
      </c>
      <c r="JWU9" s="142" t="s">
        <v>575</v>
      </c>
      <c r="JWV9" s="358" t="s">
        <v>576</v>
      </c>
      <c r="JWW9" s="189" t="s">
        <v>574</v>
      </c>
      <c r="JWX9" s="352" t="s">
        <v>573</v>
      </c>
      <c r="JWY9" s="142" t="s">
        <v>575</v>
      </c>
      <c r="JWZ9" s="358" t="s">
        <v>576</v>
      </c>
      <c r="JXA9" s="189" t="s">
        <v>574</v>
      </c>
      <c r="JXB9" s="352" t="s">
        <v>573</v>
      </c>
      <c r="JXC9" s="142" t="s">
        <v>575</v>
      </c>
      <c r="JXD9" s="358" t="s">
        <v>576</v>
      </c>
      <c r="JXE9" s="189" t="s">
        <v>574</v>
      </c>
      <c r="JXF9" s="352" t="s">
        <v>573</v>
      </c>
      <c r="JXG9" s="142" t="s">
        <v>575</v>
      </c>
      <c r="JXH9" s="358" t="s">
        <v>576</v>
      </c>
      <c r="JXI9" s="189" t="s">
        <v>574</v>
      </c>
      <c r="JXJ9" s="352" t="s">
        <v>573</v>
      </c>
      <c r="JXK9" s="142" t="s">
        <v>575</v>
      </c>
      <c r="JXL9" s="358" t="s">
        <v>576</v>
      </c>
      <c r="JXM9" s="189" t="s">
        <v>574</v>
      </c>
      <c r="JXN9" s="352" t="s">
        <v>573</v>
      </c>
      <c r="JXO9" s="142" t="s">
        <v>575</v>
      </c>
      <c r="JXP9" s="358" t="s">
        <v>576</v>
      </c>
      <c r="JXQ9" s="189" t="s">
        <v>574</v>
      </c>
      <c r="JXR9" s="352" t="s">
        <v>573</v>
      </c>
      <c r="JXS9" s="142" t="s">
        <v>575</v>
      </c>
      <c r="JXT9" s="358" t="s">
        <v>576</v>
      </c>
      <c r="JXU9" s="189" t="s">
        <v>574</v>
      </c>
      <c r="JXV9" s="352" t="s">
        <v>573</v>
      </c>
      <c r="JXW9" s="142" t="s">
        <v>575</v>
      </c>
      <c r="JXX9" s="358" t="s">
        <v>576</v>
      </c>
      <c r="JXY9" s="189" t="s">
        <v>574</v>
      </c>
      <c r="JXZ9" s="352" t="s">
        <v>573</v>
      </c>
      <c r="JYA9" s="142" t="s">
        <v>575</v>
      </c>
      <c r="JYB9" s="358" t="s">
        <v>576</v>
      </c>
      <c r="JYC9" s="189" t="s">
        <v>574</v>
      </c>
      <c r="JYD9" s="352" t="s">
        <v>573</v>
      </c>
      <c r="JYE9" s="142" t="s">
        <v>575</v>
      </c>
      <c r="JYF9" s="358" t="s">
        <v>576</v>
      </c>
      <c r="JYG9" s="189" t="s">
        <v>574</v>
      </c>
      <c r="JYH9" s="352" t="s">
        <v>573</v>
      </c>
      <c r="JYI9" s="142" t="s">
        <v>575</v>
      </c>
      <c r="JYJ9" s="358" t="s">
        <v>576</v>
      </c>
      <c r="JYK9" s="189" t="s">
        <v>574</v>
      </c>
      <c r="JYL9" s="352" t="s">
        <v>573</v>
      </c>
      <c r="JYM9" s="142" t="s">
        <v>575</v>
      </c>
      <c r="JYN9" s="358" t="s">
        <v>576</v>
      </c>
      <c r="JYO9" s="189" t="s">
        <v>574</v>
      </c>
      <c r="JYP9" s="352" t="s">
        <v>573</v>
      </c>
      <c r="JYQ9" s="142" t="s">
        <v>575</v>
      </c>
      <c r="JYR9" s="358" t="s">
        <v>576</v>
      </c>
      <c r="JYS9" s="189" t="s">
        <v>574</v>
      </c>
      <c r="JYT9" s="352" t="s">
        <v>573</v>
      </c>
      <c r="JYU9" s="142" t="s">
        <v>575</v>
      </c>
      <c r="JYV9" s="358" t="s">
        <v>576</v>
      </c>
      <c r="JYW9" s="189" t="s">
        <v>574</v>
      </c>
      <c r="JYX9" s="352" t="s">
        <v>573</v>
      </c>
      <c r="JYY9" s="142" t="s">
        <v>575</v>
      </c>
      <c r="JYZ9" s="358" t="s">
        <v>576</v>
      </c>
      <c r="JZA9" s="189" t="s">
        <v>574</v>
      </c>
      <c r="JZB9" s="352" t="s">
        <v>573</v>
      </c>
      <c r="JZC9" s="142" t="s">
        <v>575</v>
      </c>
      <c r="JZD9" s="358" t="s">
        <v>576</v>
      </c>
      <c r="JZE9" s="189" t="s">
        <v>574</v>
      </c>
      <c r="JZF9" s="352" t="s">
        <v>573</v>
      </c>
      <c r="JZG9" s="142" t="s">
        <v>575</v>
      </c>
      <c r="JZH9" s="358" t="s">
        <v>576</v>
      </c>
      <c r="JZI9" s="189" t="s">
        <v>574</v>
      </c>
      <c r="JZJ9" s="352" t="s">
        <v>573</v>
      </c>
      <c r="JZK9" s="142" t="s">
        <v>575</v>
      </c>
      <c r="JZL9" s="358" t="s">
        <v>576</v>
      </c>
      <c r="JZM9" s="189" t="s">
        <v>574</v>
      </c>
      <c r="JZN9" s="352" t="s">
        <v>573</v>
      </c>
      <c r="JZO9" s="142" t="s">
        <v>575</v>
      </c>
      <c r="JZP9" s="358" t="s">
        <v>576</v>
      </c>
      <c r="JZQ9" s="189" t="s">
        <v>574</v>
      </c>
      <c r="JZR9" s="352" t="s">
        <v>573</v>
      </c>
      <c r="JZS9" s="142" t="s">
        <v>575</v>
      </c>
      <c r="JZT9" s="358" t="s">
        <v>576</v>
      </c>
      <c r="JZU9" s="189" t="s">
        <v>574</v>
      </c>
      <c r="JZV9" s="352" t="s">
        <v>573</v>
      </c>
      <c r="JZW9" s="142" t="s">
        <v>575</v>
      </c>
      <c r="JZX9" s="358" t="s">
        <v>576</v>
      </c>
      <c r="JZY9" s="189" t="s">
        <v>574</v>
      </c>
      <c r="JZZ9" s="352" t="s">
        <v>573</v>
      </c>
      <c r="KAA9" s="142" t="s">
        <v>575</v>
      </c>
      <c r="KAB9" s="358" t="s">
        <v>576</v>
      </c>
      <c r="KAC9" s="189" t="s">
        <v>574</v>
      </c>
      <c r="KAD9" s="352" t="s">
        <v>573</v>
      </c>
      <c r="KAE9" s="142" t="s">
        <v>575</v>
      </c>
      <c r="KAF9" s="358" t="s">
        <v>576</v>
      </c>
      <c r="KAG9" s="189" t="s">
        <v>574</v>
      </c>
      <c r="KAH9" s="352" t="s">
        <v>573</v>
      </c>
      <c r="KAI9" s="142" t="s">
        <v>575</v>
      </c>
      <c r="KAJ9" s="358" t="s">
        <v>576</v>
      </c>
      <c r="KAK9" s="189" t="s">
        <v>574</v>
      </c>
      <c r="KAL9" s="352" t="s">
        <v>573</v>
      </c>
      <c r="KAM9" s="142" t="s">
        <v>575</v>
      </c>
      <c r="KAN9" s="358" t="s">
        <v>576</v>
      </c>
      <c r="KAO9" s="189" t="s">
        <v>574</v>
      </c>
      <c r="KAP9" s="352" t="s">
        <v>573</v>
      </c>
      <c r="KAQ9" s="142" t="s">
        <v>575</v>
      </c>
      <c r="KAR9" s="358" t="s">
        <v>576</v>
      </c>
      <c r="KAS9" s="189" t="s">
        <v>574</v>
      </c>
      <c r="KAT9" s="352" t="s">
        <v>573</v>
      </c>
      <c r="KAU9" s="142" t="s">
        <v>575</v>
      </c>
      <c r="KAV9" s="358" t="s">
        <v>576</v>
      </c>
      <c r="KAW9" s="189" t="s">
        <v>574</v>
      </c>
      <c r="KAX9" s="352" t="s">
        <v>573</v>
      </c>
      <c r="KAY9" s="142" t="s">
        <v>575</v>
      </c>
      <c r="KAZ9" s="358" t="s">
        <v>576</v>
      </c>
      <c r="KBA9" s="189" t="s">
        <v>574</v>
      </c>
      <c r="KBB9" s="352" t="s">
        <v>573</v>
      </c>
      <c r="KBC9" s="142" t="s">
        <v>575</v>
      </c>
      <c r="KBD9" s="358" t="s">
        <v>576</v>
      </c>
      <c r="KBE9" s="189" t="s">
        <v>574</v>
      </c>
      <c r="KBF9" s="352" t="s">
        <v>573</v>
      </c>
      <c r="KBG9" s="142" t="s">
        <v>575</v>
      </c>
      <c r="KBH9" s="358" t="s">
        <v>576</v>
      </c>
      <c r="KBI9" s="189" t="s">
        <v>574</v>
      </c>
      <c r="KBJ9" s="352" t="s">
        <v>573</v>
      </c>
      <c r="KBK9" s="142" t="s">
        <v>575</v>
      </c>
      <c r="KBL9" s="358" t="s">
        <v>576</v>
      </c>
      <c r="KBM9" s="189" t="s">
        <v>574</v>
      </c>
      <c r="KBN9" s="352" t="s">
        <v>573</v>
      </c>
      <c r="KBO9" s="142" t="s">
        <v>575</v>
      </c>
      <c r="KBP9" s="358" t="s">
        <v>576</v>
      </c>
      <c r="KBQ9" s="189" t="s">
        <v>574</v>
      </c>
      <c r="KBR9" s="352" t="s">
        <v>573</v>
      </c>
      <c r="KBS9" s="142" t="s">
        <v>575</v>
      </c>
      <c r="KBT9" s="358" t="s">
        <v>576</v>
      </c>
      <c r="KBU9" s="189" t="s">
        <v>574</v>
      </c>
      <c r="KBV9" s="352" t="s">
        <v>573</v>
      </c>
      <c r="KBW9" s="142" t="s">
        <v>575</v>
      </c>
      <c r="KBX9" s="358" t="s">
        <v>576</v>
      </c>
      <c r="KBY9" s="189" t="s">
        <v>574</v>
      </c>
      <c r="KBZ9" s="352" t="s">
        <v>573</v>
      </c>
      <c r="KCA9" s="142" t="s">
        <v>575</v>
      </c>
      <c r="KCB9" s="358" t="s">
        <v>576</v>
      </c>
      <c r="KCC9" s="189" t="s">
        <v>574</v>
      </c>
      <c r="KCD9" s="352" t="s">
        <v>573</v>
      </c>
      <c r="KCE9" s="142" t="s">
        <v>575</v>
      </c>
      <c r="KCF9" s="358" t="s">
        <v>576</v>
      </c>
      <c r="KCG9" s="189" t="s">
        <v>574</v>
      </c>
      <c r="KCH9" s="352" t="s">
        <v>573</v>
      </c>
      <c r="KCI9" s="142" t="s">
        <v>575</v>
      </c>
      <c r="KCJ9" s="358" t="s">
        <v>576</v>
      </c>
      <c r="KCK9" s="189" t="s">
        <v>574</v>
      </c>
      <c r="KCL9" s="352" t="s">
        <v>573</v>
      </c>
      <c r="KCM9" s="142" t="s">
        <v>575</v>
      </c>
      <c r="KCN9" s="358" t="s">
        <v>576</v>
      </c>
      <c r="KCO9" s="189" t="s">
        <v>574</v>
      </c>
      <c r="KCP9" s="352" t="s">
        <v>573</v>
      </c>
      <c r="KCQ9" s="142" t="s">
        <v>575</v>
      </c>
      <c r="KCR9" s="358" t="s">
        <v>576</v>
      </c>
      <c r="KCS9" s="189" t="s">
        <v>574</v>
      </c>
      <c r="KCT9" s="352" t="s">
        <v>573</v>
      </c>
      <c r="KCU9" s="142" t="s">
        <v>575</v>
      </c>
      <c r="KCV9" s="358" t="s">
        <v>576</v>
      </c>
      <c r="KCW9" s="189" t="s">
        <v>574</v>
      </c>
      <c r="KCX9" s="352" t="s">
        <v>573</v>
      </c>
      <c r="KCY9" s="142" t="s">
        <v>575</v>
      </c>
      <c r="KCZ9" s="358" t="s">
        <v>576</v>
      </c>
      <c r="KDA9" s="189" t="s">
        <v>574</v>
      </c>
      <c r="KDB9" s="352" t="s">
        <v>573</v>
      </c>
      <c r="KDC9" s="142" t="s">
        <v>575</v>
      </c>
      <c r="KDD9" s="358" t="s">
        <v>576</v>
      </c>
      <c r="KDE9" s="189" t="s">
        <v>574</v>
      </c>
      <c r="KDF9" s="352" t="s">
        <v>573</v>
      </c>
      <c r="KDG9" s="142" t="s">
        <v>575</v>
      </c>
      <c r="KDH9" s="358" t="s">
        <v>576</v>
      </c>
      <c r="KDI9" s="189" t="s">
        <v>574</v>
      </c>
      <c r="KDJ9" s="352" t="s">
        <v>573</v>
      </c>
      <c r="KDK9" s="142" t="s">
        <v>575</v>
      </c>
      <c r="KDL9" s="358" t="s">
        <v>576</v>
      </c>
      <c r="KDM9" s="189" t="s">
        <v>574</v>
      </c>
      <c r="KDN9" s="352" t="s">
        <v>573</v>
      </c>
      <c r="KDO9" s="142" t="s">
        <v>575</v>
      </c>
      <c r="KDP9" s="358" t="s">
        <v>576</v>
      </c>
      <c r="KDQ9" s="189" t="s">
        <v>574</v>
      </c>
      <c r="KDR9" s="352" t="s">
        <v>573</v>
      </c>
      <c r="KDS9" s="142" t="s">
        <v>575</v>
      </c>
      <c r="KDT9" s="358" t="s">
        <v>576</v>
      </c>
      <c r="KDU9" s="189" t="s">
        <v>574</v>
      </c>
      <c r="KDV9" s="352" t="s">
        <v>573</v>
      </c>
      <c r="KDW9" s="142" t="s">
        <v>575</v>
      </c>
      <c r="KDX9" s="358" t="s">
        <v>576</v>
      </c>
      <c r="KDY9" s="189" t="s">
        <v>574</v>
      </c>
      <c r="KDZ9" s="352" t="s">
        <v>573</v>
      </c>
      <c r="KEA9" s="142" t="s">
        <v>575</v>
      </c>
      <c r="KEB9" s="358" t="s">
        <v>576</v>
      </c>
      <c r="KEC9" s="189" t="s">
        <v>574</v>
      </c>
      <c r="KED9" s="352" t="s">
        <v>573</v>
      </c>
      <c r="KEE9" s="142" t="s">
        <v>575</v>
      </c>
      <c r="KEF9" s="358" t="s">
        <v>576</v>
      </c>
      <c r="KEG9" s="189" t="s">
        <v>574</v>
      </c>
      <c r="KEH9" s="352" t="s">
        <v>573</v>
      </c>
      <c r="KEI9" s="142" t="s">
        <v>575</v>
      </c>
      <c r="KEJ9" s="358" t="s">
        <v>576</v>
      </c>
      <c r="KEK9" s="189" t="s">
        <v>574</v>
      </c>
      <c r="KEL9" s="352" t="s">
        <v>573</v>
      </c>
      <c r="KEM9" s="142" t="s">
        <v>575</v>
      </c>
      <c r="KEN9" s="358" t="s">
        <v>576</v>
      </c>
      <c r="KEO9" s="189" t="s">
        <v>574</v>
      </c>
      <c r="KEP9" s="352" t="s">
        <v>573</v>
      </c>
      <c r="KEQ9" s="142" t="s">
        <v>575</v>
      </c>
      <c r="KER9" s="358" t="s">
        <v>576</v>
      </c>
      <c r="KES9" s="189" t="s">
        <v>574</v>
      </c>
      <c r="KET9" s="352" t="s">
        <v>573</v>
      </c>
      <c r="KEU9" s="142" t="s">
        <v>575</v>
      </c>
      <c r="KEV9" s="358" t="s">
        <v>576</v>
      </c>
      <c r="KEW9" s="189" t="s">
        <v>574</v>
      </c>
      <c r="KEX9" s="352" t="s">
        <v>573</v>
      </c>
      <c r="KEY9" s="142" t="s">
        <v>575</v>
      </c>
      <c r="KEZ9" s="358" t="s">
        <v>576</v>
      </c>
      <c r="KFA9" s="189" t="s">
        <v>574</v>
      </c>
      <c r="KFB9" s="352" t="s">
        <v>573</v>
      </c>
      <c r="KFC9" s="142" t="s">
        <v>575</v>
      </c>
      <c r="KFD9" s="358" t="s">
        <v>576</v>
      </c>
      <c r="KFE9" s="189" t="s">
        <v>574</v>
      </c>
      <c r="KFF9" s="352" t="s">
        <v>573</v>
      </c>
      <c r="KFG9" s="142" t="s">
        <v>575</v>
      </c>
      <c r="KFH9" s="358" t="s">
        <v>576</v>
      </c>
      <c r="KFI9" s="189" t="s">
        <v>574</v>
      </c>
      <c r="KFJ9" s="352" t="s">
        <v>573</v>
      </c>
      <c r="KFK9" s="142" t="s">
        <v>575</v>
      </c>
      <c r="KFL9" s="358" t="s">
        <v>576</v>
      </c>
      <c r="KFM9" s="189" t="s">
        <v>574</v>
      </c>
      <c r="KFN9" s="352" t="s">
        <v>573</v>
      </c>
      <c r="KFO9" s="142" t="s">
        <v>575</v>
      </c>
      <c r="KFP9" s="358" t="s">
        <v>576</v>
      </c>
      <c r="KFQ9" s="189" t="s">
        <v>574</v>
      </c>
      <c r="KFR9" s="352" t="s">
        <v>573</v>
      </c>
      <c r="KFS9" s="142" t="s">
        <v>575</v>
      </c>
      <c r="KFT9" s="358" t="s">
        <v>576</v>
      </c>
      <c r="KFU9" s="189" t="s">
        <v>574</v>
      </c>
      <c r="KFV9" s="352" t="s">
        <v>573</v>
      </c>
      <c r="KFW9" s="142" t="s">
        <v>575</v>
      </c>
      <c r="KFX9" s="358" t="s">
        <v>576</v>
      </c>
      <c r="KFY9" s="189" t="s">
        <v>574</v>
      </c>
      <c r="KFZ9" s="352" t="s">
        <v>573</v>
      </c>
      <c r="KGA9" s="142" t="s">
        <v>575</v>
      </c>
      <c r="KGB9" s="358" t="s">
        <v>576</v>
      </c>
      <c r="KGC9" s="189" t="s">
        <v>574</v>
      </c>
      <c r="KGD9" s="352" t="s">
        <v>573</v>
      </c>
      <c r="KGE9" s="142" t="s">
        <v>575</v>
      </c>
      <c r="KGF9" s="358" t="s">
        <v>576</v>
      </c>
      <c r="KGG9" s="189" t="s">
        <v>574</v>
      </c>
      <c r="KGH9" s="352" t="s">
        <v>573</v>
      </c>
      <c r="KGI9" s="142" t="s">
        <v>575</v>
      </c>
      <c r="KGJ9" s="358" t="s">
        <v>576</v>
      </c>
      <c r="KGK9" s="189" t="s">
        <v>574</v>
      </c>
      <c r="KGL9" s="352" t="s">
        <v>573</v>
      </c>
      <c r="KGM9" s="142" t="s">
        <v>575</v>
      </c>
      <c r="KGN9" s="358" t="s">
        <v>576</v>
      </c>
      <c r="KGO9" s="189" t="s">
        <v>574</v>
      </c>
      <c r="KGP9" s="352" t="s">
        <v>573</v>
      </c>
      <c r="KGQ9" s="142" t="s">
        <v>575</v>
      </c>
      <c r="KGR9" s="358" t="s">
        <v>576</v>
      </c>
      <c r="KGS9" s="189" t="s">
        <v>574</v>
      </c>
      <c r="KGT9" s="352" t="s">
        <v>573</v>
      </c>
      <c r="KGU9" s="142" t="s">
        <v>575</v>
      </c>
      <c r="KGV9" s="358" t="s">
        <v>576</v>
      </c>
      <c r="KGW9" s="189" t="s">
        <v>574</v>
      </c>
      <c r="KGX9" s="352" t="s">
        <v>573</v>
      </c>
      <c r="KGY9" s="142" t="s">
        <v>575</v>
      </c>
      <c r="KGZ9" s="358" t="s">
        <v>576</v>
      </c>
      <c r="KHA9" s="189" t="s">
        <v>574</v>
      </c>
      <c r="KHB9" s="352" t="s">
        <v>573</v>
      </c>
      <c r="KHC9" s="142" t="s">
        <v>575</v>
      </c>
      <c r="KHD9" s="358" t="s">
        <v>576</v>
      </c>
      <c r="KHE9" s="189" t="s">
        <v>574</v>
      </c>
      <c r="KHF9" s="352" t="s">
        <v>573</v>
      </c>
      <c r="KHG9" s="142" t="s">
        <v>575</v>
      </c>
      <c r="KHH9" s="358" t="s">
        <v>576</v>
      </c>
      <c r="KHI9" s="189" t="s">
        <v>574</v>
      </c>
      <c r="KHJ9" s="352" t="s">
        <v>573</v>
      </c>
      <c r="KHK9" s="142" t="s">
        <v>575</v>
      </c>
      <c r="KHL9" s="358" t="s">
        <v>576</v>
      </c>
      <c r="KHM9" s="189" t="s">
        <v>574</v>
      </c>
      <c r="KHN9" s="352" t="s">
        <v>573</v>
      </c>
      <c r="KHO9" s="142" t="s">
        <v>575</v>
      </c>
      <c r="KHP9" s="358" t="s">
        <v>576</v>
      </c>
      <c r="KHQ9" s="189" t="s">
        <v>574</v>
      </c>
      <c r="KHR9" s="352" t="s">
        <v>573</v>
      </c>
      <c r="KHS9" s="142" t="s">
        <v>575</v>
      </c>
      <c r="KHT9" s="358" t="s">
        <v>576</v>
      </c>
      <c r="KHU9" s="189" t="s">
        <v>574</v>
      </c>
      <c r="KHV9" s="352" t="s">
        <v>573</v>
      </c>
      <c r="KHW9" s="142" t="s">
        <v>575</v>
      </c>
      <c r="KHX9" s="358" t="s">
        <v>576</v>
      </c>
      <c r="KHY9" s="189" t="s">
        <v>574</v>
      </c>
      <c r="KHZ9" s="352" t="s">
        <v>573</v>
      </c>
      <c r="KIA9" s="142" t="s">
        <v>575</v>
      </c>
      <c r="KIB9" s="358" t="s">
        <v>576</v>
      </c>
      <c r="KIC9" s="189" t="s">
        <v>574</v>
      </c>
      <c r="KID9" s="352" t="s">
        <v>573</v>
      </c>
      <c r="KIE9" s="142" t="s">
        <v>575</v>
      </c>
      <c r="KIF9" s="358" t="s">
        <v>576</v>
      </c>
      <c r="KIG9" s="189" t="s">
        <v>574</v>
      </c>
      <c r="KIH9" s="352" t="s">
        <v>573</v>
      </c>
      <c r="KII9" s="142" t="s">
        <v>575</v>
      </c>
      <c r="KIJ9" s="358" t="s">
        <v>576</v>
      </c>
      <c r="KIK9" s="189" t="s">
        <v>574</v>
      </c>
      <c r="KIL9" s="352" t="s">
        <v>573</v>
      </c>
      <c r="KIM9" s="142" t="s">
        <v>575</v>
      </c>
      <c r="KIN9" s="358" t="s">
        <v>576</v>
      </c>
      <c r="KIO9" s="189" t="s">
        <v>574</v>
      </c>
      <c r="KIP9" s="352" t="s">
        <v>573</v>
      </c>
      <c r="KIQ9" s="142" t="s">
        <v>575</v>
      </c>
      <c r="KIR9" s="358" t="s">
        <v>576</v>
      </c>
      <c r="KIS9" s="189" t="s">
        <v>574</v>
      </c>
      <c r="KIT9" s="352" t="s">
        <v>573</v>
      </c>
      <c r="KIU9" s="142" t="s">
        <v>575</v>
      </c>
      <c r="KIV9" s="358" t="s">
        <v>576</v>
      </c>
      <c r="KIW9" s="189" t="s">
        <v>574</v>
      </c>
      <c r="KIX9" s="352" t="s">
        <v>573</v>
      </c>
      <c r="KIY9" s="142" t="s">
        <v>575</v>
      </c>
      <c r="KIZ9" s="358" t="s">
        <v>576</v>
      </c>
      <c r="KJA9" s="189" t="s">
        <v>574</v>
      </c>
      <c r="KJB9" s="352" t="s">
        <v>573</v>
      </c>
      <c r="KJC9" s="142" t="s">
        <v>575</v>
      </c>
      <c r="KJD9" s="358" t="s">
        <v>576</v>
      </c>
      <c r="KJE9" s="189" t="s">
        <v>574</v>
      </c>
      <c r="KJF9" s="352" t="s">
        <v>573</v>
      </c>
      <c r="KJG9" s="142" t="s">
        <v>575</v>
      </c>
      <c r="KJH9" s="358" t="s">
        <v>576</v>
      </c>
      <c r="KJI9" s="189" t="s">
        <v>574</v>
      </c>
      <c r="KJJ9" s="352" t="s">
        <v>573</v>
      </c>
      <c r="KJK9" s="142" t="s">
        <v>575</v>
      </c>
      <c r="KJL9" s="358" t="s">
        <v>576</v>
      </c>
      <c r="KJM9" s="189" t="s">
        <v>574</v>
      </c>
      <c r="KJN9" s="352" t="s">
        <v>573</v>
      </c>
      <c r="KJO9" s="142" t="s">
        <v>575</v>
      </c>
      <c r="KJP9" s="358" t="s">
        <v>576</v>
      </c>
      <c r="KJQ9" s="189" t="s">
        <v>574</v>
      </c>
      <c r="KJR9" s="352" t="s">
        <v>573</v>
      </c>
      <c r="KJS9" s="142" t="s">
        <v>575</v>
      </c>
      <c r="KJT9" s="358" t="s">
        <v>576</v>
      </c>
      <c r="KJU9" s="189" t="s">
        <v>574</v>
      </c>
      <c r="KJV9" s="352" t="s">
        <v>573</v>
      </c>
      <c r="KJW9" s="142" t="s">
        <v>575</v>
      </c>
      <c r="KJX9" s="358" t="s">
        <v>576</v>
      </c>
      <c r="KJY9" s="189" t="s">
        <v>574</v>
      </c>
      <c r="KJZ9" s="352" t="s">
        <v>573</v>
      </c>
      <c r="KKA9" s="142" t="s">
        <v>575</v>
      </c>
      <c r="KKB9" s="358" t="s">
        <v>576</v>
      </c>
      <c r="KKC9" s="189" t="s">
        <v>574</v>
      </c>
      <c r="KKD9" s="352" t="s">
        <v>573</v>
      </c>
      <c r="KKE9" s="142" t="s">
        <v>575</v>
      </c>
      <c r="KKF9" s="358" t="s">
        <v>576</v>
      </c>
      <c r="KKG9" s="189" t="s">
        <v>574</v>
      </c>
      <c r="KKH9" s="352" t="s">
        <v>573</v>
      </c>
      <c r="KKI9" s="142" t="s">
        <v>575</v>
      </c>
      <c r="KKJ9" s="358" t="s">
        <v>576</v>
      </c>
      <c r="KKK9" s="189" t="s">
        <v>574</v>
      </c>
      <c r="KKL9" s="352" t="s">
        <v>573</v>
      </c>
      <c r="KKM9" s="142" t="s">
        <v>575</v>
      </c>
      <c r="KKN9" s="358" t="s">
        <v>576</v>
      </c>
      <c r="KKO9" s="189" t="s">
        <v>574</v>
      </c>
      <c r="KKP9" s="352" t="s">
        <v>573</v>
      </c>
      <c r="KKQ9" s="142" t="s">
        <v>575</v>
      </c>
      <c r="KKR9" s="358" t="s">
        <v>576</v>
      </c>
      <c r="KKS9" s="189" t="s">
        <v>574</v>
      </c>
      <c r="KKT9" s="352" t="s">
        <v>573</v>
      </c>
      <c r="KKU9" s="142" t="s">
        <v>575</v>
      </c>
      <c r="KKV9" s="358" t="s">
        <v>576</v>
      </c>
      <c r="KKW9" s="189" t="s">
        <v>574</v>
      </c>
      <c r="KKX9" s="352" t="s">
        <v>573</v>
      </c>
      <c r="KKY9" s="142" t="s">
        <v>575</v>
      </c>
      <c r="KKZ9" s="358" t="s">
        <v>576</v>
      </c>
      <c r="KLA9" s="189" t="s">
        <v>574</v>
      </c>
      <c r="KLB9" s="352" t="s">
        <v>573</v>
      </c>
      <c r="KLC9" s="142" t="s">
        <v>575</v>
      </c>
      <c r="KLD9" s="358" t="s">
        <v>576</v>
      </c>
      <c r="KLE9" s="189" t="s">
        <v>574</v>
      </c>
      <c r="KLF9" s="352" t="s">
        <v>573</v>
      </c>
      <c r="KLG9" s="142" t="s">
        <v>575</v>
      </c>
      <c r="KLH9" s="358" t="s">
        <v>576</v>
      </c>
      <c r="KLI9" s="189" t="s">
        <v>574</v>
      </c>
      <c r="KLJ9" s="352" t="s">
        <v>573</v>
      </c>
      <c r="KLK9" s="142" t="s">
        <v>575</v>
      </c>
      <c r="KLL9" s="358" t="s">
        <v>576</v>
      </c>
      <c r="KLM9" s="189" t="s">
        <v>574</v>
      </c>
      <c r="KLN9" s="352" t="s">
        <v>573</v>
      </c>
      <c r="KLO9" s="142" t="s">
        <v>575</v>
      </c>
      <c r="KLP9" s="358" t="s">
        <v>576</v>
      </c>
      <c r="KLQ9" s="189" t="s">
        <v>574</v>
      </c>
      <c r="KLR9" s="352" t="s">
        <v>573</v>
      </c>
      <c r="KLS9" s="142" t="s">
        <v>575</v>
      </c>
      <c r="KLT9" s="358" t="s">
        <v>576</v>
      </c>
      <c r="KLU9" s="189" t="s">
        <v>574</v>
      </c>
      <c r="KLV9" s="352" t="s">
        <v>573</v>
      </c>
      <c r="KLW9" s="142" t="s">
        <v>575</v>
      </c>
      <c r="KLX9" s="358" t="s">
        <v>576</v>
      </c>
      <c r="KLY9" s="189" t="s">
        <v>574</v>
      </c>
      <c r="KLZ9" s="352" t="s">
        <v>573</v>
      </c>
      <c r="KMA9" s="142" t="s">
        <v>575</v>
      </c>
      <c r="KMB9" s="358" t="s">
        <v>576</v>
      </c>
      <c r="KMC9" s="189" t="s">
        <v>574</v>
      </c>
      <c r="KMD9" s="352" t="s">
        <v>573</v>
      </c>
      <c r="KME9" s="142" t="s">
        <v>575</v>
      </c>
      <c r="KMF9" s="358" t="s">
        <v>576</v>
      </c>
      <c r="KMG9" s="189" t="s">
        <v>574</v>
      </c>
      <c r="KMH9" s="352" t="s">
        <v>573</v>
      </c>
      <c r="KMI9" s="142" t="s">
        <v>575</v>
      </c>
      <c r="KMJ9" s="358" t="s">
        <v>576</v>
      </c>
      <c r="KMK9" s="189" t="s">
        <v>574</v>
      </c>
      <c r="KML9" s="352" t="s">
        <v>573</v>
      </c>
      <c r="KMM9" s="142" t="s">
        <v>575</v>
      </c>
      <c r="KMN9" s="358" t="s">
        <v>576</v>
      </c>
      <c r="KMO9" s="189" t="s">
        <v>574</v>
      </c>
      <c r="KMP9" s="352" t="s">
        <v>573</v>
      </c>
      <c r="KMQ9" s="142" t="s">
        <v>575</v>
      </c>
      <c r="KMR9" s="358" t="s">
        <v>576</v>
      </c>
      <c r="KMS9" s="189" t="s">
        <v>574</v>
      </c>
      <c r="KMT9" s="352" t="s">
        <v>573</v>
      </c>
      <c r="KMU9" s="142" t="s">
        <v>575</v>
      </c>
      <c r="KMV9" s="358" t="s">
        <v>576</v>
      </c>
      <c r="KMW9" s="189" t="s">
        <v>574</v>
      </c>
      <c r="KMX9" s="352" t="s">
        <v>573</v>
      </c>
      <c r="KMY9" s="142" t="s">
        <v>575</v>
      </c>
      <c r="KMZ9" s="358" t="s">
        <v>576</v>
      </c>
      <c r="KNA9" s="189" t="s">
        <v>574</v>
      </c>
      <c r="KNB9" s="352" t="s">
        <v>573</v>
      </c>
      <c r="KNC9" s="142" t="s">
        <v>575</v>
      </c>
      <c r="KND9" s="358" t="s">
        <v>576</v>
      </c>
      <c r="KNE9" s="189" t="s">
        <v>574</v>
      </c>
      <c r="KNF9" s="352" t="s">
        <v>573</v>
      </c>
      <c r="KNG9" s="142" t="s">
        <v>575</v>
      </c>
      <c r="KNH9" s="358" t="s">
        <v>576</v>
      </c>
      <c r="KNI9" s="189" t="s">
        <v>574</v>
      </c>
      <c r="KNJ9" s="352" t="s">
        <v>573</v>
      </c>
      <c r="KNK9" s="142" t="s">
        <v>575</v>
      </c>
      <c r="KNL9" s="358" t="s">
        <v>576</v>
      </c>
      <c r="KNM9" s="189" t="s">
        <v>574</v>
      </c>
      <c r="KNN9" s="352" t="s">
        <v>573</v>
      </c>
      <c r="KNO9" s="142" t="s">
        <v>575</v>
      </c>
      <c r="KNP9" s="358" t="s">
        <v>576</v>
      </c>
      <c r="KNQ9" s="189" t="s">
        <v>574</v>
      </c>
      <c r="KNR9" s="352" t="s">
        <v>573</v>
      </c>
      <c r="KNS9" s="142" t="s">
        <v>575</v>
      </c>
      <c r="KNT9" s="358" t="s">
        <v>576</v>
      </c>
      <c r="KNU9" s="189" t="s">
        <v>574</v>
      </c>
      <c r="KNV9" s="352" t="s">
        <v>573</v>
      </c>
      <c r="KNW9" s="142" t="s">
        <v>575</v>
      </c>
      <c r="KNX9" s="358" t="s">
        <v>576</v>
      </c>
      <c r="KNY9" s="189" t="s">
        <v>574</v>
      </c>
      <c r="KNZ9" s="352" t="s">
        <v>573</v>
      </c>
      <c r="KOA9" s="142" t="s">
        <v>575</v>
      </c>
      <c r="KOB9" s="358" t="s">
        <v>576</v>
      </c>
      <c r="KOC9" s="189" t="s">
        <v>574</v>
      </c>
      <c r="KOD9" s="352" t="s">
        <v>573</v>
      </c>
      <c r="KOE9" s="142" t="s">
        <v>575</v>
      </c>
      <c r="KOF9" s="358" t="s">
        <v>576</v>
      </c>
      <c r="KOG9" s="189" t="s">
        <v>574</v>
      </c>
      <c r="KOH9" s="352" t="s">
        <v>573</v>
      </c>
      <c r="KOI9" s="142" t="s">
        <v>575</v>
      </c>
      <c r="KOJ9" s="358" t="s">
        <v>576</v>
      </c>
      <c r="KOK9" s="189" t="s">
        <v>574</v>
      </c>
      <c r="KOL9" s="352" t="s">
        <v>573</v>
      </c>
      <c r="KOM9" s="142" t="s">
        <v>575</v>
      </c>
      <c r="KON9" s="358" t="s">
        <v>576</v>
      </c>
      <c r="KOO9" s="189" t="s">
        <v>574</v>
      </c>
      <c r="KOP9" s="352" t="s">
        <v>573</v>
      </c>
      <c r="KOQ9" s="142" t="s">
        <v>575</v>
      </c>
      <c r="KOR9" s="358" t="s">
        <v>576</v>
      </c>
      <c r="KOS9" s="189" t="s">
        <v>574</v>
      </c>
      <c r="KOT9" s="352" t="s">
        <v>573</v>
      </c>
      <c r="KOU9" s="142" t="s">
        <v>575</v>
      </c>
      <c r="KOV9" s="358" t="s">
        <v>576</v>
      </c>
      <c r="KOW9" s="189" t="s">
        <v>574</v>
      </c>
      <c r="KOX9" s="352" t="s">
        <v>573</v>
      </c>
      <c r="KOY9" s="142" t="s">
        <v>575</v>
      </c>
      <c r="KOZ9" s="358" t="s">
        <v>576</v>
      </c>
      <c r="KPA9" s="189" t="s">
        <v>574</v>
      </c>
      <c r="KPB9" s="352" t="s">
        <v>573</v>
      </c>
      <c r="KPC9" s="142" t="s">
        <v>575</v>
      </c>
      <c r="KPD9" s="358" t="s">
        <v>576</v>
      </c>
      <c r="KPE9" s="189" t="s">
        <v>574</v>
      </c>
      <c r="KPF9" s="352" t="s">
        <v>573</v>
      </c>
      <c r="KPG9" s="142" t="s">
        <v>575</v>
      </c>
      <c r="KPH9" s="358" t="s">
        <v>576</v>
      </c>
      <c r="KPI9" s="189" t="s">
        <v>574</v>
      </c>
      <c r="KPJ9" s="352" t="s">
        <v>573</v>
      </c>
      <c r="KPK9" s="142" t="s">
        <v>575</v>
      </c>
      <c r="KPL9" s="358" t="s">
        <v>576</v>
      </c>
      <c r="KPM9" s="189" t="s">
        <v>574</v>
      </c>
      <c r="KPN9" s="352" t="s">
        <v>573</v>
      </c>
      <c r="KPO9" s="142" t="s">
        <v>575</v>
      </c>
      <c r="KPP9" s="358" t="s">
        <v>576</v>
      </c>
      <c r="KPQ9" s="189" t="s">
        <v>574</v>
      </c>
      <c r="KPR9" s="352" t="s">
        <v>573</v>
      </c>
      <c r="KPS9" s="142" t="s">
        <v>575</v>
      </c>
      <c r="KPT9" s="358" t="s">
        <v>576</v>
      </c>
      <c r="KPU9" s="189" t="s">
        <v>574</v>
      </c>
      <c r="KPV9" s="352" t="s">
        <v>573</v>
      </c>
      <c r="KPW9" s="142" t="s">
        <v>575</v>
      </c>
      <c r="KPX9" s="358" t="s">
        <v>576</v>
      </c>
      <c r="KPY9" s="189" t="s">
        <v>574</v>
      </c>
      <c r="KPZ9" s="352" t="s">
        <v>573</v>
      </c>
      <c r="KQA9" s="142" t="s">
        <v>575</v>
      </c>
      <c r="KQB9" s="358" t="s">
        <v>576</v>
      </c>
      <c r="KQC9" s="189" t="s">
        <v>574</v>
      </c>
      <c r="KQD9" s="352" t="s">
        <v>573</v>
      </c>
      <c r="KQE9" s="142" t="s">
        <v>575</v>
      </c>
      <c r="KQF9" s="358" t="s">
        <v>576</v>
      </c>
      <c r="KQG9" s="189" t="s">
        <v>574</v>
      </c>
      <c r="KQH9" s="352" t="s">
        <v>573</v>
      </c>
      <c r="KQI9" s="142" t="s">
        <v>575</v>
      </c>
      <c r="KQJ9" s="358" t="s">
        <v>576</v>
      </c>
      <c r="KQK9" s="189" t="s">
        <v>574</v>
      </c>
      <c r="KQL9" s="352" t="s">
        <v>573</v>
      </c>
      <c r="KQM9" s="142" t="s">
        <v>575</v>
      </c>
      <c r="KQN9" s="358" t="s">
        <v>576</v>
      </c>
      <c r="KQO9" s="189" t="s">
        <v>574</v>
      </c>
      <c r="KQP9" s="352" t="s">
        <v>573</v>
      </c>
      <c r="KQQ9" s="142" t="s">
        <v>575</v>
      </c>
      <c r="KQR9" s="358" t="s">
        <v>576</v>
      </c>
      <c r="KQS9" s="189" t="s">
        <v>574</v>
      </c>
      <c r="KQT9" s="352" t="s">
        <v>573</v>
      </c>
      <c r="KQU9" s="142" t="s">
        <v>575</v>
      </c>
      <c r="KQV9" s="358" t="s">
        <v>576</v>
      </c>
      <c r="KQW9" s="189" t="s">
        <v>574</v>
      </c>
      <c r="KQX9" s="352" t="s">
        <v>573</v>
      </c>
      <c r="KQY9" s="142" t="s">
        <v>575</v>
      </c>
      <c r="KQZ9" s="358" t="s">
        <v>576</v>
      </c>
      <c r="KRA9" s="189" t="s">
        <v>574</v>
      </c>
      <c r="KRB9" s="352" t="s">
        <v>573</v>
      </c>
      <c r="KRC9" s="142" t="s">
        <v>575</v>
      </c>
      <c r="KRD9" s="358" t="s">
        <v>576</v>
      </c>
      <c r="KRE9" s="189" t="s">
        <v>574</v>
      </c>
      <c r="KRF9" s="352" t="s">
        <v>573</v>
      </c>
      <c r="KRG9" s="142" t="s">
        <v>575</v>
      </c>
      <c r="KRH9" s="358" t="s">
        <v>576</v>
      </c>
      <c r="KRI9" s="189" t="s">
        <v>574</v>
      </c>
      <c r="KRJ9" s="352" t="s">
        <v>573</v>
      </c>
      <c r="KRK9" s="142" t="s">
        <v>575</v>
      </c>
      <c r="KRL9" s="358" t="s">
        <v>576</v>
      </c>
      <c r="KRM9" s="189" t="s">
        <v>574</v>
      </c>
      <c r="KRN9" s="352" t="s">
        <v>573</v>
      </c>
      <c r="KRO9" s="142" t="s">
        <v>575</v>
      </c>
      <c r="KRP9" s="358" t="s">
        <v>576</v>
      </c>
      <c r="KRQ9" s="189" t="s">
        <v>574</v>
      </c>
      <c r="KRR9" s="352" t="s">
        <v>573</v>
      </c>
      <c r="KRS9" s="142" t="s">
        <v>575</v>
      </c>
      <c r="KRT9" s="358" t="s">
        <v>576</v>
      </c>
      <c r="KRU9" s="189" t="s">
        <v>574</v>
      </c>
      <c r="KRV9" s="352" t="s">
        <v>573</v>
      </c>
      <c r="KRW9" s="142" t="s">
        <v>575</v>
      </c>
      <c r="KRX9" s="358" t="s">
        <v>576</v>
      </c>
      <c r="KRY9" s="189" t="s">
        <v>574</v>
      </c>
      <c r="KRZ9" s="352" t="s">
        <v>573</v>
      </c>
      <c r="KSA9" s="142" t="s">
        <v>575</v>
      </c>
      <c r="KSB9" s="358" t="s">
        <v>576</v>
      </c>
      <c r="KSC9" s="189" t="s">
        <v>574</v>
      </c>
      <c r="KSD9" s="352" t="s">
        <v>573</v>
      </c>
      <c r="KSE9" s="142" t="s">
        <v>575</v>
      </c>
      <c r="KSF9" s="358" t="s">
        <v>576</v>
      </c>
      <c r="KSG9" s="189" t="s">
        <v>574</v>
      </c>
      <c r="KSH9" s="352" t="s">
        <v>573</v>
      </c>
      <c r="KSI9" s="142" t="s">
        <v>575</v>
      </c>
      <c r="KSJ9" s="358" t="s">
        <v>576</v>
      </c>
      <c r="KSK9" s="189" t="s">
        <v>574</v>
      </c>
      <c r="KSL9" s="352" t="s">
        <v>573</v>
      </c>
      <c r="KSM9" s="142" t="s">
        <v>575</v>
      </c>
      <c r="KSN9" s="358" t="s">
        <v>576</v>
      </c>
      <c r="KSO9" s="189" t="s">
        <v>574</v>
      </c>
      <c r="KSP9" s="352" t="s">
        <v>573</v>
      </c>
      <c r="KSQ9" s="142" t="s">
        <v>575</v>
      </c>
      <c r="KSR9" s="358" t="s">
        <v>576</v>
      </c>
      <c r="KSS9" s="189" t="s">
        <v>574</v>
      </c>
      <c r="KST9" s="352" t="s">
        <v>573</v>
      </c>
      <c r="KSU9" s="142" t="s">
        <v>575</v>
      </c>
      <c r="KSV9" s="358" t="s">
        <v>576</v>
      </c>
      <c r="KSW9" s="189" t="s">
        <v>574</v>
      </c>
      <c r="KSX9" s="352" t="s">
        <v>573</v>
      </c>
      <c r="KSY9" s="142" t="s">
        <v>575</v>
      </c>
      <c r="KSZ9" s="358" t="s">
        <v>576</v>
      </c>
      <c r="KTA9" s="189" t="s">
        <v>574</v>
      </c>
      <c r="KTB9" s="352" t="s">
        <v>573</v>
      </c>
      <c r="KTC9" s="142" t="s">
        <v>575</v>
      </c>
      <c r="KTD9" s="358" t="s">
        <v>576</v>
      </c>
      <c r="KTE9" s="189" t="s">
        <v>574</v>
      </c>
      <c r="KTF9" s="352" t="s">
        <v>573</v>
      </c>
      <c r="KTG9" s="142" t="s">
        <v>575</v>
      </c>
      <c r="KTH9" s="358" t="s">
        <v>576</v>
      </c>
      <c r="KTI9" s="189" t="s">
        <v>574</v>
      </c>
      <c r="KTJ9" s="352" t="s">
        <v>573</v>
      </c>
      <c r="KTK9" s="142" t="s">
        <v>575</v>
      </c>
      <c r="KTL9" s="358" t="s">
        <v>576</v>
      </c>
      <c r="KTM9" s="189" t="s">
        <v>574</v>
      </c>
      <c r="KTN9" s="352" t="s">
        <v>573</v>
      </c>
      <c r="KTO9" s="142" t="s">
        <v>575</v>
      </c>
      <c r="KTP9" s="358" t="s">
        <v>576</v>
      </c>
      <c r="KTQ9" s="189" t="s">
        <v>574</v>
      </c>
      <c r="KTR9" s="352" t="s">
        <v>573</v>
      </c>
      <c r="KTS9" s="142" t="s">
        <v>575</v>
      </c>
      <c r="KTT9" s="358" t="s">
        <v>576</v>
      </c>
      <c r="KTU9" s="189" t="s">
        <v>574</v>
      </c>
      <c r="KTV9" s="352" t="s">
        <v>573</v>
      </c>
      <c r="KTW9" s="142" t="s">
        <v>575</v>
      </c>
      <c r="KTX9" s="358" t="s">
        <v>576</v>
      </c>
      <c r="KTY9" s="189" t="s">
        <v>574</v>
      </c>
      <c r="KTZ9" s="352" t="s">
        <v>573</v>
      </c>
      <c r="KUA9" s="142" t="s">
        <v>575</v>
      </c>
      <c r="KUB9" s="358" t="s">
        <v>576</v>
      </c>
      <c r="KUC9" s="189" t="s">
        <v>574</v>
      </c>
      <c r="KUD9" s="352" t="s">
        <v>573</v>
      </c>
      <c r="KUE9" s="142" t="s">
        <v>575</v>
      </c>
      <c r="KUF9" s="358" t="s">
        <v>576</v>
      </c>
      <c r="KUG9" s="189" t="s">
        <v>574</v>
      </c>
      <c r="KUH9" s="352" t="s">
        <v>573</v>
      </c>
      <c r="KUI9" s="142" t="s">
        <v>575</v>
      </c>
      <c r="KUJ9" s="358" t="s">
        <v>576</v>
      </c>
      <c r="KUK9" s="189" t="s">
        <v>574</v>
      </c>
      <c r="KUL9" s="352" t="s">
        <v>573</v>
      </c>
      <c r="KUM9" s="142" t="s">
        <v>575</v>
      </c>
      <c r="KUN9" s="358" t="s">
        <v>576</v>
      </c>
      <c r="KUO9" s="189" t="s">
        <v>574</v>
      </c>
      <c r="KUP9" s="352" t="s">
        <v>573</v>
      </c>
      <c r="KUQ9" s="142" t="s">
        <v>575</v>
      </c>
      <c r="KUR9" s="358" t="s">
        <v>576</v>
      </c>
      <c r="KUS9" s="189" t="s">
        <v>574</v>
      </c>
      <c r="KUT9" s="352" t="s">
        <v>573</v>
      </c>
      <c r="KUU9" s="142" t="s">
        <v>575</v>
      </c>
      <c r="KUV9" s="358" t="s">
        <v>576</v>
      </c>
      <c r="KUW9" s="189" t="s">
        <v>574</v>
      </c>
      <c r="KUX9" s="352" t="s">
        <v>573</v>
      </c>
      <c r="KUY9" s="142" t="s">
        <v>575</v>
      </c>
      <c r="KUZ9" s="358" t="s">
        <v>576</v>
      </c>
      <c r="KVA9" s="189" t="s">
        <v>574</v>
      </c>
      <c r="KVB9" s="352" t="s">
        <v>573</v>
      </c>
      <c r="KVC9" s="142" t="s">
        <v>575</v>
      </c>
      <c r="KVD9" s="358" t="s">
        <v>576</v>
      </c>
      <c r="KVE9" s="189" t="s">
        <v>574</v>
      </c>
      <c r="KVF9" s="352" t="s">
        <v>573</v>
      </c>
      <c r="KVG9" s="142" t="s">
        <v>575</v>
      </c>
      <c r="KVH9" s="358" t="s">
        <v>576</v>
      </c>
      <c r="KVI9" s="189" t="s">
        <v>574</v>
      </c>
      <c r="KVJ9" s="352" t="s">
        <v>573</v>
      </c>
      <c r="KVK9" s="142" t="s">
        <v>575</v>
      </c>
      <c r="KVL9" s="358" t="s">
        <v>576</v>
      </c>
      <c r="KVM9" s="189" t="s">
        <v>574</v>
      </c>
      <c r="KVN9" s="352" t="s">
        <v>573</v>
      </c>
      <c r="KVO9" s="142" t="s">
        <v>575</v>
      </c>
      <c r="KVP9" s="358" t="s">
        <v>576</v>
      </c>
      <c r="KVQ9" s="189" t="s">
        <v>574</v>
      </c>
      <c r="KVR9" s="352" t="s">
        <v>573</v>
      </c>
      <c r="KVS9" s="142" t="s">
        <v>575</v>
      </c>
      <c r="KVT9" s="358" t="s">
        <v>576</v>
      </c>
      <c r="KVU9" s="189" t="s">
        <v>574</v>
      </c>
      <c r="KVV9" s="352" t="s">
        <v>573</v>
      </c>
      <c r="KVW9" s="142" t="s">
        <v>575</v>
      </c>
      <c r="KVX9" s="358" t="s">
        <v>576</v>
      </c>
      <c r="KVY9" s="189" t="s">
        <v>574</v>
      </c>
      <c r="KVZ9" s="352" t="s">
        <v>573</v>
      </c>
      <c r="KWA9" s="142" t="s">
        <v>575</v>
      </c>
      <c r="KWB9" s="358" t="s">
        <v>576</v>
      </c>
      <c r="KWC9" s="189" t="s">
        <v>574</v>
      </c>
      <c r="KWD9" s="352" t="s">
        <v>573</v>
      </c>
      <c r="KWE9" s="142" t="s">
        <v>575</v>
      </c>
      <c r="KWF9" s="358" t="s">
        <v>576</v>
      </c>
      <c r="KWG9" s="189" t="s">
        <v>574</v>
      </c>
      <c r="KWH9" s="352" t="s">
        <v>573</v>
      </c>
      <c r="KWI9" s="142" t="s">
        <v>575</v>
      </c>
      <c r="KWJ9" s="358" t="s">
        <v>576</v>
      </c>
      <c r="KWK9" s="189" t="s">
        <v>574</v>
      </c>
      <c r="KWL9" s="352" t="s">
        <v>573</v>
      </c>
      <c r="KWM9" s="142" t="s">
        <v>575</v>
      </c>
      <c r="KWN9" s="358" t="s">
        <v>576</v>
      </c>
      <c r="KWO9" s="189" t="s">
        <v>574</v>
      </c>
      <c r="KWP9" s="352" t="s">
        <v>573</v>
      </c>
      <c r="KWQ9" s="142" t="s">
        <v>575</v>
      </c>
      <c r="KWR9" s="358" t="s">
        <v>576</v>
      </c>
      <c r="KWS9" s="189" t="s">
        <v>574</v>
      </c>
      <c r="KWT9" s="352" t="s">
        <v>573</v>
      </c>
      <c r="KWU9" s="142" t="s">
        <v>575</v>
      </c>
      <c r="KWV9" s="358" t="s">
        <v>576</v>
      </c>
      <c r="KWW9" s="189" t="s">
        <v>574</v>
      </c>
      <c r="KWX9" s="352" t="s">
        <v>573</v>
      </c>
      <c r="KWY9" s="142" t="s">
        <v>575</v>
      </c>
      <c r="KWZ9" s="358" t="s">
        <v>576</v>
      </c>
      <c r="KXA9" s="189" t="s">
        <v>574</v>
      </c>
      <c r="KXB9" s="352" t="s">
        <v>573</v>
      </c>
      <c r="KXC9" s="142" t="s">
        <v>575</v>
      </c>
      <c r="KXD9" s="358" t="s">
        <v>576</v>
      </c>
      <c r="KXE9" s="189" t="s">
        <v>574</v>
      </c>
      <c r="KXF9" s="352" t="s">
        <v>573</v>
      </c>
      <c r="KXG9" s="142" t="s">
        <v>575</v>
      </c>
      <c r="KXH9" s="358" t="s">
        <v>576</v>
      </c>
      <c r="KXI9" s="189" t="s">
        <v>574</v>
      </c>
      <c r="KXJ9" s="352" t="s">
        <v>573</v>
      </c>
      <c r="KXK9" s="142" t="s">
        <v>575</v>
      </c>
      <c r="KXL9" s="358" t="s">
        <v>576</v>
      </c>
      <c r="KXM9" s="189" t="s">
        <v>574</v>
      </c>
      <c r="KXN9" s="352" t="s">
        <v>573</v>
      </c>
      <c r="KXO9" s="142" t="s">
        <v>575</v>
      </c>
      <c r="KXP9" s="358" t="s">
        <v>576</v>
      </c>
      <c r="KXQ9" s="189" t="s">
        <v>574</v>
      </c>
      <c r="KXR9" s="352" t="s">
        <v>573</v>
      </c>
      <c r="KXS9" s="142" t="s">
        <v>575</v>
      </c>
      <c r="KXT9" s="358" t="s">
        <v>576</v>
      </c>
      <c r="KXU9" s="189" t="s">
        <v>574</v>
      </c>
      <c r="KXV9" s="352" t="s">
        <v>573</v>
      </c>
      <c r="KXW9" s="142" t="s">
        <v>575</v>
      </c>
      <c r="KXX9" s="358" t="s">
        <v>576</v>
      </c>
      <c r="KXY9" s="189" t="s">
        <v>574</v>
      </c>
      <c r="KXZ9" s="352" t="s">
        <v>573</v>
      </c>
      <c r="KYA9" s="142" t="s">
        <v>575</v>
      </c>
      <c r="KYB9" s="358" t="s">
        <v>576</v>
      </c>
      <c r="KYC9" s="189" t="s">
        <v>574</v>
      </c>
      <c r="KYD9" s="352" t="s">
        <v>573</v>
      </c>
      <c r="KYE9" s="142" t="s">
        <v>575</v>
      </c>
      <c r="KYF9" s="358" t="s">
        <v>576</v>
      </c>
      <c r="KYG9" s="189" t="s">
        <v>574</v>
      </c>
      <c r="KYH9" s="352" t="s">
        <v>573</v>
      </c>
      <c r="KYI9" s="142" t="s">
        <v>575</v>
      </c>
      <c r="KYJ9" s="358" t="s">
        <v>576</v>
      </c>
      <c r="KYK9" s="189" t="s">
        <v>574</v>
      </c>
      <c r="KYL9" s="352" t="s">
        <v>573</v>
      </c>
      <c r="KYM9" s="142" t="s">
        <v>575</v>
      </c>
      <c r="KYN9" s="358" t="s">
        <v>576</v>
      </c>
      <c r="KYO9" s="189" t="s">
        <v>574</v>
      </c>
      <c r="KYP9" s="352" t="s">
        <v>573</v>
      </c>
      <c r="KYQ9" s="142" t="s">
        <v>575</v>
      </c>
      <c r="KYR9" s="358" t="s">
        <v>576</v>
      </c>
      <c r="KYS9" s="189" t="s">
        <v>574</v>
      </c>
      <c r="KYT9" s="352" t="s">
        <v>573</v>
      </c>
      <c r="KYU9" s="142" t="s">
        <v>575</v>
      </c>
      <c r="KYV9" s="358" t="s">
        <v>576</v>
      </c>
      <c r="KYW9" s="189" t="s">
        <v>574</v>
      </c>
      <c r="KYX9" s="352" t="s">
        <v>573</v>
      </c>
      <c r="KYY9" s="142" t="s">
        <v>575</v>
      </c>
      <c r="KYZ9" s="358" t="s">
        <v>576</v>
      </c>
      <c r="KZA9" s="189" t="s">
        <v>574</v>
      </c>
      <c r="KZB9" s="352" t="s">
        <v>573</v>
      </c>
      <c r="KZC9" s="142" t="s">
        <v>575</v>
      </c>
      <c r="KZD9" s="358" t="s">
        <v>576</v>
      </c>
      <c r="KZE9" s="189" t="s">
        <v>574</v>
      </c>
      <c r="KZF9" s="352" t="s">
        <v>573</v>
      </c>
      <c r="KZG9" s="142" t="s">
        <v>575</v>
      </c>
      <c r="KZH9" s="358" t="s">
        <v>576</v>
      </c>
      <c r="KZI9" s="189" t="s">
        <v>574</v>
      </c>
      <c r="KZJ9" s="352" t="s">
        <v>573</v>
      </c>
      <c r="KZK9" s="142" t="s">
        <v>575</v>
      </c>
      <c r="KZL9" s="358" t="s">
        <v>576</v>
      </c>
      <c r="KZM9" s="189" t="s">
        <v>574</v>
      </c>
      <c r="KZN9" s="352" t="s">
        <v>573</v>
      </c>
      <c r="KZO9" s="142" t="s">
        <v>575</v>
      </c>
      <c r="KZP9" s="358" t="s">
        <v>576</v>
      </c>
      <c r="KZQ9" s="189" t="s">
        <v>574</v>
      </c>
      <c r="KZR9" s="352" t="s">
        <v>573</v>
      </c>
      <c r="KZS9" s="142" t="s">
        <v>575</v>
      </c>
      <c r="KZT9" s="358" t="s">
        <v>576</v>
      </c>
      <c r="KZU9" s="189" t="s">
        <v>574</v>
      </c>
      <c r="KZV9" s="352" t="s">
        <v>573</v>
      </c>
      <c r="KZW9" s="142" t="s">
        <v>575</v>
      </c>
      <c r="KZX9" s="358" t="s">
        <v>576</v>
      </c>
      <c r="KZY9" s="189" t="s">
        <v>574</v>
      </c>
      <c r="KZZ9" s="352" t="s">
        <v>573</v>
      </c>
      <c r="LAA9" s="142" t="s">
        <v>575</v>
      </c>
      <c r="LAB9" s="358" t="s">
        <v>576</v>
      </c>
      <c r="LAC9" s="189" t="s">
        <v>574</v>
      </c>
      <c r="LAD9" s="352" t="s">
        <v>573</v>
      </c>
      <c r="LAE9" s="142" t="s">
        <v>575</v>
      </c>
      <c r="LAF9" s="358" t="s">
        <v>576</v>
      </c>
      <c r="LAG9" s="189" t="s">
        <v>574</v>
      </c>
      <c r="LAH9" s="352" t="s">
        <v>573</v>
      </c>
      <c r="LAI9" s="142" t="s">
        <v>575</v>
      </c>
      <c r="LAJ9" s="358" t="s">
        <v>576</v>
      </c>
      <c r="LAK9" s="189" t="s">
        <v>574</v>
      </c>
      <c r="LAL9" s="352" t="s">
        <v>573</v>
      </c>
      <c r="LAM9" s="142" t="s">
        <v>575</v>
      </c>
      <c r="LAN9" s="358" t="s">
        <v>576</v>
      </c>
      <c r="LAO9" s="189" t="s">
        <v>574</v>
      </c>
      <c r="LAP9" s="352" t="s">
        <v>573</v>
      </c>
      <c r="LAQ9" s="142" t="s">
        <v>575</v>
      </c>
      <c r="LAR9" s="358" t="s">
        <v>576</v>
      </c>
      <c r="LAS9" s="189" t="s">
        <v>574</v>
      </c>
      <c r="LAT9" s="352" t="s">
        <v>573</v>
      </c>
      <c r="LAU9" s="142" t="s">
        <v>575</v>
      </c>
      <c r="LAV9" s="358" t="s">
        <v>576</v>
      </c>
      <c r="LAW9" s="189" t="s">
        <v>574</v>
      </c>
      <c r="LAX9" s="352" t="s">
        <v>573</v>
      </c>
      <c r="LAY9" s="142" t="s">
        <v>575</v>
      </c>
      <c r="LAZ9" s="358" t="s">
        <v>576</v>
      </c>
      <c r="LBA9" s="189" t="s">
        <v>574</v>
      </c>
      <c r="LBB9" s="352" t="s">
        <v>573</v>
      </c>
      <c r="LBC9" s="142" t="s">
        <v>575</v>
      </c>
      <c r="LBD9" s="358" t="s">
        <v>576</v>
      </c>
      <c r="LBE9" s="189" t="s">
        <v>574</v>
      </c>
      <c r="LBF9" s="352" t="s">
        <v>573</v>
      </c>
      <c r="LBG9" s="142" t="s">
        <v>575</v>
      </c>
      <c r="LBH9" s="358" t="s">
        <v>576</v>
      </c>
      <c r="LBI9" s="189" t="s">
        <v>574</v>
      </c>
      <c r="LBJ9" s="352" t="s">
        <v>573</v>
      </c>
      <c r="LBK9" s="142" t="s">
        <v>575</v>
      </c>
      <c r="LBL9" s="358" t="s">
        <v>576</v>
      </c>
      <c r="LBM9" s="189" t="s">
        <v>574</v>
      </c>
      <c r="LBN9" s="352" t="s">
        <v>573</v>
      </c>
      <c r="LBO9" s="142" t="s">
        <v>575</v>
      </c>
      <c r="LBP9" s="358" t="s">
        <v>576</v>
      </c>
      <c r="LBQ9" s="189" t="s">
        <v>574</v>
      </c>
      <c r="LBR9" s="352" t="s">
        <v>573</v>
      </c>
      <c r="LBS9" s="142" t="s">
        <v>575</v>
      </c>
      <c r="LBT9" s="358" t="s">
        <v>576</v>
      </c>
      <c r="LBU9" s="189" t="s">
        <v>574</v>
      </c>
      <c r="LBV9" s="352" t="s">
        <v>573</v>
      </c>
      <c r="LBW9" s="142" t="s">
        <v>575</v>
      </c>
      <c r="LBX9" s="358" t="s">
        <v>576</v>
      </c>
      <c r="LBY9" s="189" t="s">
        <v>574</v>
      </c>
      <c r="LBZ9" s="352" t="s">
        <v>573</v>
      </c>
      <c r="LCA9" s="142" t="s">
        <v>575</v>
      </c>
      <c r="LCB9" s="358" t="s">
        <v>576</v>
      </c>
      <c r="LCC9" s="189" t="s">
        <v>574</v>
      </c>
      <c r="LCD9" s="352" t="s">
        <v>573</v>
      </c>
      <c r="LCE9" s="142" t="s">
        <v>575</v>
      </c>
      <c r="LCF9" s="358" t="s">
        <v>576</v>
      </c>
      <c r="LCG9" s="189" t="s">
        <v>574</v>
      </c>
      <c r="LCH9" s="352" t="s">
        <v>573</v>
      </c>
      <c r="LCI9" s="142" t="s">
        <v>575</v>
      </c>
      <c r="LCJ9" s="358" t="s">
        <v>576</v>
      </c>
      <c r="LCK9" s="189" t="s">
        <v>574</v>
      </c>
      <c r="LCL9" s="352" t="s">
        <v>573</v>
      </c>
      <c r="LCM9" s="142" t="s">
        <v>575</v>
      </c>
      <c r="LCN9" s="358" t="s">
        <v>576</v>
      </c>
      <c r="LCO9" s="189" t="s">
        <v>574</v>
      </c>
      <c r="LCP9" s="352" t="s">
        <v>573</v>
      </c>
      <c r="LCQ9" s="142" t="s">
        <v>575</v>
      </c>
      <c r="LCR9" s="358" t="s">
        <v>576</v>
      </c>
      <c r="LCS9" s="189" t="s">
        <v>574</v>
      </c>
      <c r="LCT9" s="352" t="s">
        <v>573</v>
      </c>
      <c r="LCU9" s="142" t="s">
        <v>575</v>
      </c>
      <c r="LCV9" s="358" t="s">
        <v>576</v>
      </c>
      <c r="LCW9" s="189" t="s">
        <v>574</v>
      </c>
      <c r="LCX9" s="352" t="s">
        <v>573</v>
      </c>
      <c r="LCY9" s="142" t="s">
        <v>575</v>
      </c>
      <c r="LCZ9" s="358" t="s">
        <v>576</v>
      </c>
      <c r="LDA9" s="189" t="s">
        <v>574</v>
      </c>
      <c r="LDB9" s="352" t="s">
        <v>573</v>
      </c>
      <c r="LDC9" s="142" t="s">
        <v>575</v>
      </c>
      <c r="LDD9" s="358" t="s">
        <v>576</v>
      </c>
      <c r="LDE9" s="189" t="s">
        <v>574</v>
      </c>
      <c r="LDF9" s="352" t="s">
        <v>573</v>
      </c>
      <c r="LDG9" s="142" t="s">
        <v>575</v>
      </c>
      <c r="LDH9" s="358" t="s">
        <v>576</v>
      </c>
      <c r="LDI9" s="189" t="s">
        <v>574</v>
      </c>
      <c r="LDJ9" s="352" t="s">
        <v>573</v>
      </c>
      <c r="LDK9" s="142" t="s">
        <v>575</v>
      </c>
      <c r="LDL9" s="358" t="s">
        <v>576</v>
      </c>
      <c r="LDM9" s="189" t="s">
        <v>574</v>
      </c>
      <c r="LDN9" s="352" t="s">
        <v>573</v>
      </c>
      <c r="LDO9" s="142" t="s">
        <v>575</v>
      </c>
      <c r="LDP9" s="358" t="s">
        <v>576</v>
      </c>
      <c r="LDQ9" s="189" t="s">
        <v>574</v>
      </c>
      <c r="LDR9" s="352" t="s">
        <v>573</v>
      </c>
      <c r="LDS9" s="142" t="s">
        <v>575</v>
      </c>
      <c r="LDT9" s="358" t="s">
        <v>576</v>
      </c>
      <c r="LDU9" s="189" t="s">
        <v>574</v>
      </c>
      <c r="LDV9" s="352" t="s">
        <v>573</v>
      </c>
      <c r="LDW9" s="142" t="s">
        <v>575</v>
      </c>
      <c r="LDX9" s="358" t="s">
        <v>576</v>
      </c>
      <c r="LDY9" s="189" t="s">
        <v>574</v>
      </c>
      <c r="LDZ9" s="352" t="s">
        <v>573</v>
      </c>
      <c r="LEA9" s="142" t="s">
        <v>575</v>
      </c>
      <c r="LEB9" s="358" t="s">
        <v>576</v>
      </c>
      <c r="LEC9" s="189" t="s">
        <v>574</v>
      </c>
      <c r="LED9" s="352" t="s">
        <v>573</v>
      </c>
      <c r="LEE9" s="142" t="s">
        <v>575</v>
      </c>
      <c r="LEF9" s="358" t="s">
        <v>576</v>
      </c>
      <c r="LEG9" s="189" t="s">
        <v>574</v>
      </c>
      <c r="LEH9" s="352" t="s">
        <v>573</v>
      </c>
      <c r="LEI9" s="142" t="s">
        <v>575</v>
      </c>
      <c r="LEJ9" s="358" t="s">
        <v>576</v>
      </c>
      <c r="LEK9" s="189" t="s">
        <v>574</v>
      </c>
      <c r="LEL9" s="352" t="s">
        <v>573</v>
      </c>
      <c r="LEM9" s="142" t="s">
        <v>575</v>
      </c>
      <c r="LEN9" s="358" t="s">
        <v>576</v>
      </c>
      <c r="LEO9" s="189" t="s">
        <v>574</v>
      </c>
      <c r="LEP9" s="352" t="s">
        <v>573</v>
      </c>
      <c r="LEQ9" s="142" t="s">
        <v>575</v>
      </c>
      <c r="LER9" s="358" t="s">
        <v>576</v>
      </c>
      <c r="LES9" s="189" t="s">
        <v>574</v>
      </c>
      <c r="LET9" s="352" t="s">
        <v>573</v>
      </c>
      <c r="LEU9" s="142" t="s">
        <v>575</v>
      </c>
      <c r="LEV9" s="358" t="s">
        <v>576</v>
      </c>
      <c r="LEW9" s="189" t="s">
        <v>574</v>
      </c>
      <c r="LEX9" s="352" t="s">
        <v>573</v>
      </c>
      <c r="LEY9" s="142" t="s">
        <v>575</v>
      </c>
      <c r="LEZ9" s="358" t="s">
        <v>576</v>
      </c>
      <c r="LFA9" s="189" t="s">
        <v>574</v>
      </c>
      <c r="LFB9" s="352" t="s">
        <v>573</v>
      </c>
      <c r="LFC9" s="142" t="s">
        <v>575</v>
      </c>
      <c r="LFD9" s="358" t="s">
        <v>576</v>
      </c>
      <c r="LFE9" s="189" t="s">
        <v>574</v>
      </c>
      <c r="LFF9" s="352" t="s">
        <v>573</v>
      </c>
      <c r="LFG9" s="142" t="s">
        <v>575</v>
      </c>
      <c r="LFH9" s="358" t="s">
        <v>576</v>
      </c>
      <c r="LFI9" s="189" t="s">
        <v>574</v>
      </c>
      <c r="LFJ9" s="352" t="s">
        <v>573</v>
      </c>
      <c r="LFK9" s="142" t="s">
        <v>575</v>
      </c>
      <c r="LFL9" s="358" t="s">
        <v>576</v>
      </c>
      <c r="LFM9" s="189" t="s">
        <v>574</v>
      </c>
      <c r="LFN9" s="352" t="s">
        <v>573</v>
      </c>
      <c r="LFO9" s="142" t="s">
        <v>575</v>
      </c>
      <c r="LFP9" s="358" t="s">
        <v>576</v>
      </c>
      <c r="LFQ9" s="189" t="s">
        <v>574</v>
      </c>
      <c r="LFR9" s="352" t="s">
        <v>573</v>
      </c>
      <c r="LFS9" s="142" t="s">
        <v>575</v>
      </c>
      <c r="LFT9" s="358" t="s">
        <v>576</v>
      </c>
      <c r="LFU9" s="189" t="s">
        <v>574</v>
      </c>
      <c r="LFV9" s="352" t="s">
        <v>573</v>
      </c>
      <c r="LFW9" s="142" t="s">
        <v>575</v>
      </c>
      <c r="LFX9" s="358" t="s">
        <v>576</v>
      </c>
      <c r="LFY9" s="189" t="s">
        <v>574</v>
      </c>
      <c r="LFZ9" s="352" t="s">
        <v>573</v>
      </c>
      <c r="LGA9" s="142" t="s">
        <v>575</v>
      </c>
      <c r="LGB9" s="358" t="s">
        <v>576</v>
      </c>
      <c r="LGC9" s="189" t="s">
        <v>574</v>
      </c>
      <c r="LGD9" s="352" t="s">
        <v>573</v>
      </c>
      <c r="LGE9" s="142" t="s">
        <v>575</v>
      </c>
      <c r="LGF9" s="358" t="s">
        <v>576</v>
      </c>
      <c r="LGG9" s="189" t="s">
        <v>574</v>
      </c>
      <c r="LGH9" s="352" t="s">
        <v>573</v>
      </c>
      <c r="LGI9" s="142" t="s">
        <v>575</v>
      </c>
      <c r="LGJ9" s="358" t="s">
        <v>576</v>
      </c>
      <c r="LGK9" s="189" t="s">
        <v>574</v>
      </c>
      <c r="LGL9" s="352" t="s">
        <v>573</v>
      </c>
      <c r="LGM9" s="142" t="s">
        <v>575</v>
      </c>
      <c r="LGN9" s="358" t="s">
        <v>576</v>
      </c>
      <c r="LGO9" s="189" t="s">
        <v>574</v>
      </c>
      <c r="LGP9" s="352" t="s">
        <v>573</v>
      </c>
      <c r="LGQ9" s="142" t="s">
        <v>575</v>
      </c>
      <c r="LGR9" s="358" t="s">
        <v>576</v>
      </c>
      <c r="LGS9" s="189" t="s">
        <v>574</v>
      </c>
      <c r="LGT9" s="352" t="s">
        <v>573</v>
      </c>
      <c r="LGU9" s="142" t="s">
        <v>575</v>
      </c>
      <c r="LGV9" s="358" t="s">
        <v>576</v>
      </c>
      <c r="LGW9" s="189" t="s">
        <v>574</v>
      </c>
      <c r="LGX9" s="352" t="s">
        <v>573</v>
      </c>
      <c r="LGY9" s="142" t="s">
        <v>575</v>
      </c>
      <c r="LGZ9" s="358" t="s">
        <v>576</v>
      </c>
      <c r="LHA9" s="189" t="s">
        <v>574</v>
      </c>
      <c r="LHB9" s="352" t="s">
        <v>573</v>
      </c>
      <c r="LHC9" s="142" t="s">
        <v>575</v>
      </c>
      <c r="LHD9" s="358" t="s">
        <v>576</v>
      </c>
      <c r="LHE9" s="189" t="s">
        <v>574</v>
      </c>
      <c r="LHF9" s="352" t="s">
        <v>573</v>
      </c>
      <c r="LHG9" s="142" t="s">
        <v>575</v>
      </c>
      <c r="LHH9" s="358" t="s">
        <v>576</v>
      </c>
      <c r="LHI9" s="189" t="s">
        <v>574</v>
      </c>
      <c r="LHJ9" s="352" t="s">
        <v>573</v>
      </c>
      <c r="LHK9" s="142" t="s">
        <v>575</v>
      </c>
      <c r="LHL9" s="358" t="s">
        <v>576</v>
      </c>
      <c r="LHM9" s="189" t="s">
        <v>574</v>
      </c>
      <c r="LHN9" s="352" t="s">
        <v>573</v>
      </c>
      <c r="LHO9" s="142" t="s">
        <v>575</v>
      </c>
      <c r="LHP9" s="358" t="s">
        <v>576</v>
      </c>
      <c r="LHQ9" s="189" t="s">
        <v>574</v>
      </c>
      <c r="LHR9" s="352" t="s">
        <v>573</v>
      </c>
      <c r="LHS9" s="142" t="s">
        <v>575</v>
      </c>
      <c r="LHT9" s="358" t="s">
        <v>576</v>
      </c>
      <c r="LHU9" s="189" t="s">
        <v>574</v>
      </c>
      <c r="LHV9" s="352" t="s">
        <v>573</v>
      </c>
      <c r="LHW9" s="142" t="s">
        <v>575</v>
      </c>
      <c r="LHX9" s="358" t="s">
        <v>576</v>
      </c>
      <c r="LHY9" s="189" t="s">
        <v>574</v>
      </c>
      <c r="LHZ9" s="352" t="s">
        <v>573</v>
      </c>
      <c r="LIA9" s="142" t="s">
        <v>575</v>
      </c>
      <c r="LIB9" s="358" t="s">
        <v>576</v>
      </c>
      <c r="LIC9" s="189" t="s">
        <v>574</v>
      </c>
      <c r="LID9" s="352" t="s">
        <v>573</v>
      </c>
      <c r="LIE9" s="142" t="s">
        <v>575</v>
      </c>
      <c r="LIF9" s="358" t="s">
        <v>576</v>
      </c>
      <c r="LIG9" s="189" t="s">
        <v>574</v>
      </c>
      <c r="LIH9" s="352" t="s">
        <v>573</v>
      </c>
      <c r="LII9" s="142" t="s">
        <v>575</v>
      </c>
      <c r="LIJ9" s="358" t="s">
        <v>576</v>
      </c>
      <c r="LIK9" s="189" t="s">
        <v>574</v>
      </c>
      <c r="LIL9" s="352" t="s">
        <v>573</v>
      </c>
      <c r="LIM9" s="142" t="s">
        <v>575</v>
      </c>
      <c r="LIN9" s="358" t="s">
        <v>576</v>
      </c>
      <c r="LIO9" s="189" t="s">
        <v>574</v>
      </c>
      <c r="LIP9" s="352" t="s">
        <v>573</v>
      </c>
      <c r="LIQ9" s="142" t="s">
        <v>575</v>
      </c>
      <c r="LIR9" s="358" t="s">
        <v>576</v>
      </c>
      <c r="LIS9" s="189" t="s">
        <v>574</v>
      </c>
      <c r="LIT9" s="352" t="s">
        <v>573</v>
      </c>
      <c r="LIU9" s="142" t="s">
        <v>575</v>
      </c>
      <c r="LIV9" s="358" t="s">
        <v>576</v>
      </c>
      <c r="LIW9" s="189" t="s">
        <v>574</v>
      </c>
      <c r="LIX9" s="352" t="s">
        <v>573</v>
      </c>
      <c r="LIY9" s="142" t="s">
        <v>575</v>
      </c>
      <c r="LIZ9" s="358" t="s">
        <v>576</v>
      </c>
      <c r="LJA9" s="189" t="s">
        <v>574</v>
      </c>
      <c r="LJB9" s="352" t="s">
        <v>573</v>
      </c>
      <c r="LJC9" s="142" t="s">
        <v>575</v>
      </c>
      <c r="LJD9" s="358" t="s">
        <v>576</v>
      </c>
      <c r="LJE9" s="189" t="s">
        <v>574</v>
      </c>
      <c r="LJF9" s="352" t="s">
        <v>573</v>
      </c>
      <c r="LJG9" s="142" t="s">
        <v>575</v>
      </c>
      <c r="LJH9" s="358" t="s">
        <v>576</v>
      </c>
      <c r="LJI9" s="189" t="s">
        <v>574</v>
      </c>
      <c r="LJJ9" s="352" t="s">
        <v>573</v>
      </c>
      <c r="LJK9" s="142" t="s">
        <v>575</v>
      </c>
      <c r="LJL9" s="358" t="s">
        <v>576</v>
      </c>
      <c r="LJM9" s="189" t="s">
        <v>574</v>
      </c>
      <c r="LJN9" s="352" t="s">
        <v>573</v>
      </c>
      <c r="LJO9" s="142" t="s">
        <v>575</v>
      </c>
      <c r="LJP9" s="358" t="s">
        <v>576</v>
      </c>
      <c r="LJQ9" s="189" t="s">
        <v>574</v>
      </c>
      <c r="LJR9" s="352" t="s">
        <v>573</v>
      </c>
      <c r="LJS9" s="142" t="s">
        <v>575</v>
      </c>
      <c r="LJT9" s="358" t="s">
        <v>576</v>
      </c>
      <c r="LJU9" s="189" t="s">
        <v>574</v>
      </c>
      <c r="LJV9" s="352" t="s">
        <v>573</v>
      </c>
      <c r="LJW9" s="142" t="s">
        <v>575</v>
      </c>
      <c r="LJX9" s="358" t="s">
        <v>576</v>
      </c>
      <c r="LJY9" s="189" t="s">
        <v>574</v>
      </c>
      <c r="LJZ9" s="352" t="s">
        <v>573</v>
      </c>
      <c r="LKA9" s="142" t="s">
        <v>575</v>
      </c>
      <c r="LKB9" s="358" t="s">
        <v>576</v>
      </c>
      <c r="LKC9" s="189" t="s">
        <v>574</v>
      </c>
      <c r="LKD9" s="352" t="s">
        <v>573</v>
      </c>
      <c r="LKE9" s="142" t="s">
        <v>575</v>
      </c>
      <c r="LKF9" s="358" t="s">
        <v>576</v>
      </c>
      <c r="LKG9" s="189" t="s">
        <v>574</v>
      </c>
      <c r="LKH9" s="352" t="s">
        <v>573</v>
      </c>
      <c r="LKI9" s="142" t="s">
        <v>575</v>
      </c>
      <c r="LKJ9" s="358" t="s">
        <v>576</v>
      </c>
      <c r="LKK9" s="189" t="s">
        <v>574</v>
      </c>
      <c r="LKL9" s="352" t="s">
        <v>573</v>
      </c>
      <c r="LKM9" s="142" t="s">
        <v>575</v>
      </c>
      <c r="LKN9" s="358" t="s">
        <v>576</v>
      </c>
      <c r="LKO9" s="189" t="s">
        <v>574</v>
      </c>
      <c r="LKP9" s="352" t="s">
        <v>573</v>
      </c>
      <c r="LKQ9" s="142" t="s">
        <v>575</v>
      </c>
      <c r="LKR9" s="358" t="s">
        <v>576</v>
      </c>
      <c r="LKS9" s="189" t="s">
        <v>574</v>
      </c>
      <c r="LKT9" s="352" t="s">
        <v>573</v>
      </c>
      <c r="LKU9" s="142" t="s">
        <v>575</v>
      </c>
      <c r="LKV9" s="358" t="s">
        <v>576</v>
      </c>
      <c r="LKW9" s="189" t="s">
        <v>574</v>
      </c>
      <c r="LKX9" s="352" t="s">
        <v>573</v>
      </c>
      <c r="LKY9" s="142" t="s">
        <v>575</v>
      </c>
      <c r="LKZ9" s="358" t="s">
        <v>576</v>
      </c>
      <c r="LLA9" s="189" t="s">
        <v>574</v>
      </c>
      <c r="LLB9" s="352" t="s">
        <v>573</v>
      </c>
      <c r="LLC9" s="142" t="s">
        <v>575</v>
      </c>
      <c r="LLD9" s="358" t="s">
        <v>576</v>
      </c>
      <c r="LLE9" s="189" t="s">
        <v>574</v>
      </c>
      <c r="LLF9" s="352" t="s">
        <v>573</v>
      </c>
      <c r="LLG9" s="142" t="s">
        <v>575</v>
      </c>
      <c r="LLH9" s="358" t="s">
        <v>576</v>
      </c>
      <c r="LLI9" s="189" t="s">
        <v>574</v>
      </c>
      <c r="LLJ9" s="352" t="s">
        <v>573</v>
      </c>
      <c r="LLK9" s="142" t="s">
        <v>575</v>
      </c>
      <c r="LLL9" s="358" t="s">
        <v>576</v>
      </c>
      <c r="LLM9" s="189" t="s">
        <v>574</v>
      </c>
      <c r="LLN9" s="352" t="s">
        <v>573</v>
      </c>
      <c r="LLO9" s="142" t="s">
        <v>575</v>
      </c>
      <c r="LLP9" s="358" t="s">
        <v>576</v>
      </c>
      <c r="LLQ9" s="189" t="s">
        <v>574</v>
      </c>
      <c r="LLR9" s="352" t="s">
        <v>573</v>
      </c>
      <c r="LLS9" s="142" t="s">
        <v>575</v>
      </c>
      <c r="LLT9" s="358" t="s">
        <v>576</v>
      </c>
      <c r="LLU9" s="189" t="s">
        <v>574</v>
      </c>
      <c r="LLV9" s="352" t="s">
        <v>573</v>
      </c>
      <c r="LLW9" s="142" t="s">
        <v>575</v>
      </c>
      <c r="LLX9" s="358" t="s">
        <v>576</v>
      </c>
      <c r="LLY9" s="189" t="s">
        <v>574</v>
      </c>
      <c r="LLZ9" s="352" t="s">
        <v>573</v>
      </c>
      <c r="LMA9" s="142" t="s">
        <v>575</v>
      </c>
      <c r="LMB9" s="358" t="s">
        <v>576</v>
      </c>
      <c r="LMC9" s="189" t="s">
        <v>574</v>
      </c>
      <c r="LMD9" s="352" t="s">
        <v>573</v>
      </c>
      <c r="LME9" s="142" t="s">
        <v>575</v>
      </c>
      <c r="LMF9" s="358" t="s">
        <v>576</v>
      </c>
      <c r="LMG9" s="189" t="s">
        <v>574</v>
      </c>
      <c r="LMH9" s="352" t="s">
        <v>573</v>
      </c>
      <c r="LMI9" s="142" t="s">
        <v>575</v>
      </c>
      <c r="LMJ9" s="358" t="s">
        <v>576</v>
      </c>
      <c r="LMK9" s="189" t="s">
        <v>574</v>
      </c>
      <c r="LML9" s="352" t="s">
        <v>573</v>
      </c>
      <c r="LMM9" s="142" t="s">
        <v>575</v>
      </c>
      <c r="LMN9" s="358" t="s">
        <v>576</v>
      </c>
      <c r="LMO9" s="189" t="s">
        <v>574</v>
      </c>
      <c r="LMP9" s="352" t="s">
        <v>573</v>
      </c>
      <c r="LMQ9" s="142" t="s">
        <v>575</v>
      </c>
      <c r="LMR9" s="358" t="s">
        <v>576</v>
      </c>
      <c r="LMS9" s="189" t="s">
        <v>574</v>
      </c>
      <c r="LMT9" s="352" t="s">
        <v>573</v>
      </c>
      <c r="LMU9" s="142" t="s">
        <v>575</v>
      </c>
      <c r="LMV9" s="358" t="s">
        <v>576</v>
      </c>
      <c r="LMW9" s="189" t="s">
        <v>574</v>
      </c>
      <c r="LMX9" s="352" t="s">
        <v>573</v>
      </c>
      <c r="LMY9" s="142" t="s">
        <v>575</v>
      </c>
      <c r="LMZ9" s="358" t="s">
        <v>576</v>
      </c>
      <c r="LNA9" s="189" t="s">
        <v>574</v>
      </c>
      <c r="LNB9" s="352" t="s">
        <v>573</v>
      </c>
      <c r="LNC9" s="142" t="s">
        <v>575</v>
      </c>
      <c r="LND9" s="358" t="s">
        <v>576</v>
      </c>
      <c r="LNE9" s="189" t="s">
        <v>574</v>
      </c>
      <c r="LNF9" s="352" t="s">
        <v>573</v>
      </c>
      <c r="LNG9" s="142" t="s">
        <v>575</v>
      </c>
      <c r="LNH9" s="358" t="s">
        <v>576</v>
      </c>
      <c r="LNI9" s="189" t="s">
        <v>574</v>
      </c>
      <c r="LNJ9" s="352" t="s">
        <v>573</v>
      </c>
      <c r="LNK9" s="142" t="s">
        <v>575</v>
      </c>
      <c r="LNL9" s="358" t="s">
        <v>576</v>
      </c>
      <c r="LNM9" s="189" t="s">
        <v>574</v>
      </c>
      <c r="LNN9" s="352" t="s">
        <v>573</v>
      </c>
      <c r="LNO9" s="142" t="s">
        <v>575</v>
      </c>
      <c r="LNP9" s="358" t="s">
        <v>576</v>
      </c>
      <c r="LNQ9" s="189" t="s">
        <v>574</v>
      </c>
      <c r="LNR9" s="352" t="s">
        <v>573</v>
      </c>
      <c r="LNS9" s="142" t="s">
        <v>575</v>
      </c>
      <c r="LNT9" s="358" t="s">
        <v>576</v>
      </c>
      <c r="LNU9" s="189" t="s">
        <v>574</v>
      </c>
      <c r="LNV9" s="352" t="s">
        <v>573</v>
      </c>
      <c r="LNW9" s="142" t="s">
        <v>575</v>
      </c>
      <c r="LNX9" s="358" t="s">
        <v>576</v>
      </c>
      <c r="LNY9" s="189" t="s">
        <v>574</v>
      </c>
      <c r="LNZ9" s="352" t="s">
        <v>573</v>
      </c>
      <c r="LOA9" s="142" t="s">
        <v>575</v>
      </c>
      <c r="LOB9" s="358" t="s">
        <v>576</v>
      </c>
      <c r="LOC9" s="189" t="s">
        <v>574</v>
      </c>
      <c r="LOD9" s="352" t="s">
        <v>573</v>
      </c>
      <c r="LOE9" s="142" t="s">
        <v>575</v>
      </c>
      <c r="LOF9" s="358" t="s">
        <v>576</v>
      </c>
      <c r="LOG9" s="189" t="s">
        <v>574</v>
      </c>
      <c r="LOH9" s="352" t="s">
        <v>573</v>
      </c>
      <c r="LOI9" s="142" t="s">
        <v>575</v>
      </c>
      <c r="LOJ9" s="358" t="s">
        <v>576</v>
      </c>
      <c r="LOK9" s="189" t="s">
        <v>574</v>
      </c>
      <c r="LOL9" s="352" t="s">
        <v>573</v>
      </c>
      <c r="LOM9" s="142" t="s">
        <v>575</v>
      </c>
      <c r="LON9" s="358" t="s">
        <v>576</v>
      </c>
      <c r="LOO9" s="189" t="s">
        <v>574</v>
      </c>
      <c r="LOP9" s="352" t="s">
        <v>573</v>
      </c>
      <c r="LOQ9" s="142" t="s">
        <v>575</v>
      </c>
      <c r="LOR9" s="358" t="s">
        <v>576</v>
      </c>
      <c r="LOS9" s="189" t="s">
        <v>574</v>
      </c>
      <c r="LOT9" s="352" t="s">
        <v>573</v>
      </c>
      <c r="LOU9" s="142" t="s">
        <v>575</v>
      </c>
      <c r="LOV9" s="358" t="s">
        <v>576</v>
      </c>
      <c r="LOW9" s="189" t="s">
        <v>574</v>
      </c>
      <c r="LOX9" s="352" t="s">
        <v>573</v>
      </c>
      <c r="LOY9" s="142" t="s">
        <v>575</v>
      </c>
      <c r="LOZ9" s="358" t="s">
        <v>576</v>
      </c>
      <c r="LPA9" s="189" t="s">
        <v>574</v>
      </c>
      <c r="LPB9" s="352" t="s">
        <v>573</v>
      </c>
      <c r="LPC9" s="142" t="s">
        <v>575</v>
      </c>
      <c r="LPD9" s="358" t="s">
        <v>576</v>
      </c>
      <c r="LPE9" s="189" t="s">
        <v>574</v>
      </c>
      <c r="LPF9" s="352" t="s">
        <v>573</v>
      </c>
      <c r="LPG9" s="142" t="s">
        <v>575</v>
      </c>
      <c r="LPH9" s="358" t="s">
        <v>576</v>
      </c>
      <c r="LPI9" s="189" t="s">
        <v>574</v>
      </c>
      <c r="LPJ9" s="352" t="s">
        <v>573</v>
      </c>
      <c r="LPK9" s="142" t="s">
        <v>575</v>
      </c>
      <c r="LPL9" s="358" t="s">
        <v>576</v>
      </c>
      <c r="LPM9" s="189" t="s">
        <v>574</v>
      </c>
      <c r="LPN9" s="352" t="s">
        <v>573</v>
      </c>
      <c r="LPO9" s="142" t="s">
        <v>575</v>
      </c>
      <c r="LPP9" s="358" t="s">
        <v>576</v>
      </c>
      <c r="LPQ9" s="189" t="s">
        <v>574</v>
      </c>
      <c r="LPR9" s="352" t="s">
        <v>573</v>
      </c>
      <c r="LPS9" s="142" t="s">
        <v>575</v>
      </c>
      <c r="LPT9" s="358" t="s">
        <v>576</v>
      </c>
      <c r="LPU9" s="189" t="s">
        <v>574</v>
      </c>
      <c r="LPV9" s="352" t="s">
        <v>573</v>
      </c>
      <c r="LPW9" s="142" t="s">
        <v>575</v>
      </c>
      <c r="LPX9" s="358" t="s">
        <v>576</v>
      </c>
      <c r="LPY9" s="189" t="s">
        <v>574</v>
      </c>
      <c r="LPZ9" s="352" t="s">
        <v>573</v>
      </c>
      <c r="LQA9" s="142" t="s">
        <v>575</v>
      </c>
      <c r="LQB9" s="358" t="s">
        <v>576</v>
      </c>
      <c r="LQC9" s="189" t="s">
        <v>574</v>
      </c>
      <c r="LQD9" s="352" t="s">
        <v>573</v>
      </c>
      <c r="LQE9" s="142" t="s">
        <v>575</v>
      </c>
      <c r="LQF9" s="358" t="s">
        <v>576</v>
      </c>
      <c r="LQG9" s="189" t="s">
        <v>574</v>
      </c>
      <c r="LQH9" s="352" t="s">
        <v>573</v>
      </c>
      <c r="LQI9" s="142" t="s">
        <v>575</v>
      </c>
      <c r="LQJ9" s="358" t="s">
        <v>576</v>
      </c>
      <c r="LQK9" s="189" t="s">
        <v>574</v>
      </c>
      <c r="LQL9" s="352" t="s">
        <v>573</v>
      </c>
      <c r="LQM9" s="142" t="s">
        <v>575</v>
      </c>
      <c r="LQN9" s="358" t="s">
        <v>576</v>
      </c>
      <c r="LQO9" s="189" t="s">
        <v>574</v>
      </c>
      <c r="LQP9" s="352" t="s">
        <v>573</v>
      </c>
      <c r="LQQ9" s="142" t="s">
        <v>575</v>
      </c>
      <c r="LQR9" s="358" t="s">
        <v>576</v>
      </c>
      <c r="LQS9" s="189" t="s">
        <v>574</v>
      </c>
      <c r="LQT9" s="352" t="s">
        <v>573</v>
      </c>
      <c r="LQU9" s="142" t="s">
        <v>575</v>
      </c>
      <c r="LQV9" s="358" t="s">
        <v>576</v>
      </c>
      <c r="LQW9" s="189" t="s">
        <v>574</v>
      </c>
      <c r="LQX9" s="352" t="s">
        <v>573</v>
      </c>
      <c r="LQY9" s="142" t="s">
        <v>575</v>
      </c>
      <c r="LQZ9" s="358" t="s">
        <v>576</v>
      </c>
      <c r="LRA9" s="189" t="s">
        <v>574</v>
      </c>
      <c r="LRB9" s="352" t="s">
        <v>573</v>
      </c>
      <c r="LRC9" s="142" t="s">
        <v>575</v>
      </c>
      <c r="LRD9" s="358" t="s">
        <v>576</v>
      </c>
      <c r="LRE9" s="189" t="s">
        <v>574</v>
      </c>
      <c r="LRF9" s="352" t="s">
        <v>573</v>
      </c>
      <c r="LRG9" s="142" t="s">
        <v>575</v>
      </c>
      <c r="LRH9" s="358" t="s">
        <v>576</v>
      </c>
      <c r="LRI9" s="189" t="s">
        <v>574</v>
      </c>
      <c r="LRJ9" s="352" t="s">
        <v>573</v>
      </c>
      <c r="LRK9" s="142" t="s">
        <v>575</v>
      </c>
      <c r="LRL9" s="358" t="s">
        <v>576</v>
      </c>
      <c r="LRM9" s="189" t="s">
        <v>574</v>
      </c>
      <c r="LRN9" s="352" t="s">
        <v>573</v>
      </c>
      <c r="LRO9" s="142" t="s">
        <v>575</v>
      </c>
      <c r="LRP9" s="358" t="s">
        <v>576</v>
      </c>
      <c r="LRQ9" s="189" t="s">
        <v>574</v>
      </c>
      <c r="LRR9" s="352" t="s">
        <v>573</v>
      </c>
      <c r="LRS9" s="142" t="s">
        <v>575</v>
      </c>
      <c r="LRT9" s="358" t="s">
        <v>576</v>
      </c>
      <c r="LRU9" s="189" t="s">
        <v>574</v>
      </c>
      <c r="LRV9" s="352" t="s">
        <v>573</v>
      </c>
      <c r="LRW9" s="142" t="s">
        <v>575</v>
      </c>
      <c r="LRX9" s="358" t="s">
        <v>576</v>
      </c>
      <c r="LRY9" s="189" t="s">
        <v>574</v>
      </c>
      <c r="LRZ9" s="352" t="s">
        <v>573</v>
      </c>
      <c r="LSA9" s="142" t="s">
        <v>575</v>
      </c>
      <c r="LSB9" s="358" t="s">
        <v>576</v>
      </c>
      <c r="LSC9" s="189" t="s">
        <v>574</v>
      </c>
      <c r="LSD9" s="352" t="s">
        <v>573</v>
      </c>
      <c r="LSE9" s="142" t="s">
        <v>575</v>
      </c>
      <c r="LSF9" s="358" t="s">
        <v>576</v>
      </c>
      <c r="LSG9" s="189" t="s">
        <v>574</v>
      </c>
      <c r="LSH9" s="352" t="s">
        <v>573</v>
      </c>
      <c r="LSI9" s="142" t="s">
        <v>575</v>
      </c>
      <c r="LSJ9" s="358" t="s">
        <v>576</v>
      </c>
      <c r="LSK9" s="189" t="s">
        <v>574</v>
      </c>
      <c r="LSL9" s="352" t="s">
        <v>573</v>
      </c>
      <c r="LSM9" s="142" t="s">
        <v>575</v>
      </c>
      <c r="LSN9" s="358" t="s">
        <v>576</v>
      </c>
      <c r="LSO9" s="189" t="s">
        <v>574</v>
      </c>
      <c r="LSP9" s="352" t="s">
        <v>573</v>
      </c>
      <c r="LSQ9" s="142" t="s">
        <v>575</v>
      </c>
      <c r="LSR9" s="358" t="s">
        <v>576</v>
      </c>
      <c r="LSS9" s="189" t="s">
        <v>574</v>
      </c>
      <c r="LST9" s="352" t="s">
        <v>573</v>
      </c>
      <c r="LSU9" s="142" t="s">
        <v>575</v>
      </c>
      <c r="LSV9" s="358" t="s">
        <v>576</v>
      </c>
      <c r="LSW9" s="189" t="s">
        <v>574</v>
      </c>
      <c r="LSX9" s="352" t="s">
        <v>573</v>
      </c>
      <c r="LSY9" s="142" t="s">
        <v>575</v>
      </c>
      <c r="LSZ9" s="358" t="s">
        <v>576</v>
      </c>
      <c r="LTA9" s="189" t="s">
        <v>574</v>
      </c>
      <c r="LTB9" s="352" t="s">
        <v>573</v>
      </c>
      <c r="LTC9" s="142" t="s">
        <v>575</v>
      </c>
      <c r="LTD9" s="358" t="s">
        <v>576</v>
      </c>
      <c r="LTE9" s="189" t="s">
        <v>574</v>
      </c>
      <c r="LTF9" s="352" t="s">
        <v>573</v>
      </c>
      <c r="LTG9" s="142" t="s">
        <v>575</v>
      </c>
      <c r="LTH9" s="358" t="s">
        <v>576</v>
      </c>
      <c r="LTI9" s="189" t="s">
        <v>574</v>
      </c>
      <c r="LTJ9" s="352" t="s">
        <v>573</v>
      </c>
      <c r="LTK9" s="142" t="s">
        <v>575</v>
      </c>
      <c r="LTL9" s="358" t="s">
        <v>576</v>
      </c>
      <c r="LTM9" s="189" t="s">
        <v>574</v>
      </c>
      <c r="LTN9" s="352" t="s">
        <v>573</v>
      </c>
      <c r="LTO9" s="142" t="s">
        <v>575</v>
      </c>
      <c r="LTP9" s="358" t="s">
        <v>576</v>
      </c>
      <c r="LTQ9" s="189" t="s">
        <v>574</v>
      </c>
      <c r="LTR9" s="352" t="s">
        <v>573</v>
      </c>
      <c r="LTS9" s="142" t="s">
        <v>575</v>
      </c>
      <c r="LTT9" s="358" t="s">
        <v>576</v>
      </c>
      <c r="LTU9" s="189" t="s">
        <v>574</v>
      </c>
      <c r="LTV9" s="352" t="s">
        <v>573</v>
      </c>
      <c r="LTW9" s="142" t="s">
        <v>575</v>
      </c>
      <c r="LTX9" s="358" t="s">
        <v>576</v>
      </c>
      <c r="LTY9" s="189" t="s">
        <v>574</v>
      </c>
      <c r="LTZ9" s="352" t="s">
        <v>573</v>
      </c>
      <c r="LUA9" s="142" t="s">
        <v>575</v>
      </c>
      <c r="LUB9" s="358" t="s">
        <v>576</v>
      </c>
      <c r="LUC9" s="189" t="s">
        <v>574</v>
      </c>
      <c r="LUD9" s="352" t="s">
        <v>573</v>
      </c>
      <c r="LUE9" s="142" t="s">
        <v>575</v>
      </c>
      <c r="LUF9" s="358" t="s">
        <v>576</v>
      </c>
      <c r="LUG9" s="189" t="s">
        <v>574</v>
      </c>
      <c r="LUH9" s="352" t="s">
        <v>573</v>
      </c>
      <c r="LUI9" s="142" t="s">
        <v>575</v>
      </c>
      <c r="LUJ9" s="358" t="s">
        <v>576</v>
      </c>
      <c r="LUK9" s="189" t="s">
        <v>574</v>
      </c>
      <c r="LUL9" s="352" t="s">
        <v>573</v>
      </c>
      <c r="LUM9" s="142" t="s">
        <v>575</v>
      </c>
      <c r="LUN9" s="358" t="s">
        <v>576</v>
      </c>
      <c r="LUO9" s="189" t="s">
        <v>574</v>
      </c>
      <c r="LUP9" s="352" t="s">
        <v>573</v>
      </c>
      <c r="LUQ9" s="142" t="s">
        <v>575</v>
      </c>
      <c r="LUR9" s="358" t="s">
        <v>576</v>
      </c>
      <c r="LUS9" s="189" t="s">
        <v>574</v>
      </c>
      <c r="LUT9" s="352" t="s">
        <v>573</v>
      </c>
      <c r="LUU9" s="142" t="s">
        <v>575</v>
      </c>
      <c r="LUV9" s="358" t="s">
        <v>576</v>
      </c>
      <c r="LUW9" s="189" t="s">
        <v>574</v>
      </c>
      <c r="LUX9" s="352" t="s">
        <v>573</v>
      </c>
      <c r="LUY9" s="142" t="s">
        <v>575</v>
      </c>
      <c r="LUZ9" s="358" t="s">
        <v>576</v>
      </c>
      <c r="LVA9" s="189" t="s">
        <v>574</v>
      </c>
      <c r="LVB9" s="352" t="s">
        <v>573</v>
      </c>
      <c r="LVC9" s="142" t="s">
        <v>575</v>
      </c>
      <c r="LVD9" s="358" t="s">
        <v>576</v>
      </c>
      <c r="LVE9" s="189" t="s">
        <v>574</v>
      </c>
      <c r="LVF9" s="352" t="s">
        <v>573</v>
      </c>
      <c r="LVG9" s="142" t="s">
        <v>575</v>
      </c>
      <c r="LVH9" s="358" t="s">
        <v>576</v>
      </c>
      <c r="LVI9" s="189" t="s">
        <v>574</v>
      </c>
      <c r="LVJ9" s="352" t="s">
        <v>573</v>
      </c>
      <c r="LVK9" s="142" t="s">
        <v>575</v>
      </c>
      <c r="LVL9" s="358" t="s">
        <v>576</v>
      </c>
      <c r="LVM9" s="189" t="s">
        <v>574</v>
      </c>
      <c r="LVN9" s="352" t="s">
        <v>573</v>
      </c>
      <c r="LVO9" s="142" t="s">
        <v>575</v>
      </c>
      <c r="LVP9" s="358" t="s">
        <v>576</v>
      </c>
      <c r="LVQ9" s="189" t="s">
        <v>574</v>
      </c>
      <c r="LVR9" s="352" t="s">
        <v>573</v>
      </c>
      <c r="LVS9" s="142" t="s">
        <v>575</v>
      </c>
      <c r="LVT9" s="358" t="s">
        <v>576</v>
      </c>
      <c r="LVU9" s="189" t="s">
        <v>574</v>
      </c>
      <c r="LVV9" s="352" t="s">
        <v>573</v>
      </c>
      <c r="LVW9" s="142" t="s">
        <v>575</v>
      </c>
      <c r="LVX9" s="358" t="s">
        <v>576</v>
      </c>
      <c r="LVY9" s="189" t="s">
        <v>574</v>
      </c>
      <c r="LVZ9" s="352" t="s">
        <v>573</v>
      </c>
      <c r="LWA9" s="142" t="s">
        <v>575</v>
      </c>
      <c r="LWB9" s="358" t="s">
        <v>576</v>
      </c>
      <c r="LWC9" s="189" t="s">
        <v>574</v>
      </c>
      <c r="LWD9" s="352" t="s">
        <v>573</v>
      </c>
      <c r="LWE9" s="142" t="s">
        <v>575</v>
      </c>
      <c r="LWF9" s="358" t="s">
        <v>576</v>
      </c>
      <c r="LWG9" s="189" t="s">
        <v>574</v>
      </c>
      <c r="LWH9" s="352" t="s">
        <v>573</v>
      </c>
      <c r="LWI9" s="142" t="s">
        <v>575</v>
      </c>
      <c r="LWJ9" s="358" t="s">
        <v>576</v>
      </c>
      <c r="LWK9" s="189" t="s">
        <v>574</v>
      </c>
      <c r="LWL9" s="352" t="s">
        <v>573</v>
      </c>
      <c r="LWM9" s="142" t="s">
        <v>575</v>
      </c>
      <c r="LWN9" s="358" t="s">
        <v>576</v>
      </c>
      <c r="LWO9" s="189" t="s">
        <v>574</v>
      </c>
      <c r="LWP9" s="352" t="s">
        <v>573</v>
      </c>
      <c r="LWQ9" s="142" t="s">
        <v>575</v>
      </c>
      <c r="LWR9" s="358" t="s">
        <v>576</v>
      </c>
      <c r="LWS9" s="189" t="s">
        <v>574</v>
      </c>
      <c r="LWT9" s="352" t="s">
        <v>573</v>
      </c>
      <c r="LWU9" s="142" t="s">
        <v>575</v>
      </c>
      <c r="LWV9" s="358" t="s">
        <v>576</v>
      </c>
      <c r="LWW9" s="189" t="s">
        <v>574</v>
      </c>
      <c r="LWX9" s="352" t="s">
        <v>573</v>
      </c>
      <c r="LWY9" s="142" t="s">
        <v>575</v>
      </c>
      <c r="LWZ9" s="358" t="s">
        <v>576</v>
      </c>
      <c r="LXA9" s="189" t="s">
        <v>574</v>
      </c>
      <c r="LXB9" s="352" t="s">
        <v>573</v>
      </c>
      <c r="LXC9" s="142" t="s">
        <v>575</v>
      </c>
      <c r="LXD9" s="358" t="s">
        <v>576</v>
      </c>
      <c r="LXE9" s="189" t="s">
        <v>574</v>
      </c>
      <c r="LXF9" s="352" t="s">
        <v>573</v>
      </c>
      <c r="LXG9" s="142" t="s">
        <v>575</v>
      </c>
      <c r="LXH9" s="358" t="s">
        <v>576</v>
      </c>
      <c r="LXI9" s="189" t="s">
        <v>574</v>
      </c>
      <c r="LXJ9" s="352" t="s">
        <v>573</v>
      </c>
      <c r="LXK9" s="142" t="s">
        <v>575</v>
      </c>
      <c r="LXL9" s="358" t="s">
        <v>576</v>
      </c>
      <c r="LXM9" s="189" t="s">
        <v>574</v>
      </c>
      <c r="LXN9" s="352" t="s">
        <v>573</v>
      </c>
      <c r="LXO9" s="142" t="s">
        <v>575</v>
      </c>
      <c r="LXP9" s="358" t="s">
        <v>576</v>
      </c>
      <c r="LXQ9" s="189" t="s">
        <v>574</v>
      </c>
      <c r="LXR9" s="352" t="s">
        <v>573</v>
      </c>
      <c r="LXS9" s="142" t="s">
        <v>575</v>
      </c>
      <c r="LXT9" s="358" t="s">
        <v>576</v>
      </c>
      <c r="LXU9" s="189" t="s">
        <v>574</v>
      </c>
      <c r="LXV9" s="352" t="s">
        <v>573</v>
      </c>
      <c r="LXW9" s="142" t="s">
        <v>575</v>
      </c>
      <c r="LXX9" s="358" t="s">
        <v>576</v>
      </c>
      <c r="LXY9" s="189" t="s">
        <v>574</v>
      </c>
      <c r="LXZ9" s="352" t="s">
        <v>573</v>
      </c>
      <c r="LYA9" s="142" t="s">
        <v>575</v>
      </c>
      <c r="LYB9" s="358" t="s">
        <v>576</v>
      </c>
      <c r="LYC9" s="189" t="s">
        <v>574</v>
      </c>
      <c r="LYD9" s="352" t="s">
        <v>573</v>
      </c>
      <c r="LYE9" s="142" t="s">
        <v>575</v>
      </c>
      <c r="LYF9" s="358" t="s">
        <v>576</v>
      </c>
      <c r="LYG9" s="189" t="s">
        <v>574</v>
      </c>
      <c r="LYH9" s="352" t="s">
        <v>573</v>
      </c>
      <c r="LYI9" s="142" t="s">
        <v>575</v>
      </c>
      <c r="LYJ9" s="358" t="s">
        <v>576</v>
      </c>
      <c r="LYK9" s="189" t="s">
        <v>574</v>
      </c>
      <c r="LYL9" s="352" t="s">
        <v>573</v>
      </c>
      <c r="LYM9" s="142" t="s">
        <v>575</v>
      </c>
      <c r="LYN9" s="358" t="s">
        <v>576</v>
      </c>
      <c r="LYO9" s="189" t="s">
        <v>574</v>
      </c>
      <c r="LYP9" s="352" t="s">
        <v>573</v>
      </c>
      <c r="LYQ9" s="142" t="s">
        <v>575</v>
      </c>
      <c r="LYR9" s="358" t="s">
        <v>576</v>
      </c>
      <c r="LYS9" s="189" t="s">
        <v>574</v>
      </c>
      <c r="LYT9" s="352" t="s">
        <v>573</v>
      </c>
      <c r="LYU9" s="142" t="s">
        <v>575</v>
      </c>
      <c r="LYV9" s="358" t="s">
        <v>576</v>
      </c>
      <c r="LYW9" s="189" t="s">
        <v>574</v>
      </c>
      <c r="LYX9" s="352" t="s">
        <v>573</v>
      </c>
      <c r="LYY9" s="142" t="s">
        <v>575</v>
      </c>
      <c r="LYZ9" s="358" t="s">
        <v>576</v>
      </c>
      <c r="LZA9" s="189" t="s">
        <v>574</v>
      </c>
      <c r="LZB9" s="352" t="s">
        <v>573</v>
      </c>
      <c r="LZC9" s="142" t="s">
        <v>575</v>
      </c>
      <c r="LZD9" s="358" t="s">
        <v>576</v>
      </c>
      <c r="LZE9" s="189" t="s">
        <v>574</v>
      </c>
      <c r="LZF9" s="352" t="s">
        <v>573</v>
      </c>
      <c r="LZG9" s="142" t="s">
        <v>575</v>
      </c>
      <c r="LZH9" s="358" t="s">
        <v>576</v>
      </c>
      <c r="LZI9" s="189" t="s">
        <v>574</v>
      </c>
      <c r="LZJ9" s="352" t="s">
        <v>573</v>
      </c>
      <c r="LZK9" s="142" t="s">
        <v>575</v>
      </c>
      <c r="LZL9" s="358" t="s">
        <v>576</v>
      </c>
      <c r="LZM9" s="189" t="s">
        <v>574</v>
      </c>
      <c r="LZN9" s="352" t="s">
        <v>573</v>
      </c>
      <c r="LZO9" s="142" t="s">
        <v>575</v>
      </c>
      <c r="LZP9" s="358" t="s">
        <v>576</v>
      </c>
      <c r="LZQ9" s="189" t="s">
        <v>574</v>
      </c>
      <c r="LZR9" s="352" t="s">
        <v>573</v>
      </c>
      <c r="LZS9" s="142" t="s">
        <v>575</v>
      </c>
      <c r="LZT9" s="358" t="s">
        <v>576</v>
      </c>
      <c r="LZU9" s="189" t="s">
        <v>574</v>
      </c>
      <c r="LZV9" s="352" t="s">
        <v>573</v>
      </c>
      <c r="LZW9" s="142" t="s">
        <v>575</v>
      </c>
      <c r="LZX9" s="358" t="s">
        <v>576</v>
      </c>
      <c r="LZY9" s="189" t="s">
        <v>574</v>
      </c>
      <c r="LZZ9" s="352" t="s">
        <v>573</v>
      </c>
      <c r="MAA9" s="142" t="s">
        <v>575</v>
      </c>
      <c r="MAB9" s="358" t="s">
        <v>576</v>
      </c>
      <c r="MAC9" s="189" t="s">
        <v>574</v>
      </c>
      <c r="MAD9" s="352" t="s">
        <v>573</v>
      </c>
      <c r="MAE9" s="142" t="s">
        <v>575</v>
      </c>
      <c r="MAF9" s="358" t="s">
        <v>576</v>
      </c>
      <c r="MAG9" s="189" t="s">
        <v>574</v>
      </c>
      <c r="MAH9" s="352" t="s">
        <v>573</v>
      </c>
      <c r="MAI9" s="142" t="s">
        <v>575</v>
      </c>
      <c r="MAJ9" s="358" t="s">
        <v>576</v>
      </c>
      <c r="MAK9" s="189" t="s">
        <v>574</v>
      </c>
      <c r="MAL9" s="352" t="s">
        <v>573</v>
      </c>
      <c r="MAM9" s="142" t="s">
        <v>575</v>
      </c>
      <c r="MAN9" s="358" t="s">
        <v>576</v>
      </c>
      <c r="MAO9" s="189" t="s">
        <v>574</v>
      </c>
      <c r="MAP9" s="352" t="s">
        <v>573</v>
      </c>
      <c r="MAQ9" s="142" t="s">
        <v>575</v>
      </c>
      <c r="MAR9" s="358" t="s">
        <v>576</v>
      </c>
      <c r="MAS9" s="189" t="s">
        <v>574</v>
      </c>
      <c r="MAT9" s="352" t="s">
        <v>573</v>
      </c>
      <c r="MAU9" s="142" t="s">
        <v>575</v>
      </c>
      <c r="MAV9" s="358" t="s">
        <v>576</v>
      </c>
      <c r="MAW9" s="189" t="s">
        <v>574</v>
      </c>
      <c r="MAX9" s="352" t="s">
        <v>573</v>
      </c>
      <c r="MAY9" s="142" t="s">
        <v>575</v>
      </c>
      <c r="MAZ9" s="358" t="s">
        <v>576</v>
      </c>
      <c r="MBA9" s="189" t="s">
        <v>574</v>
      </c>
      <c r="MBB9" s="352" t="s">
        <v>573</v>
      </c>
      <c r="MBC9" s="142" t="s">
        <v>575</v>
      </c>
      <c r="MBD9" s="358" t="s">
        <v>576</v>
      </c>
      <c r="MBE9" s="189" t="s">
        <v>574</v>
      </c>
      <c r="MBF9" s="352" t="s">
        <v>573</v>
      </c>
      <c r="MBG9" s="142" t="s">
        <v>575</v>
      </c>
      <c r="MBH9" s="358" t="s">
        <v>576</v>
      </c>
      <c r="MBI9" s="189" t="s">
        <v>574</v>
      </c>
      <c r="MBJ9" s="352" t="s">
        <v>573</v>
      </c>
      <c r="MBK9" s="142" t="s">
        <v>575</v>
      </c>
      <c r="MBL9" s="358" t="s">
        <v>576</v>
      </c>
      <c r="MBM9" s="189" t="s">
        <v>574</v>
      </c>
      <c r="MBN9" s="352" t="s">
        <v>573</v>
      </c>
      <c r="MBO9" s="142" t="s">
        <v>575</v>
      </c>
      <c r="MBP9" s="358" t="s">
        <v>576</v>
      </c>
      <c r="MBQ9" s="189" t="s">
        <v>574</v>
      </c>
      <c r="MBR9" s="352" t="s">
        <v>573</v>
      </c>
      <c r="MBS9" s="142" t="s">
        <v>575</v>
      </c>
      <c r="MBT9" s="358" t="s">
        <v>576</v>
      </c>
      <c r="MBU9" s="189" t="s">
        <v>574</v>
      </c>
      <c r="MBV9" s="352" t="s">
        <v>573</v>
      </c>
      <c r="MBW9" s="142" t="s">
        <v>575</v>
      </c>
      <c r="MBX9" s="358" t="s">
        <v>576</v>
      </c>
      <c r="MBY9" s="189" t="s">
        <v>574</v>
      </c>
      <c r="MBZ9" s="352" t="s">
        <v>573</v>
      </c>
      <c r="MCA9" s="142" t="s">
        <v>575</v>
      </c>
      <c r="MCB9" s="358" t="s">
        <v>576</v>
      </c>
      <c r="MCC9" s="189" t="s">
        <v>574</v>
      </c>
      <c r="MCD9" s="352" t="s">
        <v>573</v>
      </c>
      <c r="MCE9" s="142" t="s">
        <v>575</v>
      </c>
      <c r="MCF9" s="358" t="s">
        <v>576</v>
      </c>
      <c r="MCG9" s="189" t="s">
        <v>574</v>
      </c>
      <c r="MCH9" s="352" t="s">
        <v>573</v>
      </c>
      <c r="MCI9" s="142" t="s">
        <v>575</v>
      </c>
      <c r="MCJ9" s="358" t="s">
        <v>576</v>
      </c>
      <c r="MCK9" s="189" t="s">
        <v>574</v>
      </c>
      <c r="MCL9" s="352" t="s">
        <v>573</v>
      </c>
      <c r="MCM9" s="142" t="s">
        <v>575</v>
      </c>
      <c r="MCN9" s="358" t="s">
        <v>576</v>
      </c>
      <c r="MCO9" s="189" t="s">
        <v>574</v>
      </c>
      <c r="MCP9" s="352" t="s">
        <v>573</v>
      </c>
      <c r="MCQ9" s="142" t="s">
        <v>575</v>
      </c>
      <c r="MCR9" s="358" t="s">
        <v>576</v>
      </c>
      <c r="MCS9" s="189" t="s">
        <v>574</v>
      </c>
      <c r="MCT9" s="352" t="s">
        <v>573</v>
      </c>
      <c r="MCU9" s="142" t="s">
        <v>575</v>
      </c>
      <c r="MCV9" s="358" t="s">
        <v>576</v>
      </c>
      <c r="MCW9" s="189" t="s">
        <v>574</v>
      </c>
      <c r="MCX9" s="352" t="s">
        <v>573</v>
      </c>
      <c r="MCY9" s="142" t="s">
        <v>575</v>
      </c>
      <c r="MCZ9" s="358" t="s">
        <v>576</v>
      </c>
      <c r="MDA9" s="189" t="s">
        <v>574</v>
      </c>
      <c r="MDB9" s="352" t="s">
        <v>573</v>
      </c>
      <c r="MDC9" s="142" t="s">
        <v>575</v>
      </c>
      <c r="MDD9" s="358" t="s">
        <v>576</v>
      </c>
      <c r="MDE9" s="189" t="s">
        <v>574</v>
      </c>
      <c r="MDF9" s="352" t="s">
        <v>573</v>
      </c>
      <c r="MDG9" s="142" t="s">
        <v>575</v>
      </c>
      <c r="MDH9" s="358" t="s">
        <v>576</v>
      </c>
      <c r="MDI9" s="189" t="s">
        <v>574</v>
      </c>
      <c r="MDJ9" s="352" t="s">
        <v>573</v>
      </c>
      <c r="MDK9" s="142" t="s">
        <v>575</v>
      </c>
      <c r="MDL9" s="358" t="s">
        <v>576</v>
      </c>
      <c r="MDM9" s="189" t="s">
        <v>574</v>
      </c>
      <c r="MDN9" s="352" t="s">
        <v>573</v>
      </c>
      <c r="MDO9" s="142" t="s">
        <v>575</v>
      </c>
      <c r="MDP9" s="358" t="s">
        <v>576</v>
      </c>
      <c r="MDQ9" s="189" t="s">
        <v>574</v>
      </c>
      <c r="MDR9" s="352" t="s">
        <v>573</v>
      </c>
      <c r="MDS9" s="142" t="s">
        <v>575</v>
      </c>
      <c r="MDT9" s="358" t="s">
        <v>576</v>
      </c>
      <c r="MDU9" s="189" t="s">
        <v>574</v>
      </c>
      <c r="MDV9" s="352" t="s">
        <v>573</v>
      </c>
      <c r="MDW9" s="142" t="s">
        <v>575</v>
      </c>
      <c r="MDX9" s="358" t="s">
        <v>576</v>
      </c>
      <c r="MDY9" s="189" t="s">
        <v>574</v>
      </c>
      <c r="MDZ9" s="352" t="s">
        <v>573</v>
      </c>
      <c r="MEA9" s="142" t="s">
        <v>575</v>
      </c>
      <c r="MEB9" s="358" t="s">
        <v>576</v>
      </c>
      <c r="MEC9" s="189" t="s">
        <v>574</v>
      </c>
      <c r="MED9" s="352" t="s">
        <v>573</v>
      </c>
      <c r="MEE9" s="142" t="s">
        <v>575</v>
      </c>
      <c r="MEF9" s="358" t="s">
        <v>576</v>
      </c>
      <c r="MEG9" s="189" t="s">
        <v>574</v>
      </c>
      <c r="MEH9" s="352" t="s">
        <v>573</v>
      </c>
      <c r="MEI9" s="142" t="s">
        <v>575</v>
      </c>
      <c r="MEJ9" s="358" t="s">
        <v>576</v>
      </c>
      <c r="MEK9" s="189" t="s">
        <v>574</v>
      </c>
      <c r="MEL9" s="352" t="s">
        <v>573</v>
      </c>
      <c r="MEM9" s="142" t="s">
        <v>575</v>
      </c>
      <c r="MEN9" s="358" t="s">
        <v>576</v>
      </c>
      <c r="MEO9" s="189" t="s">
        <v>574</v>
      </c>
      <c r="MEP9" s="352" t="s">
        <v>573</v>
      </c>
      <c r="MEQ9" s="142" t="s">
        <v>575</v>
      </c>
      <c r="MER9" s="358" t="s">
        <v>576</v>
      </c>
      <c r="MES9" s="189" t="s">
        <v>574</v>
      </c>
      <c r="MET9" s="352" t="s">
        <v>573</v>
      </c>
      <c r="MEU9" s="142" t="s">
        <v>575</v>
      </c>
      <c r="MEV9" s="358" t="s">
        <v>576</v>
      </c>
      <c r="MEW9" s="189" t="s">
        <v>574</v>
      </c>
      <c r="MEX9" s="352" t="s">
        <v>573</v>
      </c>
      <c r="MEY9" s="142" t="s">
        <v>575</v>
      </c>
      <c r="MEZ9" s="358" t="s">
        <v>576</v>
      </c>
      <c r="MFA9" s="189" t="s">
        <v>574</v>
      </c>
      <c r="MFB9" s="352" t="s">
        <v>573</v>
      </c>
      <c r="MFC9" s="142" t="s">
        <v>575</v>
      </c>
      <c r="MFD9" s="358" t="s">
        <v>576</v>
      </c>
      <c r="MFE9" s="189" t="s">
        <v>574</v>
      </c>
      <c r="MFF9" s="352" t="s">
        <v>573</v>
      </c>
      <c r="MFG9" s="142" t="s">
        <v>575</v>
      </c>
      <c r="MFH9" s="358" t="s">
        <v>576</v>
      </c>
      <c r="MFI9" s="189" t="s">
        <v>574</v>
      </c>
      <c r="MFJ9" s="352" t="s">
        <v>573</v>
      </c>
      <c r="MFK9" s="142" t="s">
        <v>575</v>
      </c>
      <c r="MFL9" s="358" t="s">
        <v>576</v>
      </c>
      <c r="MFM9" s="189" t="s">
        <v>574</v>
      </c>
      <c r="MFN9" s="352" t="s">
        <v>573</v>
      </c>
      <c r="MFO9" s="142" t="s">
        <v>575</v>
      </c>
      <c r="MFP9" s="358" t="s">
        <v>576</v>
      </c>
      <c r="MFQ9" s="189" t="s">
        <v>574</v>
      </c>
      <c r="MFR9" s="352" t="s">
        <v>573</v>
      </c>
      <c r="MFS9" s="142" t="s">
        <v>575</v>
      </c>
      <c r="MFT9" s="358" t="s">
        <v>576</v>
      </c>
      <c r="MFU9" s="189" t="s">
        <v>574</v>
      </c>
      <c r="MFV9" s="352" t="s">
        <v>573</v>
      </c>
      <c r="MFW9" s="142" t="s">
        <v>575</v>
      </c>
      <c r="MFX9" s="358" t="s">
        <v>576</v>
      </c>
      <c r="MFY9" s="189" t="s">
        <v>574</v>
      </c>
      <c r="MFZ9" s="352" t="s">
        <v>573</v>
      </c>
      <c r="MGA9" s="142" t="s">
        <v>575</v>
      </c>
      <c r="MGB9" s="358" t="s">
        <v>576</v>
      </c>
      <c r="MGC9" s="189" t="s">
        <v>574</v>
      </c>
      <c r="MGD9" s="352" t="s">
        <v>573</v>
      </c>
      <c r="MGE9" s="142" t="s">
        <v>575</v>
      </c>
      <c r="MGF9" s="358" t="s">
        <v>576</v>
      </c>
      <c r="MGG9" s="189" t="s">
        <v>574</v>
      </c>
      <c r="MGH9" s="352" t="s">
        <v>573</v>
      </c>
      <c r="MGI9" s="142" t="s">
        <v>575</v>
      </c>
      <c r="MGJ9" s="358" t="s">
        <v>576</v>
      </c>
      <c r="MGK9" s="189" t="s">
        <v>574</v>
      </c>
      <c r="MGL9" s="352" t="s">
        <v>573</v>
      </c>
      <c r="MGM9" s="142" t="s">
        <v>575</v>
      </c>
      <c r="MGN9" s="358" t="s">
        <v>576</v>
      </c>
      <c r="MGO9" s="189" t="s">
        <v>574</v>
      </c>
      <c r="MGP9" s="352" t="s">
        <v>573</v>
      </c>
      <c r="MGQ9" s="142" t="s">
        <v>575</v>
      </c>
      <c r="MGR9" s="358" t="s">
        <v>576</v>
      </c>
      <c r="MGS9" s="189" t="s">
        <v>574</v>
      </c>
      <c r="MGT9" s="352" t="s">
        <v>573</v>
      </c>
      <c r="MGU9" s="142" t="s">
        <v>575</v>
      </c>
      <c r="MGV9" s="358" t="s">
        <v>576</v>
      </c>
      <c r="MGW9" s="189" t="s">
        <v>574</v>
      </c>
      <c r="MGX9" s="352" t="s">
        <v>573</v>
      </c>
      <c r="MGY9" s="142" t="s">
        <v>575</v>
      </c>
      <c r="MGZ9" s="358" t="s">
        <v>576</v>
      </c>
      <c r="MHA9" s="189" t="s">
        <v>574</v>
      </c>
      <c r="MHB9" s="352" t="s">
        <v>573</v>
      </c>
      <c r="MHC9" s="142" t="s">
        <v>575</v>
      </c>
      <c r="MHD9" s="358" t="s">
        <v>576</v>
      </c>
      <c r="MHE9" s="189" t="s">
        <v>574</v>
      </c>
      <c r="MHF9" s="352" t="s">
        <v>573</v>
      </c>
      <c r="MHG9" s="142" t="s">
        <v>575</v>
      </c>
      <c r="MHH9" s="358" t="s">
        <v>576</v>
      </c>
      <c r="MHI9" s="189" t="s">
        <v>574</v>
      </c>
      <c r="MHJ9" s="352" t="s">
        <v>573</v>
      </c>
      <c r="MHK9" s="142" t="s">
        <v>575</v>
      </c>
      <c r="MHL9" s="358" t="s">
        <v>576</v>
      </c>
      <c r="MHM9" s="189" t="s">
        <v>574</v>
      </c>
      <c r="MHN9" s="352" t="s">
        <v>573</v>
      </c>
      <c r="MHO9" s="142" t="s">
        <v>575</v>
      </c>
      <c r="MHP9" s="358" t="s">
        <v>576</v>
      </c>
      <c r="MHQ9" s="189" t="s">
        <v>574</v>
      </c>
      <c r="MHR9" s="352" t="s">
        <v>573</v>
      </c>
      <c r="MHS9" s="142" t="s">
        <v>575</v>
      </c>
      <c r="MHT9" s="358" t="s">
        <v>576</v>
      </c>
      <c r="MHU9" s="189" t="s">
        <v>574</v>
      </c>
      <c r="MHV9" s="352" t="s">
        <v>573</v>
      </c>
      <c r="MHW9" s="142" t="s">
        <v>575</v>
      </c>
      <c r="MHX9" s="358" t="s">
        <v>576</v>
      </c>
      <c r="MHY9" s="189" t="s">
        <v>574</v>
      </c>
      <c r="MHZ9" s="352" t="s">
        <v>573</v>
      </c>
      <c r="MIA9" s="142" t="s">
        <v>575</v>
      </c>
      <c r="MIB9" s="358" t="s">
        <v>576</v>
      </c>
      <c r="MIC9" s="189" t="s">
        <v>574</v>
      </c>
      <c r="MID9" s="352" t="s">
        <v>573</v>
      </c>
      <c r="MIE9" s="142" t="s">
        <v>575</v>
      </c>
      <c r="MIF9" s="358" t="s">
        <v>576</v>
      </c>
      <c r="MIG9" s="189" t="s">
        <v>574</v>
      </c>
      <c r="MIH9" s="352" t="s">
        <v>573</v>
      </c>
      <c r="MII9" s="142" t="s">
        <v>575</v>
      </c>
      <c r="MIJ9" s="358" t="s">
        <v>576</v>
      </c>
      <c r="MIK9" s="189" t="s">
        <v>574</v>
      </c>
      <c r="MIL9" s="352" t="s">
        <v>573</v>
      </c>
      <c r="MIM9" s="142" t="s">
        <v>575</v>
      </c>
      <c r="MIN9" s="358" t="s">
        <v>576</v>
      </c>
      <c r="MIO9" s="189" t="s">
        <v>574</v>
      </c>
      <c r="MIP9" s="352" t="s">
        <v>573</v>
      </c>
      <c r="MIQ9" s="142" t="s">
        <v>575</v>
      </c>
      <c r="MIR9" s="358" t="s">
        <v>576</v>
      </c>
      <c r="MIS9" s="189" t="s">
        <v>574</v>
      </c>
      <c r="MIT9" s="352" t="s">
        <v>573</v>
      </c>
      <c r="MIU9" s="142" t="s">
        <v>575</v>
      </c>
      <c r="MIV9" s="358" t="s">
        <v>576</v>
      </c>
      <c r="MIW9" s="189" t="s">
        <v>574</v>
      </c>
      <c r="MIX9" s="352" t="s">
        <v>573</v>
      </c>
      <c r="MIY9" s="142" t="s">
        <v>575</v>
      </c>
      <c r="MIZ9" s="358" t="s">
        <v>576</v>
      </c>
      <c r="MJA9" s="189" t="s">
        <v>574</v>
      </c>
      <c r="MJB9" s="352" t="s">
        <v>573</v>
      </c>
      <c r="MJC9" s="142" t="s">
        <v>575</v>
      </c>
      <c r="MJD9" s="358" t="s">
        <v>576</v>
      </c>
      <c r="MJE9" s="189" t="s">
        <v>574</v>
      </c>
      <c r="MJF9" s="352" t="s">
        <v>573</v>
      </c>
      <c r="MJG9" s="142" t="s">
        <v>575</v>
      </c>
      <c r="MJH9" s="358" t="s">
        <v>576</v>
      </c>
      <c r="MJI9" s="189" t="s">
        <v>574</v>
      </c>
      <c r="MJJ9" s="352" t="s">
        <v>573</v>
      </c>
      <c r="MJK9" s="142" t="s">
        <v>575</v>
      </c>
      <c r="MJL9" s="358" t="s">
        <v>576</v>
      </c>
      <c r="MJM9" s="189" t="s">
        <v>574</v>
      </c>
      <c r="MJN9" s="352" t="s">
        <v>573</v>
      </c>
      <c r="MJO9" s="142" t="s">
        <v>575</v>
      </c>
      <c r="MJP9" s="358" t="s">
        <v>576</v>
      </c>
      <c r="MJQ9" s="189" t="s">
        <v>574</v>
      </c>
      <c r="MJR9" s="352" t="s">
        <v>573</v>
      </c>
      <c r="MJS9" s="142" t="s">
        <v>575</v>
      </c>
      <c r="MJT9" s="358" t="s">
        <v>576</v>
      </c>
      <c r="MJU9" s="189" t="s">
        <v>574</v>
      </c>
      <c r="MJV9" s="352" t="s">
        <v>573</v>
      </c>
      <c r="MJW9" s="142" t="s">
        <v>575</v>
      </c>
      <c r="MJX9" s="358" t="s">
        <v>576</v>
      </c>
      <c r="MJY9" s="189" t="s">
        <v>574</v>
      </c>
      <c r="MJZ9" s="352" t="s">
        <v>573</v>
      </c>
      <c r="MKA9" s="142" t="s">
        <v>575</v>
      </c>
      <c r="MKB9" s="358" t="s">
        <v>576</v>
      </c>
      <c r="MKC9" s="189" t="s">
        <v>574</v>
      </c>
      <c r="MKD9" s="352" t="s">
        <v>573</v>
      </c>
      <c r="MKE9" s="142" t="s">
        <v>575</v>
      </c>
      <c r="MKF9" s="358" t="s">
        <v>576</v>
      </c>
      <c r="MKG9" s="189" t="s">
        <v>574</v>
      </c>
      <c r="MKH9" s="352" t="s">
        <v>573</v>
      </c>
      <c r="MKI9" s="142" t="s">
        <v>575</v>
      </c>
      <c r="MKJ9" s="358" t="s">
        <v>576</v>
      </c>
      <c r="MKK9" s="189" t="s">
        <v>574</v>
      </c>
      <c r="MKL9" s="352" t="s">
        <v>573</v>
      </c>
      <c r="MKM9" s="142" t="s">
        <v>575</v>
      </c>
      <c r="MKN9" s="358" t="s">
        <v>576</v>
      </c>
      <c r="MKO9" s="189" t="s">
        <v>574</v>
      </c>
      <c r="MKP9" s="352" t="s">
        <v>573</v>
      </c>
      <c r="MKQ9" s="142" t="s">
        <v>575</v>
      </c>
      <c r="MKR9" s="358" t="s">
        <v>576</v>
      </c>
      <c r="MKS9" s="189" t="s">
        <v>574</v>
      </c>
      <c r="MKT9" s="352" t="s">
        <v>573</v>
      </c>
      <c r="MKU9" s="142" t="s">
        <v>575</v>
      </c>
      <c r="MKV9" s="358" t="s">
        <v>576</v>
      </c>
      <c r="MKW9" s="189" t="s">
        <v>574</v>
      </c>
      <c r="MKX9" s="352" t="s">
        <v>573</v>
      </c>
      <c r="MKY9" s="142" t="s">
        <v>575</v>
      </c>
      <c r="MKZ9" s="358" t="s">
        <v>576</v>
      </c>
      <c r="MLA9" s="189" t="s">
        <v>574</v>
      </c>
      <c r="MLB9" s="352" t="s">
        <v>573</v>
      </c>
      <c r="MLC9" s="142" t="s">
        <v>575</v>
      </c>
      <c r="MLD9" s="358" t="s">
        <v>576</v>
      </c>
      <c r="MLE9" s="189" t="s">
        <v>574</v>
      </c>
      <c r="MLF9" s="352" t="s">
        <v>573</v>
      </c>
      <c r="MLG9" s="142" t="s">
        <v>575</v>
      </c>
      <c r="MLH9" s="358" t="s">
        <v>576</v>
      </c>
      <c r="MLI9" s="189" t="s">
        <v>574</v>
      </c>
      <c r="MLJ9" s="352" t="s">
        <v>573</v>
      </c>
      <c r="MLK9" s="142" t="s">
        <v>575</v>
      </c>
      <c r="MLL9" s="358" t="s">
        <v>576</v>
      </c>
      <c r="MLM9" s="189" t="s">
        <v>574</v>
      </c>
      <c r="MLN9" s="352" t="s">
        <v>573</v>
      </c>
      <c r="MLO9" s="142" t="s">
        <v>575</v>
      </c>
      <c r="MLP9" s="358" t="s">
        <v>576</v>
      </c>
      <c r="MLQ9" s="189" t="s">
        <v>574</v>
      </c>
      <c r="MLR9" s="352" t="s">
        <v>573</v>
      </c>
      <c r="MLS9" s="142" t="s">
        <v>575</v>
      </c>
      <c r="MLT9" s="358" t="s">
        <v>576</v>
      </c>
      <c r="MLU9" s="189" t="s">
        <v>574</v>
      </c>
      <c r="MLV9" s="352" t="s">
        <v>573</v>
      </c>
      <c r="MLW9" s="142" t="s">
        <v>575</v>
      </c>
      <c r="MLX9" s="358" t="s">
        <v>576</v>
      </c>
      <c r="MLY9" s="189" t="s">
        <v>574</v>
      </c>
      <c r="MLZ9" s="352" t="s">
        <v>573</v>
      </c>
      <c r="MMA9" s="142" t="s">
        <v>575</v>
      </c>
      <c r="MMB9" s="358" t="s">
        <v>576</v>
      </c>
      <c r="MMC9" s="189" t="s">
        <v>574</v>
      </c>
      <c r="MMD9" s="352" t="s">
        <v>573</v>
      </c>
      <c r="MME9" s="142" t="s">
        <v>575</v>
      </c>
      <c r="MMF9" s="358" t="s">
        <v>576</v>
      </c>
      <c r="MMG9" s="189" t="s">
        <v>574</v>
      </c>
      <c r="MMH9" s="352" t="s">
        <v>573</v>
      </c>
      <c r="MMI9" s="142" t="s">
        <v>575</v>
      </c>
      <c r="MMJ9" s="358" t="s">
        <v>576</v>
      </c>
      <c r="MMK9" s="189" t="s">
        <v>574</v>
      </c>
      <c r="MML9" s="352" t="s">
        <v>573</v>
      </c>
      <c r="MMM9" s="142" t="s">
        <v>575</v>
      </c>
      <c r="MMN9" s="358" t="s">
        <v>576</v>
      </c>
      <c r="MMO9" s="189" t="s">
        <v>574</v>
      </c>
      <c r="MMP9" s="352" t="s">
        <v>573</v>
      </c>
      <c r="MMQ9" s="142" t="s">
        <v>575</v>
      </c>
      <c r="MMR9" s="358" t="s">
        <v>576</v>
      </c>
      <c r="MMS9" s="189" t="s">
        <v>574</v>
      </c>
      <c r="MMT9" s="352" t="s">
        <v>573</v>
      </c>
      <c r="MMU9" s="142" t="s">
        <v>575</v>
      </c>
      <c r="MMV9" s="358" t="s">
        <v>576</v>
      </c>
      <c r="MMW9" s="189" t="s">
        <v>574</v>
      </c>
      <c r="MMX9" s="352" t="s">
        <v>573</v>
      </c>
      <c r="MMY9" s="142" t="s">
        <v>575</v>
      </c>
      <c r="MMZ9" s="358" t="s">
        <v>576</v>
      </c>
      <c r="MNA9" s="189" t="s">
        <v>574</v>
      </c>
      <c r="MNB9" s="352" t="s">
        <v>573</v>
      </c>
      <c r="MNC9" s="142" t="s">
        <v>575</v>
      </c>
      <c r="MND9" s="358" t="s">
        <v>576</v>
      </c>
      <c r="MNE9" s="189" t="s">
        <v>574</v>
      </c>
      <c r="MNF9" s="352" t="s">
        <v>573</v>
      </c>
      <c r="MNG9" s="142" t="s">
        <v>575</v>
      </c>
      <c r="MNH9" s="358" t="s">
        <v>576</v>
      </c>
      <c r="MNI9" s="189" t="s">
        <v>574</v>
      </c>
      <c r="MNJ9" s="352" t="s">
        <v>573</v>
      </c>
      <c r="MNK9" s="142" t="s">
        <v>575</v>
      </c>
      <c r="MNL9" s="358" t="s">
        <v>576</v>
      </c>
      <c r="MNM9" s="189" t="s">
        <v>574</v>
      </c>
      <c r="MNN9" s="352" t="s">
        <v>573</v>
      </c>
      <c r="MNO9" s="142" t="s">
        <v>575</v>
      </c>
      <c r="MNP9" s="358" t="s">
        <v>576</v>
      </c>
      <c r="MNQ9" s="189" t="s">
        <v>574</v>
      </c>
      <c r="MNR9" s="352" t="s">
        <v>573</v>
      </c>
      <c r="MNS9" s="142" t="s">
        <v>575</v>
      </c>
      <c r="MNT9" s="358" t="s">
        <v>576</v>
      </c>
      <c r="MNU9" s="189" t="s">
        <v>574</v>
      </c>
      <c r="MNV9" s="352" t="s">
        <v>573</v>
      </c>
      <c r="MNW9" s="142" t="s">
        <v>575</v>
      </c>
      <c r="MNX9" s="358" t="s">
        <v>576</v>
      </c>
      <c r="MNY9" s="189" t="s">
        <v>574</v>
      </c>
      <c r="MNZ9" s="352" t="s">
        <v>573</v>
      </c>
      <c r="MOA9" s="142" t="s">
        <v>575</v>
      </c>
      <c r="MOB9" s="358" t="s">
        <v>576</v>
      </c>
      <c r="MOC9" s="189" t="s">
        <v>574</v>
      </c>
      <c r="MOD9" s="352" t="s">
        <v>573</v>
      </c>
      <c r="MOE9" s="142" t="s">
        <v>575</v>
      </c>
      <c r="MOF9" s="358" t="s">
        <v>576</v>
      </c>
      <c r="MOG9" s="189" t="s">
        <v>574</v>
      </c>
      <c r="MOH9" s="352" t="s">
        <v>573</v>
      </c>
      <c r="MOI9" s="142" t="s">
        <v>575</v>
      </c>
      <c r="MOJ9" s="358" t="s">
        <v>576</v>
      </c>
      <c r="MOK9" s="189" t="s">
        <v>574</v>
      </c>
      <c r="MOL9" s="352" t="s">
        <v>573</v>
      </c>
      <c r="MOM9" s="142" t="s">
        <v>575</v>
      </c>
      <c r="MON9" s="358" t="s">
        <v>576</v>
      </c>
      <c r="MOO9" s="189" t="s">
        <v>574</v>
      </c>
      <c r="MOP9" s="352" t="s">
        <v>573</v>
      </c>
      <c r="MOQ9" s="142" t="s">
        <v>575</v>
      </c>
      <c r="MOR9" s="358" t="s">
        <v>576</v>
      </c>
      <c r="MOS9" s="189" t="s">
        <v>574</v>
      </c>
      <c r="MOT9" s="352" t="s">
        <v>573</v>
      </c>
      <c r="MOU9" s="142" t="s">
        <v>575</v>
      </c>
      <c r="MOV9" s="358" t="s">
        <v>576</v>
      </c>
      <c r="MOW9" s="189" t="s">
        <v>574</v>
      </c>
      <c r="MOX9" s="352" t="s">
        <v>573</v>
      </c>
      <c r="MOY9" s="142" t="s">
        <v>575</v>
      </c>
      <c r="MOZ9" s="358" t="s">
        <v>576</v>
      </c>
      <c r="MPA9" s="189" t="s">
        <v>574</v>
      </c>
      <c r="MPB9" s="352" t="s">
        <v>573</v>
      </c>
      <c r="MPC9" s="142" t="s">
        <v>575</v>
      </c>
      <c r="MPD9" s="358" t="s">
        <v>576</v>
      </c>
      <c r="MPE9" s="189" t="s">
        <v>574</v>
      </c>
      <c r="MPF9" s="352" t="s">
        <v>573</v>
      </c>
      <c r="MPG9" s="142" t="s">
        <v>575</v>
      </c>
      <c r="MPH9" s="358" t="s">
        <v>576</v>
      </c>
      <c r="MPI9" s="189" t="s">
        <v>574</v>
      </c>
      <c r="MPJ9" s="352" t="s">
        <v>573</v>
      </c>
      <c r="MPK9" s="142" t="s">
        <v>575</v>
      </c>
      <c r="MPL9" s="358" t="s">
        <v>576</v>
      </c>
      <c r="MPM9" s="189" t="s">
        <v>574</v>
      </c>
      <c r="MPN9" s="352" t="s">
        <v>573</v>
      </c>
      <c r="MPO9" s="142" t="s">
        <v>575</v>
      </c>
      <c r="MPP9" s="358" t="s">
        <v>576</v>
      </c>
      <c r="MPQ9" s="189" t="s">
        <v>574</v>
      </c>
      <c r="MPR9" s="352" t="s">
        <v>573</v>
      </c>
      <c r="MPS9" s="142" t="s">
        <v>575</v>
      </c>
      <c r="MPT9" s="358" t="s">
        <v>576</v>
      </c>
      <c r="MPU9" s="189" t="s">
        <v>574</v>
      </c>
      <c r="MPV9" s="352" t="s">
        <v>573</v>
      </c>
      <c r="MPW9" s="142" t="s">
        <v>575</v>
      </c>
      <c r="MPX9" s="358" t="s">
        <v>576</v>
      </c>
      <c r="MPY9" s="189" t="s">
        <v>574</v>
      </c>
      <c r="MPZ9" s="352" t="s">
        <v>573</v>
      </c>
      <c r="MQA9" s="142" t="s">
        <v>575</v>
      </c>
      <c r="MQB9" s="358" t="s">
        <v>576</v>
      </c>
      <c r="MQC9" s="189" t="s">
        <v>574</v>
      </c>
      <c r="MQD9" s="352" t="s">
        <v>573</v>
      </c>
      <c r="MQE9" s="142" t="s">
        <v>575</v>
      </c>
      <c r="MQF9" s="358" t="s">
        <v>576</v>
      </c>
      <c r="MQG9" s="189" t="s">
        <v>574</v>
      </c>
      <c r="MQH9" s="352" t="s">
        <v>573</v>
      </c>
      <c r="MQI9" s="142" t="s">
        <v>575</v>
      </c>
      <c r="MQJ9" s="358" t="s">
        <v>576</v>
      </c>
      <c r="MQK9" s="189" t="s">
        <v>574</v>
      </c>
      <c r="MQL9" s="352" t="s">
        <v>573</v>
      </c>
      <c r="MQM9" s="142" t="s">
        <v>575</v>
      </c>
      <c r="MQN9" s="358" t="s">
        <v>576</v>
      </c>
      <c r="MQO9" s="189" t="s">
        <v>574</v>
      </c>
      <c r="MQP9" s="352" t="s">
        <v>573</v>
      </c>
      <c r="MQQ9" s="142" t="s">
        <v>575</v>
      </c>
      <c r="MQR9" s="358" t="s">
        <v>576</v>
      </c>
      <c r="MQS9" s="189" t="s">
        <v>574</v>
      </c>
      <c r="MQT9" s="352" t="s">
        <v>573</v>
      </c>
      <c r="MQU9" s="142" t="s">
        <v>575</v>
      </c>
      <c r="MQV9" s="358" t="s">
        <v>576</v>
      </c>
      <c r="MQW9" s="189" t="s">
        <v>574</v>
      </c>
      <c r="MQX9" s="352" t="s">
        <v>573</v>
      </c>
      <c r="MQY9" s="142" t="s">
        <v>575</v>
      </c>
      <c r="MQZ9" s="358" t="s">
        <v>576</v>
      </c>
      <c r="MRA9" s="189" t="s">
        <v>574</v>
      </c>
      <c r="MRB9" s="352" t="s">
        <v>573</v>
      </c>
      <c r="MRC9" s="142" t="s">
        <v>575</v>
      </c>
      <c r="MRD9" s="358" t="s">
        <v>576</v>
      </c>
      <c r="MRE9" s="189" t="s">
        <v>574</v>
      </c>
      <c r="MRF9" s="352" t="s">
        <v>573</v>
      </c>
      <c r="MRG9" s="142" t="s">
        <v>575</v>
      </c>
      <c r="MRH9" s="358" t="s">
        <v>576</v>
      </c>
      <c r="MRI9" s="189" t="s">
        <v>574</v>
      </c>
      <c r="MRJ9" s="352" t="s">
        <v>573</v>
      </c>
      <c r="MRK9" s="142" t="s">
        <v>575</v>
      </c>
      <c r="MRL9" s="358" t="s">
        <v>576</v>
      </c>
      <c r="MRM9" s="189" t="s">
        <v>574</v>
      </c>
      <c r="MRN9" s="352" t="s">
        <v>573</v>
      </c>
      <c r="MRO9" s="142" t="s">
        <v>575</v>
      </c>
      <c r="MRP9" s="358" t="s">
        <v>576</v>
      </c>
      <c r="MRQ9" s="189" t="s">
        <v>574</v>
      </c>
      <c r="MRR9" s="352" t="s">
        <v>573</v>
      </c>
      <c r="MRS9" s="142" t="s">
        <v>575</v>
      </c>
      <c r="MRT9" s="358" t="s">
        <v>576</v>
      </c>
      <c r="MRU9" s="189" t="s">
        <v>574</v>
      </c>
      <c r="MRV9" s="352" t="s">
        <v>573</v>
      </c>
      <c r="MRW9" s="142" t="s">
        <v>575</v>
      </c>
      <c r="MRX9" s="358" t="s">
        <v>576</v>
      </c>
      <c r="MRY9" s="189" t="s">
        <v>574</v>
      </c>
      <c r="MRZ9" s="352" t="s">
        <v>573</v>
      </c>
      <c r="MSA9" s="142" t="s">
        <v>575</v>
      </c>
      <c r="MSB9" s="358" t="s">
        <v>576</v>
      </c>
      <c r="MSC9" s="189" t="s">
        <v>574</v>
      </c>
      <c r="MSD9" s="352" t="s">
        <v>573</v>
      </c>
      <c r="MSE9" s="142" t="s">
        <v>575</v>
      </c>
      <c r="MSF9" s="358" t="s">
        <v>576</v>
      </c>
      <c r="MSG9" s="189" t="s">
        <v>574</v>
      </c>
      <c r="MSH9" s="352" t="s">
        <v>573</v>
      </c>
      <c r="MSI9" s="142" t="s">
        <v>575</v>
      </c>
      <c r="MSJ9" s="358" t="s">
        <v>576</v>
      </c>
      <c r="MSK9" s="189" t="s">
        <v>574</v>
      </c>
      <c r="MSL9" s="352" t="s">
        <v>573</v>
      </c>
      <c r="MSM9" s="142" t="s">
        <v>575</v>
      </c>
      <c r="MSN9" s="358" t="s">
        <v>576</v>
      </c>
      <c r="MSO9" s="189" t="s">
        <v>574</v>
      </c>
      <c r="MSP9" s="352" t="s">
        <v>573</v>
      </c>
      <c r="MSQ9" s="142" t="s">
        <v>575</v>
      </c>
      <c r="MSR9" s="358" t="s">
        <v>576</v>
      </c>
      <c r="MSS9" s="189" t="s">
        <v>574</v>
      </c>
      <c r="MST9" s="352" t="s">
        <v>573</v>
      </c>
      <c r="MSU9" s="142" t="s">
        <v>575</v>
      </c>
      <c r="MSV9" s="358" t="s">
        <v>576</v>
      </c>
      <c r="MSW9" s="189" t="s">
        <v>574</v>
      </c>
      <c r="MSX9" s="352" t="s">
        <v>573</v>
      </c>
      <c r="MSY9" s="142" t="s">
        <v>575</v>
      </c>
      <c r="MSZ9" s="358" t="s">
        <v>576</v>
      </c>
      <c r="MTA9" s="189" t="s">
        <v>574</v>
      </c>
      <c r="MTB9" s="352" t="s">
        <v>573</v>
      </c>
      <c r="MTC9" s="142" t="s">
        <v>575</v>
      </c>
      <c r="MTD9" s="358" t="s">
        <v>576</v>
      </c>
      <c r="MTE9" s="189" t="s">
        <v>574</v>
      </c>
      <c r="MTF9" s="352" t="s">
        <v>573</v>
      </c>
      <c r="MTG9" s="142" t="s">
        <v>575</v>
      </c>
      <c r="MTH9" s="358" t="s">
        <v>576</v>
      </c>
      <c r="MTI9" s="189" t="s">
        <v>574</v>
      </c>
      <c r="MTJ9" s="352" t="s">
        <v>573</v>
      </c>
      <c r="MTK9" s="142" t="s">
        <v>575</v>
      </c>
      <c r="MTL9" s="358" t="s">
        <v>576</v>
      </c>
      <c r="MTM9" s="189" t="s">
        <v>574</v>
      </c>
      <c r="MTN9" s="352" t="s">
        <v>573</v>
      </c>
      <c r="MTO9" s="142" t="s">
        <v>575</v>
      </c>
      <c r="MTP9" s="358" t="s">
        <v>576</v>
      </c>
      <c r="MTQ9" s="189" t="s">
        <v>574</v>
      </c>
      <c r="MTR9" s="352" t="s">
        <v>573</v>
      </c>
      <c r="MTS9" s="142" t="s">
        <v>575</v>
      </c>
      <c r="MTT9" s="358" t="s">
        <v>576</v>
      </c>
      <c r="MTU9" s="189" t="s">
        <v>574</v>
      </c>
      <c r="MTV9" s="352" t="s">
        <v>573</v>
      </c>
      <c r="MTW9" s="142" t="s">
        <v>575</v>
      </c>
      <c r="MTX9" s="358" t="s">
        <v>576</v>
      </c>
      <c r="MTY9" s="189" t="s">
        <v>574</v>
      </c>
      <c r="MTZ9" s="352" t="s">
        <v>573</v>
      </c>
      <c r="MUA9" s="142" t="s">
        <v>575</v>
      </c>
      <c r="MUB9" s="358" t="s">
        <v>576</v>
      </c>
      <c r="MUC9" s="189" t="s">
        <v>574</v>
      </c>
      <c r="MUD9" s="352" t="s">
        <v>573</v>
      </c>
      <c r="MUE9" s="142" t="s">
        <v>575</v>
      </c>
      <c r="MUF9" s="358" t="s">
        <v>576</v>
      </c>
      <c r="MUG9" s="189" t="s">
        <v>574</v>
      </c>
      <c r="MUH9" s="352" t="s">
        <v>573</v>
      </c>
      <c r="MUI9" s="142" t="s">
        <v>575</v>
      </c>
      <c r="MUJ9" s="358" t="s">
        <v>576</v>
      </c>
      <c r="MUK9" s="189" t="s">
        <v>574</v>
      </c>
      <c r="MUL9" s="352" t="s">
        <v>573</v>
      </c>
      <c r="MUM9" s="142" t="s">
        <v>575</v>
      </c>
      <c r="MUN9" s="358" t="s">
        <v>576</v>
      </c>
      <c r="MUO9" s="189" t="s">
        <v>574</v>
      </c>
      <c r="MUP9" s="352" t="s">
        <v>573</v>
      </c>
      <c r="MUQ9" s="142" t="s">
        <v>575</v>
      </c>
      <c r="MUR9" s="358" t="s">
        <v>576</v>
      </c>
      <c r="MUS9" s="189" t="s">
        <v>574</v>
      </c>
      <c r="MUT9" s="352" t="s">
        <v>573</v>
      </c>
      <c r="MUU9" s="142" t="s">
        <v>575</v>
      </c>
      <c r="MUV9" s="358" t="s">
        <v>576</v>
      </c>
      <c r="MUW9" s="189" t="s">
        <v>574</v>
      </c>
      <c r="MUX9" s="352" t="s">
        <v>573</v>
      </c>
      <c r="MUY9" s="142" t="s">
        <v>575</v>
      </c>
      <c r="MUZ9" s="358" t="s">
        <v>576</v>
      </c>
      <c r="MVA9" s="189" t="s">
        <v>574</v>
      </c>
      <c r="MVB9" s="352" t="s">
        <v>573</v>
      </c>
      <c r="MVC9" s="142" t="s">
        <v>575</v>
      </c>
      <c r="MVD9" s="358" t="s">
        <v>576</v>
      </c>
      <c r="MVE9" s="189" t="s">
        <v>574</v>
      </c>
      <c r="MVF9" s="352" t="s">
        <v>573</v>
      </c>
      <c r="MVG9" s="142" t="s">
        <v>575</v>
      </c>
      <c r="MVH9" s="358" t="s">
        <v>576</v>
      </c>
      <c r="MVI9" s="189" t="s">
        <v>574</v>
      </c>
      <c r="MVJ9" s="352" t="s">
        <v>573</v>
      </c>
      <c r="MVK9" s="142" t="s">
        <v>575</v>
      </c>
      <c r="MVL9" s="358" t="s">
        <v>576</v>
      </c>
      <c r="MVM9" s="189" t="s">
        <v>574</v>
      </c>
      <c r="MVN9" s="352" t="s">
        <v>573</v>
      </c>
      <c r="MVO9" s="142" t="s">
        <v>575</v>
      </c>
      <c r="MVP9" s="358" t="s">
        <v>576</v>
      </c>
      <c r="MVQ9" s="189" t="s">
        <v>574</v>
      </c>
      <c r="MVR9" s="352" t="s">
        <v>573</v>
      </c>
      <c r="MVS9" s="142" t="s">
        <v>575</v>
      </c>
      <c r="MVT9" s="358" t="s">
        <v>576</v>
      </c>
      <c r="MVU9" s="189" t="s">
        <v>574</v>
      </c>
      <c r="MVV9" s="352" t="s">
        <v>573</v>
      </c>
      <c r="MVW9" s="142" t="s">
        <v>575</v>
      </c>
      <c r="MVX9" s="358" t="s">
        <v>576</v>
      </c>
      <c r="MVY9" s="189" t="s">
        <v>574</v>
      </c>
      <c r="MVZ9" s="352" t="s">
        <v>573</v>
      </c>
      <c r="MWA9" s="142" t="s">
        <v>575</v>
      </c>
      <c r="MWB9" s="358" t="s">
        <v>576</v>
      </c>
      <c r="MWC9" s="189" t="s">
        <v>574</v>
      </c>
      <c r="MWD9" s="352" t="s">
        <v>573</v>
      </c>
      <c r="MWE9" s="142" t="s">
        <v>575</v>
      </c>
      <c r="MWF9" s="358" t="s">
        <v>576</v>
      </c>
      <c r="MWG9" s="189" t="s">
        <v>574</v>
      </c>
      <c r="MWH9" s="352" t="s">
        <v>573</v>
      </c>
      <c r="MWI9" s="142" t="s">
        <v>575</v>
      </c>
      <c r="MWJ9" s="358" t="s">
        <v>576</v>
      </c>
      <c r="MWK9" s="189" t="s">
        <v>574</v>
      </c>
      <c r="MWL9" s="352" t="s">
        <v>573</v>
      </c>
      <c r="MWM9" s="142" t="s">
        <v>575</v>
      </c>
      <c r="MWN9" s="358" t="s">
        <v>576</v>
      </c>
      <c r="MWO9" s="189" t="s">
        <v>574</v>
      </c>
      <c r="MWP9" s="352" t="s">
        <v>573</v>
      </c>
      <c r="MWQ9" s="142" t="s">
        <v>575</v>
      </c>
      <c r="MWR9" s="358" t="s">
        <v>576</v>
      </c>
      <c r="MWS9" s="189" t="s">
        <v>574</v>
      </c>
      <c r="MWT9" s="352" t="s">
        <v>573</v>
      </c>
      <c r="MWU9" s="142" t="s">
        <v>575</v>
      </c>
      <c r="MWV9" s="358" t="s">
        <v>576</v>
      </c>
      <c r="MWW9" s="189" t="s">
        <v>574</v>
      </c>
      <c r="MWX9" s="352" t="s">
        <v>573</v>
      </c>
      <c r="MWY9" s="142" t="s">
        <v>575</v>
      </c>
      <c r="MWZ9" s="358" t="s">
        <v>576</v>
      </c>
      <c r="MXA9" s="189" t="s">
        <v>574</v>
      </c>
      <c r="MXB9" s="352" t="s">
        <v>573</v>
      </c>
      <c r="MXC9" s="142" t="s">
        <v>575</v>
      </c>
      <c r="MXD9" s="358" t="s">
        <v>576</v>
      </c>
      <c r="MXE9" s="189" t="s">
        <v>574</v>
      </c>
      <c r="MXF9" s="352" t="s">
        <v>573</v>
      </c>
      <c r="MXG9" s="142" t="s">
        <v>575</v>
      </c>
      <c r="MXH9" s="358" t="s">
        <v>576</v>
      </c>
      <c r="MXI9" s="189" t="s">
        <v>574</v>
      </c>
      <c r="MXJ9" s="352" t="s">
        <v>573</v>
      </c>
      <c r="MXK9" s="142" t="s">
        <v>575</v>
      </c>
      <c r="MXL9" s="358" t="s">
        <v>576</v>
      </c>
      <c r="MXM9" s="189" t="s">
        <v>574</v>
      </c>
      <c r="MXN9" s="352" t="s">
        <v>573</v>
      </c>
      <c r="MXO9" s="142" t="s">
        <v>575</v>
      </c>
      <c r="MXP9" s="358" t="s">
        <v>576</v>
      </c>
      <c r="MXQ9" s="189" t="s">
        <v>574</v>
      </c>
      <c r="MXR9" s="352" t="s">
        <v>573</v>
      </c>
      <c r="MXS9" s="142" t="s">
        <v>575</v>
      </c>
      <c r="MXT9" s="358" t="s">
        <v>576</v>
      </c>
      <c r="MXU9" s="189" t="s">
        <v>574</v>
      </c>
      <c r="MXV9" s="352" t="s">
        <v>573</v>
      </c>
      <c r="MXW9" s="142" t="s">
        <v>575</v>
      </c>
      <c r="MXX9" s="358" t="s">
        <v>576</v>
      </c>
      <c r="MXY9" s="189" t="s">
        <v>574</v>
      </c>
      <c r="MXZ9" s="352" t="s">
        <v>573</v>
      </c>
      <c r="MYA9" s="142" t="s">
        <v>575</v>
      </c>
      <c r="MYB9" s="358" t="s">
        <v>576</v>
      </c>
      <c r="MYC9" s="189" t="s">
        <v>574</v>
      </c>
      <c r="MYD9" s="352" t="s">
        <v>573</v>
      </c>
      <c r="MYE9" s="142" t="s">
        <v>575</v>
      </c>
      <c r="MYF9" s="358" t="s">
        <v>576</v>
      </c>
      <c r="MYG9" s="189" t="s">
        <v>574</v>
      </c>
      <c r="MYH9" s="352" t="s">
        <v>573</v>
      </c>
      <c r="MYI9" s="142" t="s">
        <v>575</v>
      </c>
      <c r="MYJ9" s="358" t="s">
        <v>576</v>
      </c>
      <c r="MYK9" s="189" t="s">
        <v>574</v>
      </c>
      <c r="MYL9" s="352" t="s">
        <v>573</v>
      </c>
      <c r="MYM9" s="142" t="s">
        <v>575</v>
      </c>
      <c r="MYN9" s="358" t="s">
        <v>576</v>
      </c>
      <c r="MYO9" s="189" t="s">
        <v>574</v>
      </c>
      <c r="MYP9" s="352" t="s">
        <v>573</v>
      </c>
      <c r="MYQ9" s="142" t="s">
        <v>575</v>
      </c>
      <c r="MYR9" s="358" t="s">
        <v>576</v>
      </c>
      <c r="MYS9" s="189" t="s">
        <v>574</v>
      </c>
      <c r="MYT9" s="352" t="s">
        <v>573</v>
      </c>
      <c r="MYU9" s="142" t="s">
        <v>575</v>
      </c>
      <c r="MYV9" s="358" t="s">
        <v>576</v>
      </c>
      <c r="MYW9" s="189" t="s">
        <v>574</v>
      </c>
      <c r="MYX9" s="352" t="s">
        <v>573</v>
      </c>
      <c r="MYY9" s="142" t="s">
        <v>575</v>
      </c>
      <c r="MYZ9" s="358" t="s">
        <v>576</v>
      </c>
      <c r="MZA9" s="189" t="s">
        <v>574</v>
      </c>
      <c r="MZB9" s="352" t="s">
        <v>573</v>
      </c>
      <c r="MZC9" s="142" t="s">
        <v>575</v>
      </c>
      <c r="MZD9" s="358" t="s">
        <v>576</v>
      </c>
      <c r="MZE9" s="189" t="s">
        <v>574</v>
      </c>
      <c r="MZF9" s="352" t="s">
        <v>573</v>
      </c>
      <c r="MZG9" s="142" t="s">
        <v>575</v>
      </c>
      <c r="MZH9" s="358" t="s">
        <v>576</v>
      </c>
      <c r="MZI9" s="189" t="s">
        <v>574</v>
      </c>
      <c r="MZJ9" s="352" t="s">
        <v>573</v>
      </c>
      <c r="MZK9" s="142" t="s">
        <v>575</v>
      </c>
      <c r="MZL9" s="358" t="s">
        <v>576</v>
      </c>
      <c r="MZM9" s="189" t="s">
        <v>574</v>
      </c>
      <c r="MZN9" s="352" t="s">
        <v>573</v>
      </c>
      <c r="MZO9" s="142" t="s">
        <v>575</v>
      </c>
      <c r="MZP9" s="358" t="s">
        <v>576</v>
      </c>
      <c r="MZQ9" s="189" t="s">
        <v>574</v>
      </c>
      <c r="MZR9" s="352" t="s">
        <v>573</v>
      </c>
      <c r="MZS9" s="142" t="s">
        <v>575</v>
      </c>
      <c r="MZT9" s="358" t="s">
        <v>576</v>
      </c>
      <c r="MZU9" s="189" t="s">
        <v>574</v>
      </c>
      <c r="MZV9" s="352" t="s">
        <v>573</v>
      </c>
      <c r="MZW9" s="142" t="s">
        <v>575</v>
      </c>
      <c r="MZX9" s="358" t="s">
        <v>576</v>
      </c>
      <c r="MZY9" s="189" t="s">
        <v>574</v>
      </c>
      <c r="MZZ9" s="352" t="s">
        <v>573</v>
      </c>
      <c r="NAA9" s="142" t="s">
        <v>575</v>
      </c>
      <c r="NAB9" s="358" t="s">
        <v>576</v>
      </c>
      <c r="NAC9" s="189" t="s">
        <v>574</v>
      </c>
      <c r="NAD9" s="352" t="s">
        <v>573</v>
      </c>
      <c r="NAE9" s="142" t="s">
        <v>575</v>
      </c>
      <c r="NAF9" s="358" t="s">
        <v>576</v>
      </c>
      <c r="NAG9" s="189" t="s">
        <v>574</v>
      </c>
      <c r="NAH9" s="352" t="s">
        <v>573</v>
      </c>
      <c r="NAI9" s="142" t="s">
        <v>575</v>
      </c>
      <c r="NAJ9" s="358" t="s">
        <v>576</v>
      </c>
      <c r="NAK9" s="189" t="s">
        <v>574</v>
      </c>
      <c r="NAL9" s="352" t="s">
        <v>573</v>
      </c>
      <c r="NAM9" s="142" t="s">
        <v>575</v>
      </c>
      <c r="NAN9" s="358" t="s">
        <v>576</v>
      </c>
      <c r="NAO9" s="189" t="s">
        <v>574</v>
      </c>
      <c r="NAP9" s="352" t="s">
        <v>573</v>
      </c>
      <c r="NAQ9" s="142" t="s">
        <v>575</v>
      </c>
      <c r="NAR9" s="358" t="s">
        <v>576</v>
      </c>
      <c r="NAS9" s="189" t="s">
        <v>574</v>
      </c>
      <c r="NAT9" s="352" t="s">
        <v>573</v>
      </c>
      <c r="NAU9" s="142" t="s">
        <v>575</v>
      </c>
      <c r="NAV9" s="358" t="s">
        <v>576</v>
      </c>
      <c r="NAW9" s="189" t="s">
        <v>574</v>
      </c>
      <c r="NAX9" s="352" t="s">
        <v>573</v>
      </c>
      <c r="NAY9" s="142" t="s">
        <v>575</v>
      </c>
      <c r="NAZ9" s="358" t="s">
        <v>576</v>
      </c>
      <c r="NBA9" s="189" t="s">
        <v>574</v>
      </c>
      <c r="NBB9" s="352" t="s">
        <v>573</v>
      </c>
      <c r="NBC9" s="142" t="s">
        <v>575</v>
      </c>
      <c r="NBD9" s="358" t="s">
        <v>576</v>
      </c>
      <c r="NBE9" s="189" t="s">
        <v>574</v>
      </c>
      <c r="NBF9" s="352" t="s">
        <v>573</v>
      </c>
      <c r="NBG9" s="142" t="s">
        <v>575</v>
      </c>
      <c r="NBH9" s="358" t="s">
        <v>576</v>
      </c>
      <c r="NBI9" s="189" t="s">
        <v>574</v>
      </c>
      <c r="NBJ9" s="352" t="s">
        <v>573</v>
      </c>
      <c r="NBK9" s="142" t="s">
        <v>575</v>
      </c>
      <c r="NBL9" s="358" t="s">
        <v>576</v>
      </c>
      <c r="NBM9" s="189" t="s">
        <v>574</v>
      </c>
      <c r="NBN9" s="352" t="s">
        <v>573</v>
      </c>
      <c r="NBO9" s="142" t="s">
        <v>575</v>
      </c>
      <c r="NBP9" s="358" t="s">
        <v>576</v>
      </c>
      <c r="NBQ9" s="189" t="s">
        <v>574</v>
      </c>
      <c r="NBR9" s="352" t="s">
        <v>573</v>
      </c>
      <c r="NBS9" s="142" t="s">
        <v>575</v>
      </c>
      <c r="NBT9" s="358" t="s">
        <v>576</v>
      </c>
      <c r="NBU9" s="189" t="s">
        <v>574</v>
      </c>
      <c r="NBV9" s="352" t="s">
        <v>573</v>
      </c>
      <c r="NBW9" s="142" t="s">
        <v>575</v>
      </c>
      <c r="NBX9" s="358" t="s">
        <v>576</v>
      </c>
      <c r="NBY9" s="189" t="s">
        <v>574</v>
      </c>
      <c r="NBZ9" s="352" t="s">
        <v>573</v>
      </c>
      <c r="NCA9" s="142" t="s">
        <v>575</v>
      </c>
      <c r="NCB9" s="358" t="s">
        <v>576</v>
      </c>
      <c r="NCC9" s="189" t="s">
        <v>574</v>
      </c>
      <c r="NCD9" s="352" t="s">
        <v>573</v>
      </c>
      <c r="NCE9" s="142" t="s">
        <v>575</v>
      </c>
      <c r="NCF9" s="358" t="s">
        <v>576</v>
      </c>
      <c r="NCG9" s="189" t="s">
        <v>574</v>
      </c>
      <c r="NCH9" s="352" t="s">
        <v>573</v>
      </c>
      <c r="NCI9" s="142" t="s">
        <v>575</v>
      </c>
      <c r="NCJ9" s="358" t="s">
        <v>576</v>
      </c>
      <c r="NCK9" s="189" t="s">
        <v>574</v>
      </c>
      <c r="NCL9" s="352" t="s">
        <v>573</v>
      </c>
      <c r="NCM9" s="142" t="s">
        <v>575</v>
      </c>
      <c r="NCN9" s="358" t="s">
        <v>576</v>
      </c>
      <c r="NCO9" s="189" t="s">
        <v>574</v>
      </c>
      <c r="NCP9" s="352" t="s">
        <v>573</v>
      </c>
      <c r="NCQ9" s="142" t="s">
        <v>575</v>
      </c>
      <c r="NCR9" s="358" t="s">
        <v>576</v>
      </c>
      <c r="NCS9" s="189" t="s">
        <v>574</v>
      </c>
      <c r="NCT9" s="352" t="s">
        <v>573</v>
      </c>
      <c r="NCU9" s="142" t="s">
        <v>575</v>
      </c>
      <c r="NCV9" s="358" t="s">
        <v>576</v>
      </c>
      <c r="NCW9" s="189" t="s">
        <v>574</v>
      </c>
      <c r="NCX9" s="352" t="s">
        <v>573</v>
      </c>
      <c r="NCY9" s="142" t="s">
        <v>575</v>
      </c>
      <c r="NCZ9" s="358" t="s">
        <v>576</v>
      </c>
      <c r="NDA9" s="189" t="s">
        <v>574</v>
      </c>
      <c r="NDB9" s="352" t="s">
        <v>573</v>
      </c>
      <c r="NDC9" s="142" t="s">
        <v>575</v>
      </c>
      <c r="NDD9" s="358" t="s">
        <v>576</v>
      </c>
      <c r="NDE9" s="189" t="s">
        <v>574</v>
      </c>
      <c r="NDF9" s="352" t="s">
        <v>573</v>
      </c>
      <c r="NDG9" s="142" t="s">
        <v>575</v>
      </c>
      <c r="NDH9" s="358" t="s">
        <v>576</v>
      </c>
      <c r="NDI9" s="189" t="s">
        <v>574</v>
      </c>
      <c r="NDJ9" s="352" t="s">
        <v>573</v>
      </c>
      <c r="NDK9" s="142" t="s">
        <v>575</v>
      </c>
      <c r="NDL9" s="358" t="s">
        <v>576</v>
      </c>
      <c r="NDM9" s="189" t="s">
        <v>574</v>
      </c>
      <c r="NDN9" s="352" t="s">
        <v>573</v>
      </c>
      <c r="NDO9" s="142" t="s">
        <v>575</v>
      </c>
      <c r="NDP9" s="358" t="s">
        <v>576</v>
      </c>
      <c r="NDQ9" s="189" t="s">
        <v>574</v>
      </c>
      <c r="NDR9" s="352" t="s">
        <v>573</v>
      </c>
      <c r="NDS9" s="142" t="s">
        <v>575</v>
      </c>
      <c r="NDT9" s="358" t="s">
        <v>576</v>
      </c>
      <c r="NDU9" s="189" t="s">
        <v>574</v>
      </c>
      <c r="NDV9" s="352" t="s">
        <v>573</v>
      </c>
      <c r="NDW9" s="142" t="s">
        <v>575</v>
      </c>
      <c r="NDX9" s="358" t="s">
        <v>576</v>
      </c>
      <c r="NDY9" s="189" t="s">
        <v>574</v>
      </c>
      <c r="NDZ9" s="352" t="s">
        <v>573</v>
      </c>
      <c r="NEA9" s="142" t="s">
        <v>575</v>
      </c>
      <c r="NEB9" s="358" t="s">
        <v>576</v>
      </c>
      <c r="NEC9" s="189" t="s">
        <v>574</v>
      </c>
      <c r="NED9" s="352" t="s">
        <v>573</v>
      </c>
      <c r="NEE9" s="142" t="s">
        <v>575</v>
      </c>
      <c r="NEF9" s="358" t="s">
        <v>576</v>
      </c>
      <c r="NEG9" s="189" t="s">
        <v>574</v>
      </c>
      <c r="NEH9" s="352" t="s">
        <v>573</v>
      </c>
      <c r="NEI9" s="142" t="s">
        <v>575</v>
      </c>
      <c r="NEJ9" s="358" t="s">
        <v>576</v>
      </c>
      <c r="NEK9" s="189" t="s">
        <v>574</v>
      </c>
      <c r="NEL9" s="352" t="s">
        <v>573</v>
      </c>
      <c r="NEM9" s="142" t="s">
        <v>575</v>
      </c>
      <c r="NEN9" s="358" t="s">
        <v>576</v>
      </c>
      <c r="NEO9" s="189" t="s">
        <v>574</v>
      </c>
      <c r="NEP9" s="352" t="s">
        <v>573</v>
      </c>
      <c r="NEQ9" s="142" t="s">
        <v>575</v>
      </c>
      <c r="NER9" s="358" t="s">
        <v>576</v>
      </c>
      <c r="NES9" s="189" t="s">
        <v>574</v>
      </c>
      <c r="NET9" s="352" t="s">
        <v>573</v>
      </c>
      <c r="NEU9" s="142" t="s">
        <v>575</v>
      </c>
      <c r="NEV9" s="358" t="s">
        <v>576</v>
      </c>
      <c r="NEW9" s="189" t="s">
        <v>574</v>
      </c>
      <c r="NEX9" s="352" t="s">
        <v>573</v>
      </c>
      <c r="NEY9" s="142" t="s">
        <v>575</v>
      </c>
      <c r="NEZ9" s="358" t="s">
        <v>576</v>
      </c>
      <c r="NFA9" s="189" t="s">
        <v>574</v>
      </c>
      <c r="NFB9" s="352" t="s">
        <v>573</v>
      </c>
      <c r="NFC9" s="142" t="s">
        <v>575</v>
      </c>
      <c r="NFD9" s="358" t="s">
        <v>576</v>
      </c>
      <c r="NFE9" s="189" t="s">
        <v>574</v>
      </c>
      <c r="NFF9" s="352" t="s">
        <v>573</v>
      </c>
      <c r="NFG9" s="142" t="s">
        <v>575</v>
      </c>
      <c r="NFH9" s="358" t="s">
        <v>576</v>
      </c>
      <c r="NFI9" s="189" t="s">
        <v>574</v>
      </c>
      <c r="NFJ9" s="352" t="s">
        <v>573</v>
      </c>
      <c r="NFK9" s="142" t="s">
        <v>575</v>
      </c>
      <c r="NFL9" s="358" t="s">
        <v>576</v>
      </c>
      <c r="NFM9" s="189" t="s">
        <v>574</v>
      </c>
      <c r="NFN9" s="352" t="s">
        <v>573</v>
      </c>
      <c r="NFO9" s="142" t="s">
        <v>575</v>
      </c>
      <c r="NFP9" s="358" t="s">
        <v>576</v>
      </c>
      <c r="NFQ9" s="189" t="s">
        <v>574</v>
      </c>
      <c r="NFR9" s="352" t="s">
        <v>573</v>
      </c>
      <c r="NFS9" s="142" t="s">
        <v>575</v>
      </c>
      <c r="NFT9" s="358" t="s">
        <v>576</v>
      </c>
      <c r="NFU9" s="189" t="s">
        <v>574</v>
      </c>
      <c r="NFV9" s="352" t="s">
        <v>573</v>
      </c>
      <c r="NFW9" s="142" t="s">
        <v>575</v>
      </c>
      <c r="NFX9" s="358" t="s">
        <v>576</v>
      </c>
      <c r="NFY9" s="189" t="s">
        <v>574</v>
      </c>
      <c r="NFZ9" s="352" t="s">
        <v>573</v>
      </c>
      <c r="NGA9" s="142" t="s">
        <v>575</v>
      </c>
      <c r="NGB9" s="358" t="s">
        <v>576</v>
      </c>
      <c r="NGC9" s="189" t="s">
        <v>574</v>
      </c>
      <c r="NGD9" s="352" t="s">
        <v>573</v>
      </c>
      <c r="NGE9" s="142" t="s">
        <v>575</v>
      </c>
      <c r="NGF9" s="358" t="s">
        <v>576</v>
      </c>
      <c r="NGG9" s="189" t="s">
        <v>574</v>
      </c>
      <c r="NGH9" s="352" t="s">
        <v>573</v>
      </c>
      <c r="NGI9" s="142" t="s">
        <v>575</v>
      </c>
      <c r="NGJ9" s="358" t="s">
        <v>576</v>
      </c>
      <c r="NGK9" s="189" t="s">
        <v>574</v>
      </c>
      <c r="NGL9" s="352" t="s">
        <v>573</v>
      </c>
      <c r="NGM9" s="142" t="s">
        <v>575</v>
      </c>
      <c r="NGN9" s="358" t="s">
        <v>576</v>
      </c>
      <c r="NGO9" s="189" t="s">
        <v>574</v>
      </c>
      <c r="NGP9" s="352" t="s">
        <v>573</v>
      </c>
      <c r="NGQ9" s="142" t="s">
        <v>575</v>
      </c>
      <c r="NGR9" s="358" t="s">
        <v>576</v>
      </c>
      <c r="NGS9" s="189" t="s">
        <v>574</v>
      </c>
      <c r="NGT9" s="352" t="s">
        <v>573</v>
      </c>
      <c r="NGU9" s="142" t="s">
        <v>575</v>
      </c>
      <c r="NGV9" s="358" t="s">
        <v>576</v>
      </c>
      <c r="NGW9" s="189" t="s">
        <v>574</v>
      </c>
      <c r="NGX9" s="352" t="s">
        <v>573</v>
      </c>
      <c r="NGY9" s="142" t="s">
        <v>575</v>
      </c>
      <c r="NGZ9" s="358" t="s">
        <v>576</v>
      </c>
      <c r="NHA9" s="189" t="s">
        <v>574</v>
      </c>
      <c r="NHB9" s="352" t="s">
        <v>573</v>
      </c>
      <c r="NHC9" s="142" t="s">
        <v>575</v>
      </c>
      <c r="NHD9" s="358" t="s">
        <v>576</v>
      </c>
      <c r="NHE9" s="189" t="s">
        <v>574</v>
      </c>
      <c r="NHF9" s="352" t="s">
        <v>573</v>
      </c>
      <c r="NHG9" s="142" t="s">
        <v>575</v>
      </c>
      <c r="NHH9" s="358" t="s">
        <v>576</v>
      </c>
      <c r="NHI9" s="189" t="s">
        <v>574</v>
      </c>
      <c r="NHJ9" s="352" t="s">
        <v>573</v>
      </c>
      <c r="NHK9" s="142" t="s">
        <v>575</v>
      </c>
      <c r="NHL9" s="358" t="s">
        <v>576</v>
      </c>
      <c r="NHM9" s="189" t="s">
        <v>574</v>
      </c>
      <c r="NHN9" s="352" t="s">
        <v>573</v>
      </c>
      <c r="NHO9" s="142" t="s">
        <v>575</v>
      </c>
      <c r="NHP9" s="358" t="s">
        <v>576</v>
      </c>
      <c r="NHQ9" s="189" t="s">
        <v>574</v>
      </c>
      <c r="NHR9" s="352" t="s">
        <v>573</v>
      </c>
      <c r="NHS9" s="142" t="s">
        <v>575</v>
      </c>
      <c r="NHT9" s="358" t="s">
        <v>576</v>
      </c>
      <c r="NHU9" s="189" t="s">
        <v>574</v>
      </c>
      <c r="NHV9" s="352" t="s">
        <v>573</v>
      </c>
      <c r="NHW9" s="142" t="s">
        <v>575</v>
      </c>
      <c r="NHX9" s="358" t="s">
        <v>576</v>
      </c>
      <c r="NHY9" s="189" t="s">
        <v>574</v>
      </c>
      <c r="NHZ9" s="352" t="s">
        <v>573</v>
      </c>
      <c r="NIA9" s="142" t="s">
        <v>575</v>
      </c>
      <c r="NIB9" s="358" t="s">
        <v>576</v>
      </c>
      <c r="NIC9" s="189" t="s">
        <v>574</v>
      </c>
      <c r="NID9" s="352" t="s">
        <v>573</v>
      </c>
      <c r="NIE9" s="142" t="s">
        <v>575</v>
      </c>
      <c r="NIF9" s="358" t="s">
        <v>576</v>
      </c>
      <c r="NIG9" s="189" t="s">
        <v>574</v>
      </c>
      <c r="NIH9" s="352" t="s">
        <v>573</v>
      </c>
      <c r="NII9" s="142" t="s">
        <v>575</v>
      </c>
      <c r="NIJ9" s="358" t="s">
        <v>576</v>
      </c>
      <c r="NIK9" s="189" t="s">
        <v>574</v>
      </c>
      <c r="NIL9" s="352" t="s">
        <v>573</v>
      </c>
      <c r="NIM9" s="142" t="s">
        <v>575</v>
      </c>
      <c r="NIN9" s="358" t="s">
        <v>576</v>
      </c>
      <c r="NIO9" s="189" t="s">
        <v>574</v>
      </c>
      <c r="NIP9" s="352" t="s">
        <v>573</v>
      </c>
      <c r="NIQ9" s="142" t="s">
        <v>575</v>
      </c>
      <c r="NIR9" s="358" t="s">
        <v>576</v>
      </c>
      <c r="NIS9" s="189" t="s">
        <v>574</v>
      </c>
      <c r="NIT9" s="352" t="s">
        <v>573</v>
      </c>
      <c r="NIU9" s="142" t="s">
        <v>575</v>
      </c>
      <c r="NIV9" s="358" t="s">
        <v>576</v>
      </c>
      <c r="NIW9" s="189" t="s">
        <v>574</v>
      </c>
      <c r="NIX9" s="352" t="s">
        <v>573</v>
      </c>
      <c r="NIY9" s="142" t="s">
        <v>575</v>
      </c>
      <c r="NIZ9" s="358" t="s">
        <v>576</v>
      </c>
      <c r="NJA9" s="189" t="s">
        <v>574</v>
      </c>
      <c r="NJB9" s="352" t="s">
        <v>573</v>
      </c>
      <c r="NJC9" s="142" t="s">
        <v>575</v>
      </c>
      <c r="NJD9" s="358" t="s">
        <v>576</v>
      </c>
      <c r="NJE9" s="189" t="s">
        <v>574</v>
      </c>
      <c r="NJF9" s="352" t="s">
        <v>573</v>
      </c>
      <c r="NJG9" s="142" t="s">
        <v>575</v>
      </c>
      <c r="NJH9" s="358" t="s">
        <v>576</v>
      </c>
      <c r="NJI9" s="189" t="s">
        <v>574</v>
      </c>
      <c r="NJJ9" s="352" t="s">
        <v>573</v>
      </c>
      <c r="NJK9" s="142" t="s">
        <v>575</v>
      </c>
      <c r="NJL9" s="358" t="s">
        <v>576</v>
      </c>
      <c r="NJM9" s="189" t="s">
        <v>574</v>
      </c>
      <c r="NJN9" s="352" t="s">
        <v>573</v>
      </c>
      <c r="NJO9" s="142" t="s">
        <v>575</v>
      </c>
      <c r="NJP9" s="358" t="s">
        <v>576</v>
      </c>
      <c r="NJQ9" s="189" t="s">
        <v>574</v>
      </c>
      <c r="NJR9" s="352" t="s">
        <v>573</v>
      </c>
      <c r="NJS9" s="142" t="s">
        <v>575</v>
      </c>
      <c r="NJT9" s="358" t="s">
        <v>576</v>
      </c>
      <c r="NJU9" s="189" t="s">
        <v>574</v>
      </c>
      <c r="NJV9" s="352" t="s">
        <v>573</v>
      </c>
      <c r="NJW9" s="142" t="s">
        <v>575</v>
      </c>
      <c r="NJX9" s="358" t="s">
        <v>576</v>
      </c>
      <c r="NJY9" s="189" t="s">
        <v>574</v>
      </c>
      <c r="NJZ9" s="352" t="s">
        <v>573</v>
      </c>
      <c r="NKA9" s="142" t="s">
        <v>575</v>
      </c>
      <c r="NKB9" s="358" t="s">
        <v>576</v>
      </c>
      <c r="NKC9" s="189" t="s">
        <v>574</v>
      </c>
      <c r="NKD9" s="352" t="s">
        <v>573</v>
      </c>
      <c r="NKE9" s="142" t="s">
        <v>575</v>
      </c>
      <c r="NKF9" s="358" t="s">
        <v>576</v>
      </c>
      <c r="NKG9" s="189" t="s">
        <v>574</v>
      </c>
      <c r="NKH9" s="352" t="s">
        <v>573</v>
      </c>
      <c r="NKI9" s="142" t="s">
        <v>575</v>
      </c>
      <c r="NKJ9" s="358" t="s">
        <v>576</v>
      </c>
      <c r="NKK9" s="189" t="s">
        <v>574</v>
      </c>
      <c r="NKL9" s="352" t="s">
        <v>573</v>
      </c>
      <c r="NKM9" s="142" t="s">
        <v>575</v>
      </c>
      <c r="NKN9" s="358" t="s">
        <v>576</v>
      </c>
      <c r="NKO9" s="189" t="s">
        <v>574</v>
      </c>
      <c r="NKP9" s="352" t="s">
        <v>573</v>
      </c>
      <c r="NKQ9" s="142" t="s">
        <v>575</v>
      </c>
      <c r="NKR9" s="358" t="s">
        <v>576</v>
      </c>
      <c r="NKS9" s="189" t="s">
        <v>574</v>
      </c>
      <c r="NKT9" s="352" t="s">
        <v>573</v>
      </c>
      <c r="NKU9" s="142" t="s">
        <v>575</v>
      </c>
      <c r="NKV9" s="358" t="s">
        <v>576</v>
      </c>
      <c r="NKW9" s="189" t="s">
        <v>574</v>
      </c>
      <c r="NKX9" s="352" t="s">
        <v>573</v>
      </c>
      <c r="NKY9" s="142" t="s">
        <v>575</v>
      </c>
      <c r="NKZ9" s="358" t="s">
        <v>576</v>
      </c>
      <c r="NLA9" s="189" t="s">
        <v>574</v>
      </c>
      <c r="NLB9" s="352" t="s">
        <v>573</v>
      </c>
      <c r="NLC9" s="142" t="s">
        <v>575</v>
      </c>
      <c r="NLD9" s="358" t="s">
        <v>576</v>
      </c>
      <c r="NLE9" s="189" t="s">
        <v>574</v>
      </c>
      <c r="NLF9" s="352" t="s">
        <v>573</v>
      </c>
      <c r="NLG9" s="142" t="s">
        <v>575</v>
      </c>
      <c r="NLH9" s="358" t="s">
        <v>576</v>
      </c>
      <c r="NLI9" s="189" t="s">
        <v>574</v>
      </c>
      <c r="NLJ9" s="352" t="s">
        <v>573</v>
      </c>
      <c r="NLK9" s="142" t="s">
        <v>575</v>
      </c>
      <c r="NLL9" s="358" t="s">
        <v>576</v>
      </c>
      <c r="NLM9" s="189" t="s">
        <v>574</v>
      </c>
      <c r="NLN9" s="352" t="s">
        <v>573</v>
      </c>
      <c r="NLO9" s="142" t="s">
        <v>575</v>
      </c>
      <c r="NLP9" s="358" t="s">
        <v>576</v>
      </c>
      <c r="NLQ9" s="189" t="s">
        <v>574</v>
      </c>
      <c r="NLR9" s="352" t="s">
        <v>573</v>
      </c>
      <c r="NLS9" s="142" t="s">
        <v>575</v>
      </c>
      <c r="NLT9" s="358" t="s">
        <v>576</v>
      </c>
      <c r="NLU9" s="189" t="s">
        <v>574</v>
      </c>
      <c r="NLV9" s="352" t="s">
        <v>573</v>
      </c>
      <c r="NLW9" s="142" t="s">
        <v>575</v>
      </c>
      <c r="NLX9" s="358" t="s">
        <v>576</v>
      </c>
      <c r="NLY9" s="189" t="s">
        <v>574</v>
      </c>
      <c r="NLZ9" s="352" t="s">
        <v>573</v>
      </c>
      <c r="NMA9" s="142" t="s">
        <v>575</v>
      </c>
      <c r="NMB9" s="358" t="s">
        <v>576</v>
      </c>
      <c r="NMC9" s="189" t="s">
        <v>574</v>
      </c>
      <c r="NMD9" s="352" t="s">
        <v>573</v>
      </c>
      <c r="NME9" s="142" t="s">
        <v>575</v>
      </c>
      <c r="NMF9" s="358" t="s">
        <v>576</v>
      </c>
      <c r="NMG9" s="189" t="s">
        <v>574</v>
      </c>
      <c r="NMH9" s="352" t="s">
        <v>573</v>
      </c>
      <c r="NMI9" s="142" t="s">
        <v>575</v>
      </c>
      <c r="NMJ9" s="358" t="s">
        <v>576</v>
      </c>
      <c r="NMK9" s="189" t="s">
        <v>574</v>
      </c>
      <c r="NML9" s="352" t="s">
        <v>573</v>
      </c>
      <c r="NMM9" s="142" t="s">
        <v>575</v>
      </c>
      <c r="NMN9" s="358" t="s">
        <v>576</v>
      </c>
      <c r="NMO9" s="189" t="s">
        <v>574</v>
      </c>
      <c r="NMP9" s="352" t="s">
        <v>573</v>
      </c>
      <c r="NMQ9" s="142" t="s">
        <v>575</v>
      </c>
      <c r="NMR9" s="358" t="s">
        <v>576</v>
      </c>
      <c r="NMS9" s="189" t="s">
        <v>574</v>
      </c>
      <c r="NMT9" s="352" t="s">
        <v>573</v>
      </c>
      <c r="NMU9" s="142" t="s">
        <v>575</v>
      </c>
      <c r="NMV9" s="358" t="s">
        <v>576</v>
      </c>
      <c r="NMW9" s="189" t="s">
        <v>574</v>
      </c>
      <c r="NMX9" s="352" t="s">
        <v>573</v>
      </c>
      <c r="NMY9" s="142" t="s">
        <v>575</v>
      </c>
      <c r="NMZ9" s="358" t="s">
        <v>576</v>
      </c>
      <c r="NNA9" s="189" t="s">
        <v>574</v>
      </c>
      <c r="NNB9" s="352" t="s">
        <v>573</v>
      </c>
      <c r="NNC9" s="142" t="s">
        <v>575</v>
      </c>
      <c r="NND9" s="358" t="s">
        <v>576</v>
      </c>
      <c r="NNE9" s="189" t="s">
        <v>574</v>
      </c>
      <c r="NNF9" s="352" t="s">
        <v>573</v>
      </c>
      <c r="NNG9" s="142" t="s">
        <v>575</v>
      </c>
      <c r="NNH9" s="358" t="s">
        <v>576</v>
      </c>
      <c r="NNI9" s="189" t="s">
        <v>574</v>
      </c>
      <c r="NNJ9" s="352" t="s">
        <v>573</v>
      </c>
      <c r="NNK9" s="142" t="s">
        <v>575</v>
      </c>
      <c r="NNL9" s="358" t="s">
        <v>576</v>
      </c>
      <c r="NNM9" s="189" t="s">
        <v>574</v>
      </c>
      <c r="NNN9" s="352" t="s">
        <v>573</v>
      </c>
      <c r="NNO9" s="142" t="s">
        <v>575</v>
      </c>
      <c r="NNP9" s="358" t="s">
        <v>576</v>
      </c>
      <c r="NNQ9" s="189" t="s">
        <v>574</v>
      </c>
      <c r="NNR9" s="352" t="s">
        <v>573</v>
      </c>
      <c r="NNS9" s="142" t="s">
        <v>575</v>
      </c>
      <c r="NNT9" s="358" t="s">
        <v>576</v>
      </c>
      <c r="NNU9" s="189" t="s">
        <v>574</v>
      </c>
      <c r="NNV9" s="352" t="s">
        <v>573</v>
      </c>
      <c r="NNW9" s="142" t="s">
        <v>575</v>
      </c>
      <c r="NNX9" s="358" t="s">
        <v>576</v>
      </c>
      <c r="NNY9" s="189" t="s">
        <v>574</v>
      </c>
      <c r="NNZ9" s="352" t="s">
        <v>573</v>
      </c>
      <c r="NOA9" s="142" t="s">
        <v>575</v>
      </c>
      <c r="NOB9" s="358" t="s">
        <v>576</v>
      </c>
      <c r="NOC9" s="189" t="s">
        <v>574</v>
      </c>
      <c r="NOD9" s="352" t="s">
        <v>573</v>
      </c>
      <c r="NOE9" s="142" t="s">
        <v>575</v>
      </c>
      <c r="NOF9" s="358" t="s">
        <v>576</v>
      </c>
      <c r="NOG9" s="189" t="s">
        <v>574</v>
      </c>
      <c r="NOH9" s="352" t="s">
        <v>573</v>
      </c>
      <c r="NOI9" s="142" t="s">
        <v>575</v>
      </c>
      <c r="NOJ9" s="358" t="s">
        <v>576</v>
      </c>
      <c r="NOK9" s="189" t="s">
        <v>574</v>
      </c>
      <c r="NOL9" s="352" t="s">
        <v>573</v>
      </c>
      <c r="NOM9" s="142" t="s">
        <v>575</v>
      </c>
      <c r="NON9" s="358" t="s">
        <v>576</v>
      </c>
      <c r="NOO9" s="189" t="s">
        <v>574</v>
      </c>
      <c r="NOP9" s="352" t="s">
        <v>573</v>
      </c>
      <c r="NOQ9" s="142" t="s">
        <v>575</v>
      </c>
      <c r="NOR9" s="358" t="s">
        <v>576</v>
      </c>
      <c r="NOS9" s="189" t="s">
        <v>574</v>
      </c>
      <c r="NOT9" s="352" t="s">
        <v>573</v>
      </c>
      <c r="NOU9" s="142" t="s">
        <v>575</v>
      </c>
      <c r="NOV9" s="358" t="s">
        <v>576</v>
      </c>
      <c r="NOW9" s="189" t="s">
        <v>574</v>
      </c>
      <c r="NOX9" s="352" t="s">
        <v>573</v>
      </c>
      <c r="NOY9" s="142" t="s">
        <v>575</v>
      </c>
      <c r="NOZ9" s="358" t="s">
        <v>576</v>
      </c>
      <c r="NPA9" s="189" t="s">
        <v>574</v>
      </c>
      <c r="NPB9" s="352" t="s">
        <v>573</v>
      </c>
      <c r="NPC9" s="142" t="s">
        <v>575</v>
      </c>
      <c r="NPD9" s="358" t="s">
        <v>576</v>
      </c>
      <c r="NPE9" s="189" t="s">
        <v>574</v>
      </c>
      <c r="NPF9" s="352" t="s">
        <v>573</v>
      </c>
      <c r="NPG9" s="142" t="s">
        <v>575</v>
      </c>
      <c r="NPH9" s="358" t="s">
        <v>576</v>
      </c>
      <c r="NPI9" s="189" t="s">
        <v>574</v>
      </c>
      <c r="NPJ9" s="352" t="s">
        <v>573</v>
      </c>
      <c r="NPK9" s="142" t="s">
        <v>575</v>
      </c>
      <c r="NPL9" s="358" t="s">
        <v>576</v>
      </c>
      <c r="NPM9" s="189" t="s">
        <v>574</v>
      </c>
      <c r="NPN9" s="352" t="s">
        <v>573</v>
      </c>
      <c r="NPO9" s="142" t="s">
        <v>575</v>
      </c>
      <c r="NPP9" s="358" t="s">
        <v>576</v>
      </c>
      <c r="NPQ9" s="189" t="s">
        <v>574</v>
      </c>
      <c r="NPR9" s="352" t="s">
        <v>573</v>
      </c>
      <c r="NPS9" s="142" t="s">
        <v>575</v>
      </c>
      <c r="NPT9" s="358" t="s">
        <v>576</v>
      </c>
      <c r="NPU9" s="189" t="s">
        <v>574</v>
      </c>
      <c r="NPV9" s="352" t="s">
        <v>573</v>
      </c>
      <c r="NPW9" s="142" t="s">
        <v>575</v>
      </c>
      <c r="NPX9" s="358" t="s">
        <v>576</v>
      </c>
      <c r="NPY9" s="189" t="s">
        <v>574</v>
      </c>
      <c r="NPZ9" s="352" t="s">
        <v>573</v>
      </c>
      <c r="NQA9" s="142" t="s">
        <v>575</v>
      </c>
      <c r="NQB9" s="358" t="s">
        <v>576</v>
      </c>
      <c r="NQC9" s="189" t="s">
        <v>574</v>
      </c>
      <c r="NQD9" s="352" t="s">
        <v>573</v>
      </c>
      <c r="NQE9" s="142" t="s">
        <v>575</v>
      </c>
      <c r="NQF9" s="358" t="s">
        <v>576</v>
      </c>
      <c r="NQG9" s="189" t="s">
        <v>574</v>
      </c>
      <c r="NQH9" s="352" t="s">
        <v>573</v>
      </c>
      <c r="NQI9" s="142" t="s">
        <v>575</v>
      </c>
      <c r="NQJ9" s="358" t="s">
        <v>576</v>
      </c>
      <c r="NQK9" s="189" t="s">
        <v>574</v>
      </c>
      <c r="NQL9" s="352" t="s">
        <v>573</v>
      </c>
      <c r="NQM9" s="142" t="s">
        <v>575</v>
      </c>
      <c r="NQN9" s="358" t="s">
        <v>576</v>
      </c>
      <c r="NQO9" s="189" t="s">
        <v>574</v>
      </c>
      <c r="NQP9" s="352" t="s">
        <v>573</v>
      </c>
      <c r="NQQ9" s="142" t="s">
        <v>575</v>
      </c>
      <c r="NQR9" s="358" t="s">
        <v>576</v>
      </c>
      <c r="NQS9" s="189" t="s">
        <v>574</v>
      </c>
      <c r="NQT9" s="352" t="s">
        <v>573</v>
      </c>
      <c r="NQU9" s="142" t="s">
        <v>575</v>
      </c>
      <c r="NQV9" s="358" t="s">
        <v>576</v>
      </c>
      <c r="NQW9" s="189" t="s">
        <v>574</v>
      </c>
      <c r="NQX9" s="352" t="s">
        <v>573</v>
      </c>
      <c r="NQY9" s="142" t="s">
        <v>575</v>
      </c>
      <c r="NQZ9" s="358" t="s">
        <v>576</v>
      </c>
      <c r="NRA9" s="189" t="s">
        <v>574</v>
      </c>
      <c r="NRB9" s="352" t="s">
        <v>573</v>
      </c>
      <c r="NRC9" s="142" t="s">
        <v>575</v>
      </c>
      <c r="NRD9" s="358" t="s">
        <v>576</v>
      </c>
      <c r="NRE9" s="189" t="s">
        <v>574</v>
      </c>
      <c r="NRF9" s="352" t="s">
        <v>573</v>
      </c>
      <c r="NRG9" s="142" t="s">
        <v>575</v>
      </c>
      <c r="NRH9" s="358" t="s">
        <v>576</v>
      </c>
      <c r="NRI9" s="189" t="s">
        <v>574</v>
      </c>
      <c r="NRJ9" s="352" t="s">
        <v>573</v>
      </c>
      <c r="NRK9" s="142" t="s">
        <v>575</v>
      </c>
      <c r="NRL9" s="358" t="s">
        <v>576</v>
      </c>
      <c r="NRM9" s="189" t="s">
        <v>574</v>
      </c>
      <c r="NRN9" s="352" t="s">
        <v>573</v>
      </c>
      <c r="NRO9" s="142" t="s">
        <v>575</v>
      </c>
      <c r="NRP9" s="358" t="s">
        <v>576</v>
      </c>
      <c r="NRQ9" s="189" t="s">
        <v>574</v>
      </c>
      <c r="NRR9" s="352" t="s">
        <v>573</v>
      </c>
      <c r="NRS9" s="142" t="s">
        <v>575</v>
      </c>
      <c r="NRT9" s="358" t="s">
        <v>576</v>
      </c>
      <c r="NRU9" s="189" t="s">
        <v>574</v>
      </c>
      <c r="NRV9" s="352" t="s">
        <v>573</v>
      </c>
      <c r="NRW9" s="142" t="s">
        <v>575</v>
      </c>
      <c r="NRX9" s="358" t="s">
        <v>576</v>
      </c>
      <c r="NRY9" s="189" t="s">
        <v>574</v>
      </c>
      <c r="NRZ9" s="352" t="s">
        <v>573</v>
      </c>
      <c r="NSA9" s="142" t="s">
        <v>575</v>
      </c>
      <c r="NSB9" s="358" t="s">
        <v>576</v>
      </c>
      <c r="NSC9" s="189" t="s">
        <v>574</v>
      </c>
      <c r="NSD9" s="352" t="s">
        <v>573</v>
      </c>
      <c r="NSE9" s="142" t="s">
        <v>575</v>
      </c>
      <c r="NSF9" s="358" t="s">
        <v>576</v>
      </c>
      <c r="NSG9" s="189" t="s">
        <v>574</v>
      </c>
      <c r="NSH9" s="352" t="s">
        <v>573</v>
      </c>
      <c r="NSI9" s="142" t="s">
        <v>575</v>
      </c>
      <c r="NSJ9" s="358" t="s">
        <v>576</v>
      </c>
      <c r="NSK9" s="189" t="s">
        <v>574</v>
      </c>
      <c r="NSL9" s="352" t="s">
        <v>573</v>
      </c>
      <c r="NSM9" s="142" t="s">
        <v>575</v>
      </c>
      <c r="NSN9" s="358" t="s">
        <v>576</v>
      </c>
      <c r="NSO9" s="189" t="s">
        <v>574</v>
      </c>
      <c r="NSP9" s="352" t="s">
        <v>573</v>
      </c>
      <c r="NSQ9" s="142" t="s">
        <v>575</v>
      </c>
      <c r="NSR9" s="358" t="s">
        <v>576</v>
      </c>
      <c r="NSS9" s="189" t="s">
        <v>574</v>
      </c>
      <c r="NST9" s="352" t="s">
        <v>573</v>
      </c>
      <c r="NSU9" s="142" t="s">
        <v>575</v>
      </c>
      <c r="NSV9" s="358" t="s">
        <v>576</v>
      </c>
      <c r="NSW9" s="189" t="s">
        <v>574</v>
      </c>
      <c r="NSX9" s="352" t="s">
        <v>573</v>
      </c>
      <c r="NSY9" s="142" t="s">
        <v>575</v>
      </c>
      <c r="NSZ9" s="358" t="s">
        <v>576</v>
      </c>
      <c r="NTA9" s="189" t="s">
        <v>574</v>
      </c>
      <c r="NTB9" s="352" t="s">
        <v>573</v>
      </c>
      <c r="NTC9" s="142" t="s">
        <v>575</v>
      </c>
      <c r="NTD9" s="358" t="s">
        <v>576</v>
      </c>
      <c r="NTE9" s="189" t="s">
        <v>574</v>
      </c>
      <c r="NTF9" s="352" t="s">
        <v>573</v>
      </c>
      <c r="NTG9" s="142" t="s">
        <v>575</v>
      </c>
      <c r="NTH9" s="358" t="s">
        <v>576</v>
      </c>
      <c r="NTI9" s="189" t="s">
        <v>574</v>
      </c>
      <c r="NTJ9" s="352" t="s">
        <v>573</v>
      </c>
      <c r="NTK9" s="142" t="s">
        <v>575</v>
      </c>
      <c r="NTL9" s="358" t="s">
        <v>576</v>
      </c>
      <c r="NTM9" s="189" t="s">
        <v>574</v>
      </c>
      <c r="NTN9" s="352" t="s">
        <v>573</v>
      </c>
      <c r="NTO9" s="142" t="s">
        <v>575</v>
      </c>
      <c r="NTP9" s="358" t="s">
        <v>576</v>
      </c>
      <c r="NTQ9" s="189" t="s">
        <v>574</v>
      </c>
      <c r="NTR9" s="352" t="s">
        <v>573</v>
      </c>
      <c r="NTS9" s="142" t="s">
        <v>575</v>
      </c>
      <c r="NTT9" s="358" t="s">
        <v>576</v>
      </c>
      <c r="NTU9" s="189" t="s">
        <v>574</v>
      </c>
      <c r="NTV9" s="352" t="s">
        <v>573</v>
      </c>
      <c r="NTW9" s="142" t="s">
        <v>575</v>
      </c>
      <c r="NTX9" s="358" t="s">
        <v>576</v>
      </c>
      <c r="NTY9" s="189" t="s">
        <v>574</v>
      </c>
      <c r="NTZ9" s="352" t="s">
        <v>573</v>
      </c>
      <c r="NUA9" s="142" t="s">
        <v>575</v>
      </c>
      <c r="NUB9" s="358" t="s">
        <v>576</v>
      </c>
      <c r="NUC9" s="189" t="s">
        <v>574</v>
      </c>
      <c r="NUD9" s="352" t="s">
        <v>573</v>
      </c>
      <c r="NUE9" s="142" t="s">
        <v>575</v>
      </c>
      <c r="NUF9" s="358" t="s">
        <v>576</v>
      </c>
      <c r="NUG9" s="189" t="s">
        <v>574</v>
      </c>
      <c r="NUH9" s="352" t="s">
        <v>573</v>
      </c>
      <c r="NUI9" s="142" t="s">
        <v>575</v>
      </c>
      <c r="NUJ9" s="358" t="s">
        <v>576</v>
      </c>
      <c r="NUK9" s="189" t="s">
        <v>574</v>
      </c>
      <c r="NUL9" s="352" t="s">
        <v>573</v>
      </c>
      <c r="NUM9" s="142" t="s">
        <v>575</v>
      </c>
      <c r="NUN9" s="358" t="s">
        <v>576</v>
      </c>
      <c r="NUO9" s="189" t="s">
        <v>574</v>
      </c>
      <c r="NUP9" s="352" t="s">
        <v>573</v>
      </c>
      <c r="NUQ9" s="142" t="s">
        <v>575</v>
      </c>
      <c r="NUR9" s="358" t="s">
        <v>576</v>
      </c>
      <c r="NUS9" s="189" t="s">
        <v>574</v>
      </c>
      <c r="NUT9" s="352" t="s">
        <v>573</v>
      </c>
      <c r="NUU9" s="142" t="s">
        <v>575</v>
      </c>
      <c r="NUV9" s="358" t="s">
        <v>576</v>
      </c>
      <c r="NUW9" s="189" t="s">
        <v>574</v>
      </c>
      <c r="NUX9" s="352" t="s">
        <v>573</v>
      </c>
      <c r="NUY9" s="142" t="s">
        <v>575</v>
      </c>
      <c r="NUZ9" s="358" t="s">
        <v>576</v>
      </c>
      <c r="NVA9" s="189" t="s">
        <v>574</v>
      </c>
      <c r="NVB9" s="352" t="s">
        <v>573</v>
      </c>
      <c r="NVC9" s="142" t="s">
        <v>575</v>
      </c>
      <c r="NVD9" s="358" t="s">
        <v>576</v>
      </c>
      <c r="NVE9" s="189" t="s">
        <v>574</v>
      </c>
      <c r="NVF9" s="352" t="s">
        <v>573</v>
      </c>
      <c r="NVG9" s="142" t="s">
        <v>575</v>
      </c>
      <c r="NVH9" s="358" t="s">
        <v>576</v>
      </c>
      <c r="NVI9" s="189" t="s">
        <v>574</v>
      </c>
      <c r="NVJ9" s="352" t="s">
        <v>573</v>
      </c>
      <c r="NVK9" s="142" t="s">
        <v>575</v>
      </c>
      <c r="NVL9" s="358" t="s">
        <v>576</v>
      </c>
      <c r="NVM9" s="189" t="s">
        <v>574</v>
      </c>
      <c r="NVN9" s="352" t="s">
        <v>573</v>
      </c>
      <c r="NVO9" s="142" t="s">
        <v>575</v>
      </c>
      <c r="NVP9" s="358" t="s">
        <v>576</v>
      </c>
      <c r="NVQ9" s="189" t="s">
        <v>574</v>
      </c>
      <c r="NVR9" s="352" t="s">
        <v>573</v>
      </c>
      <c r="NVS9" s="142" t="s">
        <v>575</v>
      </c>
      <c r="NVT9" s="358" t="s">
        <v>576</v>
      </c>
      <c r="NVU9" s="189" t="s">
        <v>574</v>
      </c>
      <c r="NVV9" s="352" t="s">
        <v>573</v>
      </c>
      <c r="NVW9" s="142" t="s">
        <v>575</v>
      </c>
      <c r="NVX9" s="358" t="s">
        <v>576</v>
      </c>
      <c r="NVY9" s="189" t="s">
        <v>574</v>
      </c>
      <c r="NVZ9" s="352" t="s">
        <v>573</v>
      </c>
      <c r="NWA9" s="142" t="s">
        <v>575</v>
      </c>
      <c r="NWB9" s="358" t="s">
        <v>576</v>
      </c>
      <c r="NWC9" s="189" t="s">
        <v>574</v>
      </c>
      <c r="NWD9" s="352" t="s">
        <v>573</v>
      </c>
      <c r="NWE9" s="142" t="s">
        <v>575</v>
      </c>
      <c r="NWF9" s="358" t="s">
        <v>576</v>
      </c>
      <c r="NWG9" s="189" t="s">
        <v>574</v>
      </c>
      <c r="NWH9" s="352" t="s">
        <v>573</v>
      </c>
      <c r="NWI9" s="142" t="s">
        <v>575</v>
      </c>
      <c r="NWJ9" s="358" t="s">
        <v>576</v>
      </c>
      <c r="NWK9" s="189" t="s">
        <v>574</v>
      </c>
      <c r="NWL9" s="352" t="s">
        <v>573</v>
      </c>
      <c r="NWM9" s="142" t="s">
        <v>575</v>
      </c>
      <c r="NWN9" s="358" t="s">
        <v>576</v>
      </c>
      <c r="NWO9" s="189" t="s">
        <v>574</v>
      </c>
      <c r="NWP9" s="352" t="s">
        <v>573</v>
      </c>
      <c r="NWQ9" s="142" t="s">
        <v>575</v>
      </c>
      <c r="NWR9" s="358" t="s">
        <v>576</v>
      </c>
      <c r="NWS9" s="189" t="s">
        <v>574</v>
      </c>
      <c r="NWT9" s="352" t="s">
        <v>573</v>
      </c>
      <c r="NWU9" s="142" t="s">
        <v>575</v>
      </c>
      <c r="NWV9" s="358" t="s">
        <v>576</v>
      </c>
      <c r="NWW9" s="189" t="s">
        <v>574</v>
      </c>
      <c r="NWX9" s="352" t="s">
        <v>573</v>
      </c>
      <c r="NWY9" s="142" t="s">
        <v>575</v>
      </c>
      <c r="NWZ9" s="358" t="s">
        <v>576</v>
      </c>
      <c r="NXA9" s="189" t="s">
        <v>574</v>
      </c>
      <c r="NXB9" s="352" t="s">
        <v>573</v>
      </c>
      <c r="NXC9" s="142" t="s">
        <v>575</v>
      </c>
      <c r="NXD9" s="358" t="s">
        <v>576</v>
      </c>
      <c r="NXE9" s="189" t="s">
        <v>574</v>
      </c>
      <c r="NXF9" s="352" t="s">
        <v>573</v>
      </c>
      <c r="NXG9" s="142" t="s">
        <v>575</v>
      </c>
      <c r="NXH9" s="358" t="s">
        <v>576</v>
      </c>
      <c r="NXI9" s="189" t="s">
        <v>574</v>
      </c>
      <c r="NXJ9" s="352" t="s">
        <v>573</v>
      </c>
      <c r="NXK9" s="142" t="s">
        <v>575</v>
      </c>
      <c r="NXL9" s="358" t="s">
        <v>576</v>
      </c>
      <c r="NXM9" s="189" t="s">
        <v>574</v>
      </c>
      <c r="NXN9" s="352" t="s">
        <v>573</v>
      </c>
      <c r="NXO9" s="142" t="s">
        <v>575</v>
      </c>
      <c r="NXP9" s="358" t="s">
        <v>576</v>
      </c>
      <c r="NXQ9" s="189" t="s">
        <v>574</v>
      </c>
      <c r="NXR9" s="352" t="s">
        <v>573</v>
      </c>
      <c r="NXS9" s="142" t="s">
        <v>575</v>
      </c>
      <c r="NXT9" s="358" t="s">
        <v>576</v>
      </c>
      <c r="NXU9" s="189" t="s">
        <v>574</v>
      </c>
      <c r="NXV9" s="352" t="s">
        <v>573</v>
      </c>
      <c r="NXW9" s="142" t="s">
        <v>575</v>
      </c>
      <c r="NXX9" s="358" t="s">
        <v>576</v>
      </c>
      <c r="NXY9" s="189" t="s">
        <v>574</v>
      </c>
      <c r="NXZ9" s="352" t="s">
        <v>573</v>
      </c>
      <c r="NYA9" s="142" t="s">
        <v>575</v>
      </c>
      <c r="NYB9" s="358" t="s">
        <v>576</v>
      </c>
      <c r="NYC9" s="189" t="s">
        <v>574</v>
      </c>
      <c r="NYD9" s="352" t="s">
        <v>573</v>
      </c>
      <c r="NYE9" s="142" t="s">
        <v>575</v>
      </c>
      <c r="NYF9" s="358" t="s">
        <v>576</v>
      </c>
      <c r="NYG9" s="189" t="s">
        <v>574</v>
      </c>
      <c r="NYH9" s="352" t="s">
        <v>573</v>
      </c>
      <c r="NYI9" s="142" t="s">
        <v>575</v>
      </c>
      <c r="NYJ9" s="358" t="s">
        <v>576</v>
      </c>
      <c r="NYK9" s="189" t="s">
        <v>574</v>
      </c>
      <c r="NYL9" s="352" t="s">
        <v>573</v>
      </c>
      <c r="NYM9" s="142" t="s">
        <v>575</v>
      </c>
      <c r="NYN9" s="358" t="s">
        <v>576</v>
      </c>
      <c r="NYO9" s="189" t="s">
        <v>574</v>
      </c>
      <c r="NYP9" s="352" t="s">
        <v>573</v>
      </c>
      <c r="NYQ9" s="142" t="s">
        <v>575</v>
      </c>
      <c r="NYR9" s="358" t="s">
        <v>576</v>
      </c>
      <c r="NYS9" s="189" t="s">
        <v>574</v>
      </c>
      <c r="NYT9" s="352" t="s">
        <v>573</v>
      </c>
      <c r="NYU9" s="142" t="s">
        <v>575</v>
      </c>
      <c r="NYV9" s="358" t="s">
        <v>576</v>
      </c>
      <c r="NYW9" s="189" t="s">
        <v>574</v>
      </c>
      <c r="NYX9" s="352" t="s">
        <v>573</v>
      </c>
      <c r="NYY9" s="142" t="s">
        <v>575</v>
      </c>
      <c r="NYZ9" s="358" t="s">
        <v>576</v>
      </c>
      <c r="NZA9" s="189" t="s">
        <v>574</v>
      </c>
      <c r="NZB9" s="352" t="s">
        <v>573</v>
      </c>
      <c r="NZC9" s="142" t="s">
        <v>575</v>
      </c>
      <c r="NZD9" s="358" t="s">
        <v>576</v>
      </c>
      <c r="NZE9" s="189" t="s">
        <v>574</v>
      </c>
      <c r="NZF9" s="352" t="s">
        <v>573</v>
      </c>
      <c r="NZG9" s="142" t="s">
        <v>575</v>
      </c>
      <c r="NZH9" s="358" t="s">
        <v>576</v>
      </c>
      <c r="NZI9" s="189" t="s">
        <v>574</v>
      </c>
      <c r="NZJ9" s="352" t="s">
        <v>573</v>
      </c>
      <c r="NZK9" s="142" t="s">
        <v>575</v>
      </c>
      <c r="NZL9" s="358" t="s">
        <v>576</v>
      </c>
      <c r="NZM9" s="189" t="s">
        <v>574</v>
      </c>
      <c r="NZN9" s="352" t="s">
        <v>573</v>
      </c>
      <c r="NZO9" s="142" t="s">
        <v>575</v>
      </c>
      <c r="NZP9" s="358" t="s">
        <v>576</v>
      </c>
      <c r="NZQ9" s="189" t="s">
        <v>574</v>
      </c>
      <c r="NZR9" s="352" t="s">
        <v>573</v>
      </c>
      <c r="NZS9" s="142" t="s">
        <v>575</v>
      </c>
      <c r="NZT9" s="358" t="s">
        <v>576</v>
      </c>
      <c r="NZU9" s="189" t="s">
        <v>574</v>
      </c>
      <c r="NZV9" s="352" t="s">
        <v>573</v>
      </c>
      <c r="NZW9" s="142" t="s">
        <v>575</v>
      </c>
      <c r="NZX9" s="358" t="s">
        <v>576</v>
      </c>
      <c r="NZY9" s="189" t="s">
        <v>574</v>
      </c>
      <c r="NZZ9" s="352" t="s">
        <v>573</v>
      </c>
      <c r="OAA9" s="142" t="s">
        <v>575</v>
      </c>
      <c r="OAB9" s="358" t="s">
        <v>576</v>
      </c>
      <c r="OAC9" s="189" t="s">
        <v>574</v>
      </c>
      <c r="OAD9" s="352" t="s">
        <v>573</v>
      </c>
      <c r="OAE9" s="142" t="s">
        <v>575</v>
      </c>
      <c r="OAF9" s="358" t="s">
        <v>576</v>
      </c>
      <c r="OAG9" s="189" t="s">
        <v>574</v>
      </c>
      <c r="OAH9" s="352" t="s">
        <v>573</v>
      </c>
      <c r="OAI9" s="142" t="s">
        <v>575</v>
      </c>
      <c r="OAJ9" s="358" t="s">
        <v>576</v>
      </c>
      <c r="OAK9" s="189" t="s">
        <v>574</v>
      </c>
      <c r="OAL9" s="352" t="s">
        <v>573</v>
      </c>
      <c r="OAM9" s="142" t="s">
        <v>575</v>
      </c>
      <c r="OAN9" s="358" t="s">
        <v>576</v>
      </c>
      <c r="OAO9" s="189" t="s">
        <v>574</v>
      </c>
      <c r="OAP9" s="352" t="s">
        <v>573</v>
      </c>
      <c r="OAQ9" s="142" t="s">
        <v>575</v>
      </c>
      <c r="OAR9" s="358" t="s">
        <v>576</v>
      </c>
      <c r="OAS9" s="189" t="s">
        <v>574</v>
      </c>
      <c r="OAT9" s="352" t="s">
        <v>573</v>
      </c>
      <c r="OAU9" s="142" t="s">
        <v>575</v>
      </c>
      <c r="OAV9" s="358" t="s">
        <v>576</v>
      </c>
      <c r="OAW9" s="189" t="s">
        <v>574</v>
      </c>
      <c r="OAX9" s="352" t="s">
        <v>573</v>
      </c>
      <c r="OAY9" s="142" t="s">
        <v>575</v>
      </c>
      <c r="OAZ9" s="358" t="s">
        <v>576</v>
      </c>
      <c r="OBA9" s="189" t="s">
        <v>574</v>
      </c>
      <c r="OBB9" s="352" t="s">
        <v>573</v>
      </c>
      <c r="OBC9" s="142" t="s">
        <v>575</v>
      </c>
      <c r="OBD9" s="358" t="s">
        <v>576</v>
      </c>
      <c r="OBE9" s="189" t="s">
        <v>574</v>
      </c>
      <c r="OBF9" s="352" t="s">
        <v>573</v>
      </c>
      <c r="OBG9" s="142" t="s">
        <v>575</v>
      </c>
      <c r="OBH9" s="358" t="s">
        <v>576</v>
      </c>
      <c r="OBI9" s="189" t="s">
        <v>574</v>
      </c>
      <c r="OBJ9" s="352" t="s">
        <v>573</v>
      </c>
      <c r="OBK9" s="142" t="s">
        <v>575</v>
      </c>
      <c r="OBL9" s="358" t="s">
        <v>576</v>
      </c>
      <c r="OBM9" s="189" t="s">
        <v>574</v>
      </c>
      <c r="OBN9" s="352" t="s">
        <v>573</v>
      </c>
      <c r="OBO9" s="142" t="s">
        <v>575</v>
      </c>
      <c r="OBP9" s="358" t="s">
        <v>576</v>
      </c>
      <c r="OBQ9" s="189" t="s">
        <v>574</v>
      </c>
      <c r="OBR9" s="352" t="s">
        <v>573</v>
      </c>
      <c r="OBS9" s="142" t="s">
        <v>575</v>
      </c>
      <c r="OBT9" s="358" t="s">
        <v>576</v>
      </c>
      <c r="OBU9" s="189" t="s">
        <v>574</v>
      </c>
      <c r="OBV9" s="352" t="s">
        <v>573</v>
      </c>
      <c r="OBW9" s="142" t="s">
        <v>575</v>
      </c>
      <c r="OBX9" s="358" t="s">
        <v>576</v>
      </c>
      <c r="OBY9" s="189" t="s">
        <v>574</v>
      </c>
      <c r="OBZ9" s="352" t="s">
        <v>573</v>
      </c>
      <c r="OCA9" s="142" t="s">
        <v>575</v>
      </c>
      <c r="OCB9" s="358" t="s">
        <v>576</v>
      </c>
      <c r="OCC9" s="189" t="s">
        <v>574</v>
      </c>
      <c r="OCD9" s="352" t="s">
        <v>573</v>
      </c>
      <c r="OCE9" s="142" t="s">
        <v>575</v>
      </c>
      <c r="OCF9" s="358" t="s">
        <v>576</v>
      </c>
      <c r="OCG9" s="189" t="s">
        <v>574</v>
      </c>
      <c r="OCH9" s="352" t="s">
        <v>573</v>
      </c>
      <c r="OCI9" s="142" t="s">
        <v>575</v>
      </c>
      <c r="OCJ9" s="358" t="s">
        <v>576</v>
      </c>
      <c r="OCK9" s="189" t="s">
        <v>574</v>
      </c>
      <c r="OCL9" s="352" t="s">
        <v>573</v>
      </c>
      <c r="OCM9" s="142" t="s">
        <v>575</v>
      </c>
      <c r="OCN9" s="358" t="s">
        <v>576</v>
      </c>
      <c r="OCO9" s="189" t="s">
        <v>574</v>
      </c>
      <c r="OCP9" s="352" t="s">
        <v>573</v>
      </c>
      <c r="OCQ9" s="142" t="s">
        <v>575</v>
      </c>
      <c r="OCR9" s="358" t="s">
        <v>576</v>
      </c>
      <c r="OCS9" s="189" t="s">
        <v>574</v>
      </c>
      <c r="OCT9" s="352" t="s">
        <v>573</v>
      </c>
      <c r="OCU9" s="142" t="s">
        <v>575</v>
      </c>
      <c r="OCV9" s="358" t="s">
        <v>576</v>
      </c>
      <c r="OCW9" s="189" t="s">
        <v>574</v>
      </c>
      <c r="OCX9" s="352" t="s">
        <v>573</v>
      </c>
      <c r="OCY9" s="142" t="s">
        <v>575</v>
      </c>
      <c r="OCZ9" s="358" t="s">
        <v>576</v>
      </c>
      <c r="ODA9" s="189" t="s">
        <v>574</v>
      </c>
      <c r="ODB9" s="352" t="s">
        <v>573</v>
      </c>
      <c r="ODC9" s="142" t="s">
        <v>575</v>
      </c>
      <c r="ODD9" s="358" t="s">
        <v>576</v>
      </c>
      <c r="ODE9" s="189" t="s">
        <v>574</v>
      </c>
      <c r="ODF9" s="352" t="s">
        <v>573</v>
      </c>
      <c r="ODG9" s="142" t="s">
        <v>575</v>
      </c>
      <c r="ODH9" s="358" t="s">
        <v>576</v>
      </c>
      <c r="ODI9" s="189" t="s">
        <v>574</v>
      </c>
      <c r="ODJ9" s="352" t="s">
        <v>573</v>
      </c>
      <c r="ODK9" s="142" t="s">
        <v>575</v>
      </c>
      <c r="ODL9" s="358" t="s">
        <v>576</v>
      </c>
      <c r="ODM9" s="189" t="s">
        <v>574</v>
      </c>
      <c r="ODN9" s="352" t="s">
        <v>573</v>
      </c>
      <c r="ODO9" s="142" t="s">
        <v>575</v>
      </c>
      <c r="ODP9" s="358" t="s">
        <v>576</v>
      </c>
      <c r="ODQ9" s="189" t="s">
        <v>574</v>
      </c>
      <c r="ODR9" s="352" t="s">
        <v>573</v>
      </c>
      <c r="ODS9" s="142" t="s">
        <v>575</v>
      </c>
      <c r="ODT9" s="358" t="s">
        <v>576</v>
      </c>
      <c r="ODU9" s="189" t="s">
        <v>574</v>
      </c>
      <c r="ODV9" s="352" t="s">
        <v>573</v>
      </c>
      <c r="ODW9" s="142" t="s">
        <v>575</v>
      </c>
      <c r="ODX9" s="358" t="s">
        <v>576</v>
      </c>
      <c r="ODY9" s="189" t="s">
        <v>574</v>
      </c>
      <c r="ODZ9" s="352" t="s">
        <v>573</v>
      </c>
      <c r="OEA9" s="142" t="s">
        <v>575</v>
      </c>
      <c r="OEB9" s="358" t="s">
        <v>576</v>
      </c>
      <c r="OEC9" s="189" t="s">
        <v>574</v>
      </c>
      <c r="OED9" s="352" t="s">
        <v>573</v>
      </c>
      <c r="OEE9" s="142" t="s">
        <v>575</v>
      </c>
      <c r="OEF9" s="358" t="s">
        <v>576</v>
      </c>
      <c r="OEG9" s="189" t="s">
        <v>574</v>
      </c>
      <c r="OEH9" s="352" t="s">
        <v>573</v>
      </c>
      <c r="OEI9" s="142" t="s">
        <v>575</v>
      </c>
      <c r="OEJ9" s="358" t="s">
        <v>576</v>
      </c>
      <c r="OEK9" s="189" t="s">
        <v>574</v>
      </c>
      <c r="OEL9" s="352" t="s">
        <v>573</v>
      </c>
      <c r="OEM9" s="142" t="s">
        <v>575</v>
      </c>
      <c r="OEN9" s="358" t="s">
        <v>576</v>
      </c>
      <c r="OEO9" s="189" t="s">
        <v>574</v>
      </c>
      <c r="OEP9" s="352" t="s">
        <v>573</v>
      </c>
      <c r="OEQ9" s="142" t="s">
        <v>575</v>
      </c>
      <c r="OER9" s="358" t="s">
        <v>576</v>
      </c>
      <c r="OES9" s="189" t="s">
        <v>574</v>
      </c>
      <c r="OET9" s="352" t="s">
        <v>573</v>
      </c>
      <c r="OEU9" s="142" t="s">
        <v>575</v>
      </c>
      <c r="OEV9" s="358" t="s">
        <v>576</v>
      </c>
      <c r="OEW9" s="189" t="s">
        <v>574</v>
      </c>
      <c r="OEX9" s="352" t="s">
        <v>573</v>
      </c>
      <c r="OEY9" s="142" t="s">
        <v>575</v>
      </c>
      <c r="OEZ9" s="358" t="s">
        <v>576</v>
      </c>
      <c r="OFA9" s="189" t="s">
        <v>574</v>
      </c>
      <c r="OFB9" s="352" t="s">
        <v>573</v>
      </c>
      <c r="OFC9" s="142" t="s">
        <v>575</v>
      </c>
      <c r="OFD9" s="358" t="s">
        <v>576</v>
      </c>
      <c r="OFE9" s="189" t="s">
        <v>574</v>
      </c>
      <c r="OFF9" s="352" t="s">
        <v>573</v>
      </c>
      <c r="OFG9" s="142" t="s">
        <v>575</v>
      </c>
      <c r="OFH9" s="358" t="s">
        <v>576</v>
      </c>
      <c r="OFI9" s="189" t="s">
        <v>574</v>
      </c>
      <c r="OFJ9" s="352" t="s">
        <v>573</v>
      </c>
      <c r="OFK9" s="142" t="s">
        <v>575</v>
      </c>
      <c r="OFL9" s="358" t="s">
        <v>576</v>
      </c>
      <c r="OFM9" s="189" t="s">
        <v>574</v>
      </c>
      <c r="OFN9" s="352" t="s">
        <v>573</v>
      </c>
      <c r="OFO9" s="142" t="s">
        <v>575</v>
      </c>
      <c r="OFP9" s="358" t="s">
        <v>576</v>
      </c>
      <c r="OFQ9" s="189" t="s">
        <v>574</v>
      </c>
      <c r="OFR9" s="352" t="s">
        <v>573</v>
      </c>
      <c r="OFS9" s="142" t="s">
        <v>575</v>
      </c>
      <c r="OFT9" s="358" t="s">
        <v>576</v>
      </c>
      <c r="OFU9" s="189" t="s">
        <v>574</v>
      </c>
      <c r="OFV9" s="352" t="s">
        <v>573</v>
      </c>
      <c r="OFW9" s="142" t="s">
        <v>575</v>
      </c>
      <c r="OFX9" s="358" t="s">
        <v>576</v>
      </c>
      <c r="OFY9" s="189" t="s">
        <v>574</v>
      </c>
      <c r="OFZ9" s="352" t="s">
        <v>573</v>
      </c>
      <c r="OGA9" s="142" t="s">
        <v>575</v>
      </c>
      <c r="OGB9" s="358" t="s">
        <v>576</v>
      </c>
      <c r="OGC9" s="189" t="s">
        <v>574</v>
      </c>
      <c r="OGD9" s="352" t="s">
        <v>573</v>
      </c>
      <c r="OGE9" s="142" t="s">
        <v>575</v>
      </c>
      <c r="OGF9" s="358" t="s">
        <v>576</v>
      </c>
      <c r="OGG9" s="189" t="s">
        <v>574</v>
      </c>
      <c r="OGH9" s="352" t="s">
        <v>573</v>
      </c>
      <c r="OGI9" s="142" t="s">
        <v>575</v>
      </c>
      <c r="OGJ9" s="358" t="s">
        <v>576</v>
      </c>
      <c r="OGK9" s="189" t="s">
        <v>574</v>
      </c>
      <c r="OGL9" s="352" t="s">
        <v>573</v>
      </c>
      <c r="OGM9" s="142" t="s">
        <v>575</v>
      </c>
      <c r="OGN9" s="358" t="s">
        <v>576</v>
      </c>
      <c r="OGO9" s="189" t="s">
        <v>574</v>
      </c>
      <c r="OGP9" s="352" t="s">
        <v>573</v>
      </c>
      <c r="OGQ9" s="142" t="s">
        <v>575</v>
      </c>
      <c r="OGR9" s="358" t="s">
        <v>576</v>
      </c>
      <c r="OGS9" s="189" t="s">
        <v>574</v>
      </c>
      <c r="OGT9" s="352" t="s">
        <v>573</v>
      </c>
      <c r="OGU9" s="142" t="s">
        <v>575</v>
      </c>
      <c r="OGV9" s="358" t="s">
        <v>576</v>
      </c>
      <c r="OGW9" s="189" t="s">
        <v>574</v>
      </c>
      <c r="OGX9" s="352" t="s">
        <v>573</v>
      </c>
      <c r="OGY9" s="142" t="s">
        <v>575</v>
      </c>
      <c r="OGZ9" s="358" t="s">
        <v>576</v>
      </c>
      <c r="OHA9" s="189" t="s">
        <v>574</v>
      </c>
      <c r="OHB9" s="352" t="s">
        <v>573</v>
      </c>
      <c r="OHC9" s="142" t="s">
        <v>575</v>
      </c>
      <c r="OHD9" s="358" t="s">
        <v>576</v>
      </c>
      <c r="OHE9" s="189" t="s">
        <v>574</v>
      </c>
      <c r="OHF9" s="352" t="s">
        <v>573</v>
      </c>
      <c r="OHG9" s="142" t="s">
        <v>575</v>
      </c>
      <c r="OHH9" s="358" t="s">
        <v>576</v>
      </c>
      <c r="OHI9" s="189" t="s">
        <v>574</v>
      </c>
      <c r="OHJ9" s="352" t="s">
        <v>573</v>
      </c>
      <c r="OHK9" s="142" t="s">
        <v>575</v>
      </c>
      <c r="OHL9" s="358" t="s">
        <v>576</v>
      </c>
      <c r="OHM9" s="189" t="s">
        <v>574</v>
      </c>
      <c r="OHN9" s="352" t="s">
        <v>573</v>
      </c>
      <c r="OHO9" s="142" t="s">
        <v>575</v>
      </c>
      <c r="OHP9" s="358" t="s">
        <v>576</v>
      </c>
      <c r="OHQ9" s="189" t="s">
        <v>574</v>
      </c>
      <c r="OHR9" s="352" t="s">
        <v>573</v>
      </c>
      <c r="OHS9" s="142" t="s">
        <v>575</v>
      </c>
      <c r="OHT9" s="358" t="s">
        <v>576</v>
      </c>
      <c r="OHU9" s="189" t="s">
        <v>574</v>
      </c>
      <c r="OHV9" s="352" t="s">
        <v>573</v>
      </c>
      <c r="OHW9" s="142" t="s">
        <v>575</v>
      </c>
      <c r="OHX9" s="358" t="s">
        <v>576</v>
      </c>
      <c r="OHY9" s="189" t="s">
        <v>574</v>
      </c>
      <c r="OHZ9" s="352" t="s">
        <v>573</v>
      </c>
      <c r="OIA9" s="142" t="s">
        <v>575</v>
      </c>
      <c r="OIB9" s="358" t="s">
        <v>576</v>
      </c>
      <c r="OIC9" s="189" t="s">
        <v>574</v>
      </c>
      <c r="OID9" s="352" t="s">
        <v>573</v>
      </c>
      <c r="OIE9" s="142" t="s">
        <v>575</v>
      </c>
      <c r="OIF9" s="358" t="s">
        <v>576</v>
      </c>
      <c r="OIG9" s="189" t="s">
        <v>574</v>
      </c>
      <c r="OIH9" s="352" t="s">
        <v>573</v>
      </c>
      <c r="OII9" s="142" t="s">
        <v>575</v>
      </c>
      <c r="OIJ9" s="358" t="s">
        <v>576</v>
      </c>
      <c r="OIK9" s="189" t="s">
        <v>574</v>
      </c>
      <c r="OIL9" s="352" t="s">
        <v>573</v>
      </c>
      <c r="OIM9" s="142" t="s">
        <v>575</v>
      </c>
      <c r="OIN9" s="358" t="s">
        <v>576</v>
      </c>
      <c r="OIO9" s="189" t="s">
        <v>574</v>
      </c>
      <c r="OIP9" s="352" t="s">
        <v>573</v>
      </c>
      <c r="OIQ9" s="142" t="s">
        <v>575</v>
      </c>
      <c r="OIR9" s="358" t="s">
        <v>576</v>
      </c>
      <c r="OIS9" s="189" t="s">
        <v>574</v>
      </c>
      <c r="OIT9" s="352" t="s">
        <v>573</v>
      </c>
      <c r="OIU9" s="142" t="s">
        <v>575</v>
      </c>
      <c r="OIV9" s="358" t="s">
        <v>576</v>
      </c>
      <c r="OIW9" s="189" t="s">
        <v>574</v>
      </c>
      <c r="OIX9" s="352" t="s">
        <v>573</v>
      </c>
      <c r="OIY9" s="142" t="s">
        <v>575</v>
      </c>
      <c r="OIZ9" s="358" t="s">
        <v>576</v>
      </c>
      <c r="OJA9" s="189" t="s">
        <v>574</v>
      </c>
      <c r="OJB9" s="352" t="s">
        <v>573</v>
      </c>
      <c r="OJC9" s="142" t="s">
        <v>575</v>
      </c>
      <c r="OJD9" s="358" t="s">
        <v>576</v>
      </c>
      <c r="OJE9" s="189" t="s">
        <v>574</v>
      </c>
      <c r="OJF9" s="352" t="s">
        <v>573</v>
      </c>
      <c r="OJG9" s="142" t="s">
        <v>575</v>
      </c>
      <c r="OJH9" s="358" t="s">
        <v>576</v>
      </c>
      <c r="OJI9" s="189" t="s">
        <v>574</v>
      </c>
      <c r="OJJ9" s="352" t="s">
        <v>573</v>
      </c>
      <c r="OJK9" s="142" t="s">
        <v>575</v>
      </c>
      <c r="OJL9" s="358" t="s">
        <v>576</v>
      </c>
      <c r="OJM9" s="189" t="s">
        <v>574</v>
      </c>
      <c r="OJN9" s="352" t="s">
        <v>573</v>
      </c>
      <c r="OJO9" s="142" t="s">
        <v>575</v>
      </c>
      <c r="OJP9" s="358" t="s">
        <v>576</v>
      </c>
      <c r="OJQ9" s="189" t="s">
        <v>574</v>
      </c>
      <c r="OJR9" s="352" t="s">
        <v>573</v>
      </c>
      <c r="OJS9" s="142" t="s">
        <v>575</v>
      </c>
      <c r="OJT9" s="358" t="s">
        <v>576</v>
      </c>
      <c r="OJU9" s="189" t="s">
        <v>574</v>
      </c>
      <c r="OJV9" s="352" t="s">
        <v>573</v>
      </c>
      <c r="OJW9" s="142" t="s">
        <v>575</v>
      </c>
      <c r="OJX9" s="358" t="s">
        <v>576</v>
      </c>
      <c r="OJY9" s="189" t="s">
        <v>574</v>
      </c>
      <c r="OJZ9" s="352" t="s">
        <v>573</v>
      </c>
      <c r="OKA9" s="142" t="s">
        <v>575</v>
      </c>
      <c r="OKB9" s="358" t="s">
        <v>576</v>
      </c>
      <c r="OKC9" s="189" t="s">
        <v>574</v>
      </c>
      <c r="OKD9" s="352" t="s">
        <v>573</v>
      </c>
      <c r="OKE9" s="142" t="s">
        <v>575</v>
      </c>
      <c r="OKF9" s="358" t="s">
        <v>576</v>
      </c>
      <c r="OKG9" s="189" t="s">
        <v>574</v>
      </c>
      <c r="OKH9" s="352" t="s">
        <v>573</v>
      </c>
      <c r="OKI9" s="142" t="s">
        <v>575</v>
      </c>
      <c r="OKJ9" s="358" t="s">
        <v>576</v>
      </c>
      <c r="OKK9" s="189" t="s">
        <v>574</v>
      </c>
      <c r="OKL9" s="352" t="s">
        <v>573</v>
      </c>
      <c r="OKM9" s="142" t="s">
        <v>575</v>
      </c>
      <c r="OKN9" s="358" t="s">
        <v>576</v>
      </c>
      <c r="OKO9" s="189" t="s">
        <v>574</v>
      </c>
      <c r="OKP9" s="352" t="s">
        <v>573</v>
      </c>
      <c r="OKQ9" s="142" t="s">
        <v>575</v>
      </c>
      <c r="OKR9" s="358" t="s">
        <v>576</v>
      </c>
      <c r="OKS9" s="189" t="s">
        <v>574</v>
      </c>
      <c r="OKT9" s="352" t="s">
        <v>573</v>
      </c>
      <c r="OKU9" s="142" t="s">
        <v>575</v>
      </c>
      <c r="OKV9" s="358" t="s">
        <v>576</v>
      </c>
      <c r="OKW9" s="189" t="s">
        <v>574</v>
      </c>
      <c r="OKX9" s="352" t="s">
        <v>573</v>
      </c>
      <c r="OKY9" s="142" t="s">
        <v>575</v>
      </c>
      <c r="OKZ9" s="358" t="s">
        <v>576</v>
      </c>
      <c r="OLA9" s="189" t="s">
        <v>574</v>
      </c>
      <c r="OLB9" s="352" t="s">
        <v>573</v>
      </c>
      <c r="OLC9" s="142" t="s">
        <v>575</v>
      </c>
      <c r="OLD9" s="358" t="s">
        <v>576</v>
      </c>
      <c r="OLE9" s="189" t="s">
        <v>574</v>
      </c>
      <c r="OLF9" s="352" t="s">
        <v>573</v>
      </c>
      <c r="OLG9" s="142" t="s">
        <v>575</v>
      </c>
      <c r="OLH9" s="358" t="s">
        <v>576</v>
      </c>
      <c r="OLI9" s="189" t="s">
        <v>574</v>
      </c>
      <c r="OLJ9" s="352" t="s">
        <v>573</v>
      </c>
      <c r="OLK9" s="142" t="s">
        <v>575</v>
      </c>
      <c r="OLL9" s="358" t="s">
        <v>576</v>
      </c>
      <c r="OLM9" s="189" t="s">
        <v>574</v>
      </c>
      <c r="OLN9" s="352" t="s">
        <v>573</v>
      </c>
      <c r="OLO9" s="142" t="s">
        <v>575</v>
      </c>
      <c r="OLP9" s="358" t="s">
        <v>576</v>
      </c>
      <c r="OLQ9" s="189" t="s">
        <v>574</v>
      </c>
      <c r="OLR9" s="352" t="s">
        <v>573</v>
      </c>
      <c r="OLS9" s="142" t="s">
        <v>575</v>
      </c>
      <c r="OLT9" s="358" t="s">
        <v>576</v>
      </c>
      <c r="OLU9" s="189" t="s">
        <v>574</v>
      </c>
      <c r="OLV9" s="352" t="s">
        <v>573</v>
      </c>
      <c r="OLW9" s="142" t="s">
        <v>575</v>
      </c>
      <c r="OLX9" s="358" t="s">
        <v>576</v>
      </c>
      <c r="OLY9" s="189" t="s">
        <v>574</v>
      </c>
      <c r="OLZ9" s="352" t="s">
        <v>573</v>
      </c>
      <c r="OMA9" s="142" t="s">
        <v>575</v>
      </c>
      <c r="OMB9" s="358" t="s">
        <v>576</v>
      </c>
      <c r="OMC9" s="189" t="s">
        <v>574</v>
      </c>
      <c r="OMD9" s="352" t="s">
        <v>573</v>
      </c>
      <c r="OME9" s="142" t="s">
        <v>575</v>
      </c>
      <c r="OMF9" s="358" t="s">
        <v>576</v>
      </c>
      <c r="OMG9" s="189" t="s">
        <v>574</v>
      </c>
      <c r="OMH9" s="352" t="s">
        <v>573</v>
      </c>
      <c r="OMI9" s="142" t="s">
        <v>575</v>
      </c>
      <c r="OMJ9" s="358" t="s">
        <v>576</v>
      </c>
      <c r="OMK9" s="189" t="s">
        <v>574</v>
      </c>
      <c r="OML9" s="352" t="s">
        <v>573</v>
      </c>
      <c r="OMM9" s="142" t="s">
        <v>575</v>
      </c>
      <c r="OMN9" s="358" t="s">
        <v>576</v>
      </c>
      <c r="OMO9" s="189" t="s">
        <v>574</v>
      </c>
      <c r="OMP9" s="352" t="s">
        <v>573</v>
      </c>
      <c r="OMQ9" s="142" t="s">
        <v>575</v>
      </c>
      <c r="OMR9" s="358" t="s">
        <v>576</v>
      </c>
      <c r="OMS9" s="189" t="s">
        <v>574</v>
      </c>
      <c r="OMT9" s="352" t="s">
        <v>573</v>
      </c>
      <c r="OMU9" s="142" t="s">
        <v>575</v>
      </c>
      <c r="OMV9" s="358" t="s">
        <v>576</v>
      </c>
      <c r="OMW9" s="189" t="s">
        <v>574</v>
      </c>
      <c r="OMX9" s="352" t="s">
        <v>573</v>
      </c>
      <c r="OMY9" s="142" t="s">
        <v>575</v>
      </c>
      <c r="OMZ9" s="358" t="s">
        <v>576</v>
      </c>
      <c r="ONA9" s="189" t="s">
        <v>574</v>
      </c>
      <c r="ONB9" s="352" t="s">
        <v>573</v>
      </c>
      <c r="ONC9" s="142" t="s">
        <v>575</v>
      </c>
      <c r="OND9" s="358" t="s">
        <v>576</v>
      </c>
      <c r="ONE9" s="189" t="s">
        <v>574</v>
      </c>
      <c r="ONF9" s="352" t="s">
        <v>573</v>
      </c>
      <c r="ONG9" s="142" t="s">
        <v>575</v>
      </c>
      <c r="ONH9" s="358" t="s">
        <v>576</v>
      </c>
      <c r="ONI9" s="189" t="s">
        <v>574</v>
      </c>
      <c r="ONJ9" s="352" t="s">
        <v>573</v>
      </c>
      <c r="ONK9" s="142" t="s">
        <v>575</v>
      </c>
      <c r="ONL9" s="358" t="s">
        <v>576</v>
      </c>
      <c r="ONM9" s="189" t="s">
        <v>574</v>
      </c>
      <c r="ONN9" s="352" t="s">
        <v>573</v>
      </c>
      <c r="ONO9" s="142" t="s">
        <v>575</v>
      </c>
      <c r="ONP9" s="358" t="s">
        <v>576</v>
      </c>
      <c r="ONQ9" s="189" t="s">
        <v>574</v>
      </c>
      <c r="ONR9" s="352" t="s">
        <v>573</v>
      </c>
      <c r="ONS9" s="142" t="s">
        <v>575</v>
      </c>
      <c r="ONT9" s="358" t="s">
        <v>576</v>
      </c>
      <c r="ONU9" s="189" t="s">
        <v>574</v>
      </c>
      <c r="ONV9" s="352" t="s">
        <v>573</v>
      </c>
      <c r="ONW9" s="142" t="s">
        <v>575</v>
      </c>
      <c r="ONX9" s="358" t="s">
        <v>576</v>
      </c>
      <c r="ONY9" s="189" t="s">
        <v>574</v>
      </c>
      <c r="ONZ9" s="352" t="s">
        <v>573</v>
      </c>
      <c r="OOA9" s="142" t="s">
        <v>575</v>
      </c>
      <c r="OOB9" s="358" t="s">
        <v>576</v>
      </c>
      <c r="OOC9" s="189" t="s">
        <v>574</v>
      </c>
      <c r="OOD9" s="352" t="s">
        <v>573</v>
      </c>
      <c r="OOE9" s="142" t="s">
        <v>575</v>
      </c>
      <c r="OOF9" s="358" t="s">
        <v>576</v>
      </c>
      <c r="OOG9" s="189" t="s">
        <v>574</v>
      </c>
      <c r="OOH9" s="352" t="s">
        <v>573</v>
      </c>
      <c r="OOI9" s="142" t="s">
        <v>575</v>
      </c>
      <c r="OOJ9" s="358" t="s">
        <v>576</v>
      </c>
      <c r="OOK9" s="189" t="s">
        <v>574</v>
      </c>
      <c r="OOL9" s="352" t="s">
        <v>573</v>
      </c>
      <c r="OOM9" s="142" t="s">
        <v>575</v>
      </c>
      <c r="OON9" s="358" t="s">
        <v>576</v>
      </c>
      <c r="OOO9" s="189" t="s">
        <v>574</v>
      </c>
      <c r="OOP9" s="352" t="s">
        <v>573</v>
      </c>
      <c r="OOQ9" s="142" t="s">
        <v>575</v>
      </c>
      <c r="OOR9" s="358" t="s">
        <v>576</v>
      </c>
      <c r="OOS9" s="189" t="s">
        <v>574</v>
      </c>
      <c r="OOT9" s="352" t="s">
        <v>573</v>
      </c>
      <c r="OOU9" s="142" t="s">
        <v>575</v>
      </c>
      <c r="OOV9" s="358" t="s">
        <v>576</v>
      </c>
      <c r="OOW9" s="189" t="s">
        <v>574</v>
      </c>
      <c r="OOX9" s="352" t="s">
        <v>573</v>
      </c>
      <c r="OOY9" s="142" t="s">
        <v>575</v>
      </c>
      <c r="OOZ9" s="358" t="s">
        <v>576</v>
      </c>
      <c r="OPA9" s="189" t="s">
        <v>574</v>
      </c>
      <c r="OPB9" s="352" t="s">
        <v>573</v>
      </c>
      <c r="OPC9" s="142" t="s">
        <v>575</v>
      </c>
      <c r="OPD9" s="358" t="s">
        <v>576</v>
      </c>
      <c r="OPE9" s="189" t="s">
        <v>574</v>
      </c>
      <c r="OPF9" s="352" t="s">
        <v>573</v>
      </c>
      <c r="OPG9" s="142" t="s">
        <v>575</v>
      </c>
      <c r="OPH9" s="358" t="s">
        <v>576</v>
      </c>
      <c r="OPI9" s="189" t="s">
        <v>574</v>
      </c>
      <c r="OPJ9" s="352" t="s">
        <v>573</v>
      </c>
      <c r="OPK9" s="142" t="s">
        <v>575</v>
      </c>
      <c r="OPL9" s="358" t="s">
        <v>576</v>
      </c>
      <c r="OPM9" s="189" t="s">
        <v>574</v>
      </c>
      <c r="OPN9" s="352" t="s">
        <v>573</v>
      </c>
      <c r="OPO9" s="142" t="s">
        <v>575</v>
      </c>
      <c r="OPP9" s="358" t="s">
        <v>576</v>
      </c>
      <c r="OPQ9" s="189" t="s">
        <v>574</v>
      </c>
      <c r="OPR9" s="352" t="s">
        <v>573</v>
      </c>
      <c r="OPS9" s="142" t="s">
        <v>575</v>
      </c>
      <c r="OPT9" s="358" t="s">
        <v>576</v>
      </c>
      <c r="OPU9" s="189" t="s">
        <v>574</v>
      </c>
      <c r="OPV9" s="352" t="s">
        <v>573</v>
      </c>
      <c r="OPW9" s="142" t="s">
        <v>575</v>
      </c>
      <c r="OPX9" s="358" t="s">
        <v>576</v>
      </c>
      <c r="OPY9" s="189" t="s">
        <v>574</v>
      </c>
      <c r="OPZ9" s="352" t="s">
        <v>573</v>
      </c>
      <c r="OQA9" s="142" t="s">
        <v>575</v>
      </c>
      <c r="OQB9" s="358" t="s">
        <v>576</v>
      </c>
      <c r="OQC9" s="189" t="s">
        <v>574</v>
      </c>
      <c r="OQD9" s="352" t="s">
        <v>573</v>
      </c>
      <c r="OQE9" s="142" t="s">
        <v>575</v>
      </c>
      <c r="OQF9" s="358" t="s">
        <v>576</v>
      </c>
      <c r="OQG9" s="189" t="s">
        <v>574</v>
      </c>
      <c r="OQH9" s="352" t="s">
        <v>573</v>
      </c>
      <c r="OQI9" s="142" t="s">
        <v>575</v>
      </c>
      <c r="OQJ9" s="358" t="s">
        <v>576</v>
      </c>
      <c r="OQK9" s="189" t="s">
        <v>574</v>
      </c>
      <c r="OQL9" s="352" t="s">
        <v>573</v>
      </c>
      <c r="OQM9" s="142" t="s">
        <v>575</v>
      </c>
      <c r="OQN9" s="358" t="s">
        <v>576</v>
      </c>
      <c r="OQO9" s="189" t="s">
        <v>574</v>
      </c>
      <c r="OQP9" s="352" t="s">
        <v>573</v>
      </c>
      <c r="OQQ9" s="142" t="s">
        <v>575</v>
      </c>
      <c r="OQR9" s="358" t="s">
        <v>576</v>
      </c>
      <c r="OQS9" s="189" t="s">
        <v>574</v>
      </c>
      <c r="OQT9" s="352" t="s">
        <v>573</v>
      </c>
      <c r="OQU9" s="142" t="s">
        <v>575</v>
      </c>
      <c r="OQV9" s="358" t="s">
        <v>576</v>
      </c>
      <c r="OQW9" s="189" t="s">
        <v>574</v>
      </c>
      <c r="OQX9" s="352" t="s">
        <v>573</v>
      </c>
      <c r="OQY9" s="142" t="s">
        <v>575</v>
      </c>
      <c r="OQZ9" s="358" t="s">
        <v>576</v>
      </c>
      <c r="ORA9" s="189" t="s">
        <v>574</v>
      </c>
      <c r="ORB9" s="352" t="s">
        <v>573</v>
      </c>
      <c r="ORC9" s="142" t="s">
        <v>575</v>
      </c>
      <c r="ORD9" s="358" t="s">
        <v>576</v>
      </c>
      <c r="ORE9" s="189" t="s">
        <v>574</v>
      </c>
      <c r="ORF9" s="352" t="s">
        <v>573</v>
      </c>
      <c r="ORG9" s="142" t="s">
        <v>575</v>
      </c>
      <c r="ORH9" s="358" t="s">
        <v>576</v>
      </c>
      <c r="ORI9" s="189" t="s">
        <v>574</v>
      </c>
      <c r="ORJ9" s="352" t="s">
        <v>573</v>
      </c>
      <c r="ORK9" s="142" t="s">
        <v>575</v>
      </c>
      <c r="ORL9" s="358" t="s">
        <v>576</v>
      </c>
      <c r="ORM9" s="189" t="s">
        <v>574</v>
      </c>
      <c r="ORN9" s="352" t="s">
        <v>573</v>
      </c>
      <c r="ORO9" s="142" t="s">
        <v>575</v>
      </c>
      <c r="ORP9" s="358" t="s">
        <v>576</v>
      </c>
      <c r="ORQ9" s="189" t="s">
        <v>574</v>
      </c>
      <c r="ORR9" s="352" t="s">
        <v>573</v>
      </c>
      <c r="ORS9" s="142" t="s">
        <v>575</v>
      </c>
      <c r="ORT9" s="358" t="s">
        <v>576</v>
      </c>
      <c r="ORU9" s="189" t="s">
        <v>574</v>
      </c>
      <c r="ORV9" s="352" t="s">
        <v>573</v>
      </c>
      <c r="ORW9" s="142" t="s">
        <v>575</v>
      </c>
      <c r="ORX9" s="358" t="s">
        <v>576</v>
      </c>
      <c r="ORY9" s="189" t="s">
        <v>574</v>
      </c>
      <c r="ORZ9" s="352" t="s">
        <v>573</v>
      </c>
      <c r="OSA9" s="142" t="s">
        <v>575</v>
      </c>
      <c r="OSB9" s="358" t="s">
        <v>576</v>
      </c>
      <c r="OSC9" s="189" t="s">
        <v>574</v>
      </c>
      <c r="OSD9" s="352" t="s">
        <v>573</v>
      </c>
      <c r="OSE9" s="142" t="s">
        <v>575</v>
      </c>
      <c r="OSF9" s="358" t="s">
        <v>576</v>
      </c>
      <c r="OSG9" s="189" t="s">
        <v>574</v>
      </c>
      <c r="OSH9" s="352" t="s">
        <v>573</v>
      </c>
      <c r="OSI9" s="142" t="s">
        <v>575</v>
      </c>
      <c r="OSJ9" s="358" t="s">
        <v>576</v>
      </c>
      <c r="OSK9" s="189" t="s">
        <v>574</v>
      </c>
      <c r="OSL9" s="352" t="s">
        <v>573</v>
      </c>
      <c r="OSM9" s="142" t="s">
        <v>575</v>
      </c>
      <c r="OSN9" s="358" t="s">
        <v>576</v>
      </c>
      <c r="OSO9" s="189" t="s">
        <v>574</v>
      </c>
      <c r="OSP9" s="352" t="s">
        <v>573</v>
      </c>
      <c r="OSQ9" s="142" t="s">
        <v>575</v>
      </c>
      <c r="OSR9" s="358" t="s">
        <v>576</v>
      </c>
      <c r="OSS9" s="189" t="s">
        <v>574</v>
      </c>
      <c r="OST9" s="352" t="s">
        <v>573</v>
      </c>
      <c r="OSU9" s="142" t="s">
        <v>575</v>
      </c>
      <c r="OSV9" s="358" t="s">
        <v>576</v>
      </c>
      <c r="OSW9" s="189" t="s">
        <v>574</v>
      </c>
      <c r="OSX9" s="352" t="s">
        <v>573</v>
      </c>
      <c r="OSY9" s="142" t="s">
        <v>575</v>
      </c>
      <c r="OSZ9" s="358" t="s">
        <v>576</v>
      </c>
      <c r="OTA9" s="189" t="s">
        <v>574</v>
      </c>
      <c r="OTB9" s="352" t="s">
        <v>573</v>
      </c>
      <c r="OTC9" s="142" t="s">
        <v>575</v>
      </c>
      <c r="OTD9" s="358" t="s">
        <v>576</v>
      </c>
      <c r="OTE9" s="189" t="s">
        <v>574</v>
      </c>
      <c r="OTF9" s="352" t="s">
        <v>573</v>
      </c>
      <c r="OTG9" s="142" t="s">
        <v>575</v>
      </c>
      <c r="OTH9" s="358" t="s">
        <v>576</v>
      </c>
      <c r="OTI9" s="189" t="s">
        <v>574</v>
      </c>
      <c r="OTJ9" s="352" t="s">
        <v>573</v>
      </c>
      <c r="OTK9" s="142" t="s">
        <v>575</v>
      </c>
      <c r="OTL9" s="358" t="s">
        <v>576</v>
      </c>
      <c r="OTM9" s="189" t="s">
        <v>574</v>
      </c>
      <c r="OTN9" s="352" t="s">
        <v>573</v>
      </c>
      <c r="OTO9" s="142" t="s">
        <v>575</v>
      </c>
      <c r="OTP9" s="358" t="s">
        <v>576</v>
      </c>
      <c r="OTQ9" s="189" t="s">
        <v>574</v>
      </c>
      <c r="OTR9" s="352" t="s">
        <v>573</v>
      </c>
      <c r="OTS9" s="142" t="s">
        <v>575</v>
      </c>
      <c r="OTT9" s="358" t="s">
        <v>576</v>
      </c>
      <c r="OTU9" s="189" t="s">
        <v>574</v>
      </c>
      <c r="OTV9" s="352" t="s">
        <v>573</v>
      </c>
      <c r="OTW9" s="142" t="s">
        <v>575</v>
      </c>
      <c r="OTX9" s="358" t="s">
        <v>576</v>
      </c>
      <c r="OTY9" s="189" t="s">
        <v>574</v>
      </c>
      <c r="OTZ9" s="352" t="s">
        <v>573</v>
      </c>
      <c r="OUA9" s="142" t="s">
        <v>575</v>
      </c>
      <c r="OUB9" s="358" t="s">
        <v>576</v>
      </c>
      <c r="OUC9" s="189" t="s">
        <v>574</v>
      </c>
      <c r="OUD9" s="352" t="s">
        <v>573</v>
      </c>
      <c r="OUE9" s="142" t="s">
        <v>575</v>
      </c>
      <c r="OUF9" s="358" t="s">
        <v>576</v>
      </c>
      <c r="OUG9" s="189" t="s">
        <v>574</v>
      </c>
      <c r="OUH9" s="352" t="s">
        <v>573</v>
      </c>
      <c r="OUI9" s="142" t="s">
        <v>575</v>
      </c>
      <c r="OUJ9" s="358" t="s">
        <v>576</v>
      </c>
      <c r="OUK9" s="189" t="s">
        <v>574</v>
      </c>
      <c r="OUL9" s="352" t="s">
        <v>573</v>
      </c>
      <c r="OUM9" s="142" t="s">
        <v>575</v>
      </c>
      <c r="OUN9" s="358" t="s">
        <v>576</v>
      </c>
      <c r="OUO9" s="189" t="s">
        <v>574</v>
      </c>
      <c r="OUP9" s="352" t="s">
        <v>573</v>
      </c>
      <c r="OUQ9" s="142" t="s">
        <v>575</v>
      </c>
      <c r="OUR9" s="358" t="s">
        <v>576</v>
      </c>
      <c r="OUS9" s="189" t="s">
        <v>574</v>
      </c>
      <c r="OUT9" s="352" t="s">
        <v>573</v>
      </c>
      <c r="OUU9" s="142" t="s">
        <v>575</v>
      </c>
      <c r="OUV9" s="358" t="s">
        <v>576</v>
      </c>
      <c r="OUW9" s="189" t="s">
        <v>574</v>
      </c>
      <c r="OUX9" s="352" t="s">
        <v>573</v>
      </c>
      <c r="OUY9" s="142" t="s">
        <v>575</v>
      </c>
      <c r="OUZ9" s="358" t="s">
        <v>576</v>
      </c>
      <c r="OVA9" s="189" t="s">
        <v>574</v>
      </c>
      <c r="OVB9" s="352" t="s">
        <v>573</v>
      </c>
      <c r="OVC9" s="142" t="s">
        <v>575</v>
      </c>
      <c r="OVD9" s="358" t="s">
        <v>576</v>
      </c>
      <c r="OVE9" s="189" t="s">
        <v>574</v>
      </c>
      <c r="OVF9" s="352" t="s">
        <v>573</v>
      </c>
      <c r="OVG9" s="142" t="s">
        <v>575</v>
      </c>
      <c r="OVH9" s="358" t="s">
        <v>576</v>
      </c>
      <c r="OVI9" s="189" t="s">
        <v>574</v>
      </c>
      <c r="OVJ9" s="352" t="s">
        <v>573</v>
      </c>
      <c r="OVK9" s="142" t="s">
        <v>575</v>
      </c>
      <c r="OVL9" s="358" t="s">
        <v>576</v>
      </c>
      <c r="OVM9" s="189" t="s">
        <v>574</v>
      </c>
      <c r="OVN9" s="352" t="s">
        <v>573</v>
      </c>
      <c r="OVO9" s="142" t="s">
        <v>575</v>
      </c>
      <c r="OVP9" s="358" t="s">
        <v>576</v>
      </c>
      <c r="OVQ9" s="189" t="s">
        <v>574</v>
      </c>
      <c r="OVR9" s="352" t="s">
        <v>573</v>
      </c>
      <c r="OVS9" s="142" t="s">
        <v>575</v>
      </c>
      <c r="OVT9" s="358" t="s">
        <v>576</v>
      </c>
      <c r="OVU9" s="189" t="s">
        <v>574</v>
      </c>
      <c r="OVV9" s="352" t="s">
        <v>573</v>
      </c>
      <c r="OVW9" s="142" t="s">
        <v>575</v>
      </c>
      <c r="OVX9" s="358" t="s">
        <v>576</v>
      </c>
      <c r="OVY9" s="189" t="s">
        <v>574</v>
      </c>
      <c r="OVZ9" s="352" t="s">
        <v>573</v>
      </c>
      <c r="OWA9" s="142" t="s">
        <v>575</v>
      </c>
      <c r="OWB9" s="358" t="s">
        <v>576</v>
      </c>
      <c r="OWC9" s="189" t="s">
        <v>574</v>
      </c>
      <c r="OWD9" s="352" t="s">
        <v>573</v>
      </c>
      <c r="OWE9" s="142" t="s">
        <v>575</v>
      </c>
      <c r="OWF9" s="358" t="s">
        <v>576</v>
      </c>
      <c r="OWG9" s="189" t="s">
        <v>574</v>
      </c>
      <c r="OWH9" s="352" t="s">
        <v>573</v>
      </c>
      <c r="OWI9" s="142" t="s">
        <v>575</v>
      </c>
      <c r="OWJ9" s="358" t="s">
        <v>576</v>
      </c>
      <c r="OWK9" s="189" t="s">
        <v>574</v>
      </c>
      <c r="OWL9" s="352" t="s">
        <v>573</v>
      </c>
      <c r="OWM9" s="142" t="s">
        <v>575</v>
      </c>
      <c r="OWN9" s="358" t="s">
        <v>576</v>
      </c>
      <c r="OWO9" s="189" t="s">
        <v>574</v>
      </c>
      <c r="OWP9" s="352" t="s">
        <v>573</v>
      </c>
      <c r="OWQ9" s="142" t="s">
        <v>575</v>
      </c>
      <c r="OWR9" s="358" t="s">
        <v>576</v>
      </c>
      <c r="OWS9" s="189" t="s">
        <v>574</v>
      </c>
      <c r="OWT9" s="352" t="s">
        <v>573</v>
      </c>
      <c r="OWU9" s="142" t="s">
        <v>575</v>
      </c>
      <c r="OWV9" s="358" t="s">
        <v>576</v>
      </c>
      <c r="OWW9" s="189" t="s">
        <v>574</v>
      </c>
      <c r="OWX9" s="352" t="s">
        <v>573</v>
      </c>
      <c r="OWY9" s="142" t="s">
        <v>575</v>
      </c>
      <c r="OWZ9" s="358" t="s">
        <v>576</v>
      </c>
      <c r="OXA9" s="189" t="s">
        <v>574</v>
      </c>
      <c r="OXB9" s="352" t="s">
        <v>573</v>
      </c>
      <c r="OXC9" s="142" t="s">
        <v>575</v>
      </c>
      <c r="OXD9" s="358" t="s">
        <v>576</v>
      </c>
      <c r="OXE9" s="189" t="s">
        <v>574</v>
      </c>
      <c r="OXF9" s="352" t="s">
        <v>573</v>
      </c>
      <c r="OXG9" s="142" t="s">
        <v>575</v>
      </c>
      <c r="OXH9" s="358" t="s">
        <v>576</v>
      </c>
      <c r="OXI9" s="189" t="s">
        <v>574</v>
      </c>
      <c r="OXJ9" s="352" t="s">
        <v>573</v>
      </c>
      <c r="OXK9" s="142" t="s">
        <v>575</v>
      </c>
      <c r="OXL9" s="358" t="s">
        <v>576</v>
      </c>
      <c r="OXM9" s="189" t="s">
        <v>574</v>
      </c>
      <c r="OXN9" s="352" t="s">
        <v>573</v>
      </c>
      <c r="OXO9" s="142" t="s">
        <v>575</v>
      </c>
      <c r="OXP9" s="358" t="s">
        <v>576</v>
      </c>
      <c r="OXQ9" s="189" t="s">
        <v>574</v>
      </c>
      <c r="OXR9" s="352" t="s">
        <v>573</v>
      </c>
      <c r="OXS9" s="142" t="s">
        <v>575</v>
      </c>
      <c r="OXT9" s="358" t="s">
        <v>576</v>
      </c>
      <c r="OXU9" s="189" t="s">
        <v>574</v>
      </c>
      <c r="OXV9" s="352" t="s">
        <v>573</v>
      </c>
      <c r="OXW9" s="142" t="s">
        <v>575</v>
      </c>
      <c r="OXX9" s="358" t="s">
        <v>576</v>
      </c>
      <c r="OXY9" s="189" t="s">
        <v>574</v>
      </c>
      <c r="OXZ9" s="352" t="s">
        <v>573</v>
      </c>
      <c r="OYA9" s="142" t="s">
        <v>575</v>
      </c>
      <c r="OYB9" s="358" t="s">
        <v>576</v>
      </c>
      <c r="OYC9" s="189" t="s">
        <v>574</v>
      </c>
      <c r="OYD9" s="352" t="s">
        <v>573</v>
      </c>
      <c r="OYE9" s="142" t="s">
        <v>575</v>
      </c>
      <c r="OYF9" s="358" t="s">
        <v>576</v>
      </c>
      <c r="OYG9" s="189" t="s">
        <v>574</v>
      </c>
      <c r="OYH9" s="352" t="s">
        <v>573</v>
      </c>
      <c r="OYI9" s="142" t="s">
        <v>575</v>
      </c>
      <c r="OYJ9" s="358" t="s">
        <v>576</v>
      </c>
      <c r="OYK9" s="189" t="s">
        <v>574</v>
      </c>
      <c r="OYL9" s="352" t="s">
        <v>573</v>
      </c>
      <c r="OYM9" s="142" t="s">
        <v>575</v>
      </c>
      <c r="OYN9" s="358" t="s">
        <v>576</v>
      </c>
      <c r="OYO9" s="189" t="s">
        <v>574</v>
      </c>
      <c r="OYP9" s="352" t="s">
        <v>573</v>
      </c>
      <c r="OYQ9" s="142" t="s">
        <v>575</v>
      </c>
      <c r="OYR9" s="358" t="s">
        <v>576</v>
      </c>
      <c r="OYS9" s="189" t="s">
        <v>574</v>
      </c>
      <c r="OYT9" s="352" t="s">
        <v>573</v>
      </c>
      <c r="OYU9" s="142" t="s">
        <v>575</v>
      </c>
      <c r="OYV9" s="358" t="s">
        <v>576</v>
      </c>
      <c r="OYW9" s="189" t="s">
        <v>574</v>
      </c>
      <c r="OYX9" s="352" t="s">
        <v>573</v>
      </c>
      <c r="OYY9" s="142" t="s">
        <v>575</v>
      </c>
      <c r="OYZ9" s="358" t="s">
        <v>576</v>
      </c>
      <c r="OZA9" s="189" t="s">
        <v>574</v>
      </c>
      <c r="OZB9" s="352" t="s">
        <v>573</v>
      </c>
      <c r="OZC9" s="142" t="s">
        <v>575</v>
      </c>
      <c r="OZD9" s="358" t="s">
        <v>576</v>
      </c>
      <c r="OZE9" s="189" t="s">
        <v>574</v>
      </c>
      <c r="OZF9" s="352" t="s">
        <v>573</v>
      </c>
      <c r="OZG9" s="142" t="s">
        <v>575</v>
      </c>
      <c r="OZH9" s="358" t="s">
        <v>576</v>
      </c>
      <c r="OZI9" s="189" t="s">
        <v>574</v>
      </c>
      <c r="OZJ9" s="352" t="s">
        <v>573</v>
      </c>
      <c r="OZK9" s="142" t="s">
        <v>575</v>
      </c>
      <c r="OZL9" s="358" t="s">
        <v>576</v>
      </c>
      <c r="OZM9" s="189" t="s">
        <v>574</v>
      </c>
      <c r="OZN9" s="352" t="s">
        <v>573</v>
      </c>
      <c r="OZO9" s="142" t="s">
        <v>575</v>
      </c>
      <c r="OZP9" s="358" t="s">
        <v>576</v>
      </c>
      <c r="OZQ9" s="189" t="s">
        <v>574</v>
      </c>
      <c r="OZR9" s="352" t="s">
        <v>573</v>
      </c>
      <c r="OZS9" s="142" t="s">
        <v>575</v>
      </c>
      <c r="OZT9" s="358" t="s">
        <v>576</v>
      </c>
      <c r="OZU9" s="189" t="s">
        <v>574</v>
      </c>
      <c r="OZV9" s="352" t="s">
        <v>573</v>
      </c>
      <c r="OZW9" s="142" t="s">
        <v>575</v>
      </c>
      <c r="OZX9" s="358" t="s">
        <v>576</v>
      </c>
      <c r="OZY9" s="189" t="s">
        <v>574</v>
      </c>
      <c r="OZZ9" s="352" t="s">
        <v>573</v>
      </c>
      <c r="PAA9" s="142" t="s">
        <v>575</v>
      </c>
      <c r="PAB9" s="358" t="s">
        <v>576</v>
      </c>
      <c r="PAC9" s="189" t="s">
        <v>574</v>
      </c>
      <c r="PAD9" s="352" t="s">
        <v>573</v>
      </c>
      <c r="PAE9" s="142" t="s">
        <v>575</v>
      </c>
      <c r="PAF9" s="358" t="s">
        <v>576</v>
      </c>
      <c r="PAG9" s="189" t="s">
        <v>574</v>
      </c>
      <c r="PAH9" s="352" t="s">
        <v>573</v>
      </c>
      <c r="PAI9" s="142" t="s">
        <v>575</v>
      </c>
      <c r="PAJ9" s="358" t="s">
        <v>576</v>
      </c>
      <c r="PAK9" s="189" t="s">
        <v>574</v>
      </c>
      <c r="PAL9" s="352" t="s">
        <v>573</v>
      </c>
      <c r="PAM9" s="142" t="s">
        <v>575</v>
      </c>
      <c r="PAN9" s="358" t="s">
        <v>576</v>
      </c>
      <c r="PAO9" s="189" t="s">
        <v>574</v>
      </c>
      <c r="PAP9" s="352" t="s">
        <v>573</v>
      </c>
      <c r="PAQ9" s="142" t="s">
        <v>575</v>
      </c>
      <c r="PAR9" s="358" t="s">
        <v>576</v>
      </c>
      <c r="PAS9" s="189" t="s">
        <v>574</v>
      </c>
      <c r="PAT9" s="352" t="s">
        <v>573</v>
      </c>
      <c r="PAU9" s="142" t="s">
        <v>575</v>
      </c>
      <c r="PAV9" s="358" t="s">
        <v>576</v>
      </c>
      <c r="PAW9" s="189" t="s">
        <v>574</v>
      </c>
      <c r="PAX9" s="352" t="s">
        <v>573</v>
      </c>
      <c r="PAY9" s="142" t="s">
        <v>575</v>
      </c>
      <c r="PAZ9" s="358" t="s">
        <v>576</v>
      </c>
      <c r="PBA9" s="189" t="s">
        <v>574</v>
      </c>
      <c r="PBB9" s="352" t="s">
        <v>573</v>
      </c>
      <c r="PBC9" s="142" t="s">
        <v>575</v>
      </c>
      <c r="PBD9" s="358" t="s">
        <v>576</v>
      </c>
      <c r="PBE9" s="189" t="s">
        <v>574</v>
      </c>
      <c r="PBF9" s="352" t="s">
        <v>573</v>
      </c>
      <c r="PBG9" s="142" t="s">
        <v>575</v>
      </c>
      <c r="PBH9" s="358" t="s">
        <v>576</v>
      </c>
      <c r="PBI9" s="189" t="s">
        <v>574</v>
      </c>
      <c r="PBJ9" s="352" t="s">
        <v>573</v>
      </c>
      <c r="PBK9" s="142" t="s">
        <v>575</v>
      </c>
      <c r="PBL9" s="358" t="s">
        <v>576</v>
      </c>
      <c r="PBM9" s="189" t="s">
        <v>574</v>
      </c>
      <c r="PBN9" s="352" t="s">
        <v>573</v>
      </c>
      <c r="PBO9" s="142" t="s">
        <v>575</v>
      </c>
      <c r="PBP9" s="358" t="s">
        <v>576</v>
      </c>
      <c r="PBQ9" s="189" t="s">
        <v>574</v>
      </c>
      <c r="PBR9" s="352" t="s">
        <v>573</v>
      </c>
      <c r="PBS9" s="142" t="s">
        <v>575</v>
      </c>
      <c r="PBT9" s="358" t="s">
        <v>576</v>
      </c>
      <c r="PBU9" s="189" t="s">
        <v>574</v>
      </c>
      <c r="PBV9" s="352" t="s">
        <v>573</v>
      </c>
      <c r="PBW9" s="142" t="s">
        <v>575</v>
      </c>
      <c r="PBX9" s="358" t="s">
        <v>576</v>
      </c>
      <c r="PBY9" s="189" t="s">
        <v>574</v>
      </c>
      <c r="PBZ9" s="352" t="s">
        <v>573</v>
      </c>
      <c r="PCA9" s="142" t="s">
        <v>575</v>
      </c>
      <c r="PCB9" s="358" t="s">
        <v>576</v>
      </c>
      <c r="PCC9" s="189" t="s">
        <v>574</v>
      </c>
      <c r="PCD9" s="352" t="s">
        <v>573</v>
      </c>
      <c r="PCE9" s="142" t="s">
        <v>575</v>
      </c>
      <c r="PCF9" s="358" t="s">
        <v>576</v>
      </c>
      <c r="PCG9" s="189" t="s">
        <v>574</v>
      </c>
      <c r="PCH9" s="352" t="s">
        <v>573</v>
      </c>
      <c r="PCI9" s="142" t="s">
        <v>575</v>
      </c>
      <c r="PCJ9" s="358" t="s">
        <v>576</v>
      </c>
      <c r="PCK9" s="189" t="s">
        <v>574</v>
      </c>
      <c r="PCL9" s="352" t="s">
        <v>573</v>
      </c>
      <c r="PCM9" s="142" t="s">
        <v>575</v>
      </c>
      <c r="PCN9" s="358" t="s">
        <v>576</v>
      </c>
      <c r="PCO9" s="189" t="s">
        <v>574</v>
      </c>
      <c r="PCP9" s="352" t="s">
        <v>573</v>
      </c>
      <c r="PCQ9" s="142" t="s">
        <v>575</v>
      </c>
      <c r="PCR9" s="358" t="s">
        <v>576</v>
      </c>
      <c r="PCS9" s="189" t="s">
        <v>574</v>
      </c>
      <c r="PCT9" s="352" t="s">
        <v>573</v>
      </c>
      <c r="PCU9" s="142" t="s">
        <v>575</v>
      </c>
      <c r="PCV9" s="358" t="s">
        <v>576</v>
      </c>
      <c r="PCW9" s="189" t="s">
        <v>574</v>
      </c>
      <c r="PCX9" s="352" t="s">
        <v>573</v>
      </c>
      <c r="PCY9" s="142" t="s">
        <v>575</v>
      </c>
      <c r="PCZ9" s="358" t="s">
        <v>576</v>
      </c>
      <c r="PDA9" s="189" t="s">
        <v>574</v>
      </c>
      <c r="PDB9" s="352" t="s">
        <v>573</v>
      </c>
      <c r="PDC9" s="142" t="s">
        <v>575</v>
      </c>
      <c r="PDD9" s="358" t="s">
        <v>576</v>
      </c>
      <c r="PDE9" s="189" t="s">
        <v>574</v>
      </c>
      <c r="PDF9" s="352" t="s">
        <v>573</v>
      </c>
      <c r="PDG9" s="142" t="s">
        <v>575</v>
      </c>
      <c r="PDH9" s="358" t="s">
        <v>576</v>
      </c>
      <c r="PDI9" s="189" t="s">
        <v>574</v>
      </c>
      <c r="PDJ9" s="352" t="s">
        <v>573</v>
      </c>
      <c r="PDK9" s="142" t="s">
        <v>575</v>
      </c>
      <c r="PDL9" s="358" t="s">
        <v>576</v>
      </c>
      <c r="PDM9" s="189" t="s">
        <v>574</v>
      </c>
      <c r="PDN9" s="352" t="s">
        <v>573</v>
      </c>
      <c r="PDO9" s="142" t="s">
        <v>575</v>
      </c>
      <c r="PDP9" s="358" t="s">
        <v>576</v>
      </c>
      <c r="PDQ9" s="189" t="s">
        <v>574</v>
      </c>
      <c r="PDR9" s="352" t="s">
        <v>573</v>
      </c>
      <c r="PDS9" s="142" t="s">
        <v>575</v>
      </c>
      <c r="PDT9" s="358" t="s">
        <v>576</v>
      </c>
      <c r="PDU9" s="189" t="s">
        <v>574</v>
      </c>
      <c r="PDV9" s="352" t="s">
        <v>573</v>
      </c>
      <c r="PDW9" s="142" t="s">
        <v>575</v>
      </c>
      <c r="PDX9" s="358" t="s">
        <v>576</v>
      </c>
      <c r="PDY9" s="189" t="s">
        <v>574</v>
      </c>
      <c r="PDZ9" s="352" t="s">
        <v>573</v>
      </c>
      <c r="PEA9" s="142" t="s">
        <v>575</v>
      </c>
      <c r="PEB9" s="358" t="s">
        <v>576</v>
      </c>
      <c r="PEC9" s="189" t="s">
        <v>574</v>
      </c>
      <c r="PED9" s="352" t="s">
        <v>573</v>
      </c>
      <c r="PEE9" s="142" t="s">
        <v>575</v>
      </c>
      <c r="PEF9" s="358" t="s">
        <v>576</v>
      </c>
      <c r="PEG9" s="189" t="s">
        <v>574</v>
      </c>
      <c r="PEH9" s="352" t="s">
        <v>573</v>
      </c>
      <c r="PEI9" s="142" t="s">
        <v>575</v>
      </c>
      <c r="PEJ9" s="358" t="s">
        <v>576</v>
      </c>
      <c r="PEK9" s="189" t="s">
        <v>574</v>
      </c>
      <c r="PEL9" s="352" t="s">
        <v>573</v>
      </c>
      <c r="PEM9" s="142" t="s">
        <v>575</v>
      </c>
      <c r="PEN9" s="358" t="s">
        <v>576</v>
      </c>
      <c r="PEO9" s="189" t="s">
        <v>574</v>
      </c>
      <c r="PEP9" s="352" t="s">
        <v>573</v>
      </c>
      <c r="PEQ9" s="142" t="s">
        <v>575</v>
      </c>
      <c r="PER9" s="358" t="s">
        <v>576</v>
      </c>
      <c r="PES9" s="189" t="s">
        <v>574</v>
      </c>
      <c r="PET9" s="352" t="s">
        <v>573</v>
      </c>
      <c r="PEU9" s="142" t="s">
        <v>575</v>
      </c>
      <c r="PEV9" s="358" t="s">
        <v>576</v>
      </c>
      <c r="PEW9" s="189" t="s">
        <v>574</v>
      </c>
      <c r="PEX9" s="352" t="s">
        <v>573</v>
      </c>
      <c r="PEY9" s="142" t="s">
        <v>575</v>
      </c>
      <c r="PEZ9" s="358" t="s">
        <v>576</v>
      </c>
      <c r="PFA9" s="189" t="s">
        <v>574</v>
      </c>
      <c r="PFB9" s="352" t="s">
        <v>573</v>
      </c>
      <c r="PFC9" s="142" t="s">
        <v>575</v>
      </c>
      <c r="PFD9" s="358" t="s">
        <v>576</v>
      </c>
      <c r="PFE9" s="189" t="s">
        <v>574</v>
      </c>
      <c r="PFF9" s="352" t="s">
        <v>573</v>
      </c>
      <c r="PFG9" s="142" t="s">
        <v>575</v>
      </c>
      <c r="PFH9" s="358" t="s">
        <v>576</v>
      </c>
      <c r="PFI9" s="189" t="s">
        <v>574</v>
      </c>
      <c r="PFJ9" s="352" t="s">
        <v>573</v>
      </c>
      <c r="PFK9" s="142" t="s">
        <v>575</v>
      </c>
      <c r="PFL9" s="358" t="s">
        <v>576</v>
      </c>
      <c r="PFM9" s="189" t="s">
        <v>574</v>
      </c>
      <c r="PFN9" s="352" t="s">
        <v>573</v>
      </c>
      <c r="PFO9" s="142" t="s">
        <v>575</v>
      </c>
      <c r="PFP9" s="358" t="s">
        <v>576</v>
      </c>
      <c r="PFQ9" s="189" t="s">
        <v>574</v>
      </c>
      <c r="PFR9" s="352" t="s">
        <v>573</v>
      </c>
      <c r="PFS9" s="142" t="s">
        <v>575</v>
      </c>
      <c r="PFT9" s="358" t="s">
        <v>576</v>
      </c>
      <c r="PFU9" s="189" t="s">
        <v>574</v>
      </c>
      <c r="PFV9" s="352" t="s">
        <v>573</v>
      </c>
      <c r="PFW9" s="142" t="s">
        <v>575</v>
      </c>
      <c r="PFX9" s="358" t="s">
        <v>576</v>
      </c>
      <c r="PFY9" s="189" t="s">
        <v>574</v>
      </c>
      <c r="PFZ9" s="352" t="s">
        <v>573</v>
      </c>
      <c r="PGA9" s="142" t="s">
        <v>575</v>
      </c>
      <c r="PGB9" s="358" t="s">
        <v>576</v>
      </c>
      <c r="PGC9" s="189" t="s">
        <v>574</v>
      </c>
      <c r="PGD9" s="352" t="s">
        <v>573</v>
      </c>
      <c r="PGE9" s="142" t="s">
        <v>575</v>
      </c>
      <c r="PGF9" s="358" t="s">
        <v>576</v>
      </c>
      <c r="PGG9" s="189" t="s">
        <v>574</v>
      </c>
      <c r="PGH9" s="352" t="s">
        <v>573</v>
      </c>
      <c r="PGI9" s="142" t="s">
        <v>575</v>
      </c>
      <c r="PGJ9" s="358" t="s">
        <v>576</v>
      </c>
      <c r="PGK9" s="189" t="s">
        <v>574</v>
      </c>
      <c r="PGL9" s="352" t="s">
        <v>573</v>
      </c>
      <c r="PGM9" s="142" t="s">
        <v>575</v>
      </c>
      <c r="PGN9" s="358" t="s">
        <v>576</v>
      </c>
      <c r="PGO9" s="189" t="s">
        <v>574</v>
      </c>
      <c r="PGP9" s="352" t="s">
        <v>573</v>
      </c>
      <c r="PGQ9" s="142" t="s">
        <v>575</v>
      </c>
      <c r="PGR9" s="358" t="s">
        <v>576</v>
      </c>
      <c r="PGS9" s="189" t="s">
        <v>574</v>
      </c>
      <c r="PGT9" s="352" t="s">
        <v>573</v>
      </c>
      <c r="PGU9" s="142" t="s">
        <v>575</v>
      </c>
      <c r="PGV9" s="358" t="s">
        <v>576</v>
      </c>
      <c r="PGW9" s="189" t="s">
        <v>574</v>
      </c>
      <c r="PGX9" s="352" t="s">
        <v>573</v>
      </c>
      <c r="PGY9" s="142" t="s">
        <v>575</v>
      </c>
      <c r="PGZ9" s="358" t="s">
        <v>576</v>
      </c>
      <c r="PHA9" s="189" t="s">
        <v>574</v>
      </c>
      <c r="PHB9" s="352" t="s">
        <v>573</v>
      </c>
      <c r="PHC9" s="142" t="s">
        <v>575</v>
      </c>
      <c r="PHD9" s="358" t="s">
        <v>576</v>
      </c>
      <c r="PHE9" s="189" t="s">
        <v>574</v>
      </c>
      <c r="PHF9" s="352" t="s">
        <v>573</v>
      </c>
      <c r="PHG9" s="142" t="s">
        <v>575</v>
      </c>
      <c r="PHH9" s="358" t="s">
        <v>576</v>
      </c>
      <c r="PHI9" s="189" t="s">
        <v>574</v>
      </c>
      <c r="PHJ9" s="352" t="s">
        <v>573</v>
      </c>
      <c r="PHK9" s="142" t="s">
        <v>575</v>
      </c>
      <c r="PHL9" s="358" t="s">
        <v>576</v>
      </c>
      <c r="PHM9" s="189" t="s">
        <v>574</v>
      </c>
      <c r="PHN9" s="352" t="s">
        <v>573</v>
      </c>
      <c r="PHO9" s="142" t="s">
        <v>575</v>
      </c>
      <c r="PHP9" s="358" t="s">
        <v>576</v>
      </c>
      <c r="PHQ9" s="189" t="s">
        <v>574</v>
      </c>
      <c r="PHR9" s="352" t="s">
        <v>573</v>
      </c>
      <c r="PHS9" s="142" t="s">
        <v>575</v>
      </c>
      <c r="PHT9" s="358" t="s">
        <v>576</v>
      </c>
      <c r="PHU9" s="189" t="s">
        <v>574</v>
      </c>
      <c r="PHV9" s="352" t="s">
        <v>573</v>
      </c>
      <c r="PHW9" s="142" t="s">
        <v>575</v>
      </c>
      <c r="PHX9" s="358" t="s">
        <v>576</v>
      </c>
      <c r="PHY9" s="189" t="s">
        <v>574</v>
      </c>
      <c r="PHZ9" s="352" t="s">
        <v>573</v>
      </c>
      <c r="PIA9" s="142" t="s">
        <v>575</v>
      </c>
      <c r="PIB9" s="358" t="s">
        <v>576</v>
      </c>
      <c r="PIC9" s="189" t="s">
        <v>574</v>
      </c>
      <c r="PID9" s="352" t="s">
        <v>573</v>
      </c>
      <c r="PIE9" s="142" t="s">
        <v>575</v>
      </c>
      <c r="PIF9" s="358" t="s">
        <v>576</v>
      </c>
      <c r="PIG9" s="189" t="s">
        <v>574</v>
      </c>
      <c r="PIH9" s="352" t="s">
        <v>573</v>
      </c>
      <c r="PII9" s="142" t="s">
        <v>575</v>
      </c>
      <c r="PIJ9" s="358" t="s">
        <v>576</v>
      </c>
      <c r="PIK9" s="189" t="s">
        <v>574</v>
      </c>
      <c r="PIL9" s="352" t="s">
        <v>573</v>
      </c>
      <c r="PIM9" s="142" t="s">
        <v>575</v>
      </c>
      <c r="PIN9" s="358" t="s">
        <v>576</v>
      </c>
      <c r="PIO9" s="189" t="s">
        <v>574</v>
      </c>
      <c r="PIP9" s="352" t="s">
        <v>573</v>
      </c>
      <c r="PIQ9" s="142" t="s">
        <v>575</v>
      </c>
      <c r="PIR9" s="358" t="s">
        <v>576</v>
      </c>
      <c r="PIS9" s="189" t="s">
        <v>574</v>
      </c>
      <c r="PIT9" s="352" t="s">
        <v>573</v>
      </c>
      <c r="PIU9" s="142" t="s">
        <v>575</v>
      </c>
      <c r="PIV9" s="358" t="s">
        <v>576</v>
      </c>
      <c r="PIW9" s="189" t="s">
        <v>574</v>
      </c>
      <c r="PIX9" s="352" t="s">
        <v>573</v>
      </c>
      <c r="PIY9" s="142" t="s">
        <v>575</v>
      </c>
      <c r="PIZ9" s="358" t="s">
        <v>576</v>
      </c>
      <c r="PJA9" s="189" t="s">
        <v>574</v>
      </c>
      <c r="PJB9" s="352" t="s">
        <v>573</v>
      </c>
      <c r="PJC9" s="142" t="s">
        <v>575</v>
      </c>
      <c r="PJD9" s="358" t="s">
        <v>576</v>
      </c>
      <c r="PJE9" s="189" t="s">
        <v>574</v>
      </c>
      <c r="PJF9" s="352" t="s">
        <v>573</v>
      </c>
      <c r="PJG9" s="142" t="s">
        <v>575</v>
      </c>
      <c r="PJH9" s="358" t="s">
        <v>576</v>
      </c>
      <c r="PJI9" s="189" t="s">
        <v>574</v>
      </c>
      <c r="PJJ9" s="352" t="s">
        <v>573</v>
      </c>
      <c r="PJK9" s="142" t="s">
        <v>575</v>
      </c>
      <c r="PJL9" s="358" t="s">
        <v>576</v>
      </c>
      <c r="PJM9" s="189" t="s">
        <v>574</v>
      </c>
      <c r="PJN9" s="352" t="s">
        <v>573</v>
      </c>
      <c r="PJO9" s="142" t="s">
        <v>575</v>
      </c>
      <c r="PJP9" s="358" t="s">
        <v>576</v>
      </c>
      <c r="PJQ9" s="189" t="s">
        <v>574</v>
      </c>
      <c r="PJR9" s="352" t="s">
        <v>573</v>
      </c>
      <c r="PJS9" s="142" t="s">
        <v>575</v>
      </c>
      <c r="PJT9" s="358" t="s">
        <v>576</v>
      </c>
      <c r="PJU9" s="189" t="s">
        <v>574</v>
      </c>
      <c r="PJV9" s="352" t="s">
        <v>573</v>
      </c>
      <c r="PJW9" s="142" t="s">
        <v>575</v>
      </c>
      <c r="PJX9" s="358" t="s">
        <v>576</v>
      </c>
      <c r="PJY9" s="189" t="s">
        <v>574</v>
      </c>
      <c r="PJZ9" s="352" t="s">
        <v>573</v>
      </c>
      <c r="PKA9" s="142" t="s">
        <v>575</v>
      </c>
      <c r="PKB9" s="358" t="s">
        <v>576</v>
      </c>
      <c r="PKC9" s="189" t="s">
        <v>574</v>
      </c>
      <c r="PKD9" s="352" t="s">
        <v>573</v>
      </c>
      <c r="PKE9" s="142" t="s">
        <v>575</v>
      </c>
      <c r="PKF9" s="358" t="s">
        <v>576</v>
      </c>
      <c r="PKG9" s="189" t="s">
        <v>574</v>
      </c>
      <c r="PKH9" s="352" t="s">
        <v>573</v>
      </c>
      <c r="PKI9" s="142" t="s">
        <v>575</v>
      </c>
      <c r="PKJ9" s="358" t="s">
        <v>576</v>
      </c>
      <c r="PKK9" s="189" t="s">
        <v>574</v>
      </c>
      <c r="PKL9" s="352" t="s">
        <v>573</v>
      </c>
      <c r="PKM9" s="142" t="s">
        <v>575</v>
      </c>
      <c r="PKN9" s="358" t="s">
        <v>576</v>
      </c>
      <c r="PKO9" s="189" t="s">
        <v>574</v>
      </c>
      <c r="PKP9" s="352" t="s">
        <v>573</v>
      </c>
      <c r="PKQ9" s="142" t="s">
        <v>575</v>
      </c>
      <c r="PKR9" s="358" t="s">
        <v>576</v>
      </c>
      <c r="PKS9" s="189" t="s">
        <v>574</v>
      </c>
      <c r="PKT9" s="352" t="s">
        <v>573</v>
      </c>
      <c r="PKU9" s="142" t="s">
        <v>575</v>
      </c>
      <c r="PKV9" s="358" t="s">
        <v>576</v>
      </c>
      <c r="PKW9" s="189" t="s">
        <v>574</v>
      </c>
      <c r="PKX9" s="352" t="s">
        <v>573</v>
      </c>
      <c r="PKY9" s="142" t="s">
        <v>575</v>
      </c>
      <c r="PKZ9" s="358" t="s">
        <v>576</v>
      </c>
      <c r="PLA9" s="189" t="s">
        <v>574</v>
      </c>
      <c r="PLB9" s="352" t="s">
        <v>573</v>
      </c>
      <c r="PLC9" s="142" t="s">
        <v>575</v>
      </c>
      <c r="PLD9" s="358" t="s">
        <v>576</v>
      </c>
      <c r="PLE9" s="189" t="s">
        <v>574</v>
      </c>
      <c r="PLF9" s="352" t="s">
        <v>573</v>
      </c>
      <c r="PLG9" s="142" t="s">
        <v>575</v>
      </c>
      <c r="PLH9" s="358" t="s">
        <v>576</v>
      </c>
      <c r="PLI9" s="189" t="s">
        <v>574</v>
      </c>
      <c r="PLJ9" s="352" t="s">
        <v>573</v>
      </c>
      <c r="PLK9" s="142" t="s">
        <v>575</v>
      </c>
      <c r="PLL9" s="358" t="s">
        <v>576</v>
      </c>
      <c r="PLM9" s="189" t="s">
        <v>574</v>
      </c>
      <c r="PLN9" s="352" t="s">
        <v>573</v>
      </c>
      <c r="PLO9" s="142" t="s">
        <v>575</v>
      </c>
      <c r="PLP9" s="358" t="s">
        <v>576</v>
      </c>
      <c r="PLQ9" s="189" t="s">
        <v>574</v>
      </c>
      <c r="PLR9" s="352" t="s">
        <v>573</v>
      </c>
      <c r="PLS9" s="142" t="s">
        <v>575</v>
      </c>
      <c r="PLT9" s="358" t="s">
        <v>576</v>
      </c>
      <c r="PLU9" s="189" t="s">
        <v>574</v>
      </c>
      <c r="PLV9" s="352" t="s">
        <v>573</v>
      </c>
      <c r="PLW9" s="142" t="s">
        <v>575</v>
      </c>
      <c r="PLX9" s="358" t="s">
        <v>576</v>
      </c>
      <c r="PLY9" s="189" t="s">
        <v>574</v>
      </c>
      <c r="PLZ9" s="352" t="s">
        <v>573</v>
      </c>
      <c r="PMA9" s="142" t="s">
        <v>575</v>
      </c>
      <c r="PMB9" s="358" t="s">
        <v>576</v>
      </c>
      <c r="PMC9" s="189" t="s">
        <v>574</v>
      </c>
      <c r="PMD9" s="352" t="s">
        <v>573</v>
      </c>
      <c r="PME9" s="142" t="s">
        <v>575</v>
      </c>
      <c r="PMF9" s="358" t="s">
        <v>576</v>
      </c>
      <c r="PMG9" s="189" t="s">
        <v>574</v>
      </c>
      <c r="PMH9" s="352" t="s">
        <v>573</v>
      </c>
      <c r="PMI9" s="142" t="s">
        <v>575</v>
      </c>
      <c r="PMJ9" s="358" t="s">
        <v>576</v>
      </c>
      <c r="PMK9" s="189" t="s">
        <v>574</v>
      </c>
      <c r="PML9" s="352" t="s">
        <v>573</v>
      </c>
      <c r="PMM9" s="142" t="s">
        <v>575</v>
      </c>
      <c r="PMN9" s="358" t="s">
        <v>576</v>
      </c>
      <c r="PMO9" s="189" t="s">
        <v>574</v>
      </c>
      <c r="PMP9" s="352" t="s">
        <v>573</v>
      </c>
      <c r="PMQ9" s="142" t="s">
        <v>575</v>
      </c>
      <c r="PMR9" s="358" t="s">
        <v>576</v>
      </c>
      <c r="PMS9" s="189" t="s">
        <v>574</v>
      </c>
      <c r="PMT9" s="352" t="s">
        <v>573</v>
      </c>
      <c r="PMU9" s="142" t="s">
        <v>575</v>
      </c>
      <c r="PMV9" s="358" t="s">
        <v>576</v>
      </c>
      <c r="PMW9" s="189" t="s">
        <v>574</v>
      </c>
      <c r="PMX9" s="352" t="s">
        <v>573</v>
      </c>
      <c r="PMY9" s="142" t="s">
        <v>575</v>
      </c>
      <c r="PMZ9" s="358" t="s">
        <v>576</v>
      </c>
      <c r="PNA9" s="189" t="s">
        <v>574</v>
      </c>
      <c r="PNB9" s="352" t="s">
        <v>573</v>
      </c>
      <c r="PNC9" s="142" t="s">
        <v>575</v>
      </c>
      <c r="PND9" s="358" t="s">
        <v>576</v>
      </c>
      <c r="PNE9" s="189" t="s">
        <v>574</v>
      </c>
      <c r="PNF9" s="352" t="s">
        <v>573</v>
      </c>
      <c r="PNG9" s="142" t="s">
        <v>575</v>
      </c>
      <c r="PNH9" s="358" t="s">
        <v>576</v>
      </c>
      <c r="PNI9" s="189" t="s">
        <v>574</v>
      </c>
      <c r="PNJ9" s="352" t="s">
        <v>573</v>
      </c>
      <c r="PNK9" s="142" t="s">
        <v>575</v>
      </c>
      <c r="PNL9" s="358" t="s">
        <v>576</v>
      </c>
      <c r="PNM9" s="189" t="s">
        <v>574</v>
      </c>
      <c r="PNN9" s="352" t="s">
        <v>573</v>
      </c>
      <c r="PNO9" s="142" t="s">
        <v>575</v>
      </c>
      <c r="PNP9" s="358" t="s">
        <v>576</v>
      </c>
      <c r="PNQ9" s="189" t="s">
        <v>574</v>
      </c>
      <c r="PNR9" s="352" t="s">
        <v>573</v>
      </c>
      <c r="PNS9" s="142" t="s">
        <v>575</v>
      </c>
      <c r="PNT9" s="358" t="s">
        <v>576</v>
      </c>
      <c r="PNU9" s="189" t="s">
        <v>574</v>
      </c>
      <c r="PNV9" s="352" t="s">
        <v>573</v>
      </c>
      <c r="PNW9" s="142" t="s">
        <v>575</v>
      </c>
      <c r="PNX9" s="358" t="s">
        <v>576</v>
      </c>
      <c r="PNY9" s="189" t="s">
        <v>574</v>
      </c>
      <c r="PNZ9" s="352" t="s">
        <v>573</v>
      </c>
      <c r="POA9" s="142" t="s">
        <v>575</v>
      </c>
      <c r="POB9" s="358" t="s">
        <v>576</v>
      </c>
      <c r="POC9" s="189" t="s">
        <v>574</v>
      </c>
      <c r="POD9" s="352" t="s">
        <v>573</v>
      </c>
      <c r="POE9" s="142" t="s">
        <v>575</v>
      </c>
      <c r="POF9" s="358" t="s">
        <v>576</v>
      </c>
      <c r="POG9" s="189" t="s">
        <v>574</v>
      </c>
      <c r="POH9" s="352" t="s">
        <v>573</v>
      </c>
      <c r="POI9" s="142" t="s">
        <v>575</v>
      </c>
      <c r="POJ9" s="358" t="s">
        <v>576</v>
      </c>
      <c r="POK9" s="189" t="s">
        <v>574</v>
      </c>
      <c r="POL9" s="352" t="s">
        <v>573</v>
      </c>
      <c r="POM9" s="142" t="s">
        <v>575</v>
      </c>
      <c r="PON9" s="358" t="s">
        <v>576</v>
      </c>
      <c r="POO9" s="189" t="s">
        <v>574</v>
      </c>
      <c r="POP9" s="352" t="s">
        <v>573</v>
      </c>
      <c r="POQ9" s="142" t="s">
        <v>575</v>
      </c>
      <c r="POR9" s="358" t="s">
        <v>576</v>
      </c>
      <c r="POS9" s="189" t="s">
        <v>574</v>
      </c>
      <c r="POT9" s="352" t="s">
        <v>573</v>
      </c>
      <c r="POU9" s="142" t="s">
        <v>575</v>
      </c>
      <c r="POV9" s="358" t="s">
        <v>576</v>
      </c>
      <c r="POW9" s="189" t="s">
        <v>574</v>
      </c>
      <c r="POX9" s="352" t="s">
        <v>573</v>
      </c>
      <c r="POY9" s="142" t="s">
        <v>575</v>
      </c>
      <c r="POZ9" s="358" t="s">
        <v>576</v>
      </c>
      <c r="PPA9" s="189" t="s">
        <v>574</v>
      </c>
      <c r="PPB9" s="352" t="s">
        <v>573</v>
      </c>
      <c r="PPC9" s="142" t="s">
        <v>575</v>
      </c>
      <c r="PPD9" s="358" t="s">
        <v>576</v>
      </c>
      <c r="PPE9" s="189" t="s">
        <v>574</v>
      </c>
      <c r="PPF9" s="352" t="s">
        <v>573</v>
      </c>
      <c r="PPG9" s="142" t="s">
        <v>575</v>
      </c>
      <c r="PPH9" s="358" t="s">
        <v>576</v>
      </c>
      <c r="PPI9" s="189" t="s">
        <v>574</v>
      </c>
      <c r="PPJ9" s="352" t="s">
        <v>573</v>
      </c>
      <c r="PPK9" s="142" t="s">
        <v>575</v>
      </c>
      <c r="PPL9" s="358" t="s">
        <v>576</v>
      </c>
      <c r="PPM9" s="189" t="s">
        <v>574</v>
      </c>
      <c r="PPN9" s="352" t="s">
        <v>573</v>
      </c>
      <c r="PPO9" s="142" t="s">
        <v>575</v>
      </c>
      <c r="PPP9" s="358" t="s">
        <v>576</v>
      </c>
      <c r="PPQ9" s="189" t="s">
        <v>574</v>
      </c>
      <c r="PPR9" s="352" t="s">
        <v>573</v>
      </c>
      <c r="PPS9" s="142" t="s">
        <v>575</v>
      </c>
      <c r="PPT9" s="358" t="s">
        <v>576</v>
      </c>
      <c r="PPU9" s="189" t="s">
        <v>574</v>
      </c>
      <c r="PPV9" s="352" t="s">
        <v>573</v>
      </c>
      <c r="PPW9" s="142" t="s">
        <v>575</v>
      </c>
      <c r="PPX9" s="358" t="s">
        <v>576</v>
      </c>
      <c r="PPY9" s="189" t="s">
        <v>574</v>
      </c>
      <c r="PPZ9" s="352" t="s">
        <v>573</v>
      </c>
      <c r="PQA9" s="142" t="s">
        <v>575</v>
      </c>
      <c r="PQB9" s="358" t="s">
        <v>576</v>
      </c>
      <c r="PQC9" s="189" t="s">
        <v>574</v>
      </c>
      <c r="PQD9" s="352" t="s">
        <v>573</v>
      </c>
      <c r="PQE9" s="142" t="s">
        <v>575</v>
      </c>
      <c r="PQF9" s="358" t="s">
        <v>576</v>
      </c>
      <c r="PQG9" s="189" t="s">
        <v>574</v>
      </c>
      <c r="PQH9" s="352" t="s">
        <v>573</v>
      </c>
      <c r="PQI9" s="142" t="s">
        <v>575</v>
      </c>
      <c r="PQJ9" s="358" t="s">
        <v>576</v>
      </c>
      <c r="PQK9" s="189" t="s">
        <v>574</v>
      </c>
      <c r="PQL9" s="352" t="s">
        <v>573</v>
      </c>
      <c r="PQM9" s="142" t="s">
        <v>575</v>
      </c>
      <c r="PQN9" s="358" t="s">
        <v>576</v>
      </c>
      <c r="PQO9" s="189" t="s">
        <v>574</v>
      </c>
      <c r="PQP9" s="352" t="s">
        <v>573</v>
      </c>
      <c r="PQQ9" s="142" t="s">
        <v>575</v>
      </c>
      <c r="PQR9" s="358" t="s">
        <v>576</v>
      </c>
      <c r="PQS9" s="189" t="s">
        <v>574</v>
      </c>
      <c r="PQT9" s="352" t="s">
        <v>573</v>
      </c>
      <c r="PQU9" s="142" t="s">
        <v>575</v>
      </c>
      <c r="PQV9" s="358" t="s">
        <v>576</v>
      </c>
      <c r="PQW9" s="189" t="s">
        <v>574</v>
      </c>
      <c r="PQX9" s="352" t="s">
        <v>573</v>
      </c>
      <c r="PQY9" s="142" t="s">
        <v>575</v>
      </c>
      <c r="PQZ9" s="358" t="s">
        <v>576</v>
      </c>
      <c r="PRA9" s="189" t="s">
        <v>574</v>
      </c>
      <c r="PRB9" s="352" t="s">
        <v>573</v>
      </c>
      <c r="PRC9" s="142" t="s">
        <v>575</v>
      </c>
      <c r="PRD9" s="358" t="s">
        <v>576</v>
      </c>
      <c r="PRE9" s="189" t="s">
        <v>574</v>
      </c>
      <c r="PRF9" s="352" t="s">
        <v>573</v>
      </c>
      <c r="PRG9" s="142" t="s">
        <v>575</v>
      </c>
      <c r="PRH9" s="358" t="s">
        <v>576</v>
      </c>
      <c r="PRI9" s="189" t="s">
        <v>574</v>
      </c>
      <c r="PRJ9" s="352" t="s">
        <v>573</v>
      </c>
      <c r="PRK9" s="142" t="s">
        <v>575</v>
      </c>
      <c r="PRL9" s="358" t="s">
        <v>576</v>
      </c>
      <c r="PRM9" s="189" t="s">
        <v>574</v>
      </c>
      <c r="PRN9" s="352" t="s">
        <v>573</v>
      </c>
      <c r="PRO9" s="142" t="s">
        <v>575</v>
      </c>
      <c r="PRP9" s="358" t="s">
        <v>576</v>
      </c>
      <c r="PRQ9" s="189" t="s">
        <v>574</v>
      </c>
      <c r="PRR9" s="352" t="s">
        <v>573</v>
      </c>
      <c r="PRS9" s="142" t="s">
        <v>575</v>
      </c>
      <c r="PRT9" s="358" t="s">
        <v>576</v>
      </c>
      <c r="PRU9" s="189" t="s">
        <v>574</v>
      </c>
      <c r="PRV9" s="352" t="s">
        <v>573</v>
      </c>
      <c r="PRW9" s="142" t="s">
        <v>575</v>
      </c>
      <c r="PRX9" s="358" t="s">
        <v>576</v>
      </c>
      <c r="PRY9" s="189" t="s">
        <v>574</v>
      </c>
      <c r="PRZ9" s="352" t="s">
        <v>573</v>
      </c>
      <c r="PSA9" s="142" t="s">
        <v>575</v>
      </c>
      <c r="PSB9" s="358" t="s">
        <v>576</v>
      </c>
      <c r="PSC9" s="189" t="s">
        <v>574</v>
      </c>
      <c r="PSD9" s="352" t="s">
        <v>573</v>
      </c>
      <c r="PSE9" s="142" t="s">
        <v>575</v>
      </c>
      <c r="PSF9" s="358" t="s">
        <v>576</v>
      </c>
      <c r="PSG9" s="189" t="s">
        <v>574</v>
      </c>
      <c r="PSH9" s="352" t="s">
        <v>573</v>
      </c>
      <c r="PSI9" s="142" t="s">
        <v>575</v>
      </c>
      <c r="PSJ9" s="358" t="s">
        <v>576</v>
      </c>
      <c r="PSK9" s="189" t="s">
        <v>574</v>
      </c>
      <c r="PSL9" s="352" t="s">
        <v>573</v>
      </c>
      <c r="PSM9" s="142" t="s">
        <v>575</v>
      </c>
      <c r="PSN9" s="358" t="s">
        <v>576</v>
      </c>
      <c r="PSO9" s="189" t="s">
        <v>574</v>
      </c>
      <c r="PSP9" s="352" t="s">
        <v>573</v>
      </c>
      <c r="PSQ9" s="142" t="s">
        <v>575</v>
      </c>
      <c r="PSR9" s="358" t="s">
        <v>576</v>
      </c>
      <c r="PSS9" s="189" t="s">
        <v>574</v>
      </c>
      <c r="PST9" s="352" t="s">
        <v>573</v>
      </c>
      <c r="PSU9" s="142" t="s">
        <v>575</v>
      </c>
      <c r="PSV9" s="358" t="s">
        <v>576</v>
      </c>
      <c r="PSW9" s="189" t="s">
        <v>574</v>
      </c>
      <c r="PSX9" s="352" t="s">
        <v>573</v>
      </c>
      <c r="PSY9" s="142" t="s">
        <v>575</v>
      </c>
      <c r="PSZ9" s="358" t="s">
        <v>576</v>
      </c>
      <c r="PTA9" s="189" t="s">
        <v>574</v>
      </c>
      <c r="PTB9" s="352" t="s">
        <v>573</v>
      </c>
      <c r="PTC9" s="142" t="s">
        <v>575</v>
      </c>
      <c r="PTD9" s="358" t="s">
        <v>576</v>
      </c>
      <c r="PTE9" s="189" t="s">
        <v>574</v>
      </c>
      <c r="PTF9" s="352" t="s">
        <v>573</v>
      </c>
      <c r="PTG9" s="142" t="s">
        <v>575</v>
      </c>
      <c r="PTH9" s="358" t="s">
        <v>576</v>
      </c>
      <c r="PTI9" s="189" t="s">
        <v>574</v>
      </c>
      <c r="PTJ9" s="352" t="s">
        <v>573</v>
      </c>
      <c r="PTK9" s="142" t="s">
        <v>575</v>
      </c>
      <c r="PTL9" s="358" t="s">
        <v>576</v>
      </c>
      <c r="PTM9" s="189" t="s">
        <v>574</v>
      </c>
      <c r="PTN9" s="352" t="s">
        <v>573</v>
      </c>
      <c r="PTO9" s="142" t="s">
        <v>575</v>
      </c>
      <c r="PTP9" s="358" t="s">
        <v>576</v>
      </c>
      <c r="PTQ9" s="189" t="s">
        <v>574</v>
      </c>
      <c r="PTR9" s="352" t="s">
        <v>573</v>
      </c>
      <c r="PTS9" s="142" t="s">
        <v>575</v>
      </c>
      <c r="PTT9" s="358" t="s">
        <v>576</v>
      </c>
      <c r="PTU9" s="189" t="s">
        <v>574</v>
      </c>
      <c r="PTV9" s="352" t="s">
        <v>573</v>
      </c>
      <c r="PTW9" s="142" t="s">
        <v>575</v>
      </c>
      <c r="PTX9" s="358" t="s">
        <v>576</v>
      </c>
      <c r="PTY9" s="189" t="s">
        <v>574</v>
      </c>
      <c r="PTZ9" s="352" t="s">
        <v>573</v>
      </c>
      <c r="PUA9" s="142" t="s">
        <v>575</v>
      </c>
      <c r="PUB9" s="358" t="s">
        <v>576</v>
      </c>
      <c r="PUC9" s="189" t="s">
        <v>574</v>
      </c>
      <c r="PUD9" s="352" t="s">
        <v>573</v>
      </c>
      <c r="PUE9" s="142" t="s">
        <v>575</v>
      </c>
      <c r="PUF9" s="358" t="s">
        <v>576</v>
      </c>
      <c r="PUG9" s="189" t="s">
        <v>574</v>
      </c>
      <c r="PUH9" s="352" t="s">
        <v>573</v>
      </c>
      <c r="PUI9" s="142" t="s">
        <v>575</v>
      </c>
      <c r="PUJ9" s="358" t="s">
        <v>576</v>
      </c>
      <c r="PUK9" s="189" t="s">
        <v>574</v>
      </c>
      <c r="PUL9" s="352" t="s">
        <v>573</v>
      </c>
      <c r="PUM9" s="142" t="s">
        <v>575</v>
      </c>
      <c r="PUN9" s="358" t="s">
        <v>576</v>
      </c>
      <c r="PUO9" s="189" t="s">
        <v>574</v>
      </c>
      <c r="PUP9" s="352" t="s">
        <v>573</v>
      </c>
      <c r="PUQ9" s="142" t="s">
        <v>575</v>
      </c>
      <c r="PUR9" s="358" t="s">
        <v>576</v>
      </c>
      <c r="PUS9" s="189" t="s">
        <v>574</v>
      </c>
      <c r="PUT9" s="352" t="s">
        <v>573</v>
      </c>
      <c r="PUU9" s="142" t="s">
        <v>575</v>
      </c>
      <c r="PUV9" s="358" t="s">
        <v>576</v>
      </c>
      <c r="PUW9" s="189" t="s">
        <v>574</v>
      </c>
      <c r="PUX9" s="352" t="s">
        <v>573</v>
      </c>
      <c r="PUY9" s="142" t="s">
        <v>575</v>
      </c>
      <c r="PUZ9" s="358" t="s">
        <v>576</v>
      </c>
      <c r="PVA9" s="189" t="s">
        <v>574</v>
      </c>
      <c r="PVB9" s="352" t="s">
        <v>573</v>
      </c>
      <c r="PVC9" s="142" t="s">
        <v>575</v>
      </c>
      <c r="PVD9" s="358" t="s">
        <v>576</v>
      </c>
      <c r="PVE9" s="189" t="s">
        <v>574</v>
      </c>
      <c r="PVF9" s="352" t="s">
        <v>573</v>
      </c>
      <c r="PVG9" s="142" t="s">
        <v>575</v>
      </c>
      <c r="PVH9" s="358" t="s">
        <v>576</v>
      </c>
      <c r="PVI9" s="189" t="s">
        <v>574</v>
      </c>
      <c r="PVJ9" s="352" t="s">
        <v>573</v>
      </c>
      <c r="PVK9" s="142" t="s">
        <v>575</v>
      </c>
      <c r="PVL9" s="358" t="s">
        <v>576</v>
      </c>
      <c r="PVM9" s="189" t="s">
        <v>574</v>
      </c>
      <c r="PVN9" s="352" t="s">
        <v>573</v>
      </c>
      <c r="PVO9" s="142" t="s">
        <v>575</v>
      </c>
      <c r="PVP9" s="358" t="s">
        <v>576</v>
      </c>
      <c r="PVQ9" s="189" t="s">
        <v>574</v>
      </c>
      <c r="PVR9" s="352" t="s">
        <v>573</v>
      </c>
      <c r="PVS9" s="142" t="s">
        <v>575</v>
      </c>
      <c r="PVT9" s="358" t="s">
        <v>576</v>
      </c>
      <c r="PVU9" s="189" t="s">
        <v>574</v>
      </c>
      <c r="PVV9" s="352" t="s">
        <v>573</v>
      </c>
      <c r="PVW9" s="142" t="s">
        <v>575</v>
      </c>
      <c r="PVX9" s="358" t="s">
        <v>576</v>
      </c>
      <c r="PVY9" s="189" t="s">
        <v>574</v>
      </c>
      <c r="PVZ9" s="352" t="s">
        <v>573</v>
      </c>
      <c r="PWA9" s="142" t="s">
        <v>575</v>
      </c>
      <c r="PWB9" s="358" t="s">
        <v>576</v>
      </c>
      <c r="PWC9" s="189" t="s">
        <v>574</v>
      </c>
      <c r="PWD9" s="352" t="s">
        <v>573</v>
      </c>
      <c r="PWE9" s="142" t="s">
        <v>575</v>
      </c>
      <c r="PWF9" s="358" t="s">
        <v>576</v>
      </c>
      <c r="PWG9" s="189" t="s">
        <v>574</v>
      </c>
      <c r="PWH9" s="352" t="s">
        <v>573</v>
      </c>
      <c r="PWI9" s="142" t="s">
        <v>575</v>
      </c>
      <c r="PWJ9" s="358" t="s">
        <v>576</v>
      </c>
      <c r="PWK9" s="189" t="s">
        <v>574</v>
      </c>
      <c r="PWL9" s="352" t="s">
        <v>573</v>
      </c>
      <c r="PWM9" s="142" t="s">
        <v>575</v>
      </c>
      <c r="PWN9" s="358" t="s">
        <v>576</v>
      </c>
      <c r="PWO9" s="189" t="s">
        <v>574</v>
      </c>
      <c r="PWP9" s="352" t="s">
        <v>573</v>
      </c>
      <c r="PWQ9" s="142" t="s">
        <v>575</v>
      </c>
      <c r="PWR9" s="358" t="s">
        <v>576</v>
      </c>
      <c r="PWS9" s="189" t="s">
        <v>574</v>
      </c>
      <c r="PWT9" s="352" t="s">
        <v>573</v>
      </c>
      <c r="PWU9" s="142" t="s">
        <v>575</v>
      </c>
      <c r="PWV9" s="358" t="s">
        <v>576</v>
      </c>
      <c r="PWW9" s="189" t="s">
        <v>574</v>
      </c>
      <c r="PWX9" s="352" t="s">
        <v>573</v>
      </c>
      <c r="PWY9" s="142" t="s">
        <v>575</v>
      </c>
      <c r="PWZ9" s="358" t="s">
        <v>576</v>
      </c>
      <c r="PXA9" s="189" t="s">
        <v>574</v>
      </c>
      <c r="PXB9" s="352" t="s">
        <v>573</v>
      </c>
      <c r="PXC9" s="142" t="s">
        <v>575</v>
      </c>
      <c r="PXD9" s="358" t="s">
        <v>576</v>
      </c>
      <c r="PXE9" s="189" t="s">
        <v>574</v>
      </c>
      <c r="PXF9" s="352" t="s">
        <v>573</v>
      </c>
      <c r="PXG9" s="142" t="s">
        <v>575</v>
      </c>
      <c r="PXH9" s="358" t="s">
        <v>576</v>
      </c>
      <c r="PXI9" s="189" t="s">
        <v>574</v>
      </c>
      <c r="PXJ9" s="352" t="s">
        <v>573</v>
      </c>
      <c r="PXK9" s="142" t="s">
        <v>575</v>
      </c>
      <c r="PXL9" s="358" t="s">
        <v>576</v>
      </c>
      <c r="PXM9" s="189" t="s">
        <v>574</v>
      </c>
      <c r="PXN9" s="352" t="s">
        <v>573</v>
      </c>
      <c r="PXO9" s="142" t="s">
        <v>575</v>
      </c>
      <c r="PXP9" s="358" t="s">
        <v>576</v>
      </c>
      <c r="PXQ9" s="189" t="s">
        <v>574</v>
      </c>
      <c r="PXR9" s="352" t="s">
        <v>573</v>
      </c>
      <c r="PXS9" s="142" t="s">
        <v>575</v>
      </c>
      <c r="PXT9" s="358" t="s">
        <v>576</v>
      </c>
      <c r="PXU9" s="189" t="s">
        <v>574</v>
      </c>
      <c r="PXV9" s="352" t="s">
        <v>573</v>
      </c>
      <c r="PXW9" s="142" t="s">
        <v>575</v>
      </c>
      <c r="PXX9" s="358" t="s">
        <v>576</v>
      </c>
      <c r="PXY9" s="189" t="s">
        <v>574</v>
      </c>
      <c r="PXZ9" s="352" t="s">
        <v>573</v>
      </c>
      <c r="PYA9" s="142" t="s">
        <v>575</v>
      </c>
      <c r="PYB9" s="358" t="s">
        <v>576</v>
      </c>
      <c r="PYC9" s="189" t="s">
        <v>574</v>
      </c>
      <c r="PYD9" s="352" t="s">
        <v>573</v>
      </c>
      <c r="PYE9" s="142" t="s">
        <v>575</v>
      </c>
      <c r="PYF9" s="358" t="s">
        <v>576</v>
      </c>
      <c r="PYG9" s="189" t="s">
        <v>574</v>
      </c>
      <c r="PYH9" s="352" t="s">
        <v>573</v>
      </c>
      <c r="PYI9" s="142" t="s">
        <v>575</v>
      </c>
      <c r="PYJ9" s="358" t="s">
        <v>576</v>
      </c>
      <c r="PYK9" s="189" t="s">
        <v>574</v>
      </c>
      <c r="PYL9" s="352" t="s">
        <v>573</v>
      </c>
      <c r="PYM9" s="142" t="s">
        <v>575</v>
      </c>
      <c r="PYN9" s="358" t="s">
        <v>576</v>
      </c>
      <c r="PYO9" s="189" t="s">
        <v>574</v>
      </c>
      <c r="PYP9" s="352" t="s">
        <v>573</v>
      </c>
      <c r="PYQ9" s="142" t="s">
        <v>575</v>
      </c>
      <c r="PYR9" s="358" t="s">
        <v>576</v>
      </c>
      <c r="PYS9" s="189" t="s">
        <v>574</v>
      </c>
      <c r="PYT9" s="352" t="s">
        <v>573</v>
      </c>
      <c r="PYU9" s="142" t="s">
        <v>575</v>
      </c>
      <c r="PYV9" s="358" t="s">
        <v>576</v>
      </c>
      <c r="PYW9" s="189" t="s">
        <v>574</v>
      </c>
      <c r="PYX9" s="352" t="s">
        <v>573</v>
      </c>
      <c r="PYY9" s="142" t="s">
        <v>575</v>
      </c>
      <c r="PYZ9" s="358" t="s">
        <v>576</v>
      </c>
      <c r="PZA9" s="189" t="s">
        <v>574</v>
      </c>
      <c r="PZB9" s="352" t="s">
        <v>573</v>
      </c>
      <c r="PZC9" s="142" t="s">
        <v>575</v>
      </c>
      <c r="PZD9" s="358" t="s">
        <v>576</v>
      </c>
      <c r="PZE9" s="189" t="s">
        <v>574</v>
      </c>
      <c r="PZF9" s="352" t="s">
        <v>573</v>
      </c>
      <c r="PZG9" s="142" t="s">
        <v>575</v>
      </c>
      <c r="PZH9" s="358" t="s">
        <v>576</v>
      </c>
      <c r="PZI9" s="189" t="s">
        <v>574</v>
      </c>
      <c r="PZJ9" s="352" t="s">
        <v>573</v>
      </c>
      <c r="PZK9" s="142" t="s">
        <v>575</v>
      </c>
      <c r="PZL9" s="358" t="s">
        <v>576</v>
      </c>
      <c r="PZM9" s="189" t="s">
        <v>574</v>
      </c>
      <c r="PZN9" s="352" t="s">
        <v>573</v>
      </c>
      <c r="PZO9" s="142" t="s">
        <v>575</v>
      </c>
      <c r="PZP9" s="358" t="s">
        <v>576</v>
      </c>
      <c r="PZQ9" s="189" t="s">
        <v>574</v>
      </c>
      <c r="PZR9" s="352" t="s">
        <v>573</v>
      </c>
      <c r="PZS9" s="142" t="s">
        <v>575</v>
      </c>
      <c r="PZT9" s="358" t="s">
        <v>576</v>
      </c>
      <c r="PZU9" s="189" t="s">
        <v>574</v>
      </c>
      <c r="PZV9" s="352" t="s">
        <v>573</v>
      </c>
      <c r="PZW9" s="142" t="s">
        <v>575</v>
      </c>
      <c r="PZX9" s="358" t="s">
        <v>576</v>
      </c>
      <c r="PZY9" s="189" t="s">
        <v>574</v>
      </c>
      <c r="PZZ9" s="352" t="s">
        <v>573</v>
      </c>
      <c r="QAA9" s="142" t="s">
        <v>575</v>
      </c>
      <c r="QAB9" s="358" t="s">
        <v>576</v>
      </c>
      <c r="QAC9" s="189" t="s">
        <v>574</v>
      </c>
      <c r="QAD9" s="352" t="s">
        <v>573</v>
      </c>
      <c r="QAE9" s="142" t="s">
        <v>575</v>
      </c>
      <c r="QAF9" s="358" t="s">
        <v>576</v>
      </c>
      <c r="QAG9" s="189" t="s">
        <v>574</v>
      </c>
      <c r="QAH9" s="352" t="s">
        <v>573</v>
      </c>
      <c r="QAI9" s="142" t="s">
        <v>575</v>
      </c>
      <c r="QAJ9" s="358" t="s">
        <v>576</v>
      </c>
      <c r="QAK9" s="189" t="s">
        <v>574</v>
      </c>
      <c r="QAL9" s="352" t="s">
        <v>573</v>
      </c>
      <c r="QAM9" s="142" t="s">
        <v>575</v>
      </c>
      <c r="QAN9" s="358" t="s">
        <v>576</v>
      </c>
      <c r="QAO9" s="189" t="s">
        <v>574</v>
      </c>
      <c r="QAP9" s="352" t="s">
        <v>573</v>
      </c>
      <c r="QAQ9" s="142" t="s">
        <v>575</v>
      </c>
      <c r="QAR9" s="358" t="s">
        <v>576</v>
      </c>
      <c r="QAS9" s="189" t="s">
        <v>574</v>
      </c>
      <c r="QAT9" s="352" t="s">
        <v>573</v>
      </c>
      <c r="QAU9" s="142" t="s">
        <v>575</v>
      </c>
      <c r="QAV9" s="358" t="s">
        <v>576</v>
      </c>
      <c r="QAW9" s="189" t="s">
        <v>574</v>
      </c>
      <c r="QAX9" s="352" t="s">
        <v>573</v>
      </c>
      <c r="QAY9" s="142" t="s">
        <v>575</v>
      </c>
      <c r="QAZ9" s="358" t="s">
        <v>576</v>
      </c>
      <c r="QBA9" s="189" t="s">
        <v>574</v>
      </c>
      <c r="QBB9" s="352" t="s">
        <v>573</v>
      </c>
      <c r="QBC9" s="142" t="s">
        <v>575</v>
      </c>
      <c r="QBD9" s="358" t="s">
        <v>576</v>
      </c>
      <c r="QBE9" s="189" t="s">
        <v>574</v>
      </c>
      <c r="QBF9" s="352" t="s">
        <v>573</v>
      </c>
      <c r="QBG9" s="142" t="s">
        <v>575</v>
      </c>
      <c r="QBH9" s="358" t="s">
        <v>576</v>
      </c>
      <c r="QBI9" s="189" t="s">
        <v>574</v>
      </c>
      <c r="QBJ9" s="352" t="s">
        <v>573</v>
      </c>
      <c r="QBK9" s="142" t="s">
        <v>575</v>
      </c>
      <c r="QBL9" s="358" t="s">
        <v>576</v>
      </c>
      <c r="QBM9" s="189" t="s">
        <v>574</v>
      </c>
      <c r="QBN9" s="352" t="s">
        <v>573</v>
      </c>
      <c r="QBO9" s="142" t="s">
        <v>575</v>
      </c>
      <c r="QBP9" s="358" t="s">
        <v>576</v>
      </c>
      <c r="QBQ9" s="189" t="s">
        <v>574</v>
      </c>
      <c r="QBR9" s="352" t="s">
        <v>573</v>
      </c>
      <c r="QBS9" s="142" t="s">
        <v>575</v>
      </c>
      <c r="QBT9" s="358" t="s">
        <v>576</v>
      </c>
      <c r="QBU9" s="189" t="s">
        <v>574</v>
      </c>
      <c r="QBV9" s="352" t="s">
        <v>573</v>
      </c>
      <c r="QBW9" s="142" t="s">
        <v>575</v>
      </c>
      <c r="QBX9" s="358" t="s">
        <v>576</v>
      </c>
      <c r="QBY9" s="189" t="s">
        <v>574</v>
      </c>
      <c r="QBZ9" s="352" t="s">
        <v>573</v>
      </c>
      <c r="QCA9" s="142" t="s">
        <v>575</v>
      </c>
      <c r="QCB9" s="358" t="s">
        <v>576</v>
      </c>
      <c r="QCC9" s="189" t="s">
        <v>574</v>
      </c>
      <c r="QCD9" s="352" t="s">
        <v>573</v>
      </c>
      <c r="QCE9" s="142" t="s">
        <v>575</v>
      </c>
      <c r="QCF9" s="358" t="s">
        <v>576</v>
      </c>
      <c r="QCG9" s="189" t="s">
        <v>574</v>
      </c>
      <c r="QCH9" s="352" t="s">
        <v>573</v>
      </c>
      <c r="QCI9" s="142" t="s">
        <v>575</v>
      </c>
      <c r="QCJ9" s="358" t="s">
        <v>576</v>
      </c>
      <c r="QCK9" s="189" t="s">
        <v>574</v>
      </c>
      <c r="QCL9" s="352" t="s">
        <v>573</v>
      </c>
      <c r="QCM9" s="142" t="s">
        <v>575</v>
      </c>
      <c r="QCN9" s="358" t="s">
        <v>576</v>
      </c>
      <c r="QCO9" s="189" t="s">
        <v>574</v>
      </c>
      <c r="QCP9" s="352" t="s">
        <v>573</v>
      </c>
      <c r="QCQ9" s="142" t="s">
        <v>575</v>
      </c>
      <c r="QCR9" s="358" t="s">
        <v>576</v>
      </c>
      <c r="QCS9" s="189" t="s">
        <v>574</v>
      </c>
      <c r="QCT9" s="352" t="s">
        <v>573</v>
      </c>
      <c r="QCU9" s="142" t="s">
        <v>575</v>
      </c>
      <c r="QCV9" s="358" t="s">
        <v>576</v>
      </c>
      <c r="QCW9" s="189" t="s">
        <v>574</v>
      </c>
      <c r="QCX9" s="352" t="s">
        <v>573</v>
      </c>
      <c r="QCY9" s="142" t="s">
        <v>575</v>
      </c>
      <c r="QCZ9" s="358" t="s">
        <v>576</v>
      </c>
      <c r="QDA9" s="189" t="s">
        <v>574</v>
      </c>
      <c r="QDB9" s="352" t="s">
        <v>573</v>
      </c>
      <c r="QDC9" s="142" t="s">
        <v>575</v>
      </c>
      <c r="QDD9" s="358" t="s">
        <v>576</v>
      </c>
      <c r="QDE9" s="189" t="s">
        <v>574</v>
      </c>
      <c r="QDF9" s="352" t="s">
        <v>573</v>
      </c>
      <c r="QDG9" s="142" t="s">
        <v>575</v>
      </c>
      <c r="QDH9" s="358" t="s">
        <v>576</v>
      </c>
      <c r="QDI9" s="189" t="s">
        <v>574</v>
      </c>
      <c r="QDJ9" s="352" t="s">
        <v>573</v>
      </c>
      <c r="QDK9" s="142" t="s">
        <v>575</v>
      </c>
      <c r="QDL9" s="358" t="s">
        <v>576</v>
      </c>
      <c r="QDM9" s="189" t="s">
        <v>574</v>
      </c>
      <c r="QDN9" s="352" t="s">
        <v>573</v>
      </c>
      <c r="QDO9" s="142" t="s">
        <v>575</v>
      </c>
      <c r="QDP9" s="358" t="s">
        <v>576</v>
      </c>
      <c r="QDQ9" s="189" t="s">
        <v>574</v>
      </c>
      <c r="QDR9" s="352" t="s">
        <v>573</v>
      </c>
      <c r="QDS9" s="142" t="s">
        <v>575</v>
      </c>
      <c r="QDT9" s="358" t="s">
        <v>576</v>
      </c>
      <c r="QDU9" s="189" t="s">
        <v>574</v>
      </c>
      <c r="QDV9" s="352" t="s">
        <v>573</v>
      </c>
      <c r="QDW9" s="142" t="s">
        <v>575</v>
      </c>
      <c r="QDX9" s="358" t="s">
        <v>576</v>
      </c>
      <c r="QDY9" s="189" t="s">
        <v>574</v>
      </c>
      <c r="QDZ9" s="352" t="s">
        <v>573</v>
      </c>
      <c r="QEA9" s="142" t="s">
        <v>575</v>
      </c>
      <c r="QEB9" s="358" t="s">
        <v>576</v>
      </c>
      <c r="QEC9" s="189" t="s">
        <v>574</v>
      </c>
      <c r="QED9" s="352" t="s">
        <v>573</v>
      </c>
      <c r="QEE9" s="142" t="s">
        <v>575</v>
      </c>
      <c r="QEF9" s="358" t="s">
        <v>576</v>
      </c>
      <c r="QEG9" s="189" t="s">
        <v>574</v>
      </c>
      <c r="QEH9" s="352" t="s">
        <v>573</v>
      </c>
      <c r="QEI9" s="142" t="s">
        <v>575</v>
      </c>
      <c r="QEJ9" s="358" t="s">
        <v>576</v>
      </c>
      <c r="QEK9" s="189" t="s">
        <v>574</v>
      </c>
      <c r="QEL9" s="352" t="s">
        <v>573</v>
      </c>
      <c r="QEM9" s="142" t="s">
        <v>575</v>
      </c>
      <c r="QEN9" s="358" t="s">
        <v>576</v>
      </c>
      <c r="QEO9" s="189" t="s">
        <v>574</v>
      </c>
      <c r="QEP9" s="352" t="s">
        <v>573</v>
      </c>
      <c r="QEQ9" s="142" t="s">
        <v>575</v>
      </c>
      <c r="QER9" s="358" t="s">
        <v>576</v>
      </c>
      <c r="QES9" s="189" t="s">
        <v>574</v>
      </c>
      <c r="QET9" s="352" t="s">
        <v>573</v>
      </c>
      <c r="QEU9" s="142" t="s">
        <v>575</v>
      </c>
      <c r="QEV9" s="358" t="s">
        <v>576</v>
      </c>
      <c r="QEW9" s="189" t="s">
        <v>574</v>
      </c>
      <c r="QEX9" s="352" t="s">
        <v>573</v>
      </c>
      <c r="QEY9" s="142" t="s">
        <v>575</v>
      </c>
      <c r="QEZ9" s="358" t="s">
        <v>576</v>
      </c>
      <c r="QFA9" s="189" t="s">
        <v>574</v>
      </c>
      <c r="QFB9" s="352" t="s">
        <v>573</v>
      </c>
      <c r="QFC9" s="142" t="s">
        <v>575</v>
      </c>
      <c r="QFD9" s="358" t="s">
        <v>576</v>
      </c>
      <c r="QFE9" s="189" t="s">
        <v>574</v>
      </c>
      <c r="QFF9" s="352" t="s">
        <v>573</v>
      </c>
      <c r="QFG9" s="142" t="s">
        <v>575</v>
      </c>
      <c r="QFH9" s="358" t="s">
        <v>576</v>
      </c>
      <c r="QFI9" s="189" t="s">
        <v>574</v>
      </c>
      <c r="QFJ9" s="352" t="s">
        <v>573</v>
      </c>
      <c r="QFK9" s="142" t="s">
        <v>575</v>
      </c>
      <c r="QFL9" s="358" t="s">
        <v>576</v>
      </c>
      <c r="QFM9" s="189" t="s">
        <v>574</v>
      </c>
      <c r="QFN9" s="352" t="s">
        <v>573</v>
      </c>
      <c r="QFO9" s="142" t="s">
        <v>575</v>
      </c>
      <c r="QFP9" s="358" t="s">
        <v>576</v>
      </c>
      <c r="QFQ9" s="189" t="s">
        <v>574</v>
      </c>
      <c r="QFR9" s="352" t="s">
        <v>573</v>
      </c>
      <c r="QFS9" s="142" t="s">
        <v>575</v>
      </c>
      <c r="QFT9" s="358" t="s">
        <v>576</v>
      </c>
      <c r="QFU9" s="189" t="s">
        <v>574</v>
      </c>
      <c r="QFV9" s="352" t="s">
        <v>573</v>
      </c>
      <c r="QFW9" s="142" t="s">
        <v>575</v>
      </c>
      <c r="QFX9" s="358" t="s">
        <v>576</v>
      </c>
      <c r="QFY9" s="189" t="s">
        <v>574</v>
      </c>
      <c r="QFZ9" s="352" t="s">
        <v>573</v>
      </c>
      <c r="QGA9" s="142" t="s">
        <v>575</v>
      </c>
      <c r="QGB9" s="358" t="s">
        <v>576</v>
      </c>
      <c r="QGC9" s="189" t="s">
        <v>574</v>
      </c>
      <c r="QGD9" s="352" t="s">
        <v>573</v>
      </c>
      <c r="QGE9" s="142" t="s">
        <v>575</v>
      </c>
      <c r="QGF9" s="358" t="s">
        <v>576</v>
      </c>
      <c r="QGG9" s="189" t="s">
        <v>574</v>
      </c>
      <c r="QGH9" s="352" t="s">
        <v>573</v>
      </c>
      <c r="QGI9" s="142" t="s">
        <v>575</v>
      </c>
      <c r="QGJ9" s="358" t="s">
        <v>576</v>
      </c>
      <c r="QGK9" s="189" t="s">
        <v>574</v>
      </c>
      <c r="QGL9" s="352" t="s">
        <v>573</v>
      </c>
      <c r="QGM9" s="142" t="s">
        <v>575</v>
      </c>
      <c r="QGN9" s="358" t="s">
        <v>576</v>
      </c>
      <c r="QGO9" s="189" t="s">
        <v>574</v>
      </c>
      <c r="QGP9" s="352" t="s">
        <v>573</v>
      </c>
      <c r="QGQ9" s="142" t="s">
        <v>575</v>
      </c>
      <c r="QGR9" s="358" t="s">
        <v>576</v>
      </c>
      <c r="QGS9" s="189" t="s">
        <v>574</v>
      </c>
      <c r="QGT9" s="352" t="s">
        <v>573</v>
      </c>
      <c r="QGU9" s="142" t="s">
        <v>575</v>
      </c>
      <c r="QGV9" s="358" t="s">
        <v>576</v>
      </c>
      <c r="QGW9" s="189" t="s">
        <v>574</v>
      </c>
      <c r="QGX9" s="352" t="s">
        <v>573</v>
      </c>
      <c r="QGY9" s="142" t="s">
        <v>575</v>
      </c>
      <c r="QGZ9" s="358" t="s">
        <v>576</v>
      </c>
      <c r="QHA9" s="189" t="s">
        <v>574</v>
      </c>
      <c r="QHB9" s="352" t="s">
        <v>573</v>
      </c>
      <c r="QHC9" s="142" t="s">
        <v>575</v>
      </c>
      <c r="QHD9" s="358" t="s">
        <v>576</v>
      </c>
      <c r="QHE9" s="189" t="s">
        <v>574</v>
      </c>
      <c r="QHF9" s="352" t="s">
        <v>573</v>
      </c>
      <c r="QHG9" s="142" t="s">
        <v>575</v>
      </c>
      <c r="QHH9" s="358" t="s">
        <v>576</v>
      </c>
      <c r="QHI9" s="189" t="s">
        <v>574</v>
      </c>
      <c r="QHJ9" s="352" t="s">
        <v>573</v>
      </c>
      <c r="QHK9" s="142" t="s">
        <v>575</v>
      </c>
      <c r="QHL9" s="358" t="s">
        <v>576</v>
      </c>
      <c r="QHM9" s="189" t="s">
        <v>574</v>
      </c>
      <c r="QHN9" s="352" t="s">
        <v>573</v>
      </c>
      <c r="QHO9" s="142" t="s">
        <v>575</v>
      </c>
      <c r="QHP9" s="358" t="s">
        <v>576</v>
      </c>
      <c r="QHQ9" s="189" t="s">
        <v>574</v>
      </c>
      <c r="QHR9" s="352" t="s">
        <v>573</v>
      </c>
      <c r="QHS9" s="142" t="s">
        <v>575</v>
      </c>
      <c r="QHT9" s="358" t="s">
        <v>576</v>
      </c>
      <c r="QHU9" s="189" t="s">
        <v>574</v>
      </c>
      <c r="QHV9" s="352" t="s">
        <v>573</v>
      </c>
      <c r="QHW9" s="142" t="s">
        <v>575</v>
      </c>
      <c r="QHX9" s="358" t="s">
        <v>576</v>
      </c>
      <c r="QHY9" s="189" t="s">
        <v>574</v>
      </c>
      <c r="QHZ9" s="352" t="s">
        <v>573</v>
      </c>
      <c r="QIA9" s="142" t="s">
        <v>575</v>
      </c>
      <c r="QIB9" s="358" t="s">
        <v>576</v>
      </c>
      <c r="QIC9" s="189" t="s">
        <v>574</v>
      </c>
      <c r="QID9" s="352" t="s">
        <v>573</v>
      </c>
      <c r="QIE9" s="142" t="s">
        <v>575</v>
      </c>
      <c r="QIF9" s="358" t="s">
        <v>576</v>
      </c>
      <c r="QIG9" s="189" t="s">
        <v>574</v>
      </c>
      <c r="QIH9" s="352" t="s">
        <v>573</v>
      </c>
      <c r="QII9" s="142" t="s">
        <v>575</v>
      </c>
      <c r="QIJ9" s="358" t="s">
        <v>576</v>
      </c>
      <c r="QIK9" s="189" t="s">
        <v>574</v>
      </c>
      <c r="QIL9" s="352" t="s">
        <v>573</v>
      </c>
      <c r="QIM9" s="142" t="s">
        <v>575</v>
      </c>
      <c r="QIN9" s="358" t="s">
        <v>576</v>
      </c>
      <c r="QIO9" s="189" t="s">
        <v>574</v>
      </c>
      <c r="QIP9" s="352" t="s">
        <v>573</v>
      </c>
      <c r="QIQ9" s="142" t="s">
        <v>575</v>
      </c>
      <c r="QIR9" s="358" t="s">
        <v>576</v>
      </c>
      <c r="QIS9" s="189" t="s">
        <v>574</v>
      </c>
      <c r="QIT9" s="352" t="s">
        <v>573</v>
      </c>
      <c r="QIU9" s="142" t="s">
        <v>575</v>
      </c>
      <c r="QIV9" s="358" t="s">
        <v>576</v>
      </c>
      <c r="QIW9" s="189" t="s">
        <v>574</v>
      </c>
      <c r="QIX9" s="352" t="s">
        <v>573</v>
      </c>
      <c r="QIY9" s="142" t="s">
        <v>575</v>
      </c>
      <c r="QIZ9" s="358" t="s">
        <v>576</v>
      </c>
      <c r="QJA9" s="189" t="s">
        <v>574</v>
      </c>
      <c r="QJB9" s="352" t="s">
        <v>573</v>
      </c>
      <c r="QJC9" s="142" t="s">
        <v>575</v>
      </c>
      <c r="QJD9" s="358" t="s">
        <v>576</v>
      </c>
      <c r="QJE9" s="189" t="s">
        <v>574</v>
      </c>
      <c r="QJF9" s="352" t="s">
        <v>573</v>
      </c>
      <c r="QJG9" s="142" t="s">
        <v>575</v>
      </c>
      <c r="QJH9" s="358" t="s">
        <v>576</v>
      </c>
      <c r="QJI9" s="189" t="s">
        <v>574</v>
      </c>
      <c r="QJJ9" s="352" t="s">
        <v>573</v>
      </c>
      <c r="QJK9" s="142" t="s">
        <v>575</v>
      </c>
      <c r="QJL9" s="358" t="s">
        <v>576</v>
      </c>
      <c r="QJM9" s="189" t="s">
        <v>574</v>
      </c>
      <c r="QJN9" s="352" t="s">
        <v>573</v>
      </c>
      <c r="QJO9" s="142" t="s">
        <v>575</v>
      </c>
      <c r="QJP9" s="358" t="s">
        <v>576</v>
      </c>
      <c r="QJQ9" s="189" t="s">
        <v>574</v>
      </c>
      <c r="QJR9" s="352" t="s">
        <v>573</v>
      </c>
      <c r="QJS9" s="142" t="s">
        <v>575</v>
      </c>
      <c r="QJT9" s="358" t="s">
        <v>576</v>
      </c>
      <c r="QJU9" s="189" t="s">
        <v>574</v>
      </c>
      <c r="QJV9" s="352" t="s">
        <v>573</v>
      </c>
      <c r="QJW9" s="142" t="s">
        <v>575</v>
      </c>
      <c r="QJX9" s="358" t="s">
        <v>576</v>
      </c>
      <c r="QJY9" s="189" t="s">
        <v>574</v>
      </c>
      <c r="QJZ9" s="352" t="s">
        <v>573</v>
      </c>
      <c r="QKA9" s="142" t="s">
        <v>575</v>
      </c>
      <c r="QKB9" s="358" t="s">
        <v>576</v>
      </c>
      <c r="QKC9" s="189" t="s">
        <v>574</v>
      </c>
      <c r="QKD9" s="352" t="s">
        <v>573</v>
      </c>
      <c r="QKE9" s="142" t="s">
        <v>575</v>
      </c>
      <c r="QKF9" s="358" t="s">
        <v>576</v>
      </c>
      <c r="QKG9" s="189" t="s">
        <v>574</v>
      </c>
      <c r="QKH9" s="352" t="s">
        <v>573</v>
      </c>
      <c r="QKI9" s="142" t="s">
        <v>575</v>
      </c>
      <c r="QKJ9" s="358" t="s">
        <v>576</v>
      </c>
      <c r="QKK9" s="189" t="s">
        <v>574</v>
      </c>
      <c r="QKL9" s="352" t="s">
        <v>573</v>
      </c>
      <c r="QKM9" s="142" t="s">
        <v>575</v>
      </c>
      <c r="QKN9" s="358" t="s">
        <v>576</v>
      </c>
      <c r="QKO9" s="189" t="s">
        <v>574</v>
      </c>
      <c r="QKP9" s="352" t="s">
        <v>573</v>
      </c>
      <c r="QKQ9" s="142" t="s">
        <v>575</v>
      </c>
      <c r="QKR9" s="358" t="s">
        <v>576</v>
      </c>
      <c r="QKS9" s="189" t="s">
        <v>574</v>
      </c>
      <c r="QKT9" s="352" t="s">
        <v>573</v>
      </c>
      <c r="QKU9" s="142" t="s">
        <v>575</v>
      </c>
      <c r="QKV9" s="358" t="s">
        <v>576</v>
      </c>
      <c r="QKW9" s="189" t="s">
        <v>574</v>
      </c>
      <c r="QKX9" s="352" t="s">
        <v>573</v>
      </c>
      <c r="QKY9" s="142" t="s">
        <v>575</v>
      </c>
      <c r="QKZ9" s="358" t="s">
        <v>576</v>
      </c>
      <c r="QLA9" s="189" t="s">
        <v>574</v>
      </c>
      <c r="QLB9" s="352" t="s">
        <v>573</v>
      </c>
      <c r="QLC9" s="142" t="s">
        <v>575</v>
      </c>
      <c r="QLD9" s="358" t="s">
        <v>576</v>
      </c>
      <c r="QLE9" s="189" t="s">
        <v>574</v>
      </c>
      <c r="QLF9" s="352" t="s">
        <v>573</v>
      </c>
      <c r="QLG9" s="142" t="s">
        <v>575</v>
      </c>
      <c r="QLH9" s="358" t="s">
        <v>576</v>
      </c>
      <c r="QLI9" s="189" t="s">
        <v>574</v>
      </c>
      <c r="QLJ9" s="352" t="s">
        <v>573</v>
      </c>
      <c r="QLK9" s="142" t="s">
        <v>575</v>
      </c>
      <c r="QLL9" s="358" t="s">
        <v>576</v>
      </c>
      <c r="QLM9" s="189" t="s">
        <v>574</v>
      </c>
      <c r="QLN9" s="352" t="s">
        <v>573</v>
      </c>
      <c r="QLO9" s="142" t="s">
        <v>575</v>
      </c>
      <c r="QLP9" s="358" t="s">
        <v>576</v>
      </c>
      <c r="QLQ9" s="189" t="s">
        <v>574</v>
      </c>
      <c r="QLR9" s="352" t="s">
        <v>573</v>
      </c>
      <c r="QLS9" s="142" t="s">
        <v>575</v>
      </c>
      <c r="QLT9" s="358" t="s">
        <v>576</v>
      </c>
      <c r="QLU9" s="189" t="s">
        <v>574</v>
      </c>
      <c r="QLV9" s="352" t="s">
        <v>573</v>
      </c>
      <c r="QLW9" s="142" t="s">
        <v>575</v>
      </c>
      <c r="QLX9" s="358" t="s">
        <v>576</v>
      </c>
      <c r="QLY9" s="189" t="s">
        <v>574</v>
      </c>
      <c r="QLZ9" s="352" t="s">
        <v>573</v>
      </c>
      <c r="QMA9" s="142" t="s">
        <v>575</v>
      </c>
      <c r="QMB9" s="358" t="s">
        <v>576</v>
      </c>
      <c r="QMC9" s="189" t="s">
        <v>574</v>
      </c>
      <c r="QMD9" s="352" t="s">
        <v>573</v>
      </c>
      <c r="QME9" s="142" t="s">
        <v>575</v>
      </c>
      <c r="QMF9" s="358" t="s">
        <v>576</v>
      </c>
      <c r="QMG9" s="189" t="s">
        <v>574</v>
      </c>
      <c r="QMH9" s="352" t="s">
        <v>573</v>
      </c>
      <c r="QMI9" s="142" t="s">
        <v>575</v>
      </c>
      <c r="QMJ9" s="358" t="s">
        <v>576</v>
      </c>
      <c r="QMK9" s="189" t="s">
        <v>574</v>
      </c>
      <c r="QML9" s="352" t="s">
        <v>573</v>
      </c>
      <c r="QMM9" s="142" t="s">
        <v>575</v>
      </c>
      <c r="QMN9" s="358" t="s">
        <v>576</v>
      </c>
      <c r="QMO9" s="189" t="s">
        <v>574</v>
      </c>
      <c r="QMP9" s="352" t="s">
        <v>573</v>
      </c>
      <c r="QMQ9" s="142" t="s">
        <v>575</v>
      </c>
      <c r="QMR9" s="358" t="s">
        <v>576</v>
      </c>
      <c r="QMS9" s="189" t="s">
        <v>574</v>
      </c>
      <c r="QMT9" s="352" t="s">
        <v>573</v>
      </c>
      <c r="QMU9" s="142" t="s">
        <v>575</v>
      </c>
      <c r="QMV9" s="358" t="s">
        <v>576</v>
      </c>
      <c r="QMW9" s="189" t="s">
        <v>574</v>
      </c>
      <c r="QMX9" s="352" t="s">
        <v>573</v>
      </c>
      <c r="QMY9" s="142" t="s">
        <v>575</v>
      </c>
      <c r="QMZ9" s="358" t="s">
        <v>576</v>
      </c>
      <c r="QNA9" s="189" t="s">
        <v>574</v>
      </c>
      <c r="QNB9" s="352" t="s">
        <v>573</v>
      </c>
      <c r="QNC9" s="142" t="s">
        <v>575</v>
      </c>
      <c r="QND9" s="358" t="s">
        <v>576</v>
      </c>
      <c r="QNE9" s="189" t="s">
        <v>574</v>
      </c>
      <c r="QNF9" s="352" t="s">
        <v>573</v>
      </c>
      <c r="QNG9" s="142" t="s">
        <v>575</v>
      </c>
      <c r="QNH9" s="358" t="s">
        <v>576</v>
      </c>
      <c r="QNI9" s="189" t="s">
        <v>574</v>
      </c>
      <c r="QNJ9" s="352" t="s">
        <v>573</v>
      </c>
      <c r="QNK9" s="142" t="s">
        <v>575</v>
      </c>
      <c r="QNL9" s="358" t="s">
        <v>576</v>
      </c>
      <c r="QNM9" s="189" t="s">
        <v>574</v>
      </c>
      <c r="QNN9" s="352" t="s">
        <v>573</v>
      </c>
      <c r="QNO9" s="142" t="s">
        <v>575</v>
      </c>
      <c r="QNP9" s="358" t="s">
        <v>576</v>
      </c>
      <c r="QNQ9" s="189" t="s">
        <v>574</v>
      </c>
      <c r="QNR9" s="352" t="s">
        <v>573</v>
      </c>
      <c r="QNS9" s="142" t="s">
        <v>575</v>
      </c>
      <c r="QNT9" s="358" t="s">
        <v>576</v>
      </c>
      <c r="QNU9" s="189" t="s">
        <v>574</v>
      </c>
      <c r="QNV9" s="352" t="s">
        <v>573</v>
      </c>
      <c r="QNW9" s="142" t="s">
        <v>575</v>
      </c>
      <c r="QNX9" s="358" t="s">
        <v>576</v>
      </c>
      <c r="QNY9" s="189" t="s">
        <v>574</v>
      </c>
      <c r="QNZ9" s="352" t="s">
        <v>573</v>
      </c>
      <c r="QOA9" s="142" t="s">
        <v>575</v>
      </c>
      <c r="QOB9" s="358" t="s">
        <v>576</v>
      </c>
      <c r="QOC9" s="189" t="s">
        <v>574</v>
      </c>
      <c r="QOD9" s="352" t="s">
        <v>573</v>
      </c>
      <c r="QOE9" s="142" t="s">
        <v>575</v>
      </c>
      <c r="QOF9" s="358" t="s">
        <v>576</v>
      </c>
      <c r="QOG9" s="189" t="s">
        <v>574</v>
      </c>
      <c r="QOH9" s="352" t="s">
        <v>573</v>
      </c>
      <c r="QOI9" s="142" t="s">
        <v>575</v>
      </c>
      <c r="QOJ9" s="358" t="s">
        <v>576</v>
      </c>
      <c r="QOK9" s="189" t="s">
        <v>574</v>
      </c>
      <c r="QOL9" s="352" t="s">
        <v>573</v>
      </c>
      <c r="QOM9" s="142" t="s">
        <v>575</v>
      </c>
      <c r="QON9" s="358" t="s">
        <v>576</v>
      </c>
      <c r="QOO9" s="189" t="s">
        <v>574</v>
      </c>
      <c r="QOP9" s="352" t="s">
        <v>573</v>
      </c>
      <c r="QOQ9" s="142" t="s">
        <v>575</v>
      </c>
      <c r="QOR9" s="358" t="s">
        <v>576</v>
      </c>
      <c r="QOS9" s="189" t="s">
        <v>574</v>
      </c>
      <c r="QOT9" s="352" t="s">
        <v>573</v>
      </c>
      <c r="QOU9" s="142" t="s">
        <v>575</v>
      </c>
      <c r="QOV9" s="358" t="s">
        <v>576</v>
      </c>
      <c r="QOW9" s="189" t="s">
        <v>574</v>
      </c>
      <c r="QOX9" s="352" t="s">
        <v>573</v>
      </c>
      <c r="QOY9" s="142" t="s">
        <v>575</v>
      </c>
      <c r="QOZ9" s="358" t="s">
        <v>576</v>
      </c>
      <c r="QPA9" s="189" t="s">
        <v>574</v>
      </c>
      <c r="QPB9" s="352" t="s">
        <v>573</v>
      </c>
      <c r="QPC9" s="142" t="s">
        <v>575</v>
      </c>
      <c r="QPD9" s="358" t="s">
        <v>576</v>
      </c>
      <c r="QPE9" s="189" t="s">
        <v>574</v>
      </c>
      <c r="QPF9" s="352" t="s">
        <v>573</v>
      </c>
      <c r="QPG9" s="142" t="s">
        <v>575</v>
      </c>
      <c r="QPH9" s="358" t="s">
        <v>576</v>
      </c>
      <c r="QPI9" s="189" t="s">
        <v>574</v>
      </c>
      <c r="QPJ9" s="352" t="s">
        <v>573</v>
      </c>
      <c r="QPK9" s="142" t="s">
        <v>575</v>
      </c>
      <c r="QPL9" s="358" t="s">
        <v>576</v>
      </c>
      <c r="QPM9" s="189" t="s">
        <v>574</v>
      </c>
      <c r="QPN9" s="352" t="s">
        <v>573</v>
      </c>
      <c r="QPO9" s="142" t="s">
        <v>575</v>
      </c>
      <c r="QPP9" s="358" t="s">
        <v>576</v>
      </c>
      <c r="QPQ9" s="189" t="s">
        <v>574</v>
      </c>
      <c r="QPR9" s="352" t="s">
        <v>573</v>
      </c>
      <c r="QPS9" s="142" t="s">
        <v>575</v>
      </c>
      <c r="QPT9" s="358" t="s">
        <v>576</v>
      </c>
      <c r="QPU9" s="189" t="s">
        <v>574</v>
      </c>
      <c r="QPV9" s="352" t="s">
        <v>573</v>
      </c>
      <c r="QPW9" s="142" t="s">
        <v>575</v>
      </c>
      <c r="QPX9" s="358" t="s">
        <v>576</v>
      </c>
      <c r="QPY9" s="189" t="s">
        <v>574</v>
      </c>
      <c r="QPZ9" s="352" t="s">
        <v>573</v>
      </c>
      <c r="QQA9" s="142" t="s">
        <v>575</v>
      </c>
      <c r="QQB9" s="358" t="s">
        <v>576</v>
      </c>
      <c r="QQC9" s="189" t="s">
        <v>574</v>
      </c>
      <c r="QQD9" s="352" t="s">
        <v>573</v>
      </c>
      <c r="QQE9" s="142" t="s">
        <v>575</v>
      </c>
      <c r="QQF9" s="358" t="s">
        <v>576</v>
      </c>
      <c r="QQG9" s="189" t="s">
        <v>574</v>
      </c>
      <c r="QQH9" s="352" t="s">
        <v>573</v>
      </c>
      <c r="QQI9" s="142" t="s">
        <v>575</v>
      </c>
      <c r="QQJ9" s="358" t="s">
        <v>576</v>
      </c>
      <c r="QQK9" s="189" t="s">
        <v>574</v>
      </c>
      <c r="QQL9" s="352" t="s">
        <v>573</v>
      </c>
      <c r="QQM9" s="142" t="s">
        <v>575</v>
      </c>
      <c r="QQN9" s="358" t="s">
        <v>576</v>
      </c>
      <c r="QQO9" s="189" t="s">
        <v>574</v>
      </c>
      <c r="QQP9" s="352" t="s">
        <v>573</v>
      </c>
      <c r="QQQ9" s="142" t="s">
        <v>575</v>
      </c>
      <c r="QQR9" s="358" t="s">
        <v>576</v>
      </c>
      <c r="QQS9" s="189" t="s">
        <v>574</v>
      </c>
      <c r="QQT9" s="352" t="s">
        <v>573</v>
      </c>
      <c r="QQU9" s="142" t="s">
        <v>575</v>
      </c>
      <c r="QQV9" s="358" t="s">
        <v>576</v>
      </c>
      <c r="QQW9" s="189" t="s">
        <v>574</v>
      </c>
      <c r="QQX9" s="352" t="s">
        <v>573</v>
      </c>
      <c r="QQY9" s="142" t="s">
        <v>575</v>
      </c>
      <c r="QQZ9" s="358" t="s">
        <v>576</v>
      </c>
      <c r="QRA9" s="189" t="s">
        <v>574</v>
      </c>
      <c r="QRB9" s="352" t="s">
        <v>573</v>
      </c>
      <c r="QRC9" s="142" t="s">
        <v>575</v>
      </c>
      <c r="QRD9" s="358" t="s">
        <v>576</v>
      </c>
      <c r="QRE9" s="189" t="s">
        <v>574</v>
      </c>
      <c r="QRF9" s="352" t="s">
        <v>573</v>
      </c>
      <c r="QRG9" s="142" t="s">
        <v>575</v>
      </c>
      <c r="QRH9" s="358" t="s">
        <v>576</v>
      </c>
      <c r="QRI9" s="189" t="s">
        <v>574</v>
      </c>
      <c r="QRJ9" s="352" t="s">
        <v>573</v>
      </c>
      <c r="QRK9" s="142" t="s">
        <v>575</v>
      </c>
      <c r="QRL9" s="358" t="s">
        <v>576</v>
      </c>
      <c r="QRM9" s="189" t="s">
        <v>574</v>
      </c>
      <c r="QRN9" s="352" t="s">
        <v>573</v>
      </c>
      <c r="QRO9" s="142" t="s">
        <v>575</v>
      </c>
      <c r="QRP9" s="358" t="s">
        <v>576</v>
      </c>
      <c r="QRQ9" s="189" t="s">
        <v>574</v>
      </c>
      <c r="QRR9" s="352" t="s">
        <v>573</v>
      </c>
      <c r="QRS9" s="142" t="s">
        <v>575</v>
      </c>
      <c r="QRT9" s="358" t="s">
        <v>576</v>
      </c>
      <c r="QRU9" s="189" t="s">
        <v>574</v>
      </c>
      <c r="QRV9" s="352" t="s">
        <v>573</v>
      </c>
      <c r="QRW9" s="142" t="s">
        <v>575</v>
      </c>
      <c r="QRX9" s="358" t="s">
        <v>576</v>
      </c>
      <c r="QRY9" s="189" t="s">
        <v>574</v>
      </c>
      <c r="QRZ9" s="352" t="s">
        <v>573</v>
      </c>
      <c r="QSA9" s="142" t="s">
        <v>575</v>
      </c>
      <c r="QSB9" s="358" t="s">
        <v>576</v>
      </c>
      <c r="QSC9" s="189" t="s">
        <v>574</v>
      </c>
      <c r="QSD9" s="352" t="s">
        <v>573</v>
      </c>
      <c r="QSE9" s="142" t="s">
        <v>575</v>
      </c>
      <c r="QSF9" s="358" t="s">
        <v>576</v>
      </c>
      <c r="QSG9" s="189" t="s">
        <v>574</v>
      </c>
      <c r="QSH9" s="352" t="s">
        <v>573</v>
      </c>
      <c r="QSI9" s="142" t="s">
        <v>575</v>
      </c>
      <c r="QSJ9" s="358" t="s">
        <v>576</v>
      </c>
      <c r="QSK9" s="189" t="s">
        <v>574</v>
      </c>
      <c r="QSL9" s="352" t="s">
        <v>573</v>
      </c>
      <c r="QSM9" s="142" t="s">
        <v>575</v>
      </c>
      <c r="QSN9" s="358" t="s">
        <v>576</v>
      </c>
      <c r="QSO9" s="189" t="s">
        <v>574</v>
      </c>
      <c r="QSP9" s="352" t="s">
        <v>573</v>
      </c>
      <c r="QSQ9" s="142" t="s">
        <v>575</v>
      </c>
      <c r="QSR9" s="358" t="s">
        <v>576</v>
      </c>
      <c r="QSS9" s="189" t="s">
        <v>574</v>
      </c>
      <c r="QST9" s="352" t="s">
        <v>573</v>
      </c>
      <c r="QSU9" s="142" t="s">
        <v>575</v>
      </c>
      <c r="QSV9" s="358" t="s">
        <v>576</v>
      </c>
      <c r="QSW9" s="189" t="s">
        <v>574</v>
      </c>
      <c r="QSX9" s="352" t="s">
        <v>573</v>
      </c>
      <c r="QSY9" s="142" t="s">
        <v>575</v>
      </c>
      <c r="QSZ9" s="358" t="s">
        <v>576</v>
      </c>
      <c r="QTA9" s="189" t="s">
        <v>574</v>
      </c>
      <c r="QTB9" s="352" t="s">
        <v>573</v>
      </c>
      <c r="QTC9" s="142" t="s">
        <v>575</v>
      </c>
      <c r="QTD9" s="358" t="s">
        <v>576</v>
      </c>
      <c r="QTE9" s="189" t="s">
        <v>574</v>
      </c>
      <c r="QTF9" s="352" t="s">
        <v>573</v>
      </c>
      <c r="QTG9" s="142" t="s">
        <v>575</v>
      </c>
      <c r="QTH9" s="358" t="s">
        <v>576</v>
      </c>
      <c r="QTI9" s="189" t="s">
        <v>574</v>
      </c>
      <c r="QTJ9" s="352" t="s">
        <v>573</v>
      </c>
      <c r="QTK9" s="142" t="s">
        <v>575</v>
      </c>
      <c r="QTL9" s="358" t="s">
        <v>576</v>
      </c>
      <c r="QTM9" s="189" t="s">
        <v>574</v>
      </c>
      <c r="QTN9" s="352" t="s">
        <v>573</v>
      </c>
      <c r="QTO9" s="142" t="s">
        <v>575</v>
      </c>
      <c r="QTP9" s="358" t="s">
        <v>576</v>
      </c>
      <c r="QTQ9" s="189" t="s">
        <v>574</v>
      </c>
      <c r="QTR9" s="352" t="s">
        <v>573</v>
      </c>
      <c r="QTS9" s="142" t="s">
        <v>575</v>
      </c>
      <c r="QTT9" s="358" t="s">
        <v>576</v>
      </c>
      <c r="QTU9" s="189" t="s">
        <v>574</v>
      </c>
      <c r="QTV9" s="352" t="s">
        <v>573</v>
      </c>
      <c r="QTW9" s="142" t="s">
        <v>575</v>
      </c>
      <c r="QTX9" s="358" t="s">
        <v>576</v>
      </c>
      <c r="QTY9" s="189" t="s">
        <v>574</v>
      </c>
      <c r="QTZ9" s="352" t="s">
        <v>573</v>
      </c>
      <c r="QUA9" s="142" t="s">
        <v>575</v>
      </c>
      <c r="QUB9" s="358" t="s">
        <v>576</v>
      </c>
      <c r="QUC9" s="189" t="s">
        <v>574</v>
      </c>
      <c r="QUD9" s="352" t="s">
        <v>573</v>
      </c>
      <c r="QUE9" s="142" t="s">
        <v>575</v>
      </c>
      <c r="QUF9" s="358" t="s">
        <v>576</v>
      </c>
      <c r="QUG9" s="189" t="s">
        <v>574</v>
      </c>
      <c r="QUH9" s="352" t="s">
        <v>573</v>
      </c>
      <c r="QUI9" s="142" t="s">
        <v>575</v>
      </c>
      <c r="QUJ9" s="358" t="s">
        <v>576</v>
      </c>
      <c r="QUK9" s="189" t="s">
        <v>574</v>
      </c>
      <c r="QUL9" s="352" t="s">
        <v>573</v>
      </c>
      <c r="QUM9" s="142" t="s">
        <v>575</v>
      </c>
      <c r="QUN9" s="358" t="s">
        <v>576</v>
      </c>
      <c r="QUO9" s="189" t="s">
        <v>574</v>
      </c>
      <c r="QUP9" s="352" t="s">
        <v>573</v>
      </c>
      <c r="QUQ9" s="142" t="s">
        <v>575</v>
      </c>
      <c r="QUR9" s="358" t="s">
        <v>576</v>
      </c>
      <c r="QUS9" s="189" t="s">
        <v>574</v>
      </c>
      <c r="QUT9" s="352" t="s">
        <v>573</v>
      </c>
      <c r="QUU9" s="142" t="s">
        <v>575</v>
      </c>
      <c r="QUV9" s="358" t="s">
        <v>576</v>
      </c>
      <c r="QUW9" s="189" t="s">
        <v>574</v>
      </c>
      <c r="QUX9" s="352" t="s">
        <v>573</v>
      </c>
      <c r="QUY9" s="142" t="s">
        <v>575</v>
      </c>
      <c r="QUZ9" s="358" t="s">
        <v>576</v>
      </c>
      <c r="QVA9" s="189" t="s">
        <v>574</v>
      </c>
      <c r="QVB9" s="352" t="s">
        <v>573</v>
      </c>
      <c r="QVC9" s="142" t="s">
        <v>575</v>
      </c>
      <c r="QVD9" s="358" t="s">
        <v>576</v>
      </c>
      <c r="QVE9" s="189" t="s">
        <v>574</v>
      </c>
      <c r="QVF9" s="352" t="s">
        <v>573</v>
      </c>
      <c r="QVG9" s="142" t="s">
        <v>575</v>
      </c>
      <c r="QVH9" s="358" t="s">
        <v>576</v>
      </c>
      <c r="QVI9" s="189" t="s">
        <v>574</v>
      </c>
      <c r="QVJ9" s="352" t="s">
        <v>573</v>
      </c>
      <c r="QVK9" s="142" t="s">
        <v>575</v>
      </c>
      <c r="QVL9" s="358" t="s">
        <v>576</v>
      </c>
      <c r="QVM9" s="189" t="s">
        <v>574</v>
      </c>
      <c r="QVN9" s="352" t="s">
        <v>573</v>
      </c>
      <c r="QVO9" s="142" t="s">
        <v>575</v>
      </c>
      <c r="QVP9" s="358" t="s">
        <v>576</v>
      </c>
      <c r="QVQ9" s="189" t="s">
        <v>574</v>
      </c>
      <c r="QVR9" s="352" t="s">
        <v>573</v>
      </c>
      <c r="QVS9" s="142" t="s">
        <v>575</v>
      </c>
      <c r="QVT9" s="358" t="s">
        <v>576</v>
      </c>
      <c r="QVU9" s="189" t="s">
        <v>574</v>
      </c>
      <c r="QVV9" s="352" t="s">
        <v>573</v>
      </c>
      <c r="QVW9" s="142" t="s">
        <v>575</v>
      </c>
      <c r="QVX9" s="358" t="s">
        <v>576</v>
      </c>
      <c r="QVY9" s="189" t="s">
        <v>574</v>
      </c>
      <c r="QVZ9" s="352" t="s">
        <v>573</v>
      </c>
      <c r="QWA9" s="142" t="s">
        <v>575</v>
      </c>
      <c r="QWB9" s="358" t="s">
        <v>576</v>
      </c>
      <c r="QWC9" s="189" t="s">
        <v>574</v>
      </c>
      <c r="QWD9" s="352" t="s">
        <v>573</v>
      </c>
      <c r="QWE9" s="142" t="s">
        <v>575</v>
      </c>
      <c r="QWF9" s="358" t="s">
        <v>576</v>
      </c>
      <c r="QWG9" s="189" t="s">
        <v>574</v>
      </c>
      <c r="QWH9" s="352" t="s">
        <v>573</v>
      </c>
      <c r="QWI9" s="142" t="s">
        <v>575</v>
      </c>
      <c r="QWJ9" s="358" t="s">
        <v>576</v>
      </c>
      <c r="QWK9" s="189" t="s">
        <v>574</v>
      </c>
      <c r="QWL9" s="352" t="s">
        <v>573</v>
      </c>
      <c r="QWM9" s="142" t="s">
        <v>575</v>
      </c>
      <c r="QWN9" s="358" t="s">
        <v>576</v>
      </c>
      <c r="QWO9" s="189" t="s">
        <v>574</v>
      </c>
      <c r="QWP9" s="352" t="s">
        <v>573</v>
      </c>
      <c r="QWQ9" s="142" t="s">
        <v>575</v>
      </c>
      <c r="QWR9" s="358" t="s">
        <v>576</v>
      </c>
      <c r="QWS9" s="189" t="s">
        <v>574</v>
      </c>
      <c r="QWT9" s="352" t="s">
        <v>573</v>
      </c>
      <c r="QWU9" s="142" t="s">
        <v>575</v>
      </c>
      <c r="QWV9" s="358" t="s">
        <v>576</v>
      </c>
      <c r="QWW9" s="189" t="s">
        <v>574</v>
      </c>
      <c r="QWX9" s="352" t="s">
        <v>573</v>
      </c>
      <c r="QWY9" s="142" t="s">
        <v>575</v>
      </c>
      <c r="QWZ9" s="358" t="s">
        <v>576</v>
      </c>
      <c r="QXA9" s="189" t="s">
        <v>574</v>
      </c>
      <c r="QXB9" s="352" t="s">
        <v>573</v>
      </c>
      <c r="QXC9" s="142" t="s">
        <v>575</v>
      </c>
      <c r="QXD9" s="358" t="s">
        <v>576</v>
      </c>
      <c r="QXE9" s="189" t="s">
        <v>574</v>
      </c>
      <c r="QXF9" s="352" t="s">
        <v>573</v>
      </c>
      <c r="QXG9" s="142" t="s">
        <v>575</v>
      </c>
      <c r="QXH9" s="358" t="s">
        <v>576</v>
      </c>
      <c r="QXI9" s="189" t="s">
        <v>574</v>
      </c>
      <c r="QXJ9" s="352" t="s">
        <v>573</v>
      </c>
      <c r="QXK9" s="142" t="s">
        <v>575</v>
      </c>
      <c r="QXL9" s="358" t="s">
        <v>576</v>
      </c>
      <c r="QXM9" s="189" t="s">
        <v>574</v>
      </c>
      <c r="QXN9" s="352" t="s">
        <v>573</v>
      </c>
      <c r="QXO9" s="142" t="s">
        <v>575</v>
      </c>
      <c r="QXP9" s="358" t="s">
        <v>576</v>
      </c>
      <c r="QXQ9" s="189" t="s">
        <v>574</v>
      </c>
      <c r="QXR9" s="352" t="s">
        <v>573</v>
      </c>
      <c r="QXS9" s="142" t="s">
        <v>575</v>
      </c>
      <c r="QXT9" s="358" t="s">
        <v>576</v>
      </c>
      <c r="QXU9" s="189" t="s">
        <v>574</v>
      </c>
      <c r="QXV9" s="352" t="s">
        <v>573</v>
      </c>
      <c r="QXW9" s="142" t="s">
        <v>575</v>
      </c>
      <c r="QXX9" s="358" t="s">
        <v>576</v>
      </c>
      <c r="QXY9" s="189" t="s">
        <v>574</v>
      </c>
      <c r="QXZ9" s="352" t="s">
        <v>573</v>
      </c>
      <c r="QYA9" s="142" t="s">
        <v>575</v>
      </c>
      <c r="QYB9" s="358" t="s">
        <v>576</v>
      </c>
      <c r="QYC9" s="189" t="s">
        <v>574</v>
      </c>
      <c r="QYD9" s="352" t="s">
        <v>573</v>
      </c>
      <c r="QYE9" s="142" t="s">
        <v>575</v>
      </c>
      <c r="QYF9" s="358" t="s">
        <v>576</v>
      </c>
      <c r="QYG9" s="189" t="s">
        <v>574</v>
      </c>
      <c r="QYH9" s="352" t="s">
        <v>573</v>
      </c>
      <c r="QYI9" s="142" t="s">
        <v>575</v>
      </c>
      <c r="QYJ9" s="358" t="s">
        <v>576</v>
      </c>
      <c r="QYK9" s="189" t="s">
        <v>574</v>
      </c>
      <c r="QYL9" s="352" t="s">
        <v>573</v>
      </c>
      <c r="QYM9" s="142" t="s">
        <v>575</v>
      </c>
      <c r="QYN9" s="358" t="s">
        <v>576</v>
      </c>
      <c r="QYO9" s="189" t="s">
        <v>574</v>
      </c>
      <c r="QYP9" s="352" t="s">
        <v>573</v>
      </c>
      <c r="QYQ9" s="142" t="s">
        <v>575</v>
      </c>
      <c r="QYR9" s="358" t="s">
        <v>576</v>
      </c>
      <c r="QYS9" s="189" t="s">
        <v>574</v>
      </c>
      <c r="QYT9" s="352" t="s">
        <v>573</v>
      </c>
      <c r="QYU9" s="142" t="s">
        <v>575</v>
      </c>
      <c r="QYV9" s="358" t="s">
        <v>576</v>
      </c>
      <c r="QYW9" s="189" t="s">
        <v>574</v>
      </c>
      <c r="QYX9" s="352" t="s">
        <v>573</v>
      </c>
      <c r="QYY9" s="142" t="s">
        <v>575</v>
      </c>
      <c r="QYZ9" s="358" t="s">
        <v>576</v>
      </c>
      <c r="QZA9" s="189" t="s">
        <v>574</v>
      </c>
      <c r="QZB9" s="352" t="s">
        <v>573</v>
      </c>
      <c r="QZC9" s="142" t="s">
        <v>575</v>
      </c>
      <c r="QZD9" s="358" t="s">
        <v>576</v>
      </c>
      <c r="QZE9" s="189" t="s">
        <v>574</v>
      </c>
      <c r="QZF9" s="352" t="s">
        <v>573</v>
      </c>
      <c r="QZG9" s="142" t="s">
        <v>575</v>
      </c>
      <c r="QZH9" s="358" t="s">
        <v>576</v>
      </c>
      <c r="QZI9" s="189" t="s">
        <v>574</v>
      </c>
      <c r="QZJ9" s="352" t="s">
        <v>573</v>
      </c>
      <c r="QZK9" s="142" t="s">
        <v>575</v>
      </c>
      <c r="QZL9" s="358" t="s">
        <v>576</v>
      </c>
      <c r="QZM9" s="189" t="s">
        <v>574</v>
      </c>
      <c r="QZN9" s="352" t="s">
        <v>573</v>
      </c>
      <c r="QZO9" s="142" t="s">
        <v>575</v>
      </c>
      <c r="QZP9" s="358" t="s">
        <v>576</v>
      </c>
      <c r="QZQ9" s="189" t="s">
        <v>574</v>
      </c>
      <c r="QZR9" s="352" t="s">
        <v>573</v>
      </c>
      <c r="QZS9" s="142" t="s">
        <v>575</v>
      </c>
      <c r="QZT9" s="358" t="s">
        <v>576</v>
      </c>
      <c r="QZU9" s="189" t="s">
        <v>574</v>
      </c>
      <c r="QZV9" s="352" t="s">
        <v>573</v>
      </c>
      <c r="QZW9" s="142" t="s">
        <v>575</v>
      </c>
      <c r="QZX9" s="358" t="s">
        <v>576</v>
      </c>
      <c r="QZY9" s="189" t="s">
        <v>574</v>
      </c>
      <c r="QZZ9" s="352" t="s">
        <v>573</v>
      </c>
      <c r="RAA9" s="142" t="s">
        <v>575</v>
      </c>
      <c r="RAB9" s="358" t="s">
        <v>576</v>
      </c>
      <c r="RAC9" s="189" t="s">
        <v>574</v>
      </c>
      <c r="RAD9" s="352" t="s">
        <v>573</v>
      </c>
      <c r="RAE9" s="142" t="s">
        <v>575</v>
      </c>
      <c r="RAF9" s="358" t="s">
        <v>576</v>
      </c>
      <c r="RAG9" s="189" t="s">
        <v>574</v>
      </c>
      <c r="RAH9" s="352" t="s">
        <v>573</v>
      </c>
      <c r="RAI9" s="142" t="s">
        <v>575</v>
      </c>
      <c r="RAJ9" s="358" t="s">
        <v>576</v>
      </c>
      <c r="RAK9" s="189" t="s">
        <v>574</v>
      </c>
      <c r="RAL9" s="352" t="s">
        <v>573</v>
      </c>
      <c r="RAM9" s="142" t="s">
        <v>575</v>
      </c>
      <c r="RAN9" s="358" t="s">
        <v>576</v>
      </c>
      <c r="RAO9" s="189" t="s">
        <v>574</v>
      </c>
      <c r="RAP9" s="352" t="s">
        <v>573</v>
      </c>
      <c r="RAQ9" s="142" t="s">
        <v>575</v>
      </c>
      <c r="RAR9" s="358" t="s">
        <v>576</v>
      </c>
      <c r="RAS9" s="189" t="s">
        <v>574</v>
      </c>
      <c r="RAT9" s="352" t="s">
        <v>573</v>
      </c>
      <c r="RAU9" s="142" t="s">
        <v>575</v>
      </c>
      <c r="RAV9" s="358" t="s">
        <v>576</v>
      </c>
      <c r="RAW9" s="189" t="s">
        <v>574</v>
      </c>
      <c r="RAX9" s="352" t="s">
        <v>573</v>
      </c>
      <c r="RAY9" s="142" t="s">
        <v>575</v>
      </c>
      <c r="RAZ9" s="358" t="s">
        <v>576</v>
      </c>
      <c r="RBA9" s="189" t="s">
        <v>574</v>
      </c>
      <c r="RBB9" s="352" t="s">
        <v>573</v>
      </c>
      <c r="RBC9" s="142" t="s">
        <v>575</v>
      </c>
      <c r="RBD9" s="358" t="s">
        <v>576</v>
      </c>
      <c r="RBE9" s="189" t="s">
        <v>574</v>
      </c>
      <c r="RBF9" s="352" t="s">
        <v>573</v>
      </c>
      <c r="RBG9" s="142" t="s">
        <v>575</v>
      </c>
      <c r="RBH9" s="358" t="s">
        <v>576</v>
      </c>
      <c r="RBI9" s="189" t="s">
        <v>574</v>
      </c>
      <c r="RBJ9" s="352" t="s">
        <v>573</v>
      </c>
      <c r="RBK9" s="142" t="s">
        <v>575</v>
      </c>
      <c r="RBL9" s="358" t="s">
        <v>576</v>
      </c>
      <c r="RBM9" s="189" t="s">
        <v>574</v>
      </c>
      <c r="RBN9" s="352" t="s">
        <v>573</v>
      </c>
      <c r="RBO9" s="142" t="s">
        <v>575</v>
      </c>
      <c r="RBP9" s="358" t="s">
        <v>576</v>
      </c>
      <c r="RBQ9" s="189" t="s">
        <v>574</v>
      </c>
      <c r="RBR9" s="352" t="s">
        <v>573</v>
      </c>
      <c r="RBS9" s="142" t="s">
        <v>575</v>
      </c>
      <c r="RBT9" s="358" t="s">
        <v>576</v>
      </c>
      <c r="RBU9" s="189" t="s">
        <v>574</v>
      </c>
      <c r="RBV9" s="352" t="s">
        <v>573</v>
      </c>
      <c r="RBW9" s="142" t="s">
        <v>575</v>
      </c>
      <c r="RBX9" s="358" t="s">
        <v>576</v>
      </c>
      <c r="RBY9" s="189" t="s">
        <v>574</v>
      </c>
      <c r="RBZ9" s="352" t="s">
        <v>573</v>
      </c>
      <c r="RCA9" s="142" t="s">
        <v>575</v>
      </c>
      <c r="RCB9" s="358" t="s">
        <v>576</v>
      </c>
      <c r="RCC9" s="189" t="s">
        <v>574</v>
      </c>
      <c r="RCD9" s="352" t="s">
        <v>573</v>
      </c>
      <c r="RCE9" s="142" t="s">
        <v>575</v>
      </c>
      <c r="RCF9" s="358" t="s">
        <v>576</v>
      </c>
      <c r="RCG9" s="189" t="s">
        <v>574</v>
      </c>
      <c r="RCH9" s="352" t="s">
        <v>573</v>
      </c>
      <c r="RCI9" s="142" t="s">
        <v>575</v>
      </c>
      <c r="RCJ9" s="358" t="s">
        <v>576</v>
      </c>
      <c r="RCK9" s="189" t="s">
        <v>574</v>
      </c>
      <c r="RCL9" s="352" t="s">
        <v>573</v>
      </c>
      <c r="RCM9" s="142" t="s">
        <v>575</v>
      </c>
      <c r="RCN9" s="358" t="s">
        <v>576</v>
      </c>
      <c r="RCO9" s="189" t="s">
        <v>574</v>
      </c>
      <c r="RCP9" s="352" t="s">
        <v>573</v>
      </c>
      <c r="RCQ9" s="142" t="s">
        <v>575</v>
      </c>
      <c r="RCR9" s="358" t="s">
        <v>576</v>
      </c>
      <c r="RCS9" s="189" t="s">
        <v>574</v>
      </c>
      <c r="RCT9" s="352" t="s">
        <v>573</v>
      </c>
      <c r="RCU9" s="142" t="s">
        <v>575</v>
      </c>
      <c r="RCV9" s="358" t="s">
        <v>576</v>
      </c>
      <c r="RCW9" s="189" t="s">
        <v>574</v>
      </c>
      <c r="RCX9" s="352" t="s">
        <v>573</v>
      </c>
      <c r="RCY9" s="142" t="s">
        <v>575</v>
      </c>
      <c r="RCZ9" s="358" t="s">
        <v>576</v>
      </c>
      <c r="RDA9" s="189" t="s">
        <v>574</v>
      </c>
      <c r="RDB9" s="352" t="s">
        <v>573</v>
      </c>
      <c r="RDC9" s="142" t="s">
        <v>575</v>
      </c>
      <c r="RDD9" s="358" t="s">
        <v>576</v>
      </c>
      <c r="RDE9" s="189" t="s">
        <v>574</v>
      </c>
      <c r="RDF9" s="352" t="s">
        <v>573</v>
      </c>
      <c r="RDG9" s="142" t="s">
        <v>575</v>
      </c>
      <c r="RDH9" s="358" t="s">
        <v>576</v>
      </c>
      <c r="RDI9" s="189" t="s">
        <v>574</v>
      </c>
      <c r="RDJ9" s="352" t="s">
        <v>573</v>
      </c>
      <c r="RDK9" s="142" t="s">
        <v>575</v>
      </c>
      <c r="RDL9" s="358" t="s">
        <v>576</v>
      </c>
      <c r="RDM9" s="189" t="s">
        <v>574</v>
      </c>
      <c r="RDN9" s="352" t="s">
        <v>573</v>
      </c>
      <c r="RDO9" s="142" t="s">
        <v>575</v>
      </c>
      <c r="RDP9" s="358" t="s">
        <v>576</v>
      </c>
      <c r="RDQ9" s="189" t="s">
        <v>574</v>
      </c>
      <c r="RDR9" s="352" t="s">
        <v>573</v>
      </c>
      <c r="RDS9" s="142" t="s">
        <v>575</v>
      </c>
      <c r="RDT9" s="358" t="s">
        <v>576</v>
      </c>
      <c r="RDU9" s="189" t="s">
        <v>574</v>
      </c>
      <c r="RDV9" s="352" t="s">
        <v>573</v>
      </c>
      <c r="RDW9" s="142" t="s">
        <v>575</v>
      </c>
      <c r="RDX9" s="358" t="s">
        <v>576</v>
      </c>
      <c r="RDY9" s="189" t="s">
        <v>574</v>
      </c>
      <c r="RDZ9" s="352" t="s">
        <v>573</v>
      </c>
      <c r="REA9" s="142" t="s">
        <v>575</v>
      </c>
      <c r="REB9" s="358" t="s">
        <v>576</v>
      </c>
      <c r="REC9" s="189" t="s">
        <v>574</v>
      </c>
      <c r="RED9" s="352" t="s">
        <v>573</v>
      </c>
      <c r="REE9" s="142" t="s">
        <v>575</v>
      </c>
      <c r="REF9" s="358" t="s">
        <v>576</v>
      </c>
      <c r="REG9" s="189" t="s">
        <v>574</v>
      </c>
      <c r="REH9" s="352" t="s">
        <v>573</v>
      </c>
      <c r="REI9" s="142" t="s">
        <v>575</v>
      </c>
      <c r="REJ9" s="358" t="s">
        <v>576</v>
      </c>
      <c r="REK9" s="189" t="s">
        <v>574</v>
      </c>
      <c r="REL9" s="352" t="s">
        <v>573</v>
      </c>
      <c r="REM9" s="142" t="s">
        <v>575</v>
      </c>
      <c r="REN9" s="358" t="s">
        <v>576</v>
      </c>
      <c r="REO9" s="189" t="s">
        <v>574</v>
      </c>
      <c r="REP9" s="352" t="s">
        <v>573</v>
      </c>
      <c r="REQ9" s="142" t="s">
        <v>575</v>
      </c>
      <c r="RER9" s="358" t="s">
        <v>576</v>
      </c>
      <c r="RES9" s="189" t="s">
        <v>574</v>
      </c>
      <c r="RET9" s="352" t="s">
        <v>573</v>
      </c>
      <c r="REU9" s="142" t="s">
        <v>575</v>
      </c>
      <c r="REV9" s="358" t="s">
        <v>576</v>
      </c>
      <c r="REW9" s="189" t="s">
        <v>574</v>
      </c>
      <c r="REX9" s="352" t="s">
        <v>573</v>
      </c>
      <c r="REY9" s="142" t="s">
        <v>575</v>
      </c>
      <c r="REZ9" s="358" t="s">
        <v>576</v>
      </c>
      <c r="RFA9" s="189" t="s">
        <v>574</v>
      </c>
      <c r="RFB9" s="352" t="s">
        <v>573</v>
      </c>
      <c r="RFC9" s="142" t="s">
        <v>575</v>
      </c>
      <c r="RFD9" s="358" t="s">
        <v>576</v>
      </c>
      <c r="RFE9" s="189" t="s">
        <v>574</v>
      </c>
      <c r="RFF9" s="352" t="s">
        <v>573</v>
      </c>
      <c r="RFG9" s="142" t="s">
        <v>575</v>
      </c>
      <c r="RFH9" s="358" t="s">
        <v>576</v>
      </c>
      <c r="RFI9" s="189" t="s">
        <v>574</v>
      </c>
      <c r="RFJ9" s="352" t="s">
        <v>573</v>
      </c>
      <c r="RFK9" s="142" t="s">
        <v>575</v>
      </c>
      <c r="RFL9" s="358" t="s">
        <v>576</v>
      </c>
      <c r="RFM9" s="189" t="s">
        <v>574</v>
      </c>
      <c r="RFN9" s="352" t="s">
        <v>573</v>
      </c>
      <c r="RFO9" s="142" t="s">
        <v>575</v>
      </c>
      <c r="RFP9" s="358" t="s">
        <v>576</v>
      </c>
      <c r="RFQ9" s="189" t="s">
        <v>574</v>
      </c>
      <c r="RFR9" s="352" t="s">
        <v>573</v>
      </c>
      <c r="RFS9" s="142" t="s">
        <v>575</v>
      </c>
      <c r="RFT9" s="358" t="s">
        <v>576</v>
      </c>
      <c r="RFU9" s="189" t="s">
        <v>574</v>
      </c>
      <c r="RFV9" s="352" t="s">
        <v>573</v>
      </c>
      <c r="RFW9" s="142" t="s">
        <v>575</v>
      </c>
      <c r="RFX9" s="358" t="s">
        <v>576</v>
      </c>
      <c r="RFY9" s="189" t="s">
        <v>574</v>
      </c>
      <c r="RFZ9" s="352" t="s">
        <v>573</v>
      </c>
      <c r="RGA9" s="142" t="s">
        <v>575</v>
      </c>
      <c r="RGB9" s="358" t="s">
        <v>576</v>
      </c>
      <c r="RGC9" s="189" t="s">
        <v>574</v>
      </c>
      <c r="RGD9" s="352" t="s">
        <v>573</v>
      </c>
      <c r="RGE9" s="142" t="s">
        <v>575</v>
      </c>
      <c r="RGF9" s="358" t="s">
        <v>576</v>
      </c>
      <c r="RGG9" s="189" t="s">
        <v>574</v>
      </c>
      <c r="RGH9" s="352" t="s">
        <v>573</v>
      </c>
      <c r="RGI9" s="142" t="s">
        <v>575</v>
      </c>
      <c r="RGJ9" s="358" t="s">
        <v>576</v>
      </c>
      <c r="RGK9" s="189" t="s">
        <v>574</v>
      </c>
      <c r="RGL9" s="352" t="s">
        <v>573</v>
      </c>
      <c r="RGM9" s="142" t="s">
        <v>575</v>
      </c>
      <c r="RGN9" s="358" t="s">
        <v>576</v>
      </c>
      <c r="RGO9" s="189" t="s">
        <v>574</v>
      </c>
      <c r="RGP9" s="352" t="s">
        <v>573</v>
      </c>
      <c r="RGQ9" s="142" t="s">
        <v>575</v>
      </c>
      <c r="RGR9" s="358" t="s">
        <v>576</v>
      </c>
      <c r="RGS9" s="189" t="s">
        <v>574</v>
      </c>
      <c r="RGT9" s="352" t="s">
        <v>573</v>
      </c>
      <c r="RGU9" s="142" t="s">
        <v>575</v>
      </c>
      <c r="RGV9" s="358" t="s">
        <v>576</v>
      </c>
      <c r="RGW9" s="189" t="s">
        <v>574</v>
      </c>
      <c r="RGX9" s="352" t="s">
        <v>573</v>
      </c>
      <c r="RGY9" s="142" t="s">
        <v>575</v>
      </c>
      <c r="RGZ9" s="358" t="s">
        <v>576</v>
      </c>
      <c r="RHA9" s="189" t="s">
        <v>574</v>
      </c>
      <c r="RHB9" s="352" t="s">
        <v>573</v>
      </c>
      <c r="RHC9" s="142" t="s">
        <v>575</v>
      </c>
      <c r="RHD9" s="358" t="s">
        <v>576</v>
      </c>
      <c r="RHE9" s="189" t="s">
        <v>574</v>
      </c>
      <c r="RHF9" s="352" t="s">
        <v>573</v>
      </c>
      <c r="RHG9" s="142" t="s">
        <v>575</v>
      </c>
      <c r="RHH9" s="358" t="s">
        <v>576</v>
      </c>
      <c r="RHI9" s="189" t="s">
        <v>574</v>
      </c>
      <c r="RHJ9" s="352" t="s">
        <v>573</v>
      </c>
      <c r="RHK9" s="142" t="s">
        <v>575</v>
      </c>
      <c r="RHL9" s="358" t="s">
        <v>576</v>
      </c>
      <c r="RHM9" s="189" t="s">
        <v>574</v>
      </c>
      <c r="RHN9" s="352" t="s">
        <v>573</v>
      </c>
      <c r="RHO9" s="142" t="s">
        <v>575</v>
      </c>
      <c r="RHP9" s="358" t="s">
        <v>576</v>
      </c>
      <c r="RHQ9" s="189" t="s">
        <v>574</v>
      </c>
      <c r="RHR9" s="352" t="s">
        <v>573</v>
      </c>
      <c r="RHS9" s="142" t="s">
        <v>575</v>
      </c>
      <c r="RHT9" s="358" t="s">
        <v>576</v>
      </c>
      <c r="RHU9" s="189" t="s">
        <v>574</v>
      </c>
      <c r="RHV9" s="352" t="s">
        <v>573</v>
      </c>
      <c r="RHW9" s="142" t="s">
        <v>575</v>
      </c>
      <c r="RHX9" s="358" t="s">
        <v>576</v>
      </c>
      <c r="RHY9" s="189" t="s">
        <v>574</v>
      </c>
      <c r="RHZ9" s="352" t="s">
        <v>573</v>
      </c>
      <c r="RIA9" s="142" t="s">
        <v>575</v>
      </c>
      <c r="RIB9" s="358" t="s">
        <v>576</v>
      </c>
      <c r="RIC9" s="189" t="s">
        <v>574</v>
      </c>
      <c r="RID9" s="352" t="s">
        <v>573</v>
      </c>
      <c r="RIE9" s="142" t="s">
        <v>575</v>
      </c>
      <c r="RIF9" s="358" t="s">
        <v>576</v>
      </c>
      <c r="RIG9" s="189" t="s">
        <v>574</v>
      </c>
      <c r="RIH9" s="352" t="s">
        <v>573</v>
      </c>
      <c r="RII9" s="142" t="s">
        <v>575</v>
      </c>
      <c r="RIJ9" s="358" t="s">
        <v>576</v>
      </c>
      <c r="RIK9" s="189" t="s">
        <v>574</v>
      </c>
      <c r="RIL9" s="352" t="s">
        <v>573</v>
      </c>
      <c r="RIM9" s="142" t="s">
        <v>575</v>
      </c>
      <c r="RIN9" s="358" t="s">
        <v>576</v>
      </c>
      <c r="RIO9" s="189" t="s">
        <v>574</v>
      </c>
      <c r="RIP9" s="352" t="s">
        <v>573</v>
      </c>
      <c r="RIQ9" s="142" t="s">
        <v>575</v>
      </c>
      <c r="RIR9" s="358" t="s">
        <v>576</v>
      </c>
      <c r="RIS9" s="189" t="s">
        <v>574</v>
      </c>
      <c r="RIT9" s="352" t="s">
        <v>573</v>
      </c>
      <c r="RIU9" s="142" t="s">
        <v>575</v>
      </c>
      <c r="RIV9" s="358" t="s">
        <v>576</v>
      </c>
      <c r="RIW9" s="189" t="s">
        <v>574</v>
      </c>
      <c r="RIX9" s="352" t="s">
        <v>573</v>
      </c>
      <c r="RIY9" s="142" t="s">
        <v>575</v>
      </c>
      <c r="RIZ9" s="358" t="s">
        <v>576</v>
      </c>
      <c r="RJA9" s="189" t="s">
        <v>574</v>
      </c>
      <c r="RJB9" s="352" t="s">
        <v>573</v>
      </c>
      <c r="RJC9" s="142" t="s">
        <v>575</v>
      </c>
      <c r="RJD9" s="358" t="s">
        <v>576</v>
      </c>
      <c r="RJE9" s="189" t="s">
        <v>574</v>
      </c>
      <c r="RJF9" s="352" t="s">
        <v>573</v>
      </c>
      <c r="RJG9" s="142" t="s">
        <v>575</v>
      </c>
      <c r="RJH9" s="358" t="s">
        <v>576</v>
      </c>
      <c r="RJI9" s="189" t="s">
        <v>574</v>
      </c>
      <c r="RJJ9" s="352" t="s">
        <v>573</v>
      </c>
      <c r="RJK9" s="142" t="s">
        <v>575</v>
      </c>
      <c r="RJL9" s="358" t="s">
        <v>576</v>
      </c>
      <c r="RJM9" s="189" t="s">
        <v>574</v>
      </c>
      <c r="RJN9" s="352" t="s">
        <v>573</v>
      </c>
      <c r="RJO9" s="142" t="s">
        <v>575</v>
      </c>
      <c r="RJP9" s="358" t="s">
        <v>576</v>
      </c>
      <c r="RJQ9" s="189" t="s">
        <v>574</v>
      </c>
      <c r="RJR9" s="352" t="s">
        <v>573</v>
      </c>
      <c r="RJS9" s="142" t="s">
        <v>575</v>
      </c>
      <c r="RJT9" s="358" t="s">
        <v>576</v>
      </c>
      <c r="RJU9" s="189" t="s">
        <v>574</v>
      </c>
      <c r="RJV9" s="352" t="s">
        <v>573</v>
      </c>
      <c r="RJW9" s="142" t="s">
        <v>575</v>
      </c>
      <c r="RJX9" s="358" t="s">
        <v>576</v>
      </c>
      <c r="RJY9" s="189" t="s">
        <v>574</v>
      </c>
      <c r="RJZ9" s="352" t="s">
        <v>573</v>
      </c>
      <c r="RKA9" s="142" t="s">
        <v>575</v>
      </c>
      <c r="RKB9" s="358" t="s">
        <v>576</v>
      </c>
      <c r="RKC9" s="189" t="s">
        <v>574</v>
      </c>
      <c r="RKD9" s="352" t="s">
        <v>573</v>
      </c>
      <c r="RKE9" s="142" t="s">
        <v>575</v>
      </c>
      <c r="RKF9" s="358" t="s">
        <v>576</v>
      </c>
      <c r="RKG9" s="189" t="s">
        <v>574</v>
      </c>
      <c r="RKH9" s="352" t="s">
        <v>573</v>
      </c>
      <c r="RKI9" s="142" t="s">
        <v>575</v>
      </c>
      <c r="RKJ9" s="358" t="s">
        <v>576</v>
      </c>
      <c r="RKK9" s="189" t="s">
        <v>574</v>
      </c>
      <c r="RKL9" s="352" t="s">
        <v>573</v>
      </c>
      <c r="RKM9" s="142" t="s">
        <v>575</v>
      </c>
      <c r="RKN9" s="358" t="s">
        <v>576</v>
      </c>
      <c r="RKO9" s="189" t="s">
        <v>574</v>
      </c>
      <c r="RKP9" s="352" t="s">
        <v>573</v>
      </c>
      <c r="RKQ9" s="142" t="s">
        <v>575</v>
      </c>
      <c r="RKR9" s="358" t="s">
        <v>576</v>
      </c>
      <c r="RKS9" s="189" t="s">
        <v>574</v>
      </c>
      <c r="RKT9" s="352" t="s">
        <v>573</v>
      </c>
      <c r="RKU9" s="142" t="s">
        <v>575</v>
      </c>
      <c r="RKV9" s="358" t="s">
        <v>576</v>
      </c>
      <c r="RKW9" s="189" t="s">
        <v>574</v>
      </c>
      <c r="RKX9" s="352" t="s">
        <v>573</v>
      </c>
      <c r="RKY9" s="142" t="s">
        <v>575</v>
      </c>
      <c r="RKZ9" s="358" t="s">
        <v>576</v>
      </c>
      <c r="RLA9" s="189" t="s">
        <v>574</v>
      </c>
      <c r="RLB9" s="352" t="s">
        <v>573</v>
      </c>
      <c r="RLC9" s="142" t="s">
        <v>575</v>
      </c>
      <c r="RLD9" s="358" t="s">
        <v>576</v>
      </c>
      <c r="RLE9" s="189" t="s">
        <v>574</v>
      </c>
      <c r="RLF9" s="352" t="s">
        <v>573</v>
      </c>
      <c r="RLG9" s="142" t="s">
        <v>575</v>
      </c>
      <c r="RLH9" s="358" t="s">
        <v>576</v>
      </c>
      <c r="RLI9" s="189" t="s">
        <v>574</v>
      </c>
      <c r="RLJ9" s="352" t="s">
        <v>573</v>
      </c>
      <c r="RLK9" s="142" t="s">
        <v>575</v>
      </c>
      <c r="RLL9" s="358" t="s">
        <v>576</v>
      </c>
      <c r="RLM9" s="189" t="s">
        <v>574</v>
      </c>
      <c r="RLN9" s="352" t="s">
        <v>573</v>
      </c>
      <c r="RLO9" s="142" t="s">
        <v>575</v>
      </c>
      <c r="RLP9" s="358" t="s">
        <v>576</v>
      </c>
      <c r="RLQ9" s="189" t="s">
        <v>574</v>
      </c>
      <c r="RLR9" s="352" t="s">
        <v>573</v>
      </c>
      <c r="RLS9" s="142" t="s">
        <v>575</v>
      </c>
      <c r="RLT9" s="358" t="s">
        <v>576</v>
      </c>
      <c r="RLU9" s="189" t="s">
        <v>574</v>
      </c>
      <c r="RLV9" s="352" t="s">
        <v>573</v>
      </c>
      <c r="RLW9" s="142" t="s">
        <v>575</v>
      </c>
      <c r="RLX9" s="358" t="s">
        <v>576</v>
      </c>
      <c r="RLY9" s="189" t="s">
        <v>574</v>
      </c>
      <c r="RLZ9" s="352" t="s">
        <v>573</v>
      </c>
      <c r="RMA9" s="142" t="s">
        <v>575</v>
      </c>
      <c r="RMB9" s="358" t="s">
        <v>576</v>
      </c>
      <c r="RMC9" s="189" t="s">
        <v>574</v>
      </c>
      <c r="RMD9" s="352" t="s">
        <v>573</v>
      </c>
      <c r="RME9" s="142" t="s">
        <v>575</v>
      </c>
      <c r="RMF9" s="358" t="s">
        <v>576</v>
      </c>
      <c r="RMG9" s="189" t="s">
        <v>574</v>
      </c>
      <c r="RMH9" s="352" t="s">
        <v>573</v>
      </c>
      <c r="RMI9" s="142" t="s">
        <v>575</v>
      </c>
      <c r="RMJ9" s="358" t="s">
        <v>576</v>
      </c>
      <c r="RMK9" s="189" t="s">
        <v>574</v>
      </c>
      <c r="RML9" s="352" t="s">
        <v>573</v>
      </c>
      <c r="RMM9" s="142" t="s">
        <v>575</v>
      </c>
      <c r="RMN9" s="358" t="s">
        <v>576</v>
      </c>
      <c r="RMO9" s="189" t="s">
        <v>574</v>
      </c>
      <c r="RMP9" s="352" t="s">
        <v>573</v>
      </c>
      <c r="RMQ9" s="142" t="s">
        <v>575</v>
      </c>
      <c r="RMR9" s="358" t="s">
        <v>576</v>
      </c>
      <c r="RMS9" s="189" t="s">
        <v>574</v>
      </c>
      <c r="RMT9" s="352" t="s">
        <v>573</v>
      </c>
      <c r="RMU9" s="142" t="s">
        <v>575</v>
      </c>
      <c r="RMV9" s="358" t="s">
        <v>576</v>
      </c>
      <c r="RMW9" s="189" t="s">
        <v>574</v>
      </c>
      <c r="RMX9" s="352" t="s">
        <v>573</v>
      </c>
      <c r="RMY9" s="142" t="s">
        <v>575</v>
      </c>
      <c r="RMZ9" s="358" t="s">
        <v>576</v>
      </c>
      <c r="RNA9" s="189" t="s">
        <v>574</v>
      </c>
      <c r="RNB9" s="352" t="s">
        <v>573</v>
      </c>
      <c r="RNC9" s="142" t="s">
        <v>575</v>
      </c>
      <c r="RND9" s="358" t="s">
        <v>576</v>
      </c>
      <c r="RNE9" s="189" t="s">
        <v>574</v>
      </c>
      <c r="RNF9" s="352" t="s">
        <v>573</v>
      </c>
      <c r="RNG9" s="142" t="s">
        <v>575</v>
      </c>
      <c r="RNH9" s="358" t="s">
        <v>576</v>
      </c>
      <c r="RNI9" s="189" t="s">
        <v>574</v>
      </c>
      <c r="RNJ9" s="352" t="s">
        <v>573</v>
      </c>
      <c r="RNK9" s="142" t="s">
        <v>575</v>
      </c>
      <c r="RNL9" s="358" t="s">
        <v>576</v>
      </c>
      <c r="RNM9" s="189" t="s">
        <v>574</v>
      </c>
      <c r="RNN9" s="352" t="s">
        <v>573</v>
      </c>
      <c r="RNO9" s="142" t="s">
        <v>575</v>
      </c>
      <c r="RNP9" s="358" t="s">
        <v>576</v>
      </c>
      <c r="RNQ9" s="189" t="s">
        <v>574</v>
      </c>
      <c r="RNR9" s="352" t="s">
        <v>573</v>
      </c>
      <c r="RNS9" s="142" t="s">
        <v>575</v>
      </c>
      <c r="RNT9" s="358" t="s">
        <v>576</v>
      </c>
      <c r="RNU9" s="189" t="s">
        <v>574</v>
      </c>
      <c r="RNV9" s="352" t="s">
        <v>573</v>
      </c>
      <c r="RNW9" s="142" t="s">
        <v>575</v>
      </c>
      <c r="RNX9" s="358" t="s">
        <v>576</v>
      </c>
      <c r="RNY9" s="189" t="s">
        <v>574</v>
      </c>
      <c r="RNZ9" s="352" t="s">
        <v>573</v>
      </c>
      <c r="ROA9" s="142" t="s">
        <v>575</v>
      </c>
      <c r="ROB9" s="358" t="s">
        <v>576</v>
      </c>
      <c r="ROC9" s="189" t="s">
        <v>574</v>
      </c>
      <c r="ROD9" s="352" t="s">
        <v>573</v>
      </c>
      <c r="ROE9" s="142" t="s">
        <v>575</v>
      </c>
      <c r="ROF9" s="358" t="s">
        <v>576</v>
      </c>
      <c r="ROG9" s="189" t="s">
        <v>574</v>
      </c>
      <c r="ROH9" s="352" t="s">
        <v>573</v>
      </c>
      <c r="ROI9" s="142" t="s">
        <v>575</v>
      </c>
      <c r="ROJ9" s="358" t="s">
        <v>576</v>
      </c>
      <c r="ROK9" s="189" t="s">
        <v>574</v>
      </c>
      <c r="ROL9" s="352" t="s">
        <v>573</v>
      </c>
      <c r="ROM9" s="142" t="s">
        <v>575</v>
      </c>
      <c r="RON9" s="358" t="s">
        <v>576</v>
      </c>
      <c r="ROO9" s="189" t="s">
        <v>574</v>
      </c>
      <c r="ROP9" s="352" t="s">
        <v>573</v>
      </c>
      <c r="ROQ9" s="142" t="s">
        <v>575</v>
      </c>
      <c r="ROR9" s="358" t="s">
        <v>576</v>
      </c>
      <c r="ROS9" s="189" t="s">
        <v>574</v>
      </c>
      <c r="ROT9" s="352" t="s">
        <v>573</v>
      </c>
      <c r="ROU9" s="142" t="s">
        <v>575</v>
      </c>
      <c r="ROV9" s="358" t="s">
        <v>576</v>
      </c>
      <c r="ROW9" s="189" t="s">
        <v>574</v>
      </c>
      <c r="ROX9" s="352" t="s">
        <v>573</v>
      </c>
      <c r="ROY9" s="142" t="s">
        <v>575</v>
      </c>
      <c r="ROZ9" s="358" t="s">
        <v>576</v>
      </c>
      <c r="RPA9" s="189" t="s">
        <v>574</v>
      </c>
      <c r="RPB9" s="352" t="s">
        <v>573</v>
      </c>
      <c r="RPC9" s="142" t="s">
        <v>575</v>
      </c>
      <c r="RPD9" s="358" t="s">
        <v>576</v>
      </c>
      <c r="RPE9" s="189" t="s">
        <v>574</v>
      </c>
      <c r="RPF9" s="352" t="s">
        <v>573</v>
      </c>
      <c r="RPG9" s="142" t="s">
        <v>575</v>
      </c>
      <c r="RPH9" s="358" t="s">
        <v>576</v>
      </c>
      <c r="RPI9" s="189" t="s">
        <v>574</v>
      </c>
      <c r="RPJ9" s="352" t="s">
        <v>573</v>
      </c>
      <c r="RPK9" s="142" t="s">
        <v>575</v>
      </c>
      <c r="RPL9" s="358" t="s">
        <v>576</v>
      </c>
      <c r="RPM9" s="189" t="s">
        <v>574</v>
      </c>
      <c r="RPN9" s="352" t="s">
        <v>573</v>
      </c>
      <c r="RPO9" s="142" t="s">
        <v>575</v>
      </c>
      <c r="RPP9" s="358" t="s">
        <v>576</v>
      </c>
      <c r="RPQ9" s="189" t="s">
        <v>574</v>
      </c>
      <c r="RPR9" s="352" t="s">
        <v>573</v>
      </c>
      <c r="RPS9" s="142" t="s">
        <v>575</v>
      </c>
      <c r="RPT9" s="358" t="s">
        <v>576</v>
      </c>
      <c r="RPU9" s="189" t="s">
        <v>574</v>
      </c>
      <c r="RPV9" s="352" t="s">
        <v>573</v>
      </c>
      <c r="RPW9" s="142" t="s">
        <v>575</v>
      </c>
      <c r="RPX9" s="358" t="s">
        <v>576</v>
      </c>
      <c r="RPY9" s="189" t="s">
        <v>574</v>
      </c>
      <c r="RPZ9" s="352" t="s">
        <v>573</v>
      </c>
      <c r="RQA9" s="142" t="s">
        <v>575</v>
      </c>
      <c r="RQB9" s="358" t="s">
        <v>576</v>
      </c>
      <c r="RQC9" s="189" t="s">
        <v>574</v>
      </c>
      <c r="RQD9" s="352" t="s">
        <v>573</v>
      </c>
      <c r="RQE9" s="142" t="s">
        <v>575</v>
      </c>
      <c r="RQF9" s="358" t="s">
        <v>576</v>
      </c>
      <c r="RQG9" s="189" t="s">
        <v>574</v>
      </c>
      <c r="RQH9" s="352" t="s">
        <v>573</v>
      </c>
      <c r="RQI9" s="142" t="s">
        <v>575</v>
      </c>
      <c r="RQJ9" s="358" t="s">
        <v>576</v>
      </c>
      <c r="RQK9" s="189" t="s">
        <v>574</v>
      </c>
      <c r="RQL9" s="352" t="s">
        <v>573</v>
      </c>
      <c r="RQM9" s="142" t="s">
        <v>575</v>
      </c>
      <c r="RQN9" s="358" t="s">
        <v>576</v>
      </c>
      <c r="RQO9" s="189" t="s">
        <v>574</v>
      </c>
      <c r="RQP9" s="352" t="s">
        <v>573</v>
      </c>
      <c r="RQQ9" s="142" t="s">
        <v>575</v>
      </c>
      <c r="RQR9" s="358" t="s">
        <v>576</v>
      </c>
      <c r="RQS9" s="189" t="s">
        <v>574</v>
      </c>
      <c r="RQT9" s="352" t="s">
        <v>573</v>
      </c>
      <c r="RQU9" s="142" t="s">
        <v>575</v>
      </c>
      <c r="RQV9" s="358" t="s">
        <v>576</v>
      </c>
      <c r="RQW9" s="189" t="s">
        <v>574</v>
      </c>
      <c r="RQX9" s="352" t="s">
        <v>573</v>
      </c>
      <c r="RQY9" s="142" t="s">
        <v>575</v>
      </c>
      <c r="RQZ9" s="358" t="s">
        <v>576</v>
      </c>
      <c r="RRA9" s="189" t="s">
        <v>574</v>
      </c>
      <c r="RRB9" s="352" t="s">
        <v>573</v>
      </c>
      <c r="RRC9" s="142" t="s">
        <v>575</v>
      </c>
      <c r="RRD9" s="358" t="s">
        <v>576</v>
      </c>
      <c r="RRE9" s="189" t="s">
        <v>574</v>
      </c>
      <c r="RRF9" s="352" t="s">
        <v>573</v>
      </c>
      <c r="RRG9" s="142" t="s">
        <v>575</v>
      </c>
      <c r="RRH9" s="358" t="s">
        <v>576</v>
      </c>
      <c r="RRI9" s="189" t="s">
        <v>574</v>
      </c>
      <c r="RRJ9" s="352" t="s">
        <v>573</v>
      </c>
      <c r="RRK9" s="142" t="s">
        <v>575</v>
      </c>
      <c r="RRL9" s="358" t="s">
        <v>576</v>
      </c>
      <c r="RRM9" s="189" t="s">
        <v>574</v>
      </c>
      <c r="RRN9" s="352" t="s">
        <v>573</v>
      </c>
      <c r="RRO9" s="142" t="s">
        <v>575</v>
      </c>
      <c r="RRP9" s="358" t="s">
        <v>576</v>
      </c>
      <c r="RRQ9" s="189" t="s">
        <v>574</v>
      </c>
      <c r="RRR9" s="352" t="s">
        <v>573</v>
      </c>
      <c r="RRS9" s="142" t="s">
        <v>575</v>
      </c>
      <c r="RRT9" s="358" t="s">
        <v>576</v>
      </c>
      <c r="RRU9" s="189" t="s">
        <v>574</v>
      </c>
      <c r="RRV9" s="352" t="s">
        <v>573</v>
      </c>
      <c r="RRW9" s="142" t="s">
        <v>575</v>
      </c>
      <c r="RRX9" s="358" t="s">
        <v>576</v>
      </c>
      <c r="RRY9" s="189" t="s">
        <v>574</v>
      </c>
      <c r="RRZ9" s="352" t="s">
        <v>573</v>
      </c>
      <c r="RSA9" s="142" t="s">
        <v>575</v>
      </c>
      <c r="RSB9" s="358" t="s">
        <v>576</v>
      </c>
      <c r="RSC9" s="189" t="s">
        <v>574</v>
      </c>
      <c r="RSD9" s="352" t="s">
        <v>573</v>
      </c>
      <c r="RSE9" s="142" t="s">
        <v>575</v>
      </c>
      <c r="RSF9" s="358" t="s">
        <v>576</v>
      </c>
      <c r="RSG9" s="189" t="s">
        <v>574</v>
      </c>
      <c r="RSH9" s="352" t="s">
        <v>573</v>
      </c>
      <c r="RSI9" s="142" t="s">
        <v>575</v>
      </c>
      <c r="RSJ9" s="358" t="s">
        <v>576</v>
      </c>
      <c r="RSK9" s="189" t="s">
        <v>574</v>
      </c>
      <c r="RSL9" s="352" t="s">
        <v>573</v>
      </c>
      <c r="RSM9" s="142" t="s">
        <v>575</v>
      </c>
      <c r="RSN9" s="358" t="s">
        <v>576</v>
      </c>
      <c r="RSO9" s="189" t="s">
        <v>574</v>
      </c>
      <c r="RSP9" s="352" t="s">
        <v>573</v>
      </c>
      <c r="RSQ9" s="142" t="s">
        <v>575</v>
      </c>
      <c r="RSR9" s="358" t="s">
        <v>576</v>
      </c>
      <c r="RSS9" s="189" t="s">
        <v>574</v>
      </c>
      <c r="RST9" s="352" t="s">
        <v>573</v>
      </c>
      <c r="RSU9" s="142" t="s">
        <v>575</v>
      </c>
      <c r="RSV9" s="358" t="s">
        <v>576</v>
      </c>
      <c r="RSW9" s="189" t="s">
        <v>574</v>
      </c>
      <c r="RSX9" s="352" t="s">
        <v>573</v>
      </c>
      <c r="RSY9" s="142" t="s">
        <v>575</v>
      </c>
      <c r="RSZ9" s="358" t="s">
        <v>576</v>
      </c>
      <c r="RTA9" s="189" t="s">
        <v>574</v>
      </c>
      <c r="RTB9" s="352" t="s">
        <v>573</v>
      </c>
      <c r="RTC9" s="142" t="s">
        <v>575</v>
      </c>
      <c r="RTD9" s="358" t="s">
        <v>576</v>
      </c>
      <c r="RTE9" s="189" t="s">
        <v>574</v>
      </c>
      <c r="RTF9" s="352" t="s">
        <v>573</v>
      </c>
      <c r="RTG9" s="142" t="s">
        <v>575</v>
      </c>
      <c r="RTH9" s="358" t="s">
        <v>576</v>
      </c>
      <c r="RTI9" s="189" t="s">
        <v>574</v>
      </c>
      <c r="RTJ9" s="352" t="s">
        <v>573</v>
      </c>
      <c r="RTK9" s="142" t="s">
        <v>575</v>
      </c>
      <c r="RTL9" s="358" t="s">
        <v>576</v>
      </c>
      <c r="RTM9" s="189" t="s">
        <v>574</v>
      </c>
      <c r="RTN9" s="352" t="s">
        <v>573</v>
      </c>
      <c r="RTO9" s="142" t="s">
        <v>575</v>
      </c>
      <c r="RTP9" s="358" t="s">
        <v>576</v>
      </c>
      <c r="RTQ9" s="189" t="s">
        <v>574</v>
      </c>
      <c r="RTR9" s="352" t="s">
        <v>573</v>
      </c>
      <c r="RTS9" s="142" t="s">
        <v>575</v>
      </c>
      <c r="RTT9" s="358" t="s">
        <v>576</v>
      </c>
      <c r="RTU9" s="189" t="s">
        <v>574</v>
      </c>
      <c r="RTV9" s="352" t="s">
        <v>573</v>
      </c>
      <c r="RTW9" s="142" t="s">
        <v>575</v>
      </c>
      <c r="RTX9" s="358" t="s">
        <v>576</v>
      </c>
      <c r="RTY9" s="189" t="s">
        <v>574</v>
      </c>
      <c r="RTZ9" s="352" t="s">
        <v>573</v>
      </c>
      <c r="RUA9" s="142" t="s">
        <v>575</v>
      </c>
      <c r="RUB9" s="358" t="s">
        <v>576</v>
      </c>
      <c r="RUC9" s="189" t="s">
        <v>574</v>
      </c>
      <c r="RUD9" s="352" t="s">
        <v>573</v>
      </c>
      <c r="RUE9" s="142" t="s">
        <v>575</v>
      </c>
      <c r="RUF9" s="358" t="s">
        <v>576</v>
      </c>
      <c r="RUG9" s="189" t="s">
        <v>574</v>
      </c>
      <c r="RUH9" s="352" t="s">
        <v>573</v>
      </c>
      <c r="RUI9" s="142" t="s">
        <v>575</v>
      </c>
      <c r="RUJ9" s="358" t="s">
        <v>576</v>
      </c>
      <c r="RUK9" s="189" t="s">
        <v>574</v>
      </c>
      <c r="RUL9" s="352" t="s">
        <v>573</v>
      </c>
      <c r="RUM9" s="142" t="s">
        <v>575</v>
      </c>
      <c r="RUN9" s="358" t="s">
        <v>576</v>
      </c>
      <c r="RUO9" s="189" t="s">
        <v>574</v>
      </c>
      <c r="RUP9" s="352" t="s">
        <v>573</v>
      </c>
      <c r="RUQ9" s="142" t="s">
        <v>575</v>
      </c>
      <c r="RUR9" s="358" t="s">
        <v>576</v>
      </c>
      <c r="RUS9" s="189" t="s">
        <v>574</v>
      </c>
      <c r="RUT9" s="352" t="s">
        <v>573</v>
      </c>
      <c r="RUU9" s="142" t="s">
        <v>575</v>
      </c>
      <c r="RUV9" s="358" t="s">
        <v>576</v>
      </c>
      <c r="RUW9" s="189" t="s">
        <v>574</v>
      </c>
      <c r="RUX9" s="352" t="s">
        <v>573</v>
      </c>
      <c r="RUY9" s="142" t="s">
        <v>575</v>
      </c>
      <c r="RUZ9" s="358" t="s">
        <v>576</v>
      </c>
      <c r="RVA9" s="189" t="s">
        <v>574</v>
      </c>
      <c r="RVB9" s="352" t="s">
        <v>573</v>
      </c>
      <c r="RVC9" s="142" t="s">
        <v>575</v>
      </c>
      <c r="RVD9" s="358" t="s">
        <v>576</v>
      </c>
      <c r="RVE9" s="189" t="s">
        <v>574</v>
      </c>
      <c r="RVF9" s="352" t="s">
        <v>573</v>
      </c>
      <c r="RVG9" s="142" t="s">
        <v>575</v>
      </c>
      <c r="RVH9" s="358" t="s">
        <v>576</v>
      </c>
      <c r="RVI9" s="189" t="s">
        <v>574</v>
      </c>
      <c r="RVJ9" s="352" t="s">
        <v>573</v>
      </c>
      <c r="RVK9" s="142" t="s">
        <v>575</v>
      </c>
      <c r="RVL9" s="358" t="s">
        <v>576</v>
      </c>
      <c r="RVM9" s="189" t="s">
        <v>574</v>
      </c>
      <c r="RVN9" s="352" t="s">
        <v>573</v>
      </c>
      <c r="RVO9" s="142" t="s">
        <v>575</v>
      </c>
      <c r="RVP9" s="358" t="s">
        <v>576</v>
      </c>
      <c r="RVQ9" s="189" t="s">
        <v>574</v>
      </c>
      <c r="RVR9" s="352" t="s">
        <v>573</v>
      </c>
      <c r="RVS9" s="142" t="s">
        <v>575</v>
      </c>
      <c r="RVT9" s="358" t="s">
        <v>576</v>
      </c>
      <c r="RVU9" s="189" t="s">
        <v>574</v>
      </c>
      <c r="RVV9" s="352" t="s">
        <v>573</v>
      </c>
      <c r="RVW9" s="142" t="s">
        <v>575</v>
      </c>
      <c r="RVX9" s="358" t="s">
        <v>576</v>
      </c>
      <c r="RVY9" s="189" t="s">
        <v>574</v>
      </c>
      <c r="RVZ9" s="352" t="s">
        <v>573</v>
      </c>
      <c r="RWA9" s="142" t="s">
        <v>575</v>
      </c>
      <c r="RWB9" s="358" t="s">
        <v>576</v>
      </c>
      <c r="RWC9" s="189" t="s">
        <v>574</v>
      </c>
      <c r="RWD9" s="352" t="s">
        <v>573</v>
      </c>
      <c r="RWE9" s="142" t="s">
        <v>575</v>
      </c>
      <c r="RWF9" s="358" t="s">
        <v>576</v>
      </c>
      <c r="RWG9" s="189" t="s">
        <v>574</v>
      </c>
      <c r="RWH9" s="352" t="s">
        <v>573</v>
      </c>
      <c r="RWI9" s="142" t="s">
        <v>575</v>
      </c>
      <c r="RWJ9" s="358" t="s">
        <v>576</v>
      </c>
      <c r="RWK9" s="189" t="s">
        <v>574</v>
      </c>
      <c r="RWL9" s="352" t="s">
        <v>573</v>
      </c>
      <c r="RWM9" s="142" t="s">
        <v>575</v>
      </c>
      <c r="RWN9" s="358" t="s">
        <v>576</v>
      </c>
      <c r="RWO9" s="189" t="s">
        <v>574</v>
      </c>
      <c r="RWP9" s="352" t="s">
        <v>573</v>
      </c>
      <c r="RWQ9" s="142" t="s">
        <v>575</v>
      </c>
      <c r="RWR9" s="358" t="s">
        <v>576</v>
      </c>
      <c r="RWS9" s="189" t="s">
        <v>574</v>
      </c>
      <c r="RWT9" s="352" t="s">
        <v>573</v>
      </c>
      <c r="RWU9" s="142" t="s">
        <v>575</v>
      </c>
      <c r="RWV9" s="358" t="s">
        <v>576</v>
      </c>
      <c r="RWW9" s="189" t="s">
        <v>574</v>
      </c>
      <c r="RWX9" s="352" t="s">
        <v>573</v>
      </c>
      <c r="RWY9" s="142" t="s">
        <v>575</v>
      </c>
      <c r="RWZ9" s="358" t="s">
        <v>576</v>
      </c>
      <c r="RXA9" s="189" t="s">
        <v>574</v>
      </c>
      <c r="RXB9" s="352" t="s">
        <v>573</v>
      </c>
      <c r="RXC9" s="142" t="s">
        <v>575</v>
      </c>
      <c r="RXD9" s="358" t="s">
        <v>576</v>
      </c>
      <c r="RXE9" s="189" t="s">
        <v>574</v>
      </c>
      <c r="RXF9" s="352" t="s">
        <v>573</v>
      </c>
      <c r="RXG9" s="142" t="s">
        <v>575</v>
      </c>
      <c r="RXH9" s="358" t="s">
        <v>576</v>
      </c>
      <c r="RXI9" s="189" t="s">
        <v>574</v>
      </c>
      <c r="RXJ9" s="352" t="s">
        <v>573</v>
      </c>
      <c r="RXK9" s="142" t="s">
        <v>575</v>
      </c>
      <c r="RXL9" s="358" t="s">
        <v>576</v>
      </c>
      <c r="RXM9" s="189" t="s">
        <v>574</v>
      </c>
      <c r="RXN9" s="352" t="s">
        <v>573</v>
      </c>
      <c r="RXO9" s="142" t="s">
        <v>575</v>
      </c>
      <c r="RXP9" s="358" t="s">
        <v>576</v>
      </c>
      <c r="RXQ9" s="189" t="s">
        <v>574</v>
      </c>
      <c r="RXR9" s="352" t="s">
        <v>573</v>
      </c>
      <c r="RXS9" s="142" t="s">
        <v>575</v>
      </c>
      <c r="RXT9" s="358" t="s">
        <v>576</v>
      </c>
      <c r="RXU9" s="189" t="s">
        <v>574</v>
      </c>
      <c r="RXV9" s="352" t="s">
        <v>573</v>
      </c>
      <c r="RXW9" s="142" t="s">
        <v>575</v>
      </c>
      <c r="RXX9" s="358" t="s">
        <v>576</v>
      </c>
      <c r="RXY9" s="189" t="s">
        <v>574</v>
      </c>
      <c r="RXZ9" s="352" t="s">
        <v>573</v>
      </c>
      <c r="RYA9" s="142" t="s">
        <v>575</v>
      </c>
      <c r="RYB9" s="358" t="s">
        <v>576</v>
      </c>
      <c r="RYC9" s="189" t="s">
        <v>574</v>
      </c>
      <c r="RYD9" s="352" t="s">
        <v>573</v>
      </c>
      <c r="RYE9" s="142" t="s">
        <v>575</v>
      </c>
      <c r="RYF9" s="358" t="s">
        <v>576</v>
      </c>
      <c r="RYG9" s="189" t="s">
        <v>574</v>
      </c>
      <c r="RYH9" s="352" t="s">
        <v>573</v>
      </c>
      <c r="RYI9" s="142" t="s">
        <v>575</v>
      </c>
      <c r="RYJ9" s="358" t="s">
        <v>576</v>
      </c>
      <c r="RYK9" s="189" t="s">
        <v>574</v>
      </c>
      <c r="RYL9" s="352" t="s">
        <v>573</v>
      </c>
      <c r="RYM9" s="142" t="s">
        <v>575</v>
      </c>
      <c r="RYN9" s="358" t="s">
        <v>576</v>
      </c>
      <c r="RYO9" s="189" t="s">
        <v>574</v>
      </c>
      <c r="RYP9" s="352" t="s">
        <v>573</v>
      </c>
      <c r="RYQ9" s="142" t="s">
        <v>575</v>
      </c>
      <c r="RYR9" s="358" t="s">
        <v>576</v>
      </c>
      <c r="RYS9" s="189" t="s">
        <v>574</v>
      </c>
      <c r="RYT9" s="352" t="s">
        <v>573</v>
      </c>
      <c r="RYU9" s="142" t="s">
        <v>575</v>
      </c>
      <c r="RYV9" s="358" t="s">
        <v>576</v>
      </c>
      <c r="RYW9" s="189" t="s">
        <v>574</v>
      </c>
      <c r="RYX9" s="352" t="s">
        <v>573</v>
      </c>
      <c r="RYY9" s="142" t="s">
        <v>575</v>
      </c>
      <c r="RYZ9" s="358" t="s">
        <v>576</v>
      </c>
      <c r="RZA9" s="189" t="s">
        <v>574</v>
      </c>
      <c r="RZB9" s="352" t="s">
        <v>573</v>
      </c>
      <c r="RZC9" s="142" t="s">
        <v>575</v>
      </c>
      <c r="RZD9" s="358" t="s">
        <v>576</v>
      </c>
      <c r="RZE9" s="189" t="s">
        <v>574</v>
      </c>
      <c r="RZF9" s="352" t="s">
        <v>573</v>
      </c>
      <c r="RZG9" s="142" t="s">
        <v>575</v>
      </c>
      <c r="RZH9" s="358" t="s">
        <v>576</v>
      </c>
      <c r="RZI9" s="189" t="s">
        <v>574</v>
      </c>
      <c r="RZJ9" s="352" t="s">
        <v>573</v>
      </c>
      <c r="RZK9" s="142" t="s">
        <v>575</v>
      </c>
      <c r="RZL9" s="358" t="s">
        <v>576</v>
      </c>
      <c r="RZM9" s="189" t="s">
        <v>574</v>
      </c>
      <c r="RZN9" s="352" t="s">
        <v>573</v>
      </c>
      <c r="RZO9" s="142" t="s">
        <v>575</v>
      </c>
      <c r="RZP9" s="358" t="s">
        <v>576</v>
      </c>
      <c r="RZQ9" s="189" t="s">
        <v>574</v>
      </c>
      <c r="RZR9" s="352" t="s">
        <v>573</v>
      </c>
      <c r="RZS9" s="142" t="s">
        <v>575</v>
      </c>
      <c r="RZT9" s="358" t="s">
        <v>576</v>
      </c>
      <c r="RZU9" s="189" t="s">
        <v>574</v>
      </c>
      <c r="RZV9" s="352" t="s">
        <v>573</v>
      </c>
      <c r="RZW9" s="142" t="s">
        <v>575</v>
      </c>
      <c r="RZX9" s="358" t="s">
        <v>576</v>
      </c>
      <c r="RZY9" s="189" t="s">
        <v>574</v>
      </c>
      <c r="RZZ9" s="352" t="s">
        <v>573</v>
      </c>
      <c r="SAA9" s="142" t="s">
        <v>575</v>
      </c>
      <c r="SAB9" s="358" t="s">
        <v>576</v>
      </c>
      <c r="SAC9" s="189" t="s">
        <v>574</v>
      </c>
      <c r="SAD9" s="352" t="s">
        <v>573</v>
      </c>
      <c r="SAE9" s="142" t="s">
        <v>575</v>
      </c>
      <c r="SAF9" s="358" t="s">
        <v>576</v>
      </c>
      <c r="SAG9" s="189" t="s">
        <v>574</v>
      </c>
      <c r="SAH9" s="352" t="s">
        <v>573</v>
      </c>
      <c r="SAI9" s="142" t="s">
        <v>575</v>
      </c>
      <c r="SAJ9" s="358" t="s">
        <v>576</v>
      </c>
      <c r="SAK9" s="189" t="s">
        <v>574</v>
      </c>
      <c r="SAL9" s="352" t="s">
        <v>573</v>
      </c>
      <c r="SAM9" s="142" t="s">
        <v>575</v>
      </c>
      <c r="SAN9" s="358" t="s">
        <v>576</v>
      </c>
      <c r="SAO9" s="189" t="s">
        <v>574</v>
      </c>
      <c r="SAP9" s="352" t="s">
        <v>573</v>
      </c>
      <c r="SAQ9" s="142" t="s">
        <v>575</v>
      </c>
      <c r="SAR9" s="358" t="s">
        <v>576</v>
      </c>
      <c r="SAS9" s="189" t="s">
        <v>574</v>
      </c>
      <c r="SAT9" s="352" t="s">
        <v>573</v>
      </c>
      <c r="SAU9" s="142" t="s">
        <v>575</v>
      </c>
      <c r="SAV9" s="358" t="s">
        <v>576</v>
      </c>
      <c r="SAW9" s="189" t="s">
        <v>574</v>
      </c>
      <c r="SAX9" s="352" t="s">
        <v>573</v>
      </c>
      <c r="SAY9" s="142" t="s">
        <v>575</v>
      </c>
      <c r="SAZ9" s="358" t="s">
        <v>576</v>
      </c>
      <c r="SBA9" s="189" t="s">
        <v>574</v>
      </c>
      <c r="SBB9" s="352" t="s">
        <v>573</v>
      </c>
      <c r="SBC9" s="142" t="s">
        <v>575</v>
      </c>
      <c r="SBD9" s="358" t="s">
        <v>576</v>
      </c>
      <c r="SBE9" s="189" t="s">
        <v>574</v>
      </c>
      <c r="SBF9" s="352" t="s">
        <v>573</v>
      </c>
      <c r="SBG9" s="142" t="s">
        <v>575</v>
      </c>
      <c r="SBH9" s="358" t="s">
        <v>576</v>
      </c>
      <c r="SBI9" s="189" t="s">
        <v>574</v>
      </c>
      <c r="SBJ9" s="352" t="s">
        <v>573</v>
      </c>
      <c r="SBK9" s="142" t="s">
        <v>575</v>
      </c>
      <c r="SBL9" s="358" t="s">
        <v>576</v>
      </c>
      <c r="SBM9" s="189" t="s">
        <v>574</v>
      </c>
      <c r="SBN9" s="352" t="s">
        <v>573</v>
      </c>
      <c r="SBO9" s="142" t="s">
        <v>575</v>
      </c>
      <c r="SBP9" s="358" t="s">
        <v>576</v>
      </c>
      <c r="SBQ9" s="189" t="s">
        <v>574</v>
      </c>
      <c r="SBR9" s="352" t="s">
        <v>573</v>
      </c>
      <c r="SBS9" s="142" t="s">
        <v>575</v>
      </c>
      <c r="SBT9" s="358" t="s">
        <v>576</v>
      </c>
      <c r="SBU9" s="189" t="s">
        <v>574</v>
      </c>
      <c r="SBV9" s="352" t="s">
        <v>573</v>
      </c>
      <c r="SBW9" s="142" t="s">
        <v>575</v>
      </c>
      <c r="SBX9" s="358" t="s">
        <v>576</v>
      </c>
      <c r="SBY9" s="189" t="s">
        <v>574</v>
      </c>
      <c r="SBZ9" s="352" t="s">
        <v>573</v>
      </c>
      <c r="SCA9" s="142" t="s">
        <v>575</v>
      </c>
      <c r="SCB9" s="358" t="s">
        <v>576</v>
      </c>
      <c r="SCC9" s="189" t="s">
        <v>574</v>
      </c>
      <c r="SCD9" s="352" t="s">
        <v>573</v>
      </c>
      <c r="SCE9" s="142" t="s">
        <v>575</v>
      </c>
      <c r="SCF9" s="358" t="s">
        <v>576</v>
      </c>
      <c r="SCG9" s="189" t="s">
        <v>574</v>
      </c>
      <c r="SCH9" s="352" t="s">
        <v>573</v>
      </c>
      <c r="SCI9" s="142" t="s">
        <v>575</v>
      </c>
      <c r="SCJ9" s="358" t="s">
        <v>576</v>
      </c>
      <c r="SCK9" s="189" t="s">
        <v>574</v>
      </c>
      <c r="SCL9" s="352" t="s">
        <v>573</v>
      </c>
      <c r="SCM9" s="142" t="s">
        <v>575</v>
      </c>
      <c r="SCN9" s="358" t="s">
        <v>576</v>
      </c>
      <c r="SCO9" s="189" t="s">
        <v>574</v>
      </c>
      <c r="SCP9" s="352" t="s">
        <v>573</v>
      </c>
      <c r="SCQ9" s="142" t="s">
        <v>575</v>
      </c>
      <c r="SCR9" s="358" t="s">
        <v>576</v>
      </c>
      <c r="SCS9" s="189" t="s">
        <v>574</v>
      </c>
      <c r="SCT9" s="352" t="s">
        <v>573</v>
      </c>
      <c r="SCU9" s="142" t="s">
        <v>575</v>
      </c>
      <c r="SCV9" s="358" t="s">
        <v>576</v>
      </c>
      <c r="SCW9" s="189" t="s">
        <v>574</v>
      </c>
      <c r="SCX9" s="352" t="s">
        <v>573</v>
      </c>
      <c r="SCY9" s="142" t="s">
        <v>575</v>
      </c>
      <c r="SCZ9" s="358" t="s">
        <v>576</v>
      </c>
      <c r="SDA9" s="189" t="s">
        <v>574</v>
      </c>
      <c r="SDB9" s="352" t="s">
        <v>573</v>
      </c>
      <c r="SDC9" s="142" t="s">
        <v>575</v>
      </c>
      <c r="SDD9" s="358" t="s">
        <v>576</v>
      </c>
      <c r="SDE9" s="189" t="s">
        <v>574</v>
      </c>
      <c r="SDF9" s="352" t="s">
        <v>573</v>
      </c>
      <c r="SDG9" s="142" t="s">
        <v>575</v>
      </c>
      <c r="SDH9" s="358" t="s">
        <v>576</v>
      </c>
      <c r="SDI9" s="189" t="s">
        <v>574</v>
      </c>
      <c r="SDJ9" s="352" t="s">
        <v>573</v>
      </c>
      <c r="SDK9" s="142" t="s">
        <v>575</v>
      </c>
      <c r="SDL9" s="358" t="s">
        <v>576</v>
      </c>
      <c r="SDM9" s="189" t="s">
        <v>574</v>
      </c>
      <c r="SDN9" s="352" t="s">
        <v>573</v>
      </c>
      <c r="SDO9" s="142" t="s">
        <v>575</v>
      </c>
      <c r="SDP9" s="358" t="s">
        <v>576</v>
      </c>
      <c r="SDQ9" s="189" t="s">
        <v>574</v>
      </c>
      <c r="SDR9" s="352" t="s">
        <v>573</v>
      </c>
      <c r="SDS9" s="142" t="s">
        <v>575</v>
      </c>
      <c r="SDT9" s="358" t="s">
        <v>576</v>
      </c>
      <c r="SDU9" s="189" t="s">
        <v>574</v>
      </c>
      <c r="SDV9" s="352" t="s">
        <v>573</v>
      </c>
      <c r="SDW9" s="142" t="s">
        <v>575</v>
      </c>
      <c r="SDX9" s="358" t="s">
        <v>576</v>
      </c>
      <c r="SDY9" s="189" t="s">
        <v>574</v>
      </c>
      <c r="SDZ9" s="352" t="s">
        <v>573</v>
      </c>
      <c r="SEA9" s="142" t="s">
        <v>575</v>
      </c>
      <c r="SEB9" s="358" t="s">
        <v>576</v>
      </c>
      <c r="SEC9" s="189" t="s">
        <v>574</v>
      </c>
      <c r="SED9" s="352" t="s">
        <v>573</v>
      </c>
      <c r="SEE9" s="142" t="s">
        <v>575</v>
      </c>
      <c r="SEF9" s="358" t="s">
        <v>576</v>
      </c>
      <c r="SEG9" s="189" t="s">
        <v>574</v>
      </c>
      <c r="SEH9" s="352" t="s">
        <v>573</v>
      </c>
      <c r="SEI9" s="142" t="s">
        <v>575</v>
      </c>
      <c r="SEJ9" s="358" t="s">
        <v>576</v>
      </c>
      <c r="SEK9" s="189" t="s">
        <v>574</v>
      </c>
      <c r="SEL9" s="352" t="s">
        <v>573</v>
      </c>
      <c r="SEM9" s="142" t="s">
        <v>575</v>
      </c>
      <c r="SEN9" s="358" t="s">
        <v>576</v>
      </c>
      <c r="SEO9" s="189" t="s">
        <v>574</v>
      </c>
      <c r="SEP9" s="352" t="s">
        <v>573</v>
      </c>
      <c r="SEQ9" s="142" t="s">
        <v>575</v>
      </c>
      <c r="SER9" s="358" t="s">
        <v>576</v>
      </c>
      <c r="SES9" s="189" t="s">
        <v>574</v>
      </c>
      <c r="SET9" s="352" t="s">
        <v>573</v>
      </c>
      <c r="SEU9" s="142" t="s">
        <v>575</v>
      </c>
      <c r="SEV9" s="358" t="s">
        <v>576</v>
      </c>
      <c r="SEW9" s="189" t="s">
        <v>574</v>
      </c>
      <c r="SEX9" s="352" t="s">
        <v>573</v>
      </c>
      <c r="SEY9" s="142" t="s">
        <v>575</v>
      </c>
      <c r="SEZ9" s="358" t="s">
        <v>576</v>
      </c>
      <c r="SFA9" s="189" t="s">
        <v>574</v>
      </c>
      <c r="SFB9" s="352" t="s">
        <v>573</v>
      </c>
      <c r="SFC9" s="142" t="s">
        <v>575</v>
      </c>
      <c r="SFD9" s="358" t="s">
        <v>576</v>
      </c>
      <c r="SFE9" s="189" t="s">
        <v>574</v>
      </c>
      <c r="SFF9" s="352" t="s">
        <v>573</v>
      </c>
      <c r="SFG9" s="142" t="s">
        <v>575</v>
      </c>
      <c r="SFH9" s="358" t="s">
        <v>576</v>
      </c>
      <c r="SFI9" s="189" t="s">
        <v>574</v>
      </c>
      <c r="SFJ9" s="352" t="s">
        <v>573</v>
      </c>
      <c r="SFK9" s="142" t="s">
        <v>575</v>
      </c>
      <c r="SFL9" s="358" t="s">
        <v>576</v>
      </c>
      <c r="SFM9" s="189" t="s">
        <v>574</v>
      </c>
      <c r="SFN9" s="352" t="s">
        <v>573</v>
      </c>
      <c r="SFO9" s="142" t="s">
        <v>575</v>
      </c>
      <c r="SFP9" s="358" t="s">
        <v>576</v>
      </c>
      <c r="SFQ9" s="189" t="s">
        <v>574</v>
      </c>
      <c r="SFR9" s="352" t="s">
        <v>573</v>
      </c>
      <c r="SFS9" s="142" t="s">
        <v>575</v>
      </c>
      <c r="SFT9" s="358" t="s">
        <v>576</v>
      </c>
      <c r="SFU9" s="189" t="s">
        <v>574</v>
      </c>
      <c r="SFV9" s="352" t="s">
        <v>573</v>
      </c>
      <c r="SFW9" s="142" t="s">
        <v>575</v>
      </c>
      <c r="SFX9" s="358" t="s">
        <v>576</v>
      </c>
      <c r="SFY9" s="189" t="s">
        <v>574</v>
      </c>
      <c r="SFZ9" s="352" t="s">
        <v>573</v>
      </c>
      <c r="SGA9" s="142" t="s">
        <v>575</v>
      </c>
      <c r="SGB9" s="358" t="s">
        <v>576</v>
      </c>
      <c r="SGC9" s="189" t="s">
        <v>574</v>
      </c>
      <c r="SGD9" s="352" t="s">
        <v>573</v>
      </c>
      <c r="SGE9" s="142" t="s">
        <v>575</v>
      </c>
      <c r="SGF9" s="358" t="s">
        <v>576</v>
      </c>
      <c r="SGG9" s="189" t="s">
        <v>574</v>
      </c>
      <c r="SGH9" s="352" t="s">
        <v>573</v>
      </c>
      <c r="SGI9" s="142" t="s">
        <v>575</v>
      </c>
      <c r="SGJ9" s="358" t="s">
        <v>576</v>
      </c>
      <c r="SGK9" s="189" t="s">
        <v>574</v>
      </c>
      <c r="SGL9" s="352" t="s">
        <v>573</v>
      </c>
      <c r="SGM9" s="142" t="s">
        <v>575</v>
      </c>
      <c r="SGN9" s="358" t="s">
        <v>576</v>
      </c>
      <c r="SGO9" s="189" t="s">
        <v>574</v>
      </c>
      <c r="SGP9" s="352" t="s">
        <v>573</v>
      </c>
      <c r="SGQ9" s="142" t="s">
        <v>575</v>
      </c>
      <c r="SGR9" s="358" t="s">
        <v>576</v>
      </c>
      <c r="SGS9" s="189" t="s">
        <v>574</v>
      </c>
      <c r="SGT9" s="352" t="s">
        <v>573</v>
      </c>
      <c r="SGU9" s="142" t="s">
        <v>575</v>
      </c>
      <c r="SGV9" s="358" t="s">
        <v>576</v>
      </c>
      <c r="SGW9" s="189" t="s">
        <v>574</v>
      </c>
      <c r="SGX9" s="352" t="s">
        <v>573</v>
      </c>
      <c r="SGY9" s="142" t="s">
        <v>575</v>
      </c>
      <c r="SGZ9" s="358" t="s">
        <v>576</v>
      </c>
      <c r="SHA9" s="189" t="s">
        <v>574</v>
      </c>
      <c r="SHB9" s="352" t="s">
        <v>573</v>
      </c>
      <c r="SHC9" s="142" t="s">
        <v>575</v>
      </c>
      <c r="SHD9" s="358" t="s">
        <v>576</v>
      </c>
      <c r="SHE9" s="189" t="s">
        <v>574</v>
      </c>
      <c r="SHF9" s="352" t="s">
        <v>573</v>
      </c>
      <c r="SHG9" s="142" t="s">
        <v>575</v>
      </c>
      <c r="SHH9" s="358" t="s">
        <v>576</v>
      </c>
      <c r="SHI9" s="189" t="s">
        <v>574</v>
      </c>
      <c r="SHJ9" s="352" t="s">
        <v>573</v>
      </c>
      <c r="SHK9" s="142" t="s">
        <v>575</v>
      </c>
      <c r="SHL9" s="358" t="s">
        <v>576</v>
      </c>
      <c r="SHM9" s="189" t="s">
        <v>574</v>
      </c>
      <c r="SHN9" s="352" t="s">
        <v>573</v>
      </c>
      <c r="SHO9" s="142" t="s">
        <v>575</v>
      </c>
      <c r="SHP9" s="358" t="s">
        <v>576</v>
      </c>
      <c r="SHQ9" s="189" t="s">
        <v>574</v>
      </c>
      <c r="SHR9" s="352" t="s">
        <v>573</v>
      </c>
      <c r="SHS9" s="142" t="s">
        <v>575</v>
      </c>
      <c r="SHT9" s="358" t="s">
        <v>576</v>
      </c>
      <c r="SHU9" s="189" t="s">
        <v>574</v>
      </c>
      <c r="SHV9" s="352" t="s">
        <v>573</v>
      </c>
      <c r="SHW9" s="142" t="s">
        <v>575</v>
      </c>
      <c r="SHX9" s="358" t="s">
        <v>576</v>
      </c>
      <c r="SHY9" s="189" t="s">
        <v>574</v>
      </c>
      <c r="SHZ9" s="352" t="s">
        <v>573</v>
      </c>
      <c r="SIA9" s="142" t="s">
        <v>575</v>
      </c>
      <c r="SIB9" s="358" t="s">
        <v>576</v>
      </c>
      <c r="SIC9" s="189" t="s">
        <v>574</v>
      </c>
      <c r="SID9" s="352" t="s">
        <v>573</v>
      </c>
      <c r="SIE9" s="142" t="s">
        <v>575</v>
      </c>
      <c r="SIF9" s="358" t="s">
        <v>576</v>
      </c>
      <c r="SIG9" s="189" t="s">
        <v>574</v>
      </c>
      <c r="SIH9" s="352" t="s">
        <v>573</v>
      </c>
      <c r="SII9" s="142" t="s">
        <v>575</v>
      </c>
      <c r="SIJ9" s="358" t="s">
        <v>576</v>
      </c>
      <c r="SIK9" s="189" t="s">
        <v>574</v>
      </c>
      <c r="SIL9" s="352" t="s">
        <v>573</v>
      </c>
      <c r="SIM9" s="142" t="s">
        <v>575</v>
      </c>
      <c r="SIN9" s="358" t="s">
        <v>576</v>
      </c>
      <c r="SIO9" s="189" t="s">
        <v>574</v>
      </c>
      <c r="SIP9" s="352" t="s">
        <v>573</v>
      </c>
      <c r="SIQ9" s="142" t="s">
        <v>575</v>
      </c>
      <c r="SIR9" s="358" t="s">
        <v>576</v>
      </c>
      <c r="SIS9" s="189" t="s">
        <v>574</v>
      </c>
      <c r="SIT9" s="352" t="s">
        <v>573</v>
      </c>
      <c r="SIU9" s="142" t="s">
        <v>575</v>
      </c>
      <c r="SIV9" s="358" t="s">
        <v>576</v>
      </c>
      <c r="SIW9" s="189" t="s">
        <v>574</v>
      </c>
      <c r="SIX9" s="352" t="s">
        <v>573</v>
      </c>
      <c r="SIY9" s="142" t="s">
        <v>575</v>
      </c>
      <c r="SIZ9" s="358" t="s">
        <v>576</v>
      </c>
      <c r="SJA9" s="189" t="s">
        <v>574</v>
      </c>
      <c r="SJB9" s="352" t="s">
        <v>573</v>
      </c>
      <c r="SJC9" s="142" t="s">
        <v>575</v>
      </c>
      <c r="SJD9" s="358" t="s">
        <v>576</v>
      </c>
      <c r="SJE9" s="189" t="s">
        <v>574</v>
      </c>
      <c r="SJF9" s="352" t="s">
        <v>573</v>
      </c>
      <c r="SJG9" s="142" t="s">
        <v>575</v>
      </c>
      <c r="SJH9" s="358" t="s">
        <v>576</v>
      </c>
      <c r="SJI9" s="189" t="s">
        <v>574</v>
      </c>
      <c r="SJJ9" s="352" t="s">
        <v>573</v>
      </c>
      <c r="SJK9" s="142" t="s">
        <v>575</v>
      </c>
      <c r="SJL9" s="358" t="s">
        <v>576</v>
      </c>
      <c r="SJM9" s="189" t="s">
        <v>574</v>
      </c>
      <c r="SJN9" s="352" t="s">
        <v>573</v>
      </c>
      <c r="SJO9" s="142" t="s">
        <v>575</v>
      </c>
      <c r="SJP9" s="358" t="s">
        <v>576</v>
      </c>
      <c r="SJQ9" s="189" t="s">
        <v>574</v>
      </c>
      <c r="SJR9" s="352" t="s">
        <v>573</v>
      </c>
      <c r="SJS9" s="142" t="s">
        <v>575</v>
      </c>
      <c r="SJT9" s="358" t="s">
        <v>576</v>
      </c>
      <c r="SJU9" s="189" t="s">
        <v>574</v>
      </c>
      <c r="SJV9" s="352" t="s">
        <v>573</v>
      </c>
      <c r="SJW9" s="142" t="s">
        <v>575</v>
      </c>
      <c r="SJX9" s="358" t="s">
        <v>576</v>
      </c>
      <c r="SJY9" s="189" t="s">
        <v>574</v>
      </c>
      <c r="SJZ9" s="352" t="s">
        <v>573</v>
      </c>
      <c r="SKA9" s="142" t="s">
        <v>575</v>
      </c>
      <c r="SKB9" s="358" t="s">
        <v>576</v>
      </c>
      <c r="SKC9" s="189" t="s">
        <v>574</v>
      </c>
      <c r="SKD9" s="352" t="s">
        <v>573</v>
      </c>
      <c r="SKE9" s="142" t="s">
        <v>575</v>
      </c>
      <c r="SKF9" s="358" t="s">
        <v>576</v>
      </c>
      <c r="SKG9" s="189" t="s">
        <v>574</v>
      </c>
      <c r="SKH9" s="352" t="s">
        <v>573</v>
      </c>
      <c r="SKI9" s="142" t="s">
        <v>575</v>
      </c>
      <c r="SKJ9" s="358" t="s">
        <v>576</v>
      </c>
      <c r="SKK9" s="189" t="s">
        <v>574</v>
      </c>
      <c r="SKL9" s="352" t="s">
        <v>573</v>
      </c>
      <c r="SKM9" s="142" t="s">
        <v>575</v>
      </c>
      <c r="SKN9" s="358" t="s">
        <v>576</v>
      </c>
      <c r="SKO9" s="189" t="s">
        <v>574</v>
      </c>
      <c r="SKP9" s="352" t="s">
        <v>573</v>
      </c>
      <c r="SKQ9" s="142" t="s">
        <v>575</v>
      </c>
      <c r="SKR9" s="358" t="s">
        <v>576</v>
      </c>
      <c r="SKS9" s="189" t="s">
        <v>574</v>
      </c>
      <c r="SKT9" s="352" t="s">
        <v>573</v>
      </c>
      <c r="SKU9" s="142" t="s">
        <v>575</v>
      </c>
      <c r="SKV9" s="358" t="s">
        <v>576</v>
      </c>
      <c r="SKW9" s="189" t="s">
        <v>574</v>
      </c>
      <c r="SKX9" s="352" t="s">
        <v>573</v>
      </c>
      <c r="SKY9" s="142" t="s">
        <v>575</v>
      </c>
      <c r="SKZ9" s="358" t="s">
        <v>576</v>
      </c>
      <c r="SLA9" s="189" t="s">
        <v>574</v>
      </c>
      <c r="SLB9" s="352" t="s">
        <v>573</v>
      </c>
      <c r="SLC9" s="142" t="s">
        <v>575</v>
      </c>
      <c r="SLD9" s="358" t="s">
        <v>576</v>
      </c>
      <c r="SLE9" s="189" t="s">
        <v>574</v>
      </c>
      <c r="SLF9" s="352" t="s">
        <v>573</v>
      </c>
      <c r="SLG9" s="142" t="s">
        <v>575</v>
      </c>
      <c r="SLH9" s="358" t="s">
        <v>576</v>
      </c>
      <c r="SLI9" s="189" t="s">
        <v>574</v>
      </c>
      <c r="SLJ9" s="352" t="s">
        <v>573</v>
      </c>
      <c r="SLK9" s="142" t="s">
        <v>575</v>
      </c>
      <c r="SLL9" s="358" t="s">
        <v>576</v>
      </c>
      <c r="SLM9" s="189" t="s">
        <v>574</v>
      </c>
      <c r="SLN9" s="352" t="s">
        <v>573</v>
      </c>
      <c r="SLO9" s="142" t="s">
        <v>575</v>
      </c>
      <c r="SLP9" s="358" t="s">
        <v>576</v>
      </c>
      <c r="SLQ9" s="189" t="s">
        <v>574</v>
      </c>
      <c r="SLR9" s="352" t="s">
        <v>573</v>
      </c>
      <c r="SLS9" s="142" t="s">
        <v>575</v>
      </c>
      <c r="SLT9" s="358" t="s">
        <v>576</v>
      </c>
      <c r="SLU9" s="189" t="s">
        <v>574</v>
      </c>
      <c r="SLV9" s="352" t="s">
        <v>573</v>
      </c>
      <c r="SLW9" s="142" t="s">
        <v>575</v>
      </c>
      <c r="SLX9" s="358" t="s">
        <v>576</v>
      </c>
      <c r="SLY9" s="189" t="s">
        <v>574</v>
      </c>
      <c r="SLZ9" s="352" t="s">
        <v>573</v>
      </c>
      <c r="SMA9" s="142" t="s">
        <v>575</v>
      </c>
      <c r="SMB9" s="358" t="s">
        <v>576</v>
      </c>
      <c r="SMC9" s="189" t="s">
        <v>574</v>
      </c>
      <c r="SMD9" s="352" t="s">
        <v>573</v>
      </c>
      <c r="SME9" s="142" t="s">
        <v>575</v>
      </c>
      <c r="SMF9" s="358" t="s">
        <v>576</v>
      </c>
      <c r="SMG9" s="189" t="s">
        <v>574</v>
      </c>
      <c r="SMH9" s="352" t="s">
        <v>573</v>
      </c>
      <c r="SMI9" s="142" t="s">
        <v>575</v>
      </c>
      <c r="SMJ9" s="358" t="s">
        <v>576</v>
      </c>
      <c r="SMK9" s="189" t="s">
        <v>574</v>
      </c>
      <c r="SML9" s="352" t="s">
        <v>573</v>
      </c>
      <c r="SMM9" s="142" t="s">
        <v>575</v>
      </c>
      <c r="SMN9" s="358" t="s">
        <v>576</v>
      </c>
      <c r="SMO9" s="189" t="s">
        <v>574</v>
      </c>
      <c r="SMP9" s="352" t="s">
        <v>573</v>
      </c>
      <c r="SMQ9" s="142" t="s">
        <v>575</v>
      </c>
      <c r="SMR9" s="358" t="s">
        <v>576</v>
      </c>
      <c r="SMS9" s="189" t="s">
        <v>574</v>
      </c>
      <c r="SMT9" s="352" t="s">
        <v>573</v>
      </c>
      <c r="SMU9" s="142" t="s">
        <v>575</v>
      </c>
      <c r="SMV9" s="358" t="s">
        <v>576</v>
      </c>
      <c r="SMW9" s="189" t="s">
        <v>574</v>
      </c>
      <c r="SMX9" s="352" t="s">
        <v>573</v>
      </c>
      <c r="SMY9" s="142" t="s">
        <v>575</v>
      </c>
      <c r="SMZ9" s="358" t="s">
        <v>576</v>
      </c>
      <c r="SNA9" s="189" t="s">
        <v>574</v>
      </c>
      <c r="SNB9" s="352" t="s">
        <v>573</v>
      </c>
      <c r="SNC9" s="142" t="s">
        <v>575</v>
      </c>
      <c r="SND9" s="358" t="s">
        <v>576</v>
      </c>
      <c r="SNE9" s="189" t="s">
        <v>574</v>
      </c>
      <c r="SNF9" s="352" t="s">
        <v>573</v>
      </c>
      <c r="SNG9" s="142" t="s">
        <v>575</v>
      </c>
      <c r="SNH9" s="358" t="s">
        <v>576</v>
      </c>
      <c r="SNI9" s="189" t="s">
        <v>574</v>
      </c>
      <c r="SNJ9" s="352" t="s">
        <v>573</v>
      </c>
      <c r="SNK9" s="142" t="s">
        <v>575</v>
      </c>
      <c r="SNL9" s="358" t="s">
        <v>576</v>
      </c>
      <c r="SNM9" s="189" t="s">
        <v>574</v>
      </c>
      <c r="SNN9" s="352" t="s">
        <v>573</v>
      </c>
      <c r="SNO9" s="142" t="s">
        <v>575</v>
      </c>
      <c r="SNP9" s="358" t="s">
        <v>576</v>
      </c>
      <c r="SNQ9" s="189" t="s">
        <v>574</v>
      </c>
      <c r="SNR9" s="352" t="s">
        <v>573</v>
      </c>
      <c r="SNS9" s="142" t="s">
        <v>575</v>
      </c>
      <c r="SNT9" s="358" t="s">
        <v>576</v>
      </c>
      <c r="SNU9" s="189" t="s">
        <v>574</v>
      </c>
      <c r="SNV9" s="352" t="s">
        <v>573</v>
      </c>
      <c r="SNW9" s="142" t="s">
        <v>575</v>
      </c>
      <c r="SNX9" s="358" t="s">
        <v>576</v>
      </c>
      <c r="SNY9" s="189" t="s">
        <v>574</v>
      </c>
      <c r="SNZ9" s="352" t="s">
        <v>573</v>
      </c>
      <c r="SOA9" s="142" t="s">
        <v>575</v>
      </c>
      <c r="SOB9" s="358" t="s">
        <v>576</v>
      </c>
      <c r="SOC9" s="189" t="s">
        <v>574</v>
      </c>
      <c r="SOD9" s="352" t="s">
        <v>573</v>
      </c>
      <c r="SOE9" s="142" t="s">
        <v>575</v>
      </c>
      <c r="SOF9" s="358" t="s">
        <v>576</v>
      </c>
      <c r="SOG9" s="189" t="s">
        <v>574</v>
      </c>
      <c r="SOH9" s="352" t="s">
        <v>573</v>
      </c>
      <c r="SOI9" s="142" t="s">
        <v>575</v>
      </c>
      <c r="SOJ9" s="358" t="s">
        <v>576</v>
      </c>
      <c r="SOK9" s="189" t="s">
        <v>574</v>
      </c>
      <c r="SOL9" s="352" t="s">
        <v>573</v>
      </c>
      <c r="SOM9" s="142" t="s">
        <v>575</v>
      </c>
      <c r="SON9" s="358" t="s">
        <v>576</v>
      </c>
      <c r="SOO9" s="189" t="s">
        <v>574</v>
      </c>
      <c r="SOP9" s="352" t="s">
        <v>573</v>
      </c>
      <c r="SOQ9" s="142" t="s">
        <v>575</v>
      </c>
      <c r="SOR9" s="358" t="s">
        <v>576</v>
      </c>
      <c r="SOS9" s="189" t="s">
        <v>574</v>
      </c>
      <c r="SOT9" s="352" t="s">
        <v>573</v>
      </c>
      <c r="SOU9" s="142" t="s">
        <v>575</v>
      </c>
      <c r="SOV9" s="358" t="s">
        <v>576</v>
      </c>
      <c r="SOW9" s="189" t="s">
        <v>574</v>
      </c>
      <c r="SOX9" s="352" t="s">
        <v>573</v>
      </c>
      <c r="SOY9" s="142" t="s">
        <v>575</v>
      </c>
      <c r="SOZ9" s="358" t="s">
        <v>576</v>
      </c>
      <c r="SPA9" s="189" t="s">
        <v>574</v>
      </c>
      <c r="SPB9" s="352" t="s">
        <v>573</v>
      </c>
      <c r="SPC9" s="142" t="s">
        <v>575</v>
      </c>
      <c r="SPD9" s="358" t="s">
        <v>576</v>
      </c>
      <c r="SPE9" s="189" t="s">
        <v>574</v>
      </c>
      <c r="SPF9" s="352" t="s">
        <v>573</v>
      </c>
      <c r="SPG9" s="142" t="s">
        <v>575</v>
      </c>
      <c r="SPH9" s="358" t="s">
        <v>576</v>
      </c>
      <c r="SPI9" s="189" t="s">
        <v>574</v>
      </c>
      <c r="SPJ9" s="352" t="s">
        <v>573</v>
      </c>
      <c r="SPK9" s="142" t="s">
        <v>575</v>
      </c>
      <c r="SPL9" s="358" t="s">
        <v>576</v>
      </c>
      <c r="SPM9" s="189" t="s">
        <v>574</v>
      </c>
      <c r="SPN9" s="352" t="s">
        <v>573</v>
      </c>
      <c r="SPO9" s="142" t="s">
        <v>575</v>
      </c>
      <c r="SPP9" s="358" t="s">
        <v>576</v>
      </c>
      <c r="SPQ9" s="189" t="s">
        <v>574</v>
      </c>
      <c r="SPR9" s="352" t="s">
        <v>573</v>
      </c>
      <c r="SPS9" s="142" t="s">
        <v>575</v>
      </c>
      <c r="SPT9" s="358" t="s">
        <v>576</v>
      </c>
      <c r="SPU9" s="189" t="s">
        <v>574</v>
      </c>
      <c r="SPV9" s="352" t="s">
        <v>573</v>
      </c>
      <c r="SPW9" s="142" t="s">
        <v>575</v>
      </c>
      <c r="SPX9" s="358" t="s">
        <v>576</v>
      </c>
      <c r="SPY9" s="189" t="s">
        <v>574</v>
      </c>
      <c r="SPZ9" s="352" t="s">
        <v>573</v>
      </c>
      <c r="SQA9" s="142" t="s">
        <v>575</v>
      </c>
      <c r="SQB9" s="358" t="s">
        <v>576</v>
      </c>
      <c r="SQC9" s="189" t="s">
        <v>574</v>
      </c>
      <c r="SQD9" s="352" t="s">
        <v>573</v>
      </c>
      <c r="SQE9" s="142" t="s">
        <v>575</v>
      </c>
      <c r="SQF9" s="358" t="s">
        <v>576</v>
      </c>
      <c r="SQG9" s="189" t="s">
        <v>574</v>
      </c>
      <c r="SQH9" s="352" t="s">
        <v>573</v>
      </c>
      <c r="SQI9" s="142" t="s">
        <v>575</v>
      </c>
      <c r="SQJ9" s="358" t="s">
        <v>576</v>
      </c>
      <c r="SQK9" s="189" t="s">
        <v>574</v>
      </c>
      <c r="SQL9" s="352" t="s">
        <v>573</v>
      </c>
      <c r="SQM9" s="142" t="s">
        <v>575</v>
      </c>
      <c r="SQN9" s="358" t="s">
        <v>576</v>
      </c>
      <c r="SQO9" s="189" t="s">
        <v>574</v>
      </c>
      <c r="SQP9" s="352" t="s">
        <v>573</v>
      </c>
      <c r="SQQ9" s="142" t="s">
        <v>575</v>
      </c>
      <c r="SQR9" s="358" t="s">
        <v>576</v>
      </c>
      <c r="SQS9" s="189" t="s">
        <v>574</v>
      </c>
      <c r="SQT9" s="352" t="s">
        <v>573</v>
      </c>
      <c r="SQU9" s="142" t="s">
        <v>575</v>
      </c>
      <c r="SQV9" s="358" t="s">
        <v>576</v>
      </c>
      <c r="SQW9" s="189" t="s">
        <v>574</v>
      </c>
      <c r="SQX9" s="352" t="s">
        <v>573</v>
      </c>
      <c r="SQY9" s="142" t="s">
        <v>575</v>
      </c>
      <c r="SQZ9" s="358" t="s">
        <v>576</v>
      </c>
      <c r="SRA9" s="189" t="s">
        <v>574</v>
      </c>
      <c r="SRB9" s="352" t="s">
        <v>573</v>
      </c>
      <c r="SRC9" s="142" t="s">
        <v>575</v>
      </c>
      <c r="SRD9" s="358" t="s">
        <v>576</v>
      </c>
      <c r="SRE9" s="189" t="s">
        <v>574</v>
      </c>
      <c r="SRF9" s="352" t="s">
        <v>573</v>
      </c>
      <c r="SRG9" s="142" t="s">
        <v>575</v>
      </c>
      <c r="SRH9" s="358" t="s">
        <v>576</v>
      </c>
      <c r="SRI9" s="189" t="s">
        <v>574</v>
      </c>
      <c r="SRJ9" s="352" t="s">
        <v>573</v>
      </c>
      <c r="SRK9" s="142" t="s">
        <v>575</v>
      </c>
      <c r="SRL9" s="358" t="s">
        <v>576</v>
      </c>
      <c r="SRM9" s="189" t="s">
        <v>574</v>
      </c>
      <c r="SRN9" s="352" t="s">
        <v>573</v>
      </c>
      <c r="SRO9" s="142" t="s">
        <v>575</v>
      </c>
      <c r="SRP9" s="358" t="s">
        <v>576</v>
      </c>
      <c r="SRQ9" s="189" t="s">
        <v>574</v>
      </c>
      <c r="SRR9" s="352" t="s">
        <v>573</v>
      </c>
      <c r="SRS9" s="142" t="s">
        <v>575</v>
      </c>
      <c r="SRT9" s="358" t="s">
        <v>576</v>
      </c>
      <c r="SRU9" s="189" t="s">
        <v>574</v>
      </c>
      <c r="SRV9" s="352" t="s">
        <v>573</v>
      </c>
      <c r="SRW9" s="142" t="s">
        <v>575</v>
      </c>
      <c r="SRX9" s="358" t="s">
        <v>576</v>
      </c>
      <c r="SRY9" s="189" t="s">
        <v>574</v>
      </c>
      <c r="SRZ9" s="352" t="s">
        <v>573</v>
      </c>
      <c r="SSA9" s="142" t="s">
        <v>575</v>
      </c>
      <c r="SSB9" s="358" t="s">
        <v>576</v>
      </c>
      <c r="SSC9" s="189" t="s">
        <v>574</v>
      </c>
      <c r="SSD9" s="352" t="s">
        <v>573</v>
      </c>
      <c r="SSE9" s="142" t="s">
        <v>575</v>
      </c>
      <c r="SSF9" s="358" t="s">
        <v>576</v>
      </c>
      <c r="SSG9" s="189" t="s">
        <v>574</v>
      </c>
      <c r="SSH9" s="352" t="s">
        <v>573</v>
      </c>
      <c r="SSI9" s="142" t="s">
        <v>575</v>
      </c>
      <c r="SSJ9" s="358" t="s">
        <v>576</v>
      </c>
      <c r="SSK9" s="189" t="s">
        <v>574</v>
      </c>
      <c r="SSL9" s="352" t="s">
        <v>573</v>
      </c>
      <c r="SSM9" s="142" t="s">
        <v>575</v>
      </c>
      <c r="SSN9" s="358" t="s">
        <v>576</v>
      </c>
      <c r="SSO9" s="189" t="s">
        <v>574</v>
      </c>
      <c r="SSP9" s="352" t="s">
        <v>573</v>
      </c>
      <c r="SSQ9" s="142" t="s">
        <v>575</v>
      </c>
      <c r="SSR9" s="358" t="s">
        <v>576</v>
      </c>
      <c r="SSS9" s="189" t="s">
        <v>574</v>
      </c>
      <c r="SST9" s="352" t="s">
        <v>573</v>
      </c>
      <c r="SSU9" s="142" t="s">
        <v>575</v>
      </c>
      <c r="SSV9" s="358" t="s">
        <v>576</v>
      </c>
      <c r="SSW9" s="189" t="s">
        <v>574</v>
      </c>
      <c r="SSX9" s="352" t="s">
        <v>573</v>
      </c>
      <c r="SSY9" s="142" t="s">
        <v>575</v>
      </c>
      <c r="SSZ9" s="358" t="s">
        <v>576</v>
      </c>
      <c r="STA9" s="189" t="s">
        <v>574</v>
      </c>
      <c r="STB9" s="352" t="s">
        <v>573</v>
      </c>
      <c r="STC9" s="142" t="s">
        <v>575</v>
      </c>
      <c r="STD9" s="358" t="s">
        <v>576</v>
      </c>
      <c r="STE9" s="189" t="s">
        <v>574</v>
      </c>
      <c r="STF9" s="352" t="s">
        <v>573</v>
      </c>
      <c r="STG9" s="142" t="s">
        <v>575</v>
      </c>
      <c r="STH9" s="358" t="s">
        <v>576</v>
      </c>
      <c r="STI9" s="189" t="s">
        <v>574</v>
      </c>
      <c r="STJ9" s="352" t="s">
        <v>573</v>
      </c>
      <c r="STK9" s="142" t="s">
        <v>575</v>
      </c>
      <c r="STL9" s="358" t="s">
        <v>576</v>
      </c>
      <c r="STM9" s="189" t="s">
        <v>574</v>
      </c>
      <c r="STN9" s="352" t="s">
        <v>573</v>
      </c>
      <c r="STO9" s="142" t="s">
        <v>575</v>
      </c>
      <c r="STP9" s="358" t="s">
        <v>576</v>
      </c>
      <c r="STQ9" s="189" t="s">
        <v>574</v>
      </c>
      <c r="STR9" s="352" t="s">
        <v>573</v>
      </c>
      <c r="STS9" s="142" t="s">
        <v>575</v>
      </c>
      <c r="STT9" s="358" t="s">
        <v>576</v>
      </c>
      <c r="STU9" s="189" t="s">
        <v>574</v>
      </c>
      <c r="STV9" s="352" t="s">
        <v>573</v>
      </c>
      <c r="STW9" s="142" t="s">
        <v>575</v>
      </c>
      <c r="STX9" s="358" t="s">
        <v>576</v>
      </c>
      <c r="STY9" s="189" t="s">
        <v>574</v>
      </c>
      <c r="STZ9" s="352" t="s">
        <v>573</v>
      </c>
      <c r="SUA9" s="142" t="s">
        <v>575</v>
      </c>
      <c r="SUB9" s="358" t="s">
        <v>576</v>
      </c>
      <c r="SUC9" s="189" t="s">
        <v>574</v>
      </c>
      <c r="SUD9" s="352" t="s">
        <v>573</v>
      </c>
      <c r="SUE9" s="142" t="s">
        <v>575</v>
      </c>
      <c r="SUF9" s="358" t="s">
        <v>576</v>
      </c>
      <c r="SUG9" s="189" t="s">
        <v>574</v>
      </c>
      <c r="SUH9" s="352" t="s">
        <v>573</v>
      </c>
      <c r="SUI9" s="142" t="s">
        <v>575</v>
      </c>
      <c r="SUJ9" s="358" t="s">
        <v>576</v>
      </c>
      <c r="SUK9" s="189" t="s">
        <v>574</v>
      </c>
      <c r="SUL9" s="352" t="s">
        <v>573</v>
      </c>
      <c r="SUM9" s="142" t="s">
        <v>575</v>
      </c>
      <c r="SUN9" s="358" t="s">
        <v>576</v>
      </c>
      <c r="SUO9" s="189" t="s">
        <v>574</v>
      </c>
      <c r="SUP9" s="352" t="s">
        <v>573</v>
      </c>
      <c r="SUQ9" s="142" t="s">
        <v>575</v>
      </c>
      <c r="SUR9" s="358" t="s">
        <v>576</v>
      </c>
      <c r="SUS9" s="189" t="s">
        <v>574</v>
      </c>
      <c r="SUT9" s="352" t="s">
        <v>573</v>
      </c>
      <c r="SUU9" s="142" t="s">
        <v>575</v>
      </c>
      <c r="SUV9" s="358" t="s">
        <v>576</v>
      </c>
      <c r="SUW9" s="189" t="s">
        <v>574</v>
      </c>
      <c r="SUX9" s="352" t="s">
        <v>573</v>
      </c>
      <c r="SUY9" s="142" t="s">
        <v>575</v>
      </c>
      <c r="SUZ9" s="358" t="s">
        <v>576</v>
      </c>
      <c r="SVA9" s="189" t="s">
        <v>574</v>
      </c>
      <c r="SVB9" s="352" t="s">
        <v>573</v>
      </c>
      <c r="SVC9" s="142" t="s">
        <v>575</v>
      </c>
      <c r="SVD9" s="358" t="s">
        <v>576</v>
      </c>
      <c r="SVE9" s="189" t="s">
        <v>574</v>
      </c>
      <c r="SVF9" s="352" t="s">
        <v>573</v>
      </c>
      <c r="SVG9" s="142" t="s">
        <v>575</v>
      </c>
      <c r="SVH9" s="358" t="s">
        <v>576</v>
      </c>
      <c r="SVI9" s="189" t="s">
        <v>574</v>
      </c>
      <c r="SVJ9" s="352" t="s">
        <v>573</v>
      </c>
      <c r="SVK9" s="142" t="s">
        <v>575</v>
      </c>
      <c r="SVL9" s="358" t="s">
        <v>576</v>
      </c>
      <c r="SVM9" s="189" t="s">
        <v>574</v>
      </c>
      <c r="SVN9" s="352" t="s">
        <v>573</v>
      </c>
      <c r="SVO9" s="142" t="s">
        <v>575</v>
      </c>
      <c r="SVP9" s="358" t="s">
        <v>576</v>
      </c>
      <c r="SVQ9" s="189" t="s">
        <v>574</v>
      </c>
      <c r="SVR9" s="352" t="s">
        <v>573</v>
      </c>
      <c r="SVS9" s="142" t="s">
        <v>575</v>
      </c>
      <c r="SVT9" s="358" t="s">
        <v>576</v>
      </c>
      <c r="SVU9" s="189" t="s">
        <v>574</v>
      </c>
      <c r="SVV9" s="352" t="s">
        <v>573</v>
      </c>
      <c r="SVW9" s="142" t="s">
        <v>575</v>
      </c>
      <c r="SVX9" s="358" t="s">
        <v>576</v>
      </c>
      <c r="SVY9" s="189" t="s">
        <v>574</v>
      </c>
      <c r="SVZ9" s="352" t="s">
        <v>573</v>
      </c>
      <c r="SWA9" s="142" t="s">
        <v>575</v>
      </c>
      <c r="SWB9" s="358" t="s">
        <v>576</v>
      </c>
      <c r="SWC9" s="189" t="s">
        <v>574</v>
      </c>
      <c r="SWD9" s="352" t="s">
        <v>573</v>
      </c>
      <c r="SWE9" s="142" t="s">
        <v>575</v>
      </c>
      <c r="SWF9" s="358" t="s">
        <v>576</v>
      </c>
      <c r="SWG9" s="189" t="s">
        <v>574</v>
      </c>
      <c r="SWH9" s="352" t="s">
        <v>573</v>
      </c>
      <c r="SWI9" s="142" t="s">
        <v>575</v>
      </c>
      <c r="SWJ9" s="358" t="s">
        <v>576</v>
      </c>
      <c r="SWK9" s="189" t="s">
        <v>574</v>
      </c>
      <c r="SWL9" s="352" t="s">
        <v>573</v>
      </c>
      <c r="SWM9" s="142" t="s">
        <v>575</v>
      </c>
      <c r="SWN9" s="358" t="s">
        <v>576</v>
      </c>
      <c r="SWO9" s="189" t="s">
        <v>574</v>
      </c>
      <c r="SWP9" s="352" t="s">
        <v>573</v>
      </c>
      <c r="SWQ9" s="142" t="s">
        <v>575</v>
      </c>
      <c r="SWR9" s="358" t="s">
        <v>576</v>
      </c>
      <c r="SWS9" s="189" t="s">
        <v>574</v>
      </c>
      <c r="SWT9" s="352" t="s">
        <v>573</v>
      </c>
      <c r="SWU9" s="142" t="s">
        <v>575</v>
      </c>
      <c r="SWV9" s="358" t="s">
        <v>576</v>
      </c>
      <c r="SWW9" s="189" t="s">
        <v>574</v>
      </c>
      <c r="SWX9" s="352" t="s">
        <v>573</v>
      </c>
      <c r="SWY9" s="142" t="s">
        <v>575</v>
      </c>
      <c r="SWZ9" s="358" t="s">
        <v>576</v>
      </c>
      <c r="SXA9" s="189" t="s">
        <v>574</v>
      </c>
      <c r="SXB9" s="352" t="s">
        <v>573</v>
      </c>
      <c r="SXC9" s="142" t="s">
        <v>575</v>
      </c>
      <c r="SXD9" s="358" t="s">
        <v>576</v>
      </c>
      <c r="SXE9" s="189" t="s">
        <v>574</v>
      </c>
      <c r="SXF9" s="352" t="s">
        <v>573</v>
      </c>
      <c r="SXG9" s="142" t="s">
        <v>575</v>
      </c>
      <c r="SXH9" s="358" t="s">
        <v>576</v>
      </c>
      <c r="SXI9" s="189" t="s">
        <v>574</v>
      </c>
      <c r="SXJ9" s="352" t="s">
        <v>573</v>
      </c>
      <c r="SXK9" s="142" t="s">
        <v>575</v>
      </c>
      <c r="SXL9" s="358" t="s">
        <v>576</v>
      </c>
      <c r="SXM9" s="189" t="s">
        <v>574</v>
      </c>
      <c r="SXN9" s="352" t="s">
        <v>573</v>
      </c>
      <c r="SXO9" s="142" t="s">
        <v>575</v>
      </c>
      <c r="SXP9" s="358" t="s">
        <v>576</v>
      </c>
      <c r="SXQ9" s="189" t="s">
        <v>574</v>
      </c>
      <c r="SXR9" s="352" t="s">
        <v>573</v>
      </c>
      <c r="SXS9" s="142" t="s">
        <v>575</v>
      </c>
      <c r="SXT9" s="358" t="s">
        <v>576</v>
      </c>
      <c r="SXU9" s="189" t="s">
        <v>574</v>
      </c>
      <c r="SXV9" s="352" t="s">
        <v>573</v>
      </c>
      <c r="SXW9" s="142" t="s">
        <v>575</v>
      </c>
      <c r="SXX9" s="358" t="s">
        <v>576</v>
      </c>
      <c r="SXY9" s="189" t="s">
        <v>574</v>
      </c>
      <c r="SXZ9" s="352" t="s">
        <v>573</v>
      </c>
      <c r="SYA9" s="142" t="s">
        <v>575</v>
      </c>
      <c r="SYB9" s="358" t="s">
        <v>576</v>
      </c>
      <c r="SYC9" s="189" t="s">
        <v>574</v>
      </c>
      <c r="SYD9" s="352" t="s">
        <v>573</v>
      </c>
      <c r="SYE9" s="142" t="s">
        <v>575</v>
      </c>
      <c r="SYF9" s="358" t="s">
        <v>576</v>
      </c>
      <c r="SYG9" s="189" t="s">
        <v>574</v>
      </c>
      <c r="SYH9" s="352" t="s">
        <v>573</v>
      </c>
      <c r="SYI9" s="142" t="s">
        <v>575</v>
      </c>
      <c r="SYJ9" s="358" t="s">
        <v>576</v>
      </c>
      <c r="SYK9" s="189" t="s">
        <v>574</v>
      </c>
      <c r="SYL9" s="352" t="s">
        <v>573</v>
      </c>
      <c r="SYM9" s="142" t="s">
        <v>575</v>
      </c>
      <c r="SYN9" s="358" t="s">
        <v>576</v>
      </c>
      <c r="SYO9" s="189" t="s">
        <v>574</v>
      </c>
      <c r="SYP9" s="352" t="s">
        <v>573</v>
      </c>
      <c r="SYQ9" s="142" t="s">
        <v>575</v>
      </c>
      <c r="SYR9" s="358" t="s">
        <v>576</v>
      </c>
      <c r="SYS9" s="189" t="s">
        <v>574</v>
      </c>
      <c r="SYT9" s="352" t="s">
        <v>573</v>
      </c>
      <c r="SYU9" s="142" t="s">
        <v>575</v>
      </c>
      <c r="SYV9" s="358" t="s">
        <v>576</v>
      </c>
      <c r="SYW9" s="189" t="s">
        <v>574</v>
      </c>
      <c r="SYX9" s="352" t="s">
        <v>573</v>
      </c>
      <c r="SYY9" s="142" t="s">
        <v>575</v>
      </c>
      <c r="SYZ9" s="358" t="s">
        <v>576</v>
      </c>
      <c r="SZA9" s="189" t="s">
        <v>574</v>
      </c>
      <c r="SZB9" s="352" t="s">
        <v>573</v>
      </c>
      <c r="SZC9" s="142" t="s">
        <v>575</v>
      </c>
      <c r="SZD9" s="358" t="s">
        <v>576</v>
      </c>
      <c r="SZE9" s="189" t="s">
        <v>574</v>
      </c>
      <c r="SZF9" s="352" t="s">
        <v>573</v>
      </c>
      <c r="SZG9" s="142" t="s">
        <v>575</v>
      </c>
      <c r="SZH9" s="358" t="s">
        <v>576</v>
      </c>
      <c r="SZI9" s="189" t="s">
        <v>574</v>
      </c>
      <c r="SZJ9" s="352" t="s">
        <v>573</v>
      </c>
      <c r="SZK9" s="142" t="s">
        <v>575</v>
      </c>
      <c r="SZL9" s="358" t="s">
        <v>576</v>
      </c>
      <c r="SZM9" s="189" t="s">
        <v>574</v>
      </c>
      <c r="SZN9" s="352" t="s">
        <v>573</v>
      </c>
      <c r="SZO9" s="142" t="s">
        <v>575</v>
      </c>
      <c r="SZP9" s="358" t="s">
        <v>576</v>
      </c>
      <c r="SZQ9" s="189" t="s">
        <v>574</v>
      </c>
      <c r="SZR9" s="352" t="s">
        <v>573</v>
      </c>
      <c r="SZS9" s="142" t="s">
        <v>575</v>
      </c>
      <c r="SZT9" s="358" t="s">
        <v>576</v>
      </c>
      <c r="SZU9" s="189" t="s">
        <v>574</v>
      </c>
      <c r="SZV9" s="352" t="s">
        <v>573</v>
      </c>
      <c r="SZW9" s="142" t="s">
        <v>575</v>
      </c>
      <c r="SZX9" s="358" t="s">
        <v>576</v>
      </c>
      <c r="SZY9" s="189" t="s">
        <v>574</v>
      </c>
      <c r="SZZ9" s="352" t="s">
        <v>573</v>
      </c>
      <c r="TAA9" s="142" t="s">
        <v>575</v>
      </c>
      <c r="TAB9" s="358" t="s">
        <v>576</v>
      </c>
      <c r="TAC9" s="189" t="s">
        <v>574</v>
      </c>
      <c r="TAD9" s="352" t="s">
        <v>573</v>
      </c>
      <c r="TAE9" s="142" t="s">
        <v>575</v>
      </c>
      <c r="TAF9" s="358" t="s">
        <v>576</v>
      </c>
      <c r="TAG9" s="189" t="s">
        <v>574</v>
      </c>
      <c r="TAH9" s="352" t="s">
        <v>573</v>
      </c>
      <c r="TAI9" s="142" t="s">
        <v>575</v>
      </c>
      <c r="TAJ9" s="358" t="s">
        <v>576</v>
      </c>
      <c r="TAK9" s="189" t="s">
        <v>574</v>
      </c>
      <c r="TAL9" s="352" t="s">
        <v>573</v>
      </c>
      <c r="TAM9" s="142" t="s">
        <v>575</v>
      </c>
      <c r="TAN9" s="358" t="s">
        <v>576</v>
      </c>
      <c r="TAO9" s="189" t="s">
        <v>574</v>
      </c>
      <c r="TAP9" s="352" t="s">
        <v>573</v>
      </c>
      <c r="TAQ9" s="142" t="s">
        <v>575</v>
      </c>
      <c r="TAR9" s="358" t="s">
        <v>576</v>
      </c>
      <c r="TAS9" s="189" t="s">
        <v>574</v>
      </c>
      <c r="TAT9" s="352" t="s">
        <v>573</v>
      </c>
      <c r="TAU9" s="142" t="s">
        <v>575</v>
      </c>
      <c r="TAV9" s="358" t="s">
        <v>576</v>
      </c>
      <c r="TAW9" s="189" t="s">
        <v>574</v>
      </c>
      <c r="TAX9" s="352" t="s">
        <v>573</v>
      </c>
      <c r="TAY9" s="142" t="s">
        <v>575</v>
      </c>
      <c r="TAZ9" s="358" t="s">
        <v>576</v>
      </c>
      <c r="TBA9" s="189" t="s">
        <v>574</v>
      </c>
      <c r="TBB9" s="352" t="s">
        <v>573</v>
      </c>
      <c r="TBC9" s="142" t="s">
        <v>575</v>
      </c>
      <c r="TBD9" s="358" t="s">
        <v>576</v>
      </c>
      <c r="TBE9" s="189" t="s">
        <v>574</v>
      </c>
      <c r="TBF9" s="352" t="s">
        <v>573</v>
      </c>
      <c r="TBG9" s="142" t="s">
        <v>575</v>
      </c>
      <c r="TBH9" s="358" t="s">
        <v>576</v>
      </c>
      <c r="TBI9" s="189" t="s">
        <v>574</v>
      </c>
      <c r="TBJ9" s="352" t="s">
        <v>573</v>
      </c>
      <c r="TBK9" s="142" t="s">
        <v>575</v>
      </c>
      <c r="TBL9" s="358" t="s">
        <v>576</v>
      </c>
      <c r="TBM9" s="189" t="s">
        <v>574</v>
      </c>
      <c r="TBN9" s="352" t="s">
        <v>573</v>
      </c>
      <c r="TBO9" s="142" t="s">
        <v>575</v>
      </c>
      <c r="TBP9" s="358" t="s">
        <v>576</v>
      </c>
      <c r="TBQ9" s="189" t="s">
        <v>574</v>
      </c>
      <c r="TBR9" s="352" t="s">
        <v>573</v>
      </c>
      <c r="TBS9" s="142" t="s">
        <v>575</v>
      </c>
      <c r="TBT9" s="358" t="s">
        <v>576</v>
      </c>
      <c r="TBU9" s="189" t="s">
        <v>574</v>
      </c>
      <c r="TBV9" s="352" t="s">
        <v>573</v>
      </c>
      <c r="TBW9" s="142" t="s">
        <v>575</v>
      </c>
      <c r="TBX9" s="358" t="s">
        <v>576</v>
      </c>
      <c r="TBY9" s="189" t="s">
        <v>574</v>
      </c>
      <c r="TBZ9" s="352" t="s">
        <v>573</v>
      </c>
      <c r="TCA9" s="142" t="s">
        <v>575</v>
      </c>
      <c r="TCB9" s="358" t="s">
        <v>576</v>
      </c>
      <c r="TCC9" s="189" t="s">
        <v>574</v>
      </c>
      <c r="TCD9" s="352" t="s">
        <v>573</v>
      </c>
      <c r="TCE9" s="142" t="s">
        <v>575</v>
      </c>
      <c r="TCF9" s="358" t="s">
        <v>576</v>
      </c>
      <c r="TCG9" s="189" t="s">
        <v>574</v>
      </c>
      <c r="TCH9" s="352" t="s">
        <v>573</v>
      </c>
      <c r="TCI9" s="142" t="s">
        <v>575</v>
      </c>
      <c r="TCJ9" s="358" t="s">
        <v>576</v>
      </c>
      <c r="TCK9" s="189" t="s">
        <v>574</v>
      </c>
      <c r="TCL9" s="352" t="s">
        <v>573</v>
      </c>
      <c r="TCM9" s="142" t="s">
        <v>575</v>
      </c>
      <c r="TCN9" s="358" t="s">
        <v>576</v>
      </c>
      <c r="TCO9" s="189" t="s">
        <v>574</v>
      </c>
      <c r="TCP9" s="352" t="s">
        <v>573</v>
      </c>
      <c r="TCQ9" s="142" t="s">
        <v>575</v>
      </c>
      <c r="TCR9" s="358" t="s">
        <v>576</v>
      </c>
      <c r="TCS9" s="189" t="s">
        <v>574</v>
      </c>
      <c r="TCT9" s="352" t="s">
        <v>573</v>
      </c>
      <c r="TCU9" s="142" t="s">
        <v>575</v>
      </c>
      <c r="TCV9" s="358" t="s">
        <v>576</v>
      </c>
      <c r="TCW9" s="189" t="s">
        <v>574</v>
      </c>
      <c r="TCX9" s="352" t="s">
        <v>573</v>
      </c>
      <c r="TCY9" s="142" t="s">
        <v>575</v>
      </c>
      <c r="TCZ9" s="358" t="s">
        <v>576</v>
      </c>
      <c r="TDA9" s="189" t="s">
        <v>574</v>
      </c>
      <c r="TDB9" s="352" t="s">
        <v>573</v>
      </c>
      <c r="TDC9" s="142" t="s">
        <v>575</v>
      </c>
      <c r="TDD9" s="358" t="s">
        <v>576</v>
      </c>
      <c r="TDE9" s="189" t="s">
        <v>574</v>
      </c>
      <c r="TDF9" s="352" t="s">
        <v>573</v>
      </c>
      <c r="TDG9" s="142" t="s">
        <v>575</v>
      </c>
      <c r="TDH9" s="358" t="s">
        <v>576</v>
      </c>
      <c r="TDI9" s="189" t="s">
        <v>574</v>
      </c>
      <c r="TDJ9" s="352" t="s">
        <v>573</v>
      </c>
      <c r="TDK9" s="142" t="s">
        <v>575</v>
      </c>
      <c r="TDL9" s="358" t="s">
        <v>576</v>
      </c>
      <c r="TDM9" s="189" t="s">
        <v>574</v>
      </c>
      <c r="TDN9" s="352" t="s">
        <v>573</v>
      </c>
      <c r="TDO9" s="142" t="s">
        <v>575</v>
      </c>
      <c r="TDP9" s="358" t="s">
        <v>576</v>
      </c>
      <c r="TDQ9" s="189" t="s">
        <v>574</v>
      </c>
      <c r="TDR9" s="352" t="s">
        <v>573</v>
      </c>
      <c r="TDS9" s="142" t="s">
        <v>575</v>
      </c>
      <c r="TDT9" s="358" t="s">
        <v>576</v>
      </c>
      <c r="TDU9" s="189" t="s">
        <v>574</v>
      </c>
      <c r="TDV9" s="352" t="s">
        <v>573</v>
      </c>
      <c r="TDW9" s="142" t="s">
        <v>575</v>
      </c>
      <c r="TDX9" s="358" t="s">
        <v>576</v>
      </c>
      <c r="TDY9" s="189" t="s">
        <v>574</v>
      </c>
      <c r="TDZ9" s="352" t="s">
        <v>573</v>
      </c>
      <c r="TEA9" s="142" t="s">
        <v>575</v>
      </c>
      <c r="TEB9" s="358" t="s">
        <v>576</v>
      </c>
      <c r="TEC9" s="189" t="s">
        <v>574</v>
      </c>
      <c r="TED9" s="352" t="s">
        <v>573</v>
      </c>
      <c r="TEE9" s="142" t="s">
        <v>575</v>
      </c>
      <c r="TEF9" s="358" t="s">
        <v>576</v>
      </c>
      <c r="TEG9" s="189" t="s">
        <v>574</v>
      </c>
      <c r="TEH9" s="352" t="s">
        <v>573</v>
      </c>
      <c r="TEI9" s="142" t="s">
        <v>575</v>
      </c>
      <c r="TEJ9" s="358" t="s">
        <v>576</v>
      </c>
      <c r="TEK9" s="189" t="s">
        <v>574</v>
      </c>
      <c r="TEL9" s="352" t="s">
        <v>573</v>
      </c>
      <c r="TEM9" s="142" t="s">
        <v>575</v>
      </c>
      <c r="TEN9" s="358" t="s">
        <v>576</v>
      </c>
      <c r="TEO9" s="189" t="s">
        <v>574</v>
      </c>
      <c r="TEP9" s="352" t="s">
        <v>573</v>
      </c>
      <c r="TEQ9" s="142" t="s">
        <v>575</v>
      </c>
      <c r="TER9" s="358" t="s">
        <v>576</v>
      </c>
      <c r="TES9" s="189" t="s">
        <v>574</v>
      </c>
      <c r="TET9" s="352" t="s">
        <v>573</v>
      </c>
      <c r="TEU9" s="142" t="s">
        <v>575</v>
      </c>
      <c r="TEV9" s="358" t="s">
        <v>576</v>
      </c>
      <c r="TEW9" s="189" t="s">
        <v>574</v>
      </c>
      <c r="TEX9" s="352" t="s">
        <v>573</v>
      </c>
      <c r="TEY9" s="142" t="s">
        <v>575</v>
      </c>
      <c r="TEZ9" s="358" t="s">
        <v>576</v>
      </c>
      <c r="TFA9" s="189" t="s">
        <v>574</v>
      </c>
      <c r="TFB9" s="352" t="s">
        <v>573</v>
      </c>
      <c r="TFC9" s="142" t="s">
        <v>575</v>
      </c>
      <c r="TFD9" s="358" t="s">
        <v>576</v>
      </c>
      <c r="TFE9" s="189" t="s">
        <v>574</v>
      </c>
      <c r="TFF9" s="352" t="s">
        <v>573</v>
      </c>
      <c r="TFG9" s="142" t="s">
        <v>575</v>
      </c>
      <c r="TFH9" s="358" t="s">
        <v>576</v>
      </c>
      <c r="TFI9" s="189" t="s">
        <v>574</v>
      </c>
      <c r="TFJ9" s="352" t="s">
        <v>573</v>
      </c>
      <c r="TFK9" s="142" t="s">
        <v>575</v>
      </c>
      <c r="TFL9" s="358" t="s">
        <v>576</v>
      </c>
      <c r="TFM9" s="189" t="s">
        <v>574</v>
      </c>
      <c r="TFN9" s="352" t="s">
        <v>573</v>
      </c>
      <c r="TFO9" s="142" t="s">
        <v>575</v>
      </c>
      <c r="TFP9" s="358" t="s">
        <v>576</v>
      </c>
      <c r="TFQ9" s="189" t="s">
        <v>574</v>
      </c>
      <c r="TFR9" s="352" t="s">
        <v>573</v>
      </c>
      <c r="TFS9" s="142" t="s">
        <v>575</v>
      </c>
      <c r="TFT9" s="358" t="s">
        <v>576</v>
      </c>
      <c r="TFU9" s="189" t="s">
        <v>574</v>
      </c>
      <c r="TFV9" s="352" t="s">
        <v>573</v>
      </c>
      <c r="TFW9" s="142" t="s">
        <v>575</v>
      </c>
      <c r="TFX9" s="358" t="s">
        <v>576</v>
      </c>
      <c r="TFY9" s="189" t="s">
        <v>574</v>
      </c>
      <c r="TFZ9" s="352" t="s">
        <v>573</v>
      </c>
      <c r="TGA9" s="142" t="s">
        <v>575</v>
      </c>
      <c r="TGB9" s="358" t="s">
        <v>576</v>
      </c>
      <c r="TGC9" s="189" t="s">
        <v>574</v>
      </c>
      <c r="TGD9" s="352" t="s">
        <v>573</v>
      </c>
      <c r="TGE9" s="142" t="s">
        <v>575</v>
      </c>
      <c r="TGF9" s="358" t="s">
        <v>576</v>
      </c>
      <c r="TGG9" s="189" t="s">
        <v>574</v>
      </c>
      <c r="TGH9" s="352" t="s">
        <v>573</v>
      </c>
      <c r="TGI9" s="142" t="s">
        <v>575</v>
      </c>
      <c r="TGJ9" s="358" t="s">
        <v>576</v>
      </c>
      <c r="TGK9" s="189" t="s">
        <v>574</v>
      </c>
      <c r="TGL9" s="352" t="s">
        <v>573</v>
      </c>
      <c r="TGM9" s="142" t="s">
        <v>575</v>
      </c>
      <c r="TGN9" s="358" t="s">
        <v>576</v>
      </c>
      <c r="TGO9" s="189" t="s">
        <v>574</v>
      </c>
      <c r="TGP9" s="352" t="s">
        <v>573</v>
      </c>
      <c r="TGQ9" s="142" t="s">
        <v>575</v>
      </c>
      <c r="TGR9" s="358" t="s">
        <v>576</v>
      </c>
      <c r="TGS9" s="189" t="s">
        <v>574</v>
      </c>
      <c r="TGT9" s="352" t="s">
        <v>573</v>
      </c>
      <c r="TGU9" s="142" t="s">
        <v>575</v>
      </c>
      <c r="TGV9" s="358" t="s">
        <v>576</v>
      </c>
      <c r="TGW9" s="189" t="s">
        <v>574</v>
      </c>
      <c r="TGX9" s="352" t="s">
        <v>573</v>
      </c>
      <c r="TGY9" s="142" t="s">
        <v>575</v>
      </c>
      <c r="TGZ9" s="358" t="s">
        <v>576</v>
      </c>
      <c r="THA9" s="189" t="s">
        <v>574</v>
      </c>
      <c r="THB9" s="352" t="s">
        <v>573</v>
      </c>
      <c r="THC9" s="142" t="s">
        <v>575</v>
      </c>
      <c r="THD9" s="358" t="s">
        <v>576</v>
      </c>
      <c r="THE9" s="189" t="s">
        <v>574</v>
      </c>
      <c r="THF9" s="352" t="s">
        <v>573</v>
      </c>
      <c r="THG9" s="142" t="s">
        <v>575</v>
      </c>
      <c r="THH9" s="358" t="s">
        <v>576</v>
      </c>
      <c r="THI9" s="189" t="s">
        <v>574</v>
      </c>
      <c r="THJ9" s="352" t="s">
        <v>573</v>
      </c>
      <c r="THK9" s="142" t="s">
        <v>575</v>
      </c>
      <c r="THL9" s="358" t="s">
        <v>576</v>
      </c>
      <c r="THM9" s="189" t="s">
        <v>574</v>
      </c>
      <c r="THN9" s="352" t="s">
        <v>573</v>
      </c>
      <c r="THO9" s="142" t="s">
        <v>575</v>
      </c>
      <c r="THP9" s="358" t="s">
        <v>576</v>
      </c>
      <c r="THQ9" s="189" t="s">
        <v>574</v>
      </c>
      <c r="THR9" s="352" t="s">
        <v>573</v>
      </c>
      <c r="THS9" s="142" t="s">
        <v>575</v>
      </c>
      <c r="THT9" s="358" t="s">
        <v>576</v>
      </c>
      <c r="THU9" s="189" t="s">
        <v>574</v>
      </c>
      <c r="THV9" s="352" t="s">
        <v>573</v>
      </c>
      <c r="THW9" s="142" t="s">
        <v>575</v>
      </c>
      <c r="THX9" s="358" t="s">
        <v>576</v>
      </c>
      <c r="THY9" s="189" t="s">
        <v>574</v>
      </c>
      <c r="THZ9" s="352" t="s">
        <v>573</v>
      </c>
      <c r="TIA9" s="142" t="s">
        <v>575</v>
      </c>
      <c r="TIB9" s="358" t="s">
        <v>576</v>
      </c>
      <c r="TIC9" s="189" t="s">
        <v>574</v>
      </c>
      <c r="TID9" s="352" t="s">
        <v>573</v>
      </c>
      <c r="TIE9" s="142" t="s">
        <v>575</v>
      </c>
      <c r="TIF9" s="358" t="s">
        <v>576</v>
      </c>
      <c r="TIG9" s="189" t="s">
        <v>574</v>
      </c>
      <c r="TIH9" s="352" t="s">
        <v>573</v>
      </c>
      <c r="TII9" s="142" t="s">
        <v>575</v>
      </c>
      <c r="TIJ9" s="358" t="s">
        <v>576</v>
      </c>
      <c r="TIK9" s="189" t="s">
        <v>574</v>
      </c>
      <c r="TIL9" s="352" t="s">
        <v>573</v>
      </c>
      <c r="TIM9" s="142" t="s">
        <v>575</v>
      </c>
      <c r="TIN9" s="358" t="s">
        <v>576</v>
      </c>
      <c r="TIO9" s="189" t="s">
        <v>574</v>
      </c>
      <c r="TIP9" s="352" t="s">
        <v>573</v>
      </c>
      <c r="TIQ9" s="142" t="s">
        <v>575</v>
      </c>
      <c r="TIR9" s="358" t="s">
        <v>576</v>
      </c>
      <c r="TIS9" s="189" t="s">
        <v>574</v>
      </c>
      <c r="TIT9" s="352" t="s">
        <v>573</v>
      </c>
      <c r="TIU9" s="142" t="s">
        <v>575</v>
      </c>
      <c r="TIV9" s="358" t="s">
        <v>576</v>
      </c>
      <c r="TIW9" s="189" t="s">
        <v>574</v>
      </c>
      <c r="TIX9" s="352" t="s">
        <v>573</v>
      </c>
      <c r="TIY9" s="142" t="s">
        <v>575</v>
      </c>
      <c r="TIZ9" s="358" t="s">
        <v>576</v>
      </c>
      <c r="TJA9" s="189" t="s">
        <v>574</v>
      </c>
      <c r="TJB9" s="352" t="s">
        <v>573</v>
      </c>
      <c r="TJC9" s="142" t="s">
        <v>575</v>
      </c>
      <c r="TJD9" s="358" t="s">
        <v>576</v>
      </c>
      <c r="TJE9" s="189" t="s">
        <v>574</v>
      </c>
      <c r="TJF9" s="352" t="s">
        <v>573</v>
      </c>
      <c r="TJG9" s="142" t="s">
        <v>575</v>
      </c>
      <c r="TJH9" s="358" t="s">
        <v>576</v>
      </c>
      <c r="TJI9" s="189" t="s">
        <v>574</v>
      </c>
      <c r="TJJ9" s="352" t="s">
        <v>573</v>
      </c>
      <c r="TJK9" s="142" t="s">
        <v>575</v>
      </c>
      <c r="TJL9" s="358" t="s">
        <v>576</v>
      </c>
      <c r="TJM9" s="189" t="s">
        <v>574</v>
      </c>
      <c r="TJN9" s="352" t="s">
        <v>573</v>
      </c>
      <c r="TJO9" s="142" t="s">
        <v>575</v>
      </c>
      <c r="TJP9" s="358" t="s">
        <v>576</v>
      </c>
      <c r="TJQ9" s="189" t="s">
        <v>574</v>
      </c>
      <c r="TJR9" s="352" t="s">
        <v>573</v>
      </c>
      <c r="TJS9" s="142" t="s">
        <v>575</v>
      </c>
      <c r="TJT9" s="358" t="s">
        <v>576</v>
      </c>
      <c r="TJU9" s="189" t="s">
        <v>574</v>
      </c>
      <c r="TJV9" s="352" t="s">
        <v>573</v>
      </c>
      <c r="TJW9" s="142" t="s">
        <v>575</v>
      </c>
      <c r="TJX9" s="358" t="s">
        <v>576</v>
      </c>
      <c r="TJY9" s="189" t="s">
        <v>574</v>
      </c>
      <c r="TJZ9" s="352" t="s">
        <v>573</v>
      </c>
      <c r="TKA9" s="142" t="s">
        <v>575</v>
      </c>
      <c r="TKB9" s="358" t="s">
        <v>576</v>
      </c>
      <c r="TKC9" s="189" t="s">
        <v>574</v>
      </c>
      <c r="TKD9" s="352" t="s">
        <v>573</v>
      </c>
      <c r="TKE9" s="142" t="s">
        <v>575</v>
      </c>
      <c r="TKF9" s="358" t="s">
        <v>576</v>
      </c>
      <c r="TKG9" s="189" t="s">
        <v>574</v>
      </c>
      <c r="TKH9" s="352" t="s">
        <v>573</v>
      </c>
      <c r="TKI9" s="142" t="s">
        <v>575</v>
      </c>
      <c r="TKJ9" s="358" t="s">
        <v>576</v>
      </c>
      <c r="TKK9" s="189" t="s">
        <v>574</v>
      </c>
      <c r="TKL9" s="352" t="s">
        <v>573</v>
      </c>
      <c r="TKM9" s="142" t="s">
        <v>575</v>
      </c>
      <c r="TKN9" s="358" t="s">
        <v>576</v>
      </c>
      <c r="TKO9" s="189" t="s">
        <v>574</v>
      </c>
      <c r="TKP9" s="352" t="s">
        <v>573</v>
      </c>
      <c r="TKQ9" s="142" t="s">
        <v>575</v>
      </c>
      <c r="TKR9" s="358" t="s">
        <v>576</v>
      </c>
      <c r="TKS9" s="189" t="s">
        <v>574</v>
      </c>
      <c r="TKT9" s="352" t="s">
        <v>573</v>
      </c>
      <c r="TKU9" s="142" t="s">
        <v>575</v>
      </c>
      <c r="TKV9" s="358" t="s">
        <v>576</v>
      </c>
      <c r="TKW9" s="189" t="s">
        <v>574</v>
      </c>
      <c r="TKX9" s="352" t="s">
        <v>573</v>
      </c>
      <c r="TKY9" s="142" t="s">
        <v>575</v>
      </c>
      <c r="TKZ9" s="358" t="s">
        <v>576</v>
      </c>
      <c r="TLA9" s="189" t="s">
        <v>574</v>
      </c>
      <c r="TLB9" s="352" t="s">
        <v>573</v>
      </c>
      <c r="TLC9" s="142" t="s">
        <v>575</v>
      </c>
      <c r="TLD9" s="358" t="s">
        <v>576</v>
      </c>
      <c r="TLE9" s="189" t="s">
        <v>574</v>
      </c>
      <c r="TLF9" s="352" t="s">
        <v>573</v>
      </c>
      <c r="TLG9" s="142" t="s">
        <v>575</v>
      </c>
      <c r="TLH9" s="358" t="s">
        <v>576</v>
      </c>
      <c r="TLI9" s="189" t="s">
        <v>574</v>
      </c>
      <c r="TLJ9" s="352" t="s">
        <v>573</v>
      </c>
      <c r="TLK9" s="142" t="s">
        <v>575</v>
      </c>
      <c r="TLL9" s="358" t="s">
        <v>576</v>
      </c>
      <c r="TLM9" s="189" t="s">
        <v>574</v>
      </c>
      <c r="TLN9" s="352" t="s">
        <v>573</v>
      </c>
      <c r="TLO9" s="142" t="s">
        <v>575</v>
      </c>
      <c r="TLP9" s="358" t="s">
        <v>576</v>
      </c>
      <c r="TLQ9" s="189" t="s">
        <v>574</v>
      </c>
      <c r="TLR9" s="352" t="s">
        <v>573</v>
      </c>
      <c r="TLS9" s="142" t="s">
        <v>575</v>
      </c>
      <c r="TLT9" s="358" t="s">
        <v>576</v>
      </c>
      <c r="TLU9" s="189" t="s">
        <v>574</v>
      </c>
      <c r="TLV9" s="352" t="s">
        <v>573</v>
      </c>
      <c r="TLW9" s="142" t="s">
        <v>575</v>
      </c>
      <c r="TLX9" s="358" t="s">
        <v>576</v>
      </c>
      <c r="TLY9" s="189" t="s">
        <v>574</v>
      </c>
      <c r="TLZ9" s="352" t="s">
        <v>573</v>
      </c>
      <c r="TMA9" s="142" t="s">
        <v>575</v>
      </c>
      <c r="TMB9" s="358" t="s">
        <v>576</v>
      </c>
      <c r="TMC9" s="189" t="s">
        <v>574</v>
      </c>
      <c r="TMD9" s="352" t="s">
        <v>573</v>
      </c>
      <c r="TME9" s="142" t="s">
        <v>575</v>
      </c>
      <c r="TMF9" s="358" t="s">
        <v>576</v>
      </c>
      <c r="TMG9" s="189" t="s">
        <v>574</v>
      </c>
      <c r="TMH9" s="352" t="s">
        <v>573</v>
      </c>
      <c r="TMI9" s="142" t="s">
        <v>575</v>
      </c>
      <c r="TMJ9" s="358" t="s">
        <v>576</v>
      </c>
      <c r="TMK9" s="189" t="s">
        <v>574</v>
      </c>
      <c r="TML9" s="352" t="s">
        <v>573</v>
      </c>
      <c r="TMM9" s="142" t="s">
        <v>575</v>
      </c>
      <c r="TMN9" s="358" t="s">
        <v>576</v>
      </c>
      <c r="TMO9" s="189" t="s">
        <v>574</v>
      </c>
      <c r="TMP9" s="352" t="s">
        <v>573</v>
      </c>
      <c r="TMQ9" s="142" t="s">
        <v>575</v>
      </c>
      <c r="TMR9" s="358" t="s">
        <v>576</v>
      </c>
      <c r="TMS9" s="189" t="s">
        <v>574</v>
      </c>
      <c r="TMT9" s="352" t="s">
        <v>573</v>
      </c>
      <c r="TMU9" s="142" t="s">
        <v>575</v>
      </c>
      <c r="TMV9" s="358" t="s">
        <v>576</v>
      </c>
      <c r="TMW9" s="189" t="s">
        <v>574</v>
      </c>
      <c r="TMX9" s="352" t="s">
        <v>573</v>
      </c>
      <c r="TMY9" s="142" t="s">
        <v>575</v>
      </c>
      <c r="TMZ9" s="358" t="s">
        <v>576</v>
      </c>
      <c r="TNA9" s="189" t="s">
        <v>574</v>
      </c>
      <c r="TNB9" s="352" t="s">
        <v>573</v>
      </c>
      <c r="TNC9" s="142" t="s">
        <v>575</v>
      </c>
      <c r="TND9" s="358" t="s">
        <v>576</v>
      </c>
      <c r="TNE9" s="189" t="s">
        <v>574</v>
      </c>
      <c r="TNF9" s="352" t="s">
        <v>573</v>
      </c>
      <c r="TNG9" s="142" t="s">
        <v>575</v>
      </c>
      <c r="TNH9" s="358" t="s">
        <v>576</v>
      </c>
      <c r="TNI9" s="189" t="s">
        <v>574</v>
      </c>
      <c r="TNJ9" s="352" t="s">
        <v>573</v>
      </c>
      <c r="TNK9" s="142" t="s">
        <v>575</v>
      </c>
      <c r="TNL9" s="358" t="s">
        <v>576</v>
      </c>
      <c r="TNM9" s="189" t="s">
        <v>574</v>
      </c>
      <c r="TNN9" s="352" t="s">
        <v>573</v>
      </c>
      <c r="TNO9" s="142" t="s">
        <v>575</v>
      </c>
      <c r="TNP9" s="358" t="s">
        <v>576</v>
      </c>
      <c r="TNQ9" s="189" t="s">
        <v>574</v>
      </c>
      <c r="TNR9" s="352" t="s">
        <v>573</v>
      </c>
      <c r="TNS9" s="142" t="s">
        <v>575</v>
      </c>
      <c r="TNT9" s="358" t="s">
        <v>576</v>
      </c>
      <c r="TNU9" s="189" t="s">
        <v>574</v>
      </c>
      <c r="TNV9" s="352" t="s">
        <v>573</v>
      </c>
      <c r="TNW9" s="142" t="s">
        <v>575</v>
      </c>
      <c r="TNX9" s="358" t="s">
        <v>576</v>
      </c>
      <c r="TNY9" s="189" t="s">
        <v>574</v>
      </c>
      <c r="TNZ9" s="352" t="s">
        <v>573</v>
      </c>
      <c r="TOA9" s="142" t="s">
        <v>575</v>
      </c>
      <c r="TOB9" s="358" t="s">
        <v>576</v>
      </c>
      <c r="TOC9" s="189" t="s">
        <v>574</v>
      </c>
      <c r="TOD9" s="352" t="s">
        <v>573</v>
      </c>
      <c r="TOE9" s="142" t="s">
        <v>575</v>
      </c>
      <c r="TOF9" s="358" t="s">
        <v>576</v>
      </c>
      <c r="TOG9" s="189" t="s">
        <v>574</v>
      </c>
      <c r="TOH9" s="352" t="s">
        <v>573</v>
      </c>
      <c r="TOI9" s="142" t="s">
        <v>575</v>
      </c>
      <c r="TOJ9" s="358" t="s">
        <v>576</v>
      </c>
      <c r="TOK9" s="189" t="s">
        <v>574</v>
      </c>
      <c r="TOL9" s="352" t="s">
        <v>573</v>
      </c>
      <c r="TOM9" s="142" t="s">
        <v>575</v>
      </c>
      <c r="TON9" s="358" t="s">
        <v>576</v>
      </c>
      <c r="TOO9" s="189" t="s">
        <v>574</v>
      </c>
      <c r="TOP9" s="352" t="s">
        <v>573</v>
      </c>
      <c r="TOQ9" s="142" t="s">
        <v>575</v>
      </c>
      <c r="TOR9" s="358" t="s">
        <v>576</v>
      </c>
      <c r="TOS9" s="189" t="s">
        <v>574</v>
      </c>
      <c r="TOT9" s="352" t="s">
        <v>573</v>
      </c>
      <c r="TOU9" s="142" t="s">
        <v>575</v>
      </c>
      <c r="TOV9" s="358" t="s">
        <v>576</v>
      </c>
      <c r="TOW9" s="189" t="s">
        <v>574</v>
      </c>
      <c r="TOX9" s="352" t="s">
        <v>573</v>
      </c>
      <c r="TOY9" s="142" t="s">
        <v>575</v>
      </c>
      <c r="TOZ9" s="358" t="s">
        <v>576</v>
      </c>
      <c r="TPA9" s="189" t="s">
        <v>574</v>
      </c>
      <c r="TPB9" s="352" t="s">
        <v>573</v>
      </c>
      <c r="TPC9" s="142" t="s">
        <v>575</v>
      </c>
      <c r="TPD9" s="358" t="s">
        <v>576</v>
      </c>
      <c r="TPE9" s="189" t="s">
        <v>574</v>
      </c>
      <c r="TPF9" s="352" t="s">
        <v>573</v>
      </c>
      <c r="TPG9" s="142" t="s">
        <v>575</v>
      </c>
      <c r="TPH9" s="358" t="s">
        <v>576</v>
      </c>
      <c r="TPI9" s="189" t="s">
        <v>574</v>
      </c>
      <c r="TPJ9" s="352" t="s">
        <v>573</v>
      </c>
      <c r="TPK9" s="142" t="s">
        <v>575</v>
      </c>
      <c r="TPL9" s="358" t="s">
        <v>576</v>
      </c>
      <c r="TPM9" s="189" t="s">
        <v>574</v>
      </c>
      <c r="TPN9" s="352" t="s">
        <v>573</v>
      </c>
      <c r="TPO9" s="142" t="s">
        <v>575</v>
      </c>
      <c r="TPP9" s="358" t="s">
        <v>576</v>
      </c>
      <c r="TPQ9" s="189" t="s">
        <v>574</v>
      </c>
      <c r="TPR9" s="352" t="s">
        <v>573</v>
      </c>
      <c r="TPS9" s="142" t="s">
        <v>575</v>
      </c>
      <c r="TPT9" s="358" t="s">
        <v>576</v>
      </c>
      <c r="TPU9" s="189" t="s">
        <v>574</v>
      </c>
      <c r="TPV9" s="352" t="s">
        <v>573</v>
      </c>
      <c r="TPW9" s="142" t="s">
        <v>575</v>
      </c>
      <c r="TPX9" s="358" t="s">
        <v>576</v>
      </c>
      <c r="TPY9" s="189" t="s">
        <v>574</v>
      </c>
      <c r="TPZ9" s="352" t="s">
        <v>573</v>
      </c>
      <c r="TQA9" s="142" t="s">
        <v>575</v>
      </c>
      <c r="TQB9" s="358" t="s">
        <v>576</v>
      </c>
      <c r="TQC9" s="189" t="s">
        <v>574</v>
      </c>
      <c r="TQD9" s="352" t="s">
        <v>573</v>
      </c>
      <c r="TQE9" s="142" t="s">
        <v>575</v>
      </c>
      <c r="TQF9" s="358" t="s">
        <v>576</v>
      </c>
      <c r="TQG9" s="189" t="s">
        <v>574</v>
      </c>
      <c r="TQH9" s="352" t="s">
        <v>573</v>
      </c>
      <c r="TQI9" s="142" t="s">
        <v>575</v>
      </c>
      <c r="TQJ9" s="358" t="s">
        <v>576</v>
      </c>
      <c r="TQK9" s="189" t="s">
        <v>574</v>
      </c>
      <c r="TQL9" s="352" t="s">
        <v>573</v>
      </c>
      <c r="TQM9" s="142" t="s">
        <v>575</v>
      </c>
      <c r="TQN9" s="358" t="s">
        <v>576</v>
      </c>
      <c r="TQO9" s="189" t="s">
        <v>574</v>
      </c>
      <c r="TQP9" s="352" t="s">
        <v>573</v>
      </c>
      <c r="TQQ9" s="142" t="s">
        <v>575</v>
      </c>
      <c r="TQR9" s="358" t="s">
        <v>576</v>
      </c>
      <c r="TQS9" s="189" t="s">
        <v>574</v>
      </c>
      <c r="TQT9" s="352" t="s">
        <v>573</v>
      </c>
      <c r="TQU9" s="142" t="s">
        <v>575</v>
      </c>
      <c r="TQV9" s="358" t="s">
        <v>576</v>
      </c>
      <c r="TQW9" s="189" t="s">
        <v>574</v>
      </c>
      <c r="TQX9" s="352" t="s">
        <v>573</v>
      </c>
      <c r="TQY9" s="142" t="s">
        <v>575</v>
      </c>
      <c r="TQZ9" s="358" t="s">
        <v>576</v>
      </c>
      <c r="TRA9" s="189" t="s">
        <v>574</v>
      </c>
      <c r="TRB9" s="352" t="s">
        <v>573</v>
      </c>
      <c r="TRC9" s="142" t="s">
        <v>575</v>
      </c>
      <c r="TRD9" s="358" t="s">
        <v>576</v>
      </c>
      <c r="TRE9" s="189" t="s">
        <v>574</v>
      </c>
      <c r="TRF9" s="352" t="s">
        <v>573</v>
      </c>
      <c r="TRG9" s="142" t="s">
        <v>575</v>
      </c>
      <c r="TRH9" s="358" t="s">
        <v>576</v>
      </c>
      <c r="TRI9" s="189" t="s">
        <v>574</v>
      </c>
      <c r="TRJ9" s="352" t="s">
        <v>573</v>
      </c>
      <c r="TRK9" s="142" t="s">
        <v>575</v>
      </c>
      <c r="TRL9" s="358" t="s">
        <v>576</v>
      </c>
      <c r="TRM9" s="189" t="s">
        <v>574</v>
      </c>
      <c r="TRN9" s="352" t="s">
        <v>573</v>
      </c>
      <c r="TRO9" s="142" t="s">
        <v>575</v>
      </c>
      <c r="TRP9" s="358" t="s">
        <v>576</v>
      </c>
      <c r="TRQ9" s="189" t="s">
        <v>574</v>
      </c>
      <c r="TRR9" s="352" t="s">
        <v>573</v>
      </c>
      <c r="TRS9" s="142" t="s">
        <v>575</v>
      </c>
      <c r="TRT9" s="358" t="s">
        <v>576</v>
      </c>
      <c r="TRU9" s="189" t="s">
        <v>574</v>
      </c>
      <c r="TRV9" s="352" t="s">
        <v>573</v>
      </c>
      <c r="TRW9" s="142" t="s">
        <v>575</v>
      </c>
      <c r="TRX9" s="358" t="s">
        <v>576</v>
      </c>
      <c r="TRY9" s="189" t="s">
        <v>574</v>
      </c>
      <c r="TRZ9" s="352" t="s">
        <v>573</v>
      </c>
      <c r="TSA9" s="142" t="s">
        <v>575</v>
      </c>
      <c r="TSB9" s="358" t="s">
        <v>576</v>
      </c>
      <c r="TSC9" s="189" t="s">
        <v>574</v>
      </c>
      <c r="TSD9" s="352" t="s">
        <v>573</v>
      </c>
      <c r="TSE9" s="142" t="s">
        <v>575</v>
      </c>
      <c r="TSF9" s="358" t="s">
        <v>576</v>
      </c>
      <c r="TSG9" s="189" t="s">
        <v>574</v>
      </c>
      <c r="TSH9" s="352" t="s">
        <v>573</v>
      </c>
      <c r="TSI9" s="142" t="s">
        <v>575</v>
      </c>
      <c r="TSJ9" s="358" t="s">
        <v>576</v>
      </c>
      <c r="TSK9" s="189" t="s">
        <v>574</v>
      </c>
      <c r="TSL9" s="352" t="s">
        <v>573</v>
      </c>
      <c r="TSM9" s="142" t="s">
        <v>575</v>
      </c>
      <c r="TSN9" s="358" t="s">
        <v>576</v>
      </c>
      <c r="TSO9" s="189" t="s">
        <v>574</v>
      </c>
      <c r="TSP9" s="352" t="s">
        <v>573</v>
      </c>
      <c r="TSQ9" s="142" t="s">
        <v>575</v>
      </c>
      <c r="TSR9" s="358" t="s">
        <v>576</v>
      </c>
      <c r="TSS9" s="189" t="s">
        <v>574</v>
      </c>
      <c r="TST9" s="352" t="s">
        <v>573</v>
      </c>
      <c r="TSU9" s="142" t="s">
        <v>575</v>
      </c>
      <c r="TSV9" s="358" t="s">
        <v>576</v>
      </c>
      <c r="TSW9" s="189" t="s">
        <v>574</v>
      </c>
      <c r="TSX9" s="352" t="s">
        <v>573</v>
      </c>
      <c r="TSY9" s="142" t="s">
        <v>575</v>
      </c>
      <c r="TSZ9" s="358" t="s">
        <v>576</v>
      </c>
      <c r="TTA9" s="189" t="s">
        <v>574</v>
      </c>
      <c r="TTB9" s="352" t="s">
        <v>573</v>
      </c>
      <c r="TTC9" s="142" t="s">
        <v>575</v>
      </c>
      <c r="TTD9" s="358" t="s">
        <v>576</v>
      </c>
      <c r="TTE9" s="189" t="s">
        <v>574</v>
      </c>
      <c r="TTF9" s="352" t="s">
        <v>573</v>
      </c>
      <c r="TTG9" s="142" t="s">
        <v>575</v>
      </c>
      <c r="TTH9" s="358" t="s">
        <v>576</v>
      </c>
      <c r="TTI9" s="189" t="s">
        <v>574</v>
      </c>
      <c r="TTJ9" s="352" t="s">
        <v>573</v>
      </c>
      <c r="TTK9" s="142" t="s">
        <v>575</v>
      </c>
      <c r="TTL9" s="358" t="s">
        <v>576</v>
      </c>
      <c r="TTM9" s="189" t="s">
        <v>574</v>
      </c>
      <c r="TTN9" s="352" t="s">
        <v>573</v>
      </c>
      <c r="TTO9" s="142" t="s">
        <v>575</v>
      </c>
      <c r="TTP9" s="358" t="s">
        <v>576</v>
      </c>
      <c r="TTQ9" s="189" t="s">
        <v>574</v>
      </c>
      <c r="TTR9" s="352" t="s">
        <v>573</v>
      </c>
      <c r="TTS9" s="142" t="s">
        <v>575</v>
      </c>
      <c r="TTT9" s="358" t="s">
        <v>576</v>
      </c>
      <c r="TTU9" s="189" t="s">
        <v>574</v>
      </c>
      <c r="TTV9" s="352" t="s">
        <v>573</v>
      </c>
      <c r="TTW9" s="142" t="s">
        <v>575</v>
      </c>
      <c r="TTX9" s="358" t="s">
        <v>576</v>
      </c>
      <c r="TTY9" s="189" t="s">
        <v>574</v>
      </c>
      <c r="TTZ9" s="352" t="s">
        <v>573</v>
      </c>
      <c r="TUA9" s="142" t="s">
        <v>575</v>
      </c>
      <c r="TUB9" s="358" t="s">
        <v>576</v>
      </c>
      <c r="TUC9" s="189" t="s">
        <v>574</v>
      </c>
      <c r="TUD9" s="352" t="s">
        <v>573</v>
      </c>
      <c r="TUE9" s="142" t="s">
        <v>575</v>
      </c>
      <c r="TUF9" s="358" t="s">
        <v>576</v>
      </c>
      <c r="TUG9" s="189" t="s">
        <v>574</v>
      </c>
      <c r="TUH9" s="352" t="s">
        <v>573</v>
      </c>
      <c r="TUI9" s="142" t="s">
        <v>575</v>
      </c>
      <c r="TUJ9" s="358" t="s">
        <v>576</v>
      </c>
      <c r="TUK9" s="189" t="s">
        <v>574</v>
      </c>
      <c r="TUL9" s="352" t="s">
        <v>573</v>
      </c>
      <c r="TUM9" s="142" t="s">
        <v>575</v>
      </c>
      <c r="TUN9" s="358" t="s">
        <v>576</v>
      </c>
      <c r="TUO9" s="189" t="s">
        <v>574</v>
      </c>
      <c r="TUP9" s="352" t="s">
        <v>573</v>
      </c>
      <c r="TUQ9" s="142" t="s">
        <v>575</v>
      </c>
      <c r="TUR9" s="358" t="s">
        <v>576</v>
      </c>
      <c r="TUS9" s="189" t="s">
        <v>574</v>
      </c>
      <c r="TUT9" s="352" t="s">
        <v>573</v>
      </c>
      <c r="TUU9" s="142" t="s">
        <v>575</v>
      </c>
      <c r="TUV9" s="358" t="s">
        <v>576</v>
      </c>
      <c r="TUW9" s="189" t="s">
        <v>574</v>
      </c>
      <c r="TUX9" s="352" t="s">
        <v>573</v>
      </c>
      <c r="TUY9" s="142" t="s">
        <v>575</v>
      </c>
      <c r="TUZ9" s="358" t="s">
        <v>576</v>
      </c>
      <c r="TVA9" s="189" t="s">
        <v>574</v>
      </c>
      <c r="TVB9" s="352" t="s">
        <v>573</v>
      </c>
      <c r="TVC9" s="142" t="s">
        <v>575</v>
      </c>
      <c r="TVD9" s="358" t="s">
        <v>576</v>
      </c>
      <c r="TVE9" s="189" t="s">
        <v>574</v>
      </c>
      <c r="TVF9" s="352" t="s">
        <v>573</v>
      </c>
      <c r="TVG9" s="142" t="s">
        <v>575</v>
      </c>
      <c r="TVH9" s="358" t="s">
        <v>576</v>
      </c>
      <c r="TVI9" s="189" t="s">
        <v>574</v>
      </c>
      <c r="TVJ9" s="352" t="s">
        <v>573</v>
      </c>
      <c r="TVK9" s="142" t="s">
        <v>575</v>
      </c>
      <c r="TVL9" s="358" t="s">
        <v>576</v>
      </c>
      <c r="TVM9" s="189" t="s">
        <v>574</v>
      </c>
      <c r="TVN9" s="352" t="s">
        <v>573</v>
      </c>
      <c r="TVO9" s="142" t="s">
        <v>575</v>
      </c>
      <c r="TVP9" s="358" t="s">
        <v>576</v>
      </c>
      <c r="TVQ9" s="189" t="s">
        <v>574</v>
      </c>
      <c r="TVR9" s="352" t="s">
        <v>573</v>
      </c>
      <c r="TVS9" s="142" t="s">
        <v>575</v>
      </c>
      <c r="TVT9" s="358" t="s">
        <v>576</v>
      </c>
      <c r="TVU9" s="189" t="s">
        <v>574</v>
      </c>
      <c r="TVV9" s="352" t="s">
        <v>573</v>
      </c>
      <c r="TVW9" s="142" t="s">
        <v>575</v>
      </c>
      <c r="TVX9" s="358" t="s">
        <v>576</v>
      </c>
      <c r="TVY9" s="189" t="s">
        <v>574</v>
      </c>
      <c r="TVZ9" s="352" t="s">
        <v>573</v>
      </c>
      <c r="TWA9" s="142" t="s">
        <v>575</v>
      </c>
      <c r="TWB9" s="358" t="s">
        <v>576</v>
      </c>
      <c r="TWC9" s="189" t="s">
        <v>574</v>
      </c>
      <c r="TWD9" s="352" t="s">
        <v>573</v>
      </c>
      <c r="TWE9" s="142" t="s">
        <v>575</v>
      </c>
      <c r="TWF9" s="358" t="s">
        <v>576</v>
      </c>
      <c r="TWG9" s="189" t="s">
        <v>574</v>
      </c>
      <c r="TWH9" s="352" t="s">
        <v>573</v>
      </c>
      <c r="TWI9" s="142" t="s">
        <v>575</v>
      </c>
      <c r="TWJ9" s="358" t="s">
        <v>576</v>
      </c>
      <c r="TWK9" s="189" t="s">
        <v>574</v>
      </c>
      <c r="TWL9" s="352" t="s">
        <v>573</v>
      </c>
      <c r="TWM9" s="142" t="s">
        <v>575</v>
      </c>
      <c r="TWN9" s="358" t="s">
        <v>576</v>
      </c>
      <c r="TWO9" s="189" t="s">
        <v>574</v>
      </c>
      <c r="TWP9" s="352" t="s">
        <v>573</v>
      </c>
      <c r="TWQ9" s="142" t="s">
        <v>575</v>
      </c>
      <c r="TWR9" s="358" t="s">
        <v>576</v>
      </c>
      <c r="TWS9" s="189" t="s">
        <v>574</v>
      </c>
      <c r="TWT9" s="352" t="s">
        <v>573</v>
      </c>
      <c r="TWU9" s="142" t="s">
        <v>575</v>
      </c>
      <c r="TWV9" s="358" t="s">
        <v>576</v>
      </c>
      <c r="TWW9" s="189" t="s">
        <v>574</v>
      </c>
      <c r="TWX9" s="352" t="s">
        <v>573</v>
      </c>
      <c r="TWY9" s="142" t="s">
        <v>575</v>
      </c>
      <c r="TWZ9" s="358" t="s">
        <v>576</v>
      </c>
      <c r="TXA9" s="189" t="s">
        <v>574</v>
      </c>
      <c r="TXB9" s="352" t="s">
        <v>573</v>
      </c>
      <c r="TXC9" s="142" t="s">
        <v>575</v>
      </c>
      <c r="TXD9" s="358" t="s">
        <v>576</v>
      </c>
      <c r="TXE9" s="189" t="s">
        <v>574</v>
      </c>
      <c r="TXF9" s="352" t="s">
        <v>573</v>
      </c>
      <c r="TXG9" s="142" t="s">
        <v>575</v>
      </c>
      <c r="TXH9" s="358" t="s">
        <v>576</v>
      </c>
      <c r="TXI9" s="189" t="s">
        <v>574</v>
      </c>
      <c r="TXJ9" s="352" t="s">
        <v>573</v>
      </c>
      <c r="TXK9" s="142" t="s">
        <v>575</v>
      </c>
      <c r="TXL9" s="358" t="s">
        <v>576</v>
      </c>
      <c r="TXM9" s="189" t="s">
        <v>574</v>
      </c>
      <c r="TXN9" s="352" t="s">
        <v>573</v>
      </c>
      <c r="TXO9" s="142" t="s">
        <v>575</v>
      </c>
      <c r="TXP9" s="358" t="s">
        <v>576</v>
      </c>
      <c r="TXQ9" s="189" t="s">
        <v>574</v>
      </c>
      <c r="TXR9" s="352" t="s">
        <v>573</v>
      </c>
      <c r="TXS9" s="142" t="s">
        <v>575</v>
      </c>
      <c r="TXT9" s="358" t="s">
        <v>576</v>
      </c>
      <c r="TXU9" s="189" t="s">
        <v>574</v>
      </c>
      <c r="TXV9" s="352" t="s">
        <v>573</v>
      </c>
      <c r="TXW9" s="142" t="s">
        <v>575</v>
      </c>
      <c r="TXX9" s="358" t="s">
        <v>576</v>
      </c>
      <c r="TXY9" s="189" t="s">
        <v>574</v>
      </c>
      <c r="TXZ9" s="352" t="s">
        <v>573</v>
      </c>
      <c r="TYA9" s="142" t="s">
        <v>575</v>
      </c>
      <c r="TYB9" s="358" t="s">
        <v>576</v>
      </c>
      <c r="TYC9" s="189" t="s">
        <v>574</v>
      </c>
      <c r="TYD9" s="352" t="s">
        <v>573</v>
      </c>
      <c r="TYE9" s="142" t="s">
        <v>575</v>
      </c>
      <c r="TYF9" s="358" t="s">
        <v>576</v>
      </c>
      <c r="TYG9" s="189" t="s">
        <v>574</v>
      </c>
      <c r="TYH9" s="352" t="s">
        <v>573</v>
      </c>
      <c r="TYI9" s="142" t="s">
        <v>575</v>
      </c>
      <c r="TYJ9" s="358" t="s">
        <v>576</v>
      </c>
      <c r="TYK9" s="189" t="s">
        <v>574</v>
      </c>
      <c r="TYL9" s="352" t="s">
        <v>573</v>
      </c>
      <c r="TYM9" s="142" t="s">
        <v>575</v>
      </c>
      <c r="TYN9" s="358" t="s">
        <v>576</v>
      </c>
      <c r="TYO9" s="189" t="s">
        <v>574</v>
      </c>
      <c r="TYP9" s="352" t="s">
        <v>573</v>
      </c>
      <c r="TYQ9" s="142" t="s">
        <v>575</v>
      </c>
      <c r="TYR9" s="358" t="s">
        <v>576</v>
      </c>
      <c r="TYS9" s="189" t="s">
        <v>574</v>
      </c>
      <c r="TYT9" s="352" t="s">
        <v>573</v>
      </c>
      <c r="TYU9" s="142" t="s">
        <v>575</v>
      </c>
      <c r="TYV9" s="358" t="s">
        <v>576</v>
      </c>
      <c r="TYW9" s="189" t="s">
        <v>574</v>
      </c>
      <c r="TYX9" s="352" t="s">
        <v>573</v>
      </c>
      <c r="TYY9" s="142" t="s">
        <v>575</v>
      </c>
      <c r="TYZ9" s="358" t="s">
        <v>576</v>
      </c>
      <c r="TZA9" s="189" t="s">
        <v>574</v>
      </c>
      <c r="TZB9" s="352" t="s">
        <v>573</v>
      </c>
      <c r="TZC9" s="142" t="s">
        <v>575</v>
      </c>
      <c r="TZD9" s="358" t="s">
        <v>576</v>
      </c>
      <c r="TZE9" s="189" t="s">
        <v>574</v>
      </c>
      <c r="TZF9" s="352" t="s">
        <v>573</v>
      </c>
      <c r="TZG9" s="142" t="s">
        <v>575</v>
      </c>
      <c r="TZH9" s="358" t="s">
        <v>576</v>
      </c>
      <c r="TZI9" s="189" t="s">
        <v>574</v>
      </c>
      <c r="TZJ9" s="352" t="s">
        <v>573</v>
      </c>
      <c r="TZK9" s="142" t="s">
        <v>575</v>
      </c>
      <c r="TZL9" s="358" t="s">
        <v>576</v>
      </c>
      <c r="TZM9" s="189" t="s">
        <v>574</v>
      </c>
      <c r="TZN9" s="352" t="s">
        <v>573</v>
      </c>
      <c r="TZO9" s="142" t="s">
        <v>575</v>
      </c>
      <c r="TZP9" s="358" t="s">
        <v>576</v>
      </c>
      <c r="TZQ9" s="189" t="s">
        <v>574</v>
      </c>
      <c r="TZR9" s="352" t="s">
        <v>573</v>
      </c>
      <c r="TZS9" s="142" t="s">
        <v>575</v>
      </c>
      <c r="TZT9" s="358" t="s">
        <v>576</v>
      </c>
      <c r="TZU9" s="189" t="s">
        <v>574</v>
      </c>
      <c r="TZV9" s="352" t="s">
        <v>573</v>
      </c>
      <c r="TZW9" s="142" t="s">
        <v>575</v>
      </c>
      <c r="TZX9" s="358" t="s">
        <v>576</v>
      </c>
      <c r="TZY9" s="189" t="s">
        <v>574</v>
      </c>
      <c r="TZZ9" s="352" t="s">
        <v>573</v>
      </c>
      <c r="UAA9" s="142" t="s">
        <v>575</v>
      </c>
      <c r="UAB9" s="358" t="s">
        <v>576</v>
      </c>
      <c r="UAC9" s="189" t="s">
        <v>574</v>
      </c>
      <c r="UAD9" s="352" t="s">
        <v>573</v>
      </c>
      <c r="UAE9" s="142" t="s">
        <v>575</v>
      </c>
      <c r="UAF9" s="358" t="s">
        <v>576</v>
      </c>
      <c r="UAG9" s="189" t="s">
        <v>574</v>
      </c>
      <c r="UAH9" s="352" t="s">
        <v>573</v>
      </c>
      <c r="UAI9" s="142" t="s">
        <v>575</v>
      </c>
      <c r="UAJ9" s="358" t="s">
        <v>576</v>
      </c>
      <c r="UAK9" s="189" t="s">
        <v>574</v>
      </c>
      <c r="UAL9" s="352" t="s">
        <v>573</v>
      </c>
      <c r="UAM9" s="142" t="s">
        <v>575</v>
      </c>
      <c r="UAN9" s="358" t="s">
        <v>576</v>
      </c>
      <c r="UAO9" s="189" t="s">
        <v>574</v>
      </c>
      <c r="UAP9" s="352" t="s">
        <v>573</v>
      </c>
      <c r="UAQ9" s="142" t="s">
        <v>575</v>
      </c>
      <c r="UAR9" s="358" t="s">
        <v>576</v>
      </c>
      <c r="UAS9" s="189" t="s">
        <v>574</v>
      </c>
      <c r="UAT9" s="352" t="s">
        <v>573</v>
      </c>
      <c r="UAU9" s="142" t="s">
        <v>575</v>
      </c>
      <c r="UAV9" s="358" t="s">
        <v>576</v>
      </c>
      <c r="UAW9" s="189" t="s">
        <v>574</v>
      </c>
      <c r="UAX9" s="352" t="s">
        <v>573</v>
      </c>
      <c r="UAY9" s="142" t="s">
        <v>575</v>
      </c>
      <c r="UAZ9" s="358" t="s">
        <v>576</v>
      </c>
      <c r="UBA9" s="189" t="s">
        <v>574</v>
      </c>
      <c r="UBB9" s="352" t="s">
        <v>573</v>
      </c>
      <c r="UBC9" s="142" t="s">
        <v>575</v>
      </c>
      <c r="UBD9" s="358" t="s">
        <v>576</v>
      </c>
      <c r="UBE9" s="189" t="s">
        <v>574</v>
      </c>
      <c r="UBF9" s="352" t="s">
        <v>573</v>
      </c>
      <c r="UBG9" s="142" t="s">
        <v>575</v>
      </c>
      <c r="UBH9" s="358" t="s">
        <v>576</v>
      </c>
      <c r="UBI9" s="189" t="s">
        <v>574</v>
      </c>
      <c r="UBJ9" s="352" t="s">
        <v>573</v>
      </c>
      <c r="UBK9" s="142" t="s">
        <v>575</v>
      </c>
      <c r="UBL9" s="358" t="s">
        <v>576</v>
      </c>
      <c r="UBM9" s="189" t="s">
        <v>574</v>
      </c>
      <c r="UBN9" s="352" t="s">
        <v>573</v>
      </c>
      <c r="UBO9" s="142" t="s">
        <v>575</v>
      </c>
      <c r="UBP9" s="358" t="s">
        <v>576</v>
      </c>
      <c r="UBQ9" s="189" t="s">
        <v>574</v>
      </c>
      <c r="UBR9" s="352" t="s">
        <v>573</v>
      </c>
      <c r="UBS9" s="142" t="s">
        <v>575</v>
      </c>
      <c r="UBT9" s="358" t="s">
        <v>576</v>
      </c>
      <c r="UBU9" s="189" t="s">
        <v>574</v>
      </c>
      <c r="UBV9" s="352" t="s">
        <v>573</v>
      </c>
      <c r="UBW9" s="142" t="s">
        <v>575</v>
      </c>
      <c r="UBX9" s="358" t="s">
        <v>576</v>
      </c>
      <c r="UBY9" s="189" t="s">
        <v>574</v>
      </c>
      <c r="UBZ9" s="352" t="s">
        <v>573</v>
      </c>
      <c r="UCA9" s="142" t="s">
        <v>575</v>
      </c>
      <c r="UCB9" s="358" t="s">
        <v>576</v>
      </c>
      <c r="UCC9" s="189" t="s">
        <v>574</v>
      </c>
      <c r="UCD9" s="352" t="s">
        <v>573</v>
      </c>
      <c r="UCE9" s="142" t="s">
        <v>575</v>
      </c>
      <c r="UCF9" s="358" t="s">
        <v>576</v>
      </c>
      <c r="UCG9" s="189" t="s">
        <v>574</v>
      </c>
      <c r="UCH9" s="352" t="s">
        <v>573</v>
      </c>
      <c r="UCI9" s="142" t="s">
        <v>575</v>
      </c>
      <c r="UCJ9" s="358" t="s">
        <v>576</v>
      </c>
      <c r="UCK9" s="189" t="s">
        <v>574</v>
      </c>
      <c r="UCL9" s="352" t="s">
        <v>573</v>
      </c>
      <c r="UCM9" s="142" t="s">
        <v>575</v>
      </c>
      <c r="UCN9" s="358" t="s">
        <v>576</v>
      </c>
      <c r="UCO9" s="189" t="s">
        <v>574</v>
      </c>
      <c r="UCP9" s="352" t="s">
        <v>573</v>
      </c>
      <c r="UCQ9" s="142" t="s">
        <v>575</v>
      </c>
      <c r="UCR9" s="358" t="s">
        <v>576</v>
      </c>
      <c r="UCS9" s="189" t="s">
        <v>574</v>
      </c>
      <c r="UCT9" s="352" t="s">
        <v>573</v>
      </c>
      <c r="UCU9" s="142" t="s">
        <v>575</v>
      </c>
      <c r="UCV9" s="358" t="s">
        <v>576</v>
      </c>
      <c r="UCW9" s="189" t="s">
        <v>574</v>
      </c>
      <c r="UCX9" s="352" t="s">
        <v>573</v>
      </c>
      <c r="UCY9" s="142" t="s">
        <v>575</v>
      </c>
      <c r="UCZ9" s="358" t="s">
        <v>576</v>
      </c>
      <c r="UDA9" s="189" t="s">
        <v>574</v>
      </c>
      <c r="UDB9" s="352" t="s">
        <v>573</v>
      </c>
      <c r="UDC9" s="142" t="s">
        <v>575</v>
      </c>
      <c r="UDD9" s="358" t="s">
        <v>576</v>
      </c>
      <c r="UDE9" s="189" t="s">
        <v>574</v>
      </c>
      <c r="UDF9" s="352" t="s">
        <v>573</v>
      </c>
      <c r="UDG9" s="142" t="s">
        <v>575</v>
      </c>
      <c r="UDH9" s="358" t="s">
        <v>576</v>
      </c>
      <c r="UDI9" s="189" t="s">
        <v>574</v>
      </c>
      <c r="UDJ9" s="352" t="s">
        <v>573</v>
      </c>
      <c r="UDK9" s="142" t="s">
        <v>575</v>
      </c>
      <c r="UDL9" s="358" t="s">
        <v>576</v>
      </c>
      <c r="UDM9" s="189" t="s">
        <v>574</v>
      </c>
      <c r="UDN9" s="352" t="s">
        <v>573</v>
      </c>
      <c r="UDO9" s="142" t="s">
        <v>575</v>
      </c>
      <c r="UDP9" s="358" t="s">
        <v>576</v>
      </c>
      <c r="UDQ9" s="189" t="s">
        <v>574</v>
      </c>
      <c r="UDR9" s="352" t="s">
        <v>573</v>
      </c>
      <c r="UDS9" s="142" t="s">
        <v>575</v>
      </c>
      <c r="UDT9" s="358" t="s">
        <v>576</v>
      </c>
      <c r="UDU9" s="189" t="s">
        <v>574</v>
      </c>
      <c r="UDV9" s="352" t="s">
        <v>573</v>
      </c>
      <c r="UDW9" s="142" t="s">
        <v>575</v>
      </c>
      <c r="UDX9" s="358" t="s">
        <v>576</v>
      </c>
      <c r="UDY9" s="189" t="s">
        <v>574</v>
      </c>
      <c r="UDZ9" s="352" t="s">
        <v>573</v>
      </c>
      <c r="UEA9" s="142" t="s">
        <v>575</v>
      </c>
      <c r="UEB9" s="358" t="s">
        <v>576</v>
      </c>
      <c r="UEC9" s="189" t="s">
        <v>574</v>
      </c>
      <c r="UED9" s="352" t="s">
        <v>573</v>
      </c>
      <c r="UEE9" s="142" t="s">
        <v>575</v>
      </c>
      <c r="UEF9" s="358" t="s">
        <v>576</v>
      </c>
      <c r="UEG9" s="189" t="s">
        <v>574</v>
      </c>
      <c r="UEH9" s="352" t="s">
        <v>573</v>
      </c>
      <c r="UEI9" s="142" t="s">
        <v>575</v>
      </c>
      <c r="UEJ9" s="358" t="s">
        <v>576</v>
      </c>
      <c r="UEK9" s="189" t="s">
        <v>574</v>
      </c>
      <c r="UEL9" s="352" t="s">
        <v>573</v>
      </c>
      <c r="UEM9" s="142" t="s">
        <v>575</v>
      </c>
      <c r="UEN9" s="358" t="s">
        <v>576</v>
      </c>
      <c r="UEO9" s="189" t="s">
        <v>574</v>
      </c>
      <c r="UEP9" s="352" t="s">
        <v>573</v>
      </c>
      <c r="UEQ9" s="142" t="s">
        <v>575</v>
      </c>
      <c r="UER9" s="358" t="s">
        <v>576</v>
      </c>
      <c r="UES9" s="189" t="s">
        <v>574</v>
      </c>
      <c r="UET9" s="352" t="s">
        <v>573</v>
      </c>
      <c r="UEU9" s="142" t="s">
        <v>575</v>
      </c>
      <c r="UEV9" s="358" t="s">
        <v>576</v>
      </c>
      <c r="UEW9" s="189" t="s">
        <v>574</v>
      </c>
      <c r="UEX9" s="352" t="s">
        <v>573</v>
      </c>
      <c r="UEY9" s="142" t="s">
        <v>575</v>
      </c>
      <c r="UEZ9" s="358" t="s">
        <v>576</v>
      </c>
      <c r="UFA9" s="189" t="s">
        <v>574</v>
      </c>
      <c r="UFB9" s="352" t="s">
        <v>573</v>
      </c>
      <c r="UFC9" s="142" t="s">
        <v>575</v>
      </c>
      <c r="UFD9" s="358" t="s">
        <v>576</v>
      </c>
      <c r="UFE9" s="189" t="s">
        <v>574</v>
      </c>
      <c r="UFF9" s="352" t="s">
        <v>573</v>
      </c>
      <c r="UFG9" s="142" t="s">
        <v>575</v>
      </c>
      <c r="UFH9" s="358" t="s">
        <v>576</v>
      </c>
      <c r="UFI9" s="189" t="s">
        <v>574</v>
      </c>
      <c r="UFJ9" s="352" t="s">
        <v>573</v>
      </c>
      <c r="UFK9" s="142" t="s">
        <v>575</v>
      </c>
      <c r="UFL9" s="358" t="s">
        <v>576</v>
      </c>
      <c r="UFM9" s="189" t="s">
        <v>574</v>
      </c>
      <c r="UFN9" s="352" t="s">
        <v>573</v>
      </c>
      <c r="UFO9" s="142" t="s">
        <v>575</v>
      </c>
      <c r="UFP9" s="358" t="s">
        <v>576</v>
      </c>
      <c r="UFQ9" s="189" t="s">
        <v>574</v>
      </c>
      <c r="UFR9" s="352" t="s">
        <v>573</v>
      </c>
      <c r="UFS9" s="142" t="s">
        <v>575</v>
      </c>
      <c r="UFT9" s="358" t="s">
        <v>576</v>
      </c>
      <c r="UFU9" s="189" t="s">
        <v>574</v>
      </c>
      <c r="UFV9" s="352" t="s">
        <v>573</v>
      </c>
      <c r="UFW9" s="142" t="s">
        <v>575</v>
      </c>
      <c r="UFX9" s="358" t="s">
        <v>576</v>
      </c>
      <c r="UFY9" s="189" t="s">
        <v>574</v>
      </c>
      <c r="UFZ9" s="352" t="s">
        <v>573</v>
      </c>
      <c r="UGA9" s="142" t="s">
        <v>575</v>
      </c>
      <c r="UGB9" s="358" t="s">
        <v>576</v>
      </c>
      <c r="UGC9" s="189" t="s">
        <v>574</v>
      </c>
      <c r="UGD9" s="352" t="s">
        <v>573</v>
      </c>
      <c r="UGE9" s="142" t="s">
        <v>575</v>
      </c>
      <c r="UGF9" s="358" t="s">
        <v>576</v>
      </c>
      <c r="UGG9" s="189" t="s">
        <v>574</v>
      </c>
      <c r="UGH9" s="352" t="s">
        <v>573</v>
      </c>
      <c r="UGI9" s="142" t="s">
        <v>575</v>
      </c>
      <c r="UGJ9" s="358" t="s">
        <v>576</v>
      </c>
      <c r="UGK9" s="189" t="s">
        <v>574</v>
      </c>
      <c r="UGL9" s="352" t="s">
        <v>573</v>
      </c>
      <c r="UGM9" s="142" t="s">
        <v>575</v>
      </c>
      <c r="UGN9" s="358" t="s">
        <v>576</v>
      </c>
      <c r="UGO9" s="189" t="s">
        <v>574</v>
      </c>
      <c r="UGP9" s="352" t="s">
        <v>573</v>
      </c>
      <c r="UGQ9" s="142" t="s">
        <v>575</v>
      </c>
      <c r="UGR9" s="358" t="s">
        <v>576</v>
      </c>
      <c r="UGS9" s="189" t="s">
        <v>574</v>
      </c>
      <c r="UGT9" s="352" t="s">
        <v>573</v>
      </c>
      <c r="UGU9" s="142" t="s">
        <v>575</v>
      </c>
      <c r="UGV9" s="358" t="s">
        <v>576</v>
      </c>
      <c r="UGW9" s="189" t="s">
        <v>574</v>
      </c>
      <c r="UGX9" s="352" t="s">
        <v>573</v>
      </c>
      <c r="UGY9" s="142" t="s">
        <v>575</v>
      </c>
      <c r="UGZ9" s="358" t="s">
        <v>576</v>
      </c>
      <c r="UHA9" s="189" t="s">
        <v>574</v>
      </c>
      <c r="UHB9" s="352" t="s">
        <v>573</v>
      </c>
      <c r="UHC9" s="142" t="s">
        <v>575</v>
      </c>
      <c r="UHD9" s="358" t="s">
        <v>576</v>
      </c>
      <c r="UHE9" s="189" t="s">
        <v>574</v>
      </c>
      <c r="UHF9" s="352" t="s">
        <v>573</v>
      </c>
      <c r="UHG9" s="142" t="s">
        <v>575</v>
      </c>
      <c r="UHH9" s="358" t="s">
        <v>576</v>
      </c>
      <c r="UHI9" s="189" t="s">
        <v>574</v>
      </c>
      <c r="UHJ9" s="352" t="s">
        <v>573</v>
      </c>
      <c r="UHK9" s="142" t="s">
        <v>575</v>
      </c>
      <c r="UHL9" s="358" t="s">
        <v>576</v>
      </c>
      <c r="UHM9" s="189" t="s">
        <v>574</v>
      </c>
      <c r="UHN9" s="352" t="s">
        <v>573</v>
      </c>
      <c r="UHO9" s="142" t="s">
        <v>575</v>
      </c>
      <c r="UHP9" s="358" t="s">
        <v>576</v>
      </c>
      <c r="UHQ9" s="189" t="s">
        <v>574</v>
      </c>
      <c r="UHR9" s="352" t="s">
        <v>573</v>
      </c>
      <c r="UHS9" s="142" t="s">
        <v>575</v>
      </c>
      <c r="UHT9" s="358" t="s">
        <v>576</v>
      </c>
      <c r="UHU9" s="189" t="s">
        <v>574</v>
      </c>
      <c r="UHV9" s="352" t="s">
        <v>573</v>
      </c>
      <c r="UHW9" s="142" t="s">
        <v>575</v>
      </c>
      <c r="UHX9" s="358" t="s">
        <v>576</v>
      </c>
      <c r="UHY9" s="189" t="s">
        <v>574</v>
      </c>
      <c r="UHZ9" s="352" t="s">
        <v>573</v>
      </c>
      <c r="UIA9" s="142" t="s">
        <v>575</v>
      </c>
      <c r="UIB9" s="358" t="s">
        <v>576</v>
      </c>
      <c r="UIC9" s="189" t="s">
        <v>574</v>
      </c>
      <c r="UID9" s="352" t="s">
        <v>573</v>
      </c>
      <c r="UIE9" s="142" t="s">
        <v>575</v>
      </c>
      <c r="UIF9" s="358" t="s">
        <v>576</v>
      </c>
      <c r="UIG9" s="189" t="s">
        <v>574</v>
      </c>
      <c r="UIH9" s="352" t="s">
        <v>573</v>
      </c>
      <c r="UII9" s="142" t="s">
        <v>575</v>
      </c>
      <c r="UIJ9" s="358" t="s">
        <v>576</v>
      </c>
      <c r="UIK9" s="189" t="s">
        <v>574</v>
      </c>
      <c r="UIL9" s="352" t="s">
        <v>573</v>
      </c>
      <c r="UIM9" s="142" t="s">
        <v>575</v>
      </c>
      <c r="UIN9" s="358" t="s">
        <v>576</v>
      </c>
      <c r="UIO9" s="189" t="s">
        <v>574</v>
      </c>
      <c r="UIP9" s="352" t="s">
        <v>573</v>
      </c>
      <c r="UIQ9" s="142" t="s">
        <v>575</v>
      </c>
      <c r="UIR9" s="358" t="s">
        <v>576</v>
      </c>
      <c r="UIS9" s="189" t="s">
        <v>574</v>
      </c>
      <c r="UIT9" s="352" t="s">
        <v>573</v>
      </c>
      <c r="UIU9" s="142" t="s">
        <v>575</v>
      </c>
      <c r="UIV9" s="358" t="s">
        <v>576</v>
      </c>
      <c r="UIW9" s="189" t="s">
        <v>574</v>
      </c>
      <c r="UIX9" s="352" t="s">
        <v>573</v>
      </c>
      <c r="UIY9" s="142" t="s">
        <v>575</v>
      </c>
      <c r="UIZ9" s="358" t="s">
        <v>576</v>
      </c>
      <c r="UJA9" s="189" t="s">
        <v>574</v>
      </c>
      <c r="UJB9" s="352" t="s">
        <v>573</v>
      </c>
      <c r="UJC9" s="142" t="s">
        <v>575</v>
      </c>
      <c r="UJD9" s="358" t="s">
        <v>576</v>
      </c>
      <c r="UJE9" s="189" t="s">
        <v>574</v>
      </c>
      <c r="UJF9" s="352" t="s">
        <v>573</v>
      </c>
      <c r="UJG9" s="142" t="s">
        <v>575</v>
      </c>
      <c r="UJH9" s="358" t="s">
        <v>576</v>
      </c>
      <c r="UJI9" s="189" t="s">
        <v>574</v>
      </c>
      <c r="UJJ9" s="352" t="s">
        <v>573</v>
      </c>
      <c r="UJK9" s="142" t="s">
        <v>575</v>
      </c>
      <c r="UJL9" s="358" t="s">
        <v>576</v>
      </c>
      <c r="UJM9" s="189" t="s">
        <v>574</v>
      </c>
      <c r="UJN9" s="352" t="s">
        <v>573</v>
      </c>
      <c r="UJO9" s="142" t="s">
        <v>575</v>
      </c>
      <c r="UJP9" s="358" t="s">
        <v>576</v>
      </c>
      <c r="UJQ9" s="189" t="s">
        <v>574</v>
      </c>
      <c r="UJR9" s="352" t="s">
        <v>573</v>
      </c>
      <c r="UJS9" s="142" t="s">
        <v>575</v>
      </c>
      <c r="UJT9" s="358" t="s">
        <v>576</v>
      </c>
      <c r="UJU9" s="189" t="s">
        <v>574</v>
      </c>
      <c r="UJV9" s="352" t="s">
        <v>573</v>
      </c>
      <c r="UJW9" s="142" t="s">
        <v>575</v>
      </c>
      <c r="UJX9" s="358" t="s">
        <v>576</v>
      </c>
      <c r="UJY9" s="189" t="s">
        <v>574</v>
      </c>
      <c r="UJZ9" s="352" t="s">
        <v>573</v>
      </c>
      <c r="UKA9" s="142" t="s">
        <v>575</v>
      </c>
      <c r="UKB9" s="358" t="s">
        <v>576</v>
      </c>
      <c r="UKC9" s="189" t="s">
        <v>574</v>
      </c>
      <c r="UKD9" s="352" t="s">
        <v>573</v>
      </c>
      <c r="UKE9" s="142" t="s">
        <v>575</v>
      </c>
      <c r="UKF9" s="358" t="s">
        <v>576</v>
      </c>
      <c r="UKG9" s="189" t="s">
        <v>574</v>
      </c>
      <c r="UKH9" s="352" t="s">
        <v>573</v>
      </c>
      <c r="UKI9" s="142" t="s">
        <v>575</v>
      </c>
      <c r="UKJ9" s="358" t="s">
        <v>576</v>
      </c>
      <c r="UKK9" s="189" t="s">
        <v>574</v>
      </c>
      <c r="UKL9" s="352" t="s">
        <v>573</v>
      </c>
      <c r="UKM9" s="142" t="s">
        <v>575</v>
      </c>
      <c r="UKN9" s="358" t="s">
        <v>576</v>
      </c>
      <c r="UKO9" s="189" t="s">
        <v>574</v>
      </c>
      <c r="UKP9" s="352" t="s">
        <v>573</v>
      </c>
      <c r="UKQ9" s="142" t="s">
        <v>575</v>
      </c>
      <c r="UKR9" s="358" t="s">
        <v>576</v>
      </c>
      <c r="UKS9" s="189" t="s">
        <v>574</v>
      </c>
      <c r="UKT9" s="352" t="s">
        <v>573</v>
      </c>
      <c r="UKU9" s="142" t="s">
        <v>575</v>
      </c>
      <c r="UKV9" s="358" t="s">
        <v>576</v>
      </c>
      <c r="UKW9" s="189" t="s">
        <v>574</v>
      </c>
      <c r="UKX9" s="352" t="s">
        <v>573</v>
      </c>
      <c r="UKY9" s="142" t="s">
        <v>575</v>
      </c>
      <c r="UKZ9" s="358" t="s">
        <v>576</v>
      </c>
      <c r="ULA9" s="189" t="s">
        <v>574</v>
      </c>
      <c r="ULB9" s="352" t="s">
        <v>573</v>
      </c>
      <c r="ULC9" s="142" t="s">
        <v>575</v>
      </c>
      <c r="ULD9" s="358" t="s">
        <v>576</v>
      </c>
      <c r="ULE9" s="189" t="s">
        <v>574</v>
      </c>
      <c r="ULF9" s="352" t="s">
        <v>573</v>
      </c>
      <c r="ULG9" s="142" t="s">
        <v>575</v>
      </c>
      <c r="ULH9" s="358" t="s">
        <v>576</v>
      </c>
      <c r="ULI9" s="189" t="s">
        <v>574</v>
      </c>
      <c r="ULJ9" s="352" t="s">
        <v>573</v>
      </c>
      <c r="ULK9" s="142" t="s">
        <v>575</v>
      </c>
      <c r="ULL9" s="358" t="s">
        <v>576</v>
      </c>
      <c r="ULM9" s="189" t="s">
        <v>574</v>
      </c>
      <c r="ULN9" s="352" t="s">
        <v>573</v>
      </c>
      <c r="ULO9" s="142" t="s">
        <v>575</v>
      </c>
      <c r="ULP9" s="358" t="s">
        <v>576</v>
      </c>
      <c r="ULQ9" s="189" t="s">
        <v>574</v>
      </c>
      <c r="ULR9" s="352" t="s">
        <v>573</v>
      </c>
      <c r="ULS9" s="142" t="s">
        <v>575</v>
      </c>
      <c r="ULT9" s="358" t="s">
        <v>576</v>
      </c>
      <c r="ULU9" s="189" t="s">
        <v>574</v>
      </c>
      <c r="ULV9" s="352" t="s">
        <v>573</v>
      </c>
      <c r="ULW9" s="142" t="s">
        <v>575</v>
      </c>
      <c r="ULX9" s="358" t="s">
        <v>576</v>
      </c>
      <c r="ULY9" s="189" t="s">
        <v>574</v>
      </c>
      <c r="ULZ9" s="352" t="s">
        <v>573</v>
      </c>
      <c r="UMA9" s="142" t="s">
        <v>575</v>
      </c>
      <c r="UMB9" s="358" t="s">
        <v>576</v>
      </c>
      <c r="UMC9" s="189" t="s">
        <v>574</v>
      </c>
      <c r="UMD9" s="352" t="s">
        <v>573</v>
      </c>
      <c r="UME9" s="142" t="s">
        <v>575</v>
      </c>
      <c r="UMF9" s="358" t="s">
        <v>576</v>
      </c>
      <c r="UMG9" s="189" t="s">
        <v>574</v>
      </c>
      <c r="UMH9" s="352" t="s">
        <v>573</v>
      </c>
      <c r="UMI9" s="142" t="s">
        <v>575</v>
      </c>
      <c r="UMJ9" s="358" t="s">
        <v>576</v>
      </c>
      <c r="UMK9" s="189" t="s">
        <v>574</v>
      </c>
      <c r="UML9" s="352" t="s">
        <v>573</v>
      </c>
      <c r="UMM9" s="142" t="s">
        <v>575</v>
      </c>
      <c r="UMN9" s="358" t="s">
        <v>576</v>
      </c>
      <c r="UMO9" s="189" t="s">
        <v>574</v>
      </c>
      <c r="UMP9" s="352" t="s">
        <v>573</v>
      </c>
      <c r="UMQ9" s="142" t="s">
        <v>575</v>
      </c>
      <c r="UMR9" s="358" t="s">
        <v>576</v>
      </c>
      <c r="UMS9" s="189" t="s">
        <v>574</v>
      </c>
      <c r="UMT9" s="352" t="s">
        <v>573</v>
      </c>
      <c r="UMU9" s="142" t="s">
        <v>575</v>
      </c>
      <c r="UMV9" s="358" t="s">
        <v>576</v>
      </c>
      <c r="UMW9" s="189" t="s">
        <v>574</v>
      </c>
      <c r="UMX9" s="352" t="s">
        <v>573</v>
      </c>
      <c r="UMY9" s="142" t="s">
        <v>575</v>
      </c>
      <c r="UMZ9" s="358" t="s">
        <v>576</v>
      </c>
      <c r="UNA9" s="189" t="s">
        <v>574</v>
      </c>
      <c r="UNB9" s="352" t="s">
        <v>573</v>
      </c>
      <c r="UNC9" s="142" t="s">
        <v>575</v>
      </c>
      <c r="UND9" s="358" t="s">
        <v>576</v>
      </c>
      <c r="UNE9" s="189" t="s">
        <v>574</v>
      </c>
      <c r="UNF9" s="352" t="s">
        <v>573</v>
      </c>
      <c r="UNG9" s="142" t="s">
        <v>575</v>
      </c>
      <c r="UNH9" s="358" t="s">
        <v>576</v>
      </c>
      <c r="UNI9" s="189" t="s">
        <v>574</v>
      </c>
      <c r="UNJ9" s="352" t="s">
        <v>573</v>
      </c>
      <c r="UNK9" s="142" t="s">
        <v>575</v>
      </c>
      <c r="UNL9" s="358" t="s">
        <v>576</v>
      </c>
      <c r="UNM9" s="189" t="s">
        <v>574</v>
      </c>
      <c r="UNN9" s="352" t="s">
        <v>573</v>
      </c>
      <c r="UNO9" s="142" t="s">
        <v>575</v>
      </c>
      <c r="UNP9" s="358" t="s">
        <v>576</v>
      </c>
      <c r="UNQ9" s="189" t="s">
        <v>574</v>
      </c>
      <c r="UNR9" s="352" t="s">
        <v>573</v>
      </c>
      <c r="UNS9" s="142" t="s">
        <v>575</v>
      </c>
      <c r="UNT9" s="358" t="s">
        <v>576</v>
      </c>
      <c r="UNU9" s="189" t="s">
        <v>574</v>
      </c>
      <c r="UNV9" s="352" t="s">
        <v>573</v>
      </c>
      <c r="UNW9" s="142" t="s">
        <v>575</v>
      </c>
      <c r="UNX9" s="358" t="s">
        <v>576</v>
      </c>
      <c r="UNY9" s="189" t="s">
        <v>574</v>
      </c>
      <c r="UNZ9" s="352" t="s">
        <v>573</v>
      </c>
      <c r="UOA9" s="142" t="s">
        <v>575</v>
      </c>
      <c r="UOB9" s="358" t="s">
        <v>576</v>
      </c>
      <c r="UOC9" s="189" t="s">
        <v>574</v>
      </c>
      <c r="UOD9" s="352" t="s">
        <v>573</v>
      </c>
      <c r="UOE9" s="142" t="s">
        <v>575</v>
      </c>
      <c r="UOF9" s="358" t="s">
        <v>576</v>
      </c>
      <c r="UOG9" s="189" t="s">
        <v>574</v>
      </c>
      <c r="UOH9" s="352" t="s">
        <v>573</v>
      </c>
      <c r="UOI9" s="142" t="s">
        <v>575</v>
      </c>
      <c r="UOJ9" s="358" t="s">
        <v>576</v>
      </c>
      <c r="UOK9" s="189" t="s">
        <v>574</v>
      </c>
      <c r="UOL9" s="352" t="s">
        <v>573</v>
      </c>
      <c r="UOM9" s="142" t="s">
        <v>575</v>
      </c>
      <c r="UON9" s="358" t="s">
        <v>576</v>
      </c>
      <c r="UOO9" s="189" t="s">
        <v>574</v>
      </c>
      <c r="UOP9" s="352" t="s">
        <v>573</v>
      </c>
      <c r="UOQ9" s="142" t="s">
        <v>575</v>
      </c>
      <c r="UOR9" s="358" t="s">
        <v>576</v>
      </c>
      <c r="UOS9" s="189" t="s">
        <v>574</v>
      </c>
      <c r="UOT9" s="352" t="s">
        <v>573</v>
      </c>
      <c r="UOU9" s="142" t="s">
        <v>575</v>
      </c>
      <c r="UOV9" s="358" t="s">
        <v>576</v>
      </c>
      <c r="UOW9" s="189" t="s">
        <v>574</v>
      </c>
      <c r="UOX9" s="352" t="s">
        <v>573</v>
      </c>
      <c r="UOY9" s="142" t="s">
        <v>575</v>
      </c>
      <c r="UOZ9" s="358" t="s">
        <v>576</v>
      </c>
      <c r="UPA9" s="189" t="s">
        <v>574</v>
      </c>
      <c r="UPB9" s="352" t="s">
        <v>573</v>
      </c>
      <c r="UPC9" s="142" t="s">
        <v>575</v>
      </c>
      <c r="UPD9" s="358" t="s">
        <v>576</v>
      </c>
      <c r="UPE9" s="189" t="s">
        <v>574</v>
      </c>
      <c r="UPF9" s="352" t="s">
        <v>573</v>
      </c>
      <c r="UPG9" s="142" t="s">
        <v>575</v>
      </c>
      <c r="UPH9" s="358" t="s">
        <v>576</v>
      </c>
      <c r="UPI9" s="189" t="s">
        <v>574</v>
      </c>
      <c r="UPJ9" s="352" t="s">
        <v>573</v>
      </c>
      <c r="UPK9" s="142" t="s">
        <v>575</v>
      </c>
      <c r="UPL9" s="358" t="s">
        <v>576</v>
      </c>
      <c r="UPM9" s="189" t="s">
        <v>574</v>
      </c>
      <c r="UPN9" s="352" t="s">
        <v>573</v>
      </c>
      <c r="UPO9" s="142" t="s">
        <v>575</v>
      </c>
      <c r="UPP9" s="358" t="s">
        <v>576</v>
      </c>
      <c r="UPQ9" s="189" t="s">
        <v>574</v>
      </c>
      <c r="UPR9" s="352" t="s">
        <v>573</v>
      </c>
      <c r="UPS9" s="142" t="s">
        <v>575</v>
      </c>
      <c r="UPT9" s="358" t="s">
        <v>576</v>
      </c>
      <c r="UPU9" s="189" t="s">
        <v>574</v>
      </c>
      <c r="UPV9" s="352" t="s">
        <v>573</v>
      </c>
      <c r="UPW9" s="142" t="s">
        <v>575</v>
      </c>
      <c r="UPX9" s="358" t="s">
        <v>576</v>
      </c>
      <c r="UPY9" s="189" t="s">
        <v>574</v>
      </c>
      <c r="UPZ9" s="352" t="s">
        <v>573</v>
      </c>
      <c r="UQA9" s="142" t="s">
        <v>575</v>
      </c>
      <c r="UQB9" s="358" t="s">
        <v>576</v>
      </c>
      <c r="UQC9" s="189" t="s">
        <v>574</v>
      </c>
      <c r="UQD9" s="352" t="s">
        <v>573</v>
      </c>
      <c r="UQE9" s="142" t="s">
        <v>575</v>
      </c>
      <c r="UQF9" s="358" t="s">
        <v>576</v>
      </c>
      <c r="UQG9" s="189" t="s">
        <v>574</v>
      </c>
      <c r="UQH9" s="352" t="s">
        <v>573</v>
      </c>
      <c r="UQI9" s="142" t="s">
        <v>575</v>
      </c>
      <c r="UQJ9" s="358" t="s">
        <v>576</v>
      </c>
      <c r="UQK9" s="189" t="s">
        <v>574</v>
      </c>
      <c r="UQL9" s="352" t="s">
        <v>573</v>
      </c>
      <c r="UQM9" s="142" t="s">
        <v>575</v>
      </c>
      <c r="UQN9" s="358" t="s">
        <v>576</v>
      </c>
      <c r="UQO9" s="189" t="s">
        <v>574</v>
      </c>
      <c r="UQP9" s="352" t="s">
        <v>573</v>
      </c>
      <c r="UQQ9" s="142" t="s">
        <v>575</v>
      </c>
      <c r="UQR9" s="358" t="s">
        <v>576</v>
      </c>
      <c r="UQS9" s="189" t="s">
        <v>574</v>
      </c>
      <c r="UQT9" s="352" t="s">
        <v>573</v>
      </c>
      <c r="UQU9" s="142" t="s">
        <v>575</v>
      </c>
      <c r="UQV9" s="358" t="s">
        <v>576</v>
      </c>
      <c r="UQW9" s="189" t="s">
        <v>574</v>
      </c>
      <c r="UQX9" s="352" t="s">
        <v>573</v>
      </c>
      <c r="UQY9" s="142" t="s">
        <v>575</v>
      </c>
      <c r="UQZ9" s="358" t="s">
        <v>576</v>
      </c>
      <c r="URA9" s="189" t="s">
        <v>574</v>
      </c>
      <c r="URB9" s="352" t="s">
        <v>573</v>
      </c>
      <c r="URC9" s="142" t="s">
        <v>575</v>
      </c>
      <c r="URD9" s="358" t="s">
        <v>576</v>
      </c>
      <c r="URE9" s="189" t="s">
        <v>574</v>
      </c>
      <c r="URF9" s="352" t="s">
        <v>573</v>
      </c>
      <c r="URG9" s="142" t="s">
        <v>575</v>
      </c>
      <c r="URH9" s="358" t="s">
        <v>576</v>
      </c>
      <c r="URI9" s="189" t="s">
        <v>574</v>
      </c>
      <c r="URJ9" s="352" t="s">
        <v>573</v>
      </c>
      <c r="URK9" s="142" t="s">
        <v>575</v>
      </c>
      <c r="URL9" s="358" t="s">
        <v>576</v>
      </c>
      <c r="URM9" s="189" t="s">
        <v>574</v>
      </c>
      <c r="URN9" s="352" t="s">
        <v>573</v>
      </c>
      <c r="URO9" s="142" t="s">
        <v>575</v>
      </c>
      <c r="URP9" s="358" t="s">
        <v>576</v>
      </c>
      <c r="URQ9" s="189" t="s">
        <v>574</v>
      </c>
      <c r="URR9" s="352" t="s">
        <v>573</v>
      </c>
      <c r="URS9" s="142" t="s">
        <v>575</v>
      </c>
      <c r="URT9" s="358" t="s">
        <v>576</v>
      </c>
      <c r="URU9" s="189" t="s">
        <v>574</v>
      </c>
      <c r="URV9" s="352" t="s">
        <v>573</v>
      </c>
      <c r="URW9" s="142" t="s">
        <v>575</v>
      </c>
      <c r="URX9" s="358" t="s">
        <v>576</v>
      </c>
      <c r="URY9" s="189" t="s">
        <v>574</v>
      </c>
      <c r="URZ9" s="352" t="s">
        <v>573</v>
      </c>
      <c r="USA9" s="142" t="s">
        <v>575</v>
      </c>
      <c r="USB9" s="358" t="s">
        <v>576</v>
      </c>
      <c r="USC9" s="189" t="s">
        <v>574</v>
      </c>
      <c r="USD9" s="352" t="s">
        <v>573</v>
      </c>
      <c r="USE9" s="142" t="s">
        <v>575</v>
      </c>
      <c r="USF9" s="358" t="s">
        <v>576</v>
      </c>
      <c r="USG9" s="189" t="s">
        <v>574</v>
      </c>
      <c r="USH9" s="352" t="s">
        <v>573</v>
      </c>
      <c r="USI9" s="142" t="s">
        <v>575</v>
      </c>
      <c r="USJ9" s="358" t="s">
        <v>576</v>
      </c>
      <c r="USK9" s="189" t="s">
        <v>574</v>
      </c>
      <c r="USL9" s="352" t="s">
        <v>573</v>
      </c>
      <c r="USM9" s="142" t="s">
        <v>575</v>
      </c>
      <c r="USN9" s="358" t="s">
        <v>576</v>
      </c>
      <c r="USO9" s="189" t="s">
        <v>574</v>
      </c>
      <c r="USP9" s="352" t="s">
        <v>573</v>
      </c>
      <c r="USQ9" s="142" t="s">
        <v>575</v>
      </c>
      <c r="USR9" s="358" t="s">
        <v>576</v>
      </c>
      <c r="USS9" s="189" t="s">
        <v>574</v>
      </c>
      <c r="UST9" s="352" t="s">
        <v>573</v>
      </c>
      <c r="USU9" s="142" t="s">
        <v>575</v>
      </c>
      <c r="USV9" s="358" t="s">
        <v>576</v>
      </c>
      <c r="USW9" s="189" t="s">
        <v>574</v>
      </c>
      <c r="USX9" s="352" t="s">
        <v>573</v>
      </c>
      <c r="USY9" s="142" t="s">
        <v>575</v>
      </c>
      <c r="USZ9" s="358" t="s">
        <v>576</v>
      </c>
      <c r="UTA9" s="189" t="s">
        <v>574</v>
      </c>
      <c r="UTB9" s="352" t="s">
        <v>573</v>
      </c>
      <c r="UTC9" s="142" t="s">
        <v>575</v>
      </c>
      <c r="UTD9" s="358" t="s">
        <v>576</v>
      </c>
      <c r="UTE9" s="189" t="s">
        <v>574</v>
      </c>
      <c r="UTF9" s="352" t="s">
        <v>573</v>
      </c>
      <c r="UTG9" s="142" t="s">
        <v>575</v>
      </c>
      <c r="UTH9" s="358" t="s">
        <v>576</v>
      </c>
      <c r="UTI9" s="189" t="s">
        <v>574</v>
      </c>
      <c r="UTJ9" s="352" t="s">
        <v>573</v>
      </c>
      <c r="UTK9" s="142" t="s">
        <v>575</v>
      </c>
      <c r="UTL9" s="358" t="s">
        <v>576</v>
      </c>
      <c r="UTM9" s="189" t="s">
        <v>574</v>
      </c>
      <c r="UTN9" s="352" t="s">
        <v>573</v>
      </c>
      <c r="UTO9" s="142" t="s">
        <v>575</v>
      </c>
      <c r="UTP9" s="358" t="s">
        <v>576</v>
      </c>
      <c r="UTQ9" s="189" t="s">
        <v>574</v>
      </c>
      <c r="UTR9" s="352" t="s">
        <v>573</v>
      </c>
      <c r="UTS9" s="142" t="s">
        <v>575</v>
      </c>
      <c r="UTT9" s="358" t="s">
        <v>576</v>
      </c>
      <c r="UTU9" s="189" t="s">
        <v>574</v>
      </c>
      <c r="UTV9" s="352" t="s">
        <v>573</v>
      </c>
      <c r="UTW9" s="142" t="s">
        <v>575</v>
      </c>
      <c r="UTX9" s="358" t="s">
        <v>576</v>
      </c>
      <c r="UTY9" s="189" t="s">
        <v>574</v>
      </c>
      <c r="UTZ9" s="352" t="s">
        <v>573</v>
      </c>
      <c r="UUA9" s="142" t="s">
        <v>575</v>
      </c>
      <c r="UUB9" s="358" t="s">
        <v>576</v>
      </c>
      <c r="UUC9" s="189" t="s">
        <v>574</v>
      </c>
      <c r="UUD9" s="352" t="s">
        <v>573</v>
      </c>
      <c r="UUE9" s="142" t="s">
        <v>575</v>
      </c>
      <c r="UUF9" s="358" t="s">
        <v>576</v>
      </c>
      <c r="UUG9" s="189" t="s">
        <v>574</v>
      </c>
      <c r="UUH9" s="352" t="s">
        <v>573</v>
      </c>
      <c r="UUI9" s="142" t="s">
        <v>575</v>
      </c>
      <c r="UUJ9" s="358" t="s">
        <v>576</v>
      </c>
      <c r="UUK9" s="189" t="s">
        <v>574</v>
      </c>
      <c r="UUL9" s="352" t="s">
        <v>573</v>
      </c>
      <c r="UUM9" s="142" t="s">
        <v>575</v>
      </c>
      <c r="UUN9" s="358" t="s">
        <v>576</v>
      </c>
      <c r="UUO9" s="189" t="s">
        <v>574</v>
      </c>
      <c r="UUP9" s="352" t="s">
        <v>573</v>
      </c>
      <c r="UUQ9" s="142" t="s">
        <v>575</v>
      </c>
      <c r="UUR9" s="358" t="s">
        <v>576</v>
      </c>
      <c r="UUS9" s="189" t="s">
        <v>574</v>
      </c>
      <c r="UUT9" s="352" t="s">
        <v>573</v>
      </c>
      <c r="UUU9" s="142" t="s">
        <v>575</v>
      </c>
      <c r="UUV9" s="358" t="s">
        <v>576</v>
      </c>
      <c r="UUW9" s="189" t="s">
        <v>574</v>
      </c>
      <c r="UUX9" s="352" t="s">
        <v>573</v>
      </c>
      <c r="UUY9" s="142" t="s">
        <v>575</v>
      </c>
      <c r="UUZ9" s="358" t="s">
        <v>576</v>
      </c>
      <c r="UVA9" s="189" t="s">
        <v>574</v>
      </c>
      <c r="UVB9" s="352" t="s">
        <v>573</v>
      </c>
      <c r="UVC9" s="142" t="s">
        <v>575</v>
      </c>
      <c r="UVD9" s="358" t="s">
        <v>576</v>
      </c>
      <c r="UVE9" s="189" t="s">
        <v>574</v>
      </c>
      <c r="UVF9" s="352" t="s">
        <v>573</v>
      </c>
      <c r="UVG9" s="142" t="s">
        <v>575</v>
      </c>
      <c r="UVH9" s="358" t="s">
        <v>576</v>
      </c>
      <c r="UVI9" s="189" t="s">
        <v>574</v>
      </c>
      <c r="UVJ9" s="352" t="s">
        <v>573</v>
      </c>
      <c r="UVK9" s="142" t="s">
        <v>575</v>
      </c>
      <c r="UVL9" s="358" t="s">
        <v>576</v>
      </c>
      <c r="UVM9" s="189" t="s">
        <v>574</v>
      </c>
      <c r="UVN9" s="352" t="s">
        <v>573</v>
      </c>
      <c r="UVO9" s="142" t="s">
        <v>575</v>
      </c>
      <c r="UVP9" s="358" t="s">
        <v>576</v>
      </c>
      <c r="UVQ9" s="189" t="s">
        <v>574</v>
      </c>
      <c r="UVR9" s="352" t="s">
        <v>573</v>
      </c>
      <c r="UVS9" s="142" t="s">
        <v>575</v>
      </c>
      <c r="UVT9" s="358" t="s">
        <v>576</v>
      </c>
      <c r="UVU9" s="189" t="s">
        <v>574</v>
      </c>
      <c r="UVV9" s="352" t="s">
        <v>573</v>
      </c>
      <c r="UVW9" s="142" t="s">
        <v>575</v>
      </c>
      <c r="UVX9" s="358" t="s">
        <v>576</v>
      </c>
      <c r="UVY9" s="189" t="s">
        <v>574</v>
      </c>
      <c r="UVZ9" s="352" t="s">
        <v>573</v>
      </c>
      <c r="UWA9" s="142" t="s">
        <v>575</v>
      </c>
      <c r="UWB9" s="358" t="s">
        <v>576</v>
      </c>
      <c r="UWC9" s="189" t="s">
        <v>574</v>
      </c>
      <c r="UWD9" s="352" t="s">
        <v>573</v>
      </c>
      <c r="UWE9" s="142" t="s">
        <v>575</v>
      </c>
      <c r="UWF9" s="358" t="s">
        <v>576</v>
      </c>
      <c r="UWG9" s="189" t="s">
        <v>574</v>
      </c>
      <c r="UWH9" s="352" t="s">
        <v>573</v>
      </c>
      <c r="UWI9" s="142" t="s">
        <v>575</v>
      </c>
      <c r="UWJ9" s="358" t="s">
        <v>576</v>
      </c>
      <c r="UWK9" s="189" t="s">
        <v>574</v>
      </c>
      <c r="UWL9" s="352" t="s">
        <v>573</v>
      </c>
      <c r="UWM9" s="142" t="s">
        <v>575</v>
      </c>
      <c r="UWN9" s="358" t="s">
        <v>576</v>
      </c>
      <c r="UWO9" s="189" t="s">
        <v>574</v>
      </c>
      <c r="UWP9" s="352" t="s">
        <v>573</v>
      </c>
      <c r="UWQ9" s="142" t="s">
        <v>575</v>
      </c>
      <c r="UWR9" s="358" t="s">
        <v>576</v>
      </c>
      <c r="UWS9" s="189" t="s">
        <v>574</v>
      </c>
      <c r="UWT9" s="352" t="s">
        <v>573</v>
      </c>
      <c r="UWU9" s="142" t="s">
        <v>575</v>
      </c>
      <c r="UWV9" s="358" t="s">
        <v>576</v>
      </c>
      <c r="UWW9" s="189" t="s">
        <v>574</v>
      </c>
      <c r="UWX9" s="352" t="s">
        <v>573</v>
      </c>
      <c r="UWY9" s="142" t="s">
        <v>575</v>
      </c>
      <c r="UWZ9" s="358" t="s">
        <v>576</v>
      </c>
      <c r="UXA9" s="189" t="s">
        <v>574</v>
      </c>
      <c r="UXB9" s="352" t="s">
        <v>573</v>
      </c>
      <c r="UXC9" s="142" t="s">
        <v>575</v>
      </c>
      <c r="UXD9" s="358" t="s">
        <v>576</v>
      </c>
      <c r="UXE9" s="189" t="s">
        <v>574</v>
      </c>
      <c r="UXF9" s="352" t="s">
        <v>573</v>
      </c>
      <c r="UXG9" s="142" t="s">
        <v>575</v>
      </c>
      <c r="UXH9" s="358" t="s">
        <v>576</v>
      </c>
      <c r="UXI9" s="189" t="s">
        <v>574</v>
      </c>
      <c r="UXJ9" s="352" t="s">
        <v>573</v>
      </c>
      <c r="UXK9" s="142" t="s">
        <v>575</v>
      </c>
      <c r="UXL9" s="358" t="s">
        <v>576</v>
      </c>
      <c r="UXM9" s="189" t="s">
        <v>574</v>
      </c>
      <c r="UXN9" s="352" t="s">
        <v>573</v>
      </c>
      <c r="UXO9" s="142" t="s">
        <v>575</v>
      </c>
      <c r="UXP9" s="358" t="s">
        <v>576</v>
      </c>
      <c r="UXQ9" s="189" t="s">
        <v>574</v>
      </c>
      <c r="UXR9" s="352" t="s">
        <v>573</v>
      </c>
      <c r="UXS9" s="142" t="s">
        <v>575</v>
      </c>
      <c r="UXT9" s="358" t="s">
        <v>576</v>
      </c>
      <c r="UXU9" s="189" t="s">
        <v>574</v>
      </c>
      <c r="UXV9" s="352" t="s">
        <v>573</v>
      </c>
      <c r="UXW9" s="142" t="s">
        <v>575</v>
      </c>
      <c r="UXX9" s="358" t="s">
        <v>576</v>
      </c>
      <c r="UXY9" s="189" t="s">
        <v>574</v>
      </c>
      <c r="UXZ9" s="352" t="s">
        <v>573</v>
      </c>
      <c r="UYA9" s="142" t="s">
        <v>575</v>
      </c>
      <c r="UYB9" s="358" t="s">
        <v>576</v>
      </c>
      <c r="UYC9" s="189" t="s">
        <v>574</v>
      </c>
      <c r="UYD9" s="352" t="s">
        <v>573</v>
      </c>
      <c r="UYE9" s="142" t="s">
        <v>575</v>
      </c>
      <c r="UYF9" s="358" t="s">
        <v>576</v>
      </c>
      <c r="UYG9" s="189" t="s">
        <v>574</v>
      </c>
      <c r="UYH9" s="352" t="s">
        <v>573</v>
      </c>
      <c r="UYI9" s="142" t="s">
        <v>575</v>
      </c>
      <c r="UYJ9" s="358" t="s">
        <v>576</v>
      </c>
      <c r="UYK9" s="189" t="s">
        <v>574</v>
      </c>
      <c r="UYL9" s="352" t="s">
        <v>573</v>
      </c>
      <c r="UYM9" s="142" t="s">
        <v>575</v>
      </c>
      <c r="UYN9" s="358" t="s">
        <v>576</v>
      </c>
      <c r="UYO9" s="189" t="s">
        <v>574</v>
      </c>
      <c r="UYP9" s="352" t="s">
        <v>573</v>
      </c>
      <c r="UYQ9" s="142" t="s">
        <v>575</v>
      </c>
      <c r="UYR9" s="358" t="s">
        <v>576</v>
      </c>
      <c r="UYS9" s="189" t="s">
        <v>574</v>
      </c>
      <c r="UYT9" s="352" t="s">
        <v>573</v>
      </c>
      <c r="UYU9" s="142" t="s">
        <v>575</v>
      </c>
      <c r="UYV9" s="358" t="s">
        <v>576</v>
      </c>
      <c r="UYW9" s="189" t="s">
        <v>574</v>
      </c>
      <c r="UYX9" s="352" t="s">
        <v>573</v>
      </c>
      <c r="UYY9" s="142" t="s">
        <v>575</v>
      </c>
      <c r="UYZ9" s="358" t="s">
        <v>576</v>
      </c>
      <c r="UZA9" s="189" t="s">
        <v>574</v>
      </c>
      <c r="UZB9" s="352" t="s">
        <v>573</v>
      </c>
      <c r="UZC9" s="142" t="s">
        <v>575</v>
      </c>
      <c r="UZD9" s="358" t="s">
        <v>576</v>
      </c>
      <c r="UZE9" s="189" t="s">
        <v>574</v>
      </c>
      <c r="UZF9" s="352" t="s">
        <v>573</v>
      </c>
      <c r="UZG9" s="142" t="s">
        <v>575</v>
      </c>
      <c r="UZH9" s="358" t="s">
        <v>576</v>
      </c>
      <c r="UZI9" s="189" t="s">
        <v>574</v>
      </c>
      <c r="UZJ9" s="352" t="s">
        <v>573</v>
      </c>
      <c r="UZK9" s="142" t="s">
        <v>575</v>
      </c>
      <c r="UZL9" s="358" t="s">
        <v>576</v>
      </c>
      <c r="UZM9" s="189" t="s">
        <v>574</v>
      </c>
      <c r="UZN9" s="352" t="s">
        <v>573</v>
      </c>
      <c r="UZO9" s="142" t="s">
        <v>575</v>
      </c>
      <c r="UZP9" s="358" t="s">
        <v>576</v>
      </c>
      <c r="UZQ9" s="189" t="s">
        <v>574</v>
      </c>
      <c r="UZR9" s="352" t="s">
        <v>573</v>
      </c>
      <c r="UZS9" s="142" t="s">
        <v>575</v>
      </c>
      <c r="UZT9" s="358" t="s">
        <v>576</v>
      </c>
      <c r="UZU9" s="189" t="s">
        <v>574</v>
      </c>
      <c r="UZV9" s="352" t="s">
        <v>573</v>
      </c>
      <c r="UZW9" s="142" t="s">
        <v>575</v>
      </c>
      <c r="UZX9" s="358" t="s">
        <v>576</v>
      </c>
      <c r="UZY9" s="189" t="s">
        <v>574</v>
      </c>
      <c r="UZZ9" s="352" t="s">
        <v>573</v>
      </c>
      <c r="VAA9" s="142" t="s">
        <v>575</v>
      </c>
      <c r="VAB9" s="358" t="s">
        <v>576</v>
      </c>
      <c r="VAC9" s="189" t="s">
        <v>574</v>
      </c>
      <c r="VAD9" s="352" t="s">
        <v>573</v>
      </c>
      <c r="VAE9" s="142" t="s">
        <v>575</v>
      </c>
      <c r="VAF9" s="358" t="s">
        <v>576</v>
      </c>
      <c r="VAG9" s="189" t="s">
        <v>574</v>
      </c>
      <c r="VAH9" s="352" t="s">
        <v>573</v>
      </c>
      <c r="VAI9" s="142" t="s">
        <v>575</v>
      </c>
      <c r="VAJ9" s="358" t="s">
        <v>576</v>
      </c>
      <c r="VAK9" s="189" t="s">
        <v>574</v>
      </c>
      <c r="VAL9" s="352" t="s">
        <v>573</v>
      </c>
      <c r="VAM9" s="142" t="s">
        <v>575</v>
      </c>
      <c r="VAN9" s="358" t="s">
        <v>576</v>
      </c>
      <c r="VAO9" s="189" t="s">
        <v>574</v>
      </c>
      <c r="VAP9" s="352" t="s">
        <v>573</v>
      </c>
      <c r="VAQ9" s="142" t="s">
        <v>575</v>
      </c>
      <c r="VAR9" s="358" t="s">
        <v>576</v>
      </c>
      <c r="VAS9" s="189" t="s">
        <v>574</v>
      </c>
      <c r="VAT9" s="352" t="s">
        <v>573</v>
      </c>
      <c r="VAU9" s="142" t="s">
        <v>575</v>
      </c>
      <c r="VAV9" s="358" t="s">
        <v>576</v>
      </c>
      <c r="VAW9" s="189" t="s">
        <v>574</v>
      </c>
      <c r="VAX9" s="352" t="s">
        <v>573</v>
      </c>
      <c r="VAY9" s="142" t="s">
        <v>575</v>
      </c>
      <c r="VAZ9" s="358" t="s">
        <v>576</v>
      </c>
      <c r="VBA9" s="189" t="s">
        <v>574</v>
      </c>
      <c r="VBB9" s="352" t="s">
        <v>573</v>
      </c>
      <c r="VBC9" s="142" t="s">
        <v>575</v>
      </c>
      <c r="VBD9" s="358" t="s">
        <v>576</v>
      </c>
      <c r="VBE9" s="189" t="s">
        <v>574</v>
      </c>
      <c r="VBF9" s="352" t="s">
        <v>573</v>
      </c>
      <c r="VBG9" s="142" t="s">
        <v>575</v>
      </c>
      <c r="VBH9" s="358" t="s">
        <v>576</v>
      </c>
      <c r="VBI9" s="189" t="s">
        <v>574</v>
      </c>
      <c r="VBJ9" s="352" t="s">
        <v>573</v>
      </c>
      <c r="VBK9" s="142" t="s">
        <v>575</v>
      </c>
      <c r="VBL9" s="358" t="s">
        <v>576</v>
      </c>
      <c r="VBM9" s="189" t="s">
        <v>574</v>
      </c>
      <c r="VBN9" s="352" t="s">
        <v>573</v>
      </c>
      <c r="VBO9" s="142" t="s">
        <v>575</v>
      </c>
      <c r="VBP9" s="358" t="s">
        <v>576</v>
      </c>
      <c r="VBQ9" s="189" t="s">
        <v>574</v>
      </c>
      <c r="VBR9" s="352" t="s">
        <v>573</v>
      </c>
      <c r="VBS9" s="142" t="s">
        <v>575</v>
      </c>
      <c r="VBT9" s="358" t="s">
        <v>576</v>
      </c>
      <c r="VBU9" s="189" t="s">
        <v>574</v>
      </c>
      <c r="VBV9" s="352" t="s">
        <v>573</v>
      </c>
      <c r="VBW9" s="142" t="s">
        <v>575</v>
      </c>
      <c r="VBX9" s="358" t="s">
        <v>576</v>
      </c>
      <c r="VBY9" s="189" t="s">
        <v>574</v>
      </c>
      <c r="VBZ9" s="352" t="s">
        <v>573</v>
      </c>
      <c r="VCA9" s="142" t="s">
        <v>575</v>
      </c>
      <c r="VCB9" s="358" t="s">
        <v>576</v>
      </c>
      <c r="VCC9" s="189" t="s">
        <v>574</v>
      </c>
      <c r="VCD9" s="352" t="s">
        <v>573</v>
      </c>
      <c r="VCE9" s="142" t="s">
        <v>575</v>
      </c>
      <c r="VCF9" s="358" t="s">
        <v>576</v>
      </c>
      <c r="VCG9" s="189" t="s">
        <v>574</v>
      </c>
      <c r="VCH9" s="352" t="s">
        <v>573</v>
      </c>
      <c r="VCI9" s="142" t="s">
        <v>575</v>
      </c>
      <c r="VCJ9" s="358" t="s">
        <v>576</v>
      </c>
      <c r="VCK9" s="189" t="s">
        <v>574</v>
      </c>
      <c r="VCL9" s="352" t="s">
        <v>573</v>
      </c>
      <c r="VCM9" s="142" t="s">
        <v>575</v>
      </c>
      <c r="VCN9" s="358" t="s">
        <v>576</v>
      </c>
      <c r="VCO9" s="189" t="s">
        <v>574</v>
      </c>
      <c r="VCP9" s="352" t="s">
        <v>573</v>
      </c>
      <c r="VCQ9" s="142" t="s">
        <v>575</v>
      </c>
      <c r="VCR9" s="358" t="s">
        <v>576</v>
      </c>
      <c r="VCS9" s="189" t="s">
        <v>574</v>
      </c>
      <c r="VCT9" s="352" t="s">
        <v>573</v>
      </c>
      <c r="VCU9" s="142" t="s">
        <v>575</v>
      </c>
      <c r="VCV9" s="358" t="s">
        <v>576</v>
      </c>
      <c r="VCW9" s="189" t="s">
        <v>574</v>
      </c>
      <c r="VCX9" s="352" t="s">
        <v>573</v>
      </c>
      <c r="VCY9" s="142" t="s">
        <v>575</v>
      </c>
      <c r="VCZ9" s="358" t="s">
        <v>576</v>
      </c>
      <c r="VDA9" s="189" t="s">
        <v>574</v>
      </c>
      <c r="VDB9" s="352" t="s">
        <v>573</v>
      </c>
      <c r="VDC9" s="142" t="s">
        <v>575</v>
      </c>
      <c r="VDD9" s="358" t="s">
        <v>576</v>
      </c>
      <c r="VDE9" s="189" t="s">
        <v>574</v>
      </c>
      <c r="VDF9" s="352" t="s">
        <v>573</v>
      </c>
      <c r="VDG9" s="142" t="s">
        <v>575</v>
      </c>
      <c r="VDH9" s="358" t="s">
        <v>576</v>
      </c>
      <c r="VDI9" s="189" t="s">
        <v>574</v>
      </c>
      <c r="VDJ9" s="352" t="s">
        <v>573</v>
      </c>
      <c r="VDK9" s="142" t="s">
        <v>575</v>
      </c>
      <c r="VDL9" s="358" t="s">
        <v>576</v>
      </c>
      <c r="VDM9" s="189" t="s">
        <v>574</v>
      </c>
      <c r="VDN9" s="352" t="s">
        <v>573</v>
      </c>
      <c r="VDO9" s="142" t="s">
        <v>575</v>
      </c>
      <c r="VDP9" s="358" t="s">
        <v>576</v>
      </c>
      <c r="VDQ9" s="189" t="s">
        <v>574</v>
      </c>
      <c r="VDR9" s="352" t="s">
        <v>573</v>
      </c>
      <c r="VDS9" s="142" t="s">
        <v>575</v>
      </c>
      <c r="VDT9" s="358" t="s">
        <v>576</v>
      </c>
      <c r="VDU9" s="189" t="s">
        <v>574</v>
      </c>
      <c r="VDV9" s="352" t="s">
        <v>573</v>
      </c>
      <c r="VDW9" s="142" t="s">
        <v>575</v>
      </c>
      <c r="VDX9" s="358" t="s">
        <v>576</v>
      </c>
      <c r="VDY9" s="189" t="s">
        <v>574</v>
      </c>
      <c r="VDZ9" s="352" t="s">
        <v>573</v>
      </c>
      <c r="VEA9" s="142" t="s">
        <v>575</v>
      </c>
      <c r="VEB9" s="358" t="s">
        <v>576</v>
      </c>
      <c r="VEC9" s="189" t="s">
        <v>574</v>
      </c>
      <c r="VED9" s="352" t="s">
        <v>573</v>
      </c>
      <c r="VEE9" s="142" t="s">
        <v>575</v>
      </c>
      <c r="VEF9" s="358" t="s">
        <v>576</v>
      </c>
      <c r="VEG9" s="189" t="s">
        <v>574</v>
      </c>
      <c r="VEH9" s="352" t="s">
        <v>573</v>
      </c>
      <c r="VEI9" s="142" t="s">
        <v>575</v>
      </c>
      <c r="VEJ9" s="358" t="s">
        <v>576</v>
      </c>
      <c r="VEK9" s="189" t="s">
        <v>574</v>
      </c>
      <c r="VEL9" s="352" t="s">
        <v>573</v>
      </c>
      <c r="VEM9" s="142" t="s">
        <v>575</v>
      </c>
      <c r="VEN9" s="358" t="s">
        <v>576</v>
      </c>
      <c r="VEO9" s="189" t="s">
        <v>574</v>
      </c>
      <c r="VEP9" s="352" t="s">
        <v>573</v>
      </c>
      <c r="VEQ9" s="142" t="s">
        <v>575</v>
      </c>
      <c r="VER9" s="358" t="s">
        <v>576</v>
      </c>
      <c r="VES9" s="189" t="s">
        <v>574</v>
      </c>
      <c r="VET9" s="352" t="s">
        <v>573</v>
      </c>
      <c r="VEU9" s="142" t="s">
        <v>575</v>
      </c>
      <c r="VEV9" s="358" t="s">
        <v>576</v>
      </c>
      <c r="VEW9" s="189" t="s">
        <v>574</v>
      </c>
      <c r="VEX9" s="352" t="s">
        <v>573</v>
      </c>
      <c r="VEY9" s="142" t="s">
        <v>575</v>
      </c>
      <c r="VEZ9" s="358" t="s">
        <v>576</v>
      </c>
      <c r="VFA9" s="189" t="s">
        <v>574</v>
      </c>
      <c r="VFB9" s="352" t="s">
        <v>573</v>
      </c>
      <c r="VFC9" s="142" t="s">
        <v>575</v>
      </c>
      <c r="VFD9" s="358" t="s">
        <v>576</v>
      </c>
      <c r="VFE9" s="189" t="s">
        <v>574</v>
      </c>
      <c r="VFF9" s="352" t="s">
        <v>573</v>
      </c>
      <c r="VFG9" s="142" t="s">
        <v>575</v>
      </c>
      <c r="VFH9" s="358" t="s">
        <v>576</v>
      </c>
      <c r="VFI9" s="189" t="s">
        <v>574</v>
      </c>
      <c r="VFJ9" s="352" t="s">
        <v>573</v>
      </c>
      <c r="VFK9" s="142" t="s">
        <v>575</v>
      </c>
      <c r="VFL9" s="358" t="s">
        <v>576</v>
      </c>
      <c r="VFM9" s="189" t="s">
        <v>574</v>
      </c>
      <c r="VFN9" s="352" t="s">
        <v>573</v>
      </c>
      <c r="VFO9" s="142" t="s">
        <v>575</v>
      </c>
      <c r="VFP9" s="358" t="s">
        <v>576</v>
      </c>
      <c r="VFQ9" s="189" t="s">
        <v>574</v>
      </c>
      <c r="VFR9" s="352" t="s">
        <v>573</v>
      </c>
      <c r="VFS9" s="142" t="s">
        <v>575</v>
      </c>
      <c r="VFT9" s="358" t="s">
        <v>576</v>
      </c>
      <c r="VFU9" s="189" t="s">
        <v>574</v>
      </c>
      <c r="VFV9" s="352" t="s">
        <v>573</v>
      </c>
      <c r="VFW9" s="142" t="s">
        <v>575</v>
      </c>
      <c r="VFX9" s="358" t="s">
        <v>576</v>
      </c>
      <c r="VFY9" s="189" t="s">
        <v>574</v>
      </c>
      <c r="VFZ9" s="352" t="s">
        <v>573</v>
      </c>
      <c r="VGA9" s="142" t="s">
        <v>575</v>
      </c>
      <c r="VGB9" s="358" t="s">
        <v>576</v>
      </c>
      <c r="VGC9" s="189" t="s">
        <v>574</v>
      </c>
      <c r="VGD9" s="352" t="s">
        <v>573</v>
      </c>
      <c r="VGE9" s="142" t="s">
        <v>575</v>
      </c>
      <c r="VGF9" s="358" t="s">
        <v>576</v>
      </c>
      <c r="VGG9" s="189" t="s">
        <v>574</v>
      </c>
      <c r="VGH9" s="352" t="s">
        <v>573</v>
      </c>
      <c r="VGI9" s="142" t="s">
        <v>575</v>
      </c>
      <c r="VGJ9" s="358" t="s">
        <v>576</v>
      </c>
      <c r="VGK9" s="189" t="s">
        <v>574</v>
      </c>
      <c r="VGL9" s="352" t="s">
        <v>573</v>
      </c>
      <c r="VGM9" s="142" t="s">
        <v>575</v>
      </c>
      <c r="VGN9" s="358" t="s">
        <v>576</v>
      </c>
      <c r="VGO9" s="189" t="s">
        <v>574</v>
      </c>
      <c r="VGP9" s="352" t="s">
        <v>573</v>
      </c>
      <c r="VGQ9" s="142" t="s">
        <v>575</v>
      </c>
      <c r="VGR9" s="358" t="s">
        <v>576</v>
      </c>
      <c r="VGS9" s="189" t="s">
        <v>574</v>
      </c>
      <c r="VGT9" s="352" t="s">
        <v>573</v>
      </c>
      <c r="VGU9" s="142" t="s">
        <v>575</v>
      </c>
      <c r="VGV9" s="358" t="s">
        <v>576</v>
      </c>
      <c r="VGW9" s="189" t="s">
        <v>574</v>
      </c>
      <c r="VGX9" s="352" t="s">
        <v>573</v>
      </c>
      <c r="VGY9" s="142" t="s">
        <v>575</v>
      </c>
      <c r="VGZ9" s="358" t="s">
        <v>576</v>
      </c>
      <c r="VHA9" s="189" t="s">
        <v>574</v>
      </c>
      <c r="VHB9" s="352" t="s">
        <v>573</v>
      </c>
      <c r="VHC9" s="142" t="s">
        <v>575</v>
      </c>
      <c r="VHD9" s="358" t="s">
        <v>576</v>
      </c>
      <c r="VHE9" s="189" t="s">
        <v>574</v>
      </c>
      <c r="VHF9" s="352" t="s">
        <v>573</v>
      </c>
      <c r="VHG9" s="142" t="s">
        <v>575</v>
      </c>
      <c r="VHH9" s="358" t="s">
        <v>576</v>
      </c>
      <c r="VHI9" s="189" t="s">
        <v>574</v>
      </c>
      <c r="VHJ9" s="352" t="s">
        <v>573</v>
      </c>
      <c r="VHK9" s="142" t="s">
        <v>575</v>
      </c>
      <c r="VHL9" s="358" t="s">
        <v>576</v>
      </c>
      <c r="VHM9" s="189" t="s">
        <v>574</v>
      </c>
      <c r="VHN9" s="352" t="s">
        <v>573</v>
      </c>
      <c r="VHO9" s="142" t="s">
        <v>575</v>
      </c>
      <c r="VHP9" s="358" t="s">
        <v>576</v>
      </c>
      <c r="VHQ9" s="189" t="s">
        <v>574</v>
      </c>
      <c r="VHR9" s="352" t="s">
        <v>573</v>
      </c>
      <c r="VHS9" s="142" t="s">
        <v>575</v>
      </c>
      <c r="VHT9" s="358" t="s">
        <v>576</v>
      </c>
      <c r="VHU9" s="189" t="s">
        <v>574</v>
      </c>
      <c r="VHV9" s="352" t="s">
        <v>573</v>
      </c>
      <c r="VHW9" s="142" t="s">
        <v>575</v>
      </c>
      <c r="VHX9" s="358" t="s">
        <v>576</v>
      </c>
      <c r="VHY9" s="189" t="s">
        <v>574</v>
      </c>
      <c r="VHZ9" s="352" t="s">
        <v>573</v>
      </c>
      <c r="VIA9" s="142" t="s">
        <v>575</v>
      </c>
      <c r="VIB9" s="358" t="s">
        <v>576</v>
      </c>
      <c r="VIC9" s="189" t="s">
        <v>574</v>
      </c>
      <c r="VID9" s="352" t="s">
        <v>573</v>
      </c>
      <c r="VIE9" s="142" t="s">
        <v>575</v>
      </c>
      <c r="VIF9" s="358" t="s">
        <v>576</v>
      </c>
      <c r="VIG9" s="189" t="s">
        <v>574</v>
      </c>
      <c r="VIH9" s="352" t="s">
        <v>573</v>
      </c>
      <c r="VII9" s="142" t="s">
        <v>575</v>
      </c>
      <c r="VIJ9" s="358" t="s">
        <v>576</v>
      </c>
      <c r="VIK9" s="189" t="s">
        <v>574</v>
      </c>
      <c r="VIL9" s="352" t="s">
        <v>573</v>
      </c>
      <c r="VIM9" s="142" t="s">
        <v>575</v>
      </c>
      <c r="VIN9" s="358" t="s">
        <v>576</v>
      </c>
      <c r="VIO9" s="189" t="s">
        <v>574</v>
      </c>
      <c r="VIP9" s="352" t="s">
        <v>573</v>
      </c>
      <c r="VIQ9" s="142" t="s">
        <v>575</v>
      </c>
      <c r="VIR9" s="358" t="s">
        <v>576</v>
      </c>
      <c r="VIS9" s="189" t="s">
        <v>574</v>
      </c>
      <c r="VIT9" s="352" t="s">
        <v>573</v>
      </c>
      <c r="VIU9" s="142" t="s">
        <v>575</v>
      </c>
      <c r="VIV9" s="358" t="s">
        <v>576</v>
      </c>
      <c r="VIW9" s="189" t="s">
        <v>574</v>
      </c>
      <c r="VIX9" s="352" t="s">
        <v>573</v>
      </c>
      <c r="VIY9" s="142" t="s">
        <v>575</v>
      </c>
      <c r="VIZ9" s="358" t="s">
        <v>576</v>
      </c>
      <c r="VJA9" s="189" t="s">
        <v>574</v>
      </c>
      <c r="VJB9" s="352" t="s">
        <v>573</v>
      </c>
      <c r="VJC9" s="142" t="s">
        <v>575</v>
      </c>
      <c r="VJD9" s="358" t="s">
        <v>576</v>
      </c>
      <c r="VJE9" s="189" t="s">
        <v>574</v>
      </c>
      <c r="VJF9" s="352" t="s">
        <v>573</v>
      </c>
      <c r="VJG9" s="142" t="s">
        <v>575</v>
      </c>
      <c r="VJH9" s="358" t="s">
        <v>576</v>
      </c>
      <c r="VJI9" s="189" t="s">
        <v>574</v>
      </c>
      <c r="VJJ9" s="352" t="s">
        <v>573</v>
      </c>
      <c r="VJK9" s="142" t="s">
        <v>575</v>
      </c>
      <c r="VJL9" s="358" t="s">
        <v>576</v>
      </c>
      <c r="VJM9" s="189" t="s">
        <v>574</v>
      </c>
      <c r="VJN9" s="352" t="s">
        <v>573</v>
      </c>
      <c r="VJO9" s="142" t="s">
        <v>575</v>
      </c>
      <c r="VJP9" s="358" t="s">
        <v>576</v>
      </c>
      <c r="VJQ9" s="189" t="s">
        <v>574</v>
      </c>
      <c r="VJR9" s="352" t="s">
        <v>573</v>
      </c>
      <c r="VJS9" s="142" t="s">
        <v>575</v>
      </c>
      <c r="VJT9" s="358" t="s">
        <v>576</v>
      </c>
      <c r="VJU9" s="189" t="s">
        <v>574</v>
      </c>
      <c r="VJV9" s="352" t="s">
        <v>573</v>
      </c>
      <c r="VJW9" s="142" t="s">
        <v>575</v>
      </c>
      <c r="VJX9" s="358" t="s">
        <v>576</v>
      </c>
      <c r="VJY9" s="189" t="s">
        <v>574</v>
      </c>
      <c r="VJZ9" s="352" t="s">
        <v>573</v>
      </c>
      <c r="VKA9" s="142" t="s">
        <v>575</v>
      </c>
      <c r="VKB9" s="358" t="s">
        <v>576</v>
      </c>
      <c r="VKC9" s="189" t="s">
        <v>574</v>
      </c>
      <c r="VKD9" s="352" t="s">
        <v>573</v>
      </c>
      <c r="VKE9" s="142" t="s">
        <v>575</v>
      </c>
      <c r="VKF9" s="358" t="s">
        <v>576</v>
      </c>
      <c r="VKG9" s="189" t="s">
        <v>574</v>
      </c>
      <c r="VKH9" s="352" t="s">
        <v>573</v>
      </c>
      <c r="VKI9" s="142" t="s">
        <v>575</v>
      </c>
      <c r="VKJ9" s="358" t="s">
        <v>576</v>
      </c>
      <c r="VKK9" s="189" t="s">
        <v>574</v>
      </c>
      <c r="VKL9" s="352" t="s">
        <v>573</v>
      </c>
      <c r="VKM9" s="142" t="s">
        <v>575</v>
      </c>
      <c r="VKN9" s="358" t="s">
        <v>576</v>
      </c>
      <c r="VKO9" s="189" t="s">
        <v>574</v>
      </c>
      <c r="VKP9" s="352" t="s">
        <v>573</v>
      </c>
      <c r="VKQ9" s="142" t="s">
        <v>575</v>
      </c>
      <c r="VKR9" s="358" t="s">
        <v>576</v>
      </c>
      <c r="VKS9" s="189" t="s">
        <v>574</v>
      </c>
      <c r="VKT9" s="352" t="s">
        <v>573</v>
      </c>
      <c r="VKU9" s="142" t="s">
        <v>575</v>
      </c>
      <c r="VKV9" s="358" t="s">
        <v>576</v>
      </c>
      <c r="VKW9" s="189" t="s">
        <v>574</v>
      </c>
      <c r="VKX9" s="352" t="s">
        <v>573</v>
      </c>
      <c r="VKY9" s="142" t="s">
        <v>575</v>
      </c>
      <c r="VKZ9" s="358" t="s">
        <v>576</v>
      </c>
      <c r="VLA9" s="189" t="s">
        <v>574</v>
      </c>
      <c r="VLB9" s="352" t="s">
        <v>573</v>
      </c>
      <c r="VLC9" s="142" t="s">
        <v>575</v>
      </c>
      <c r="VLD9" s="358" t="s">
        <v>576</v>
      </c>
      <c r="VLE9" s="189" t="s">
        <v>574</v>
      </c>
      <c r="VLF9" s="352" t="s">
        <v>573</v>
      </c>
      <c r="VLG9" s="142" t="s">
        <v>575</v>
      </c>
      <c r="VLH9" s="358" t="s">
        <v>576</v>
      </c>
      <c r="VLI9" s="189" t="s">
        <v>574</v>
      </c>
      <c r="VLJ9" s="352" t="s">
        <v>573</v>
      </c>
      <c r="VLK9" s="142" t="s">
        <v>575</v>
      </c>
      <c r="VLL9" s="358" t="s">
        <v>576</v>
      </c>
      <c r="VLM9" s="189" t="s">
        <v>574</v>
      </c>
      <c r="VLN9" s="352" t="s">
        <v>573</v>
      </c>
      <c r="VLO9" s="142" t="s">
        <v>575</v>
      </c>
      <c r="VLP9" s="358" t="s">
        <v>576</v>
      </c>
      <c r="VLQ9" s="189" t="s">
        <v>574</v>
      </c>
      <c r="VLR9" s="352" t="s">
        <v>573</v>
      </c>
      <c r="VLS9" s="142" t="s">
        <v>575</v>
      </c>
      <c r="VLT9" s="358" t="s">
        <v>576</v>
      </c>
      <c r="VLU9" s="189" t="s">
        <v>574</v>
      </c>
      <c r="VLV9" s="352" t="s">
        <v>573</v>
      </c>
      <c r="VLW9" s="142" t="s">
        <v>575</v>
      </c>
      <c r="VLX9" s="358" t="s">
        <v>576</v>
      </c>
      <c r="VLY9" s="189" t="s">
        <v>574</v>
      </c>
      <c r="VLZ9" s="352" t="s">
        <v>573</v>
      </c>
      <c r="VMA9" s="142" t="s">
        <v>575</v>
      </c>
      <c r="VMB9" s="358" t="s">
        <v>576</v>
      </c>
      <c r="VMC9" s="189" t="s">
        <v>574</v>
      </c>
      <c r="VMD9" s="352" t="s">
        <v>573</v>
      </c>
      <c r="VME9" s="142" t="s">
        <v>575</v>
      </c>
      <c r="VMF9" s="358" t="s">
        <v>576</v>
      </c>
      <c r="VMG9" s="189" t="s">
        <v>574</v>
      </c>
      <c r="VMH9" s="352" t="s">
        <v>573</v>
      </c>
      <c r="VMI9" s="142" t="s">
        <v>575</v>
      </c>
      <c r="VMJ9" s="358" t="s">
        <v>576</v>
      </c>
      <c r="VMK9" s="189" t="s">
        <v>574</v>
      </c>
      <c r="VML9" s="352" t="s">
        <v>573</v>
      </c>
      <c r="VMM9" s="142" t="s">
        <v>575</v>
      </c>
      <c r="VMN9" s="358" t="s">
        <v>576</v>
      </c>
      <c r="VMO9" s="189" t="s">
        <v>574</v>
      </c>
      <c r="VMP9" s="352" t="s">
        <v>573</v>
      </c>
      <c r="VMQ9" s="142" t="s">
        <v>575</v>
      </c>
      <c r="VMR9" s="358" t="s">
        <v>576</v>
      </c>
      <c r="VMS9" s="189" t="s">
        <v>574</v>
      </c>
      <c r="VMT9" s="352" t="s">
        <v>573</v>
      </c>
      <c r="VMU9" s="142" t="s">
        <v>575</v>
      </c>
      <c r="VMV9" s="358" t="s">
        <v>576</v>
      </c>
      <c r="VMW9" s="189" t="s">
        <v>574</v>
      </c>
      <c r="VMX9" s="352" t="s">
        <v>573</v>
      </c>
      <c r="VMY9" s="142" t="s">
        <v>575</v>
      </c>
      <c r="VMZ9" s="358" t="s">
        <v>576</v>
      </c>
      <c r="VNA9" s="189" t="s">
        <v>574</v>
      </c>
      <c r="VNB9" s="352" t="s">
        <v>573</v>
      </c>
      <c r="VNC9" s="142" t="s">
        <v>575</v>
      </c>
      <c r="VND9" s="358" t="s">
        <v>576</v>
      </c>
      <c r="VNE9" s="189" t="s">
        <v>574</v>
      </c>
      <c r="VNF9" s="352" t="s">
        <v>573</v>
      </c>
      <c r="VNG9" s="142" t="s">
        <v>575</v>
      </c>
      <c r="VNH9" s="358" t="s">
        <v>576</v>
      </c>
      <c r="VNI9" s="189" t="s">
        <v>574</v>
      </c>
      <c r="VNJ9" s="352" t="s">
        <v>573</v>
      </c>
      <c r="VNK9" s="142" t="s">
        <v>575</v>
      </c>
      <c r="VNL9" s="358" t="s">
        <v>576</v>
      </c>
      <c r="VNM9" s="189" t="s">
        <v>574</v>
      </c>
      <c r="VNN9" s="352" t="s">
        <v>573</v>
      </c>
      <c r="VNO9" s="142" t="s">
        <v>575</v>
      </c>
      <c r="VNP9" s="358" t="s">
        <v>576</v>
      </c>
      <c r="VNQ9" s="189" t="s">
        <v>574</v>
      </c>
      <c r="VNR9" s="352" t="s">
        <v>573</v>
      </c>
      <c r="VNS9" s="142" t="s">
        <v>575</v>
      </c>
      <c r="VNT9" s="358" t="s">
        <v>576</v>
      </c>
      <c r="VNU9" s="189" t="s">
        <v>574</v>
      </c>
      <c r="VNV9" s="352" t="s">
        <v>573</v>
      </c>
      <c r="VNW9" s="142" t="s">
        <v>575</v>
      </c>
      <c r="VNX9" s="358" t="s">
        <v>576</v>
      </c>
      <c r="VNY9" s="189" t="s">
        <v>574</v>
      </c>
      <c r="VNZ9" s="352" t="s">
        <v>573</v>
      </c>
      <c r="VOA9" s="142" t="s">
        <v>575</v>
      </c>
      <c r="VOB9" s="358" t="s">
        <v>576</v>
      </c>
      <c r="VOC9" s="189" t="s">
        <v>574</v>
      </c>
      <c r="VOD9" s="352" t="s">
        <v>573</v>
      </c>
      <c r="VOE9" s="142" t="s">
        <v>575</v>
      </c>
      <c r="VOF9" s="358" t="s">
        <v>576</v>
      </c>
      <c r="VOG9" s="189" t="s">
        <v>574</v>
      </c>
      <c r="VOH9" s="352" t="s">
        <v>573</v>
      </c>
      <c r="VOI9" s="142" t="s">
        <v>575</v>
      </c>
      <c r="VOJ9" s="358" t="s">
        <v>576</v>
      </c>
      <c r="VOK9" s="189" t="s">
        <v>574</v>
      </c>
      <c r="VOL9" s="352" t="s">
        <v>573</v>
      </c>
      <c r="VOM9" s="142" t="s">
        <v>575</v>
      </c>
      <c r="VON9" s="358" t="s">
        <v>576</v>
      </c>
      <c r="VOO9" s="189" t="s">
        <v>574</v>
      </c>
      <c r="VOP9" s="352" t="s">
        <v>573</v>
      </c>
      <c r="VOQ9" s="142" t="s">
        <v>575</v>
      </c>
      <c r="VOR9" s="358" t="s">
        <v>576</v>
      </c>
      <c r="VOS9" s="189" t="s">
        <v>574</v>
      </c>
      <c r="VOT9" s="352" t="s">
        <v>573</v>
      </c>
      <c r="VOU9" s="142" t="s">
        <v>575</v>
      </c>
      <c r="VOV9" s="358" t="s">
        <v>576</v>
      </c>
      <c r="VOW9" s="189" t="s">
        <v>574</v>
      </c>
      <c r="VOX9" s="352" t="s">
        <v>573</v>
      </c>
      <c r="VOY9" s="142" t="s">
        <v>575</v>
      </c>
      <c r="VOZ9" s="358" t="s">
        <v>576</v>
      </c>
      <c r="VPA9" s="189" t="s">
        <v>574</v>
      </c>
      <c r="VPB9" s="352" t="s">
        <v>573</v>
      </c>
      <c r="VPC9" s="142" t="s">
        <v>575</v>
      </c>
      <c r="VPD9" s="358" t="s">
        <v>576</v>
      </c>
      <c r="VPE9" s="189" t="s">
        <v>574</v>
      </c>
      <c r="VPF9" s="352" t="s">
        <v>573</v>
      </c>
      <c r="VPG9" s="142" t="s">
        <v>575</v>
      </c>
      <c r="VPH9" s="358" t="s">
        <v>576</v>
      </c>
      <c r="VPI9" s="189" t="s">
        <v>574</v>
      </c>
      <c r="VPJ9" s="352" t="s">
        <v>573</v>
      </c>
      <c r="VPK9" s="142" t="s">
        <v>575</v>
      </c>
      <c r="VPL9" s="358" t="s">
        <v>576</v>
      </c>
      <c r="VPM9" s="189" t="s">
        <v>574</v>
      </c>
      <c r="VPN9" s="352" t="s">
        <v>573</v>
      </c>
      <c r="VPO9" s="142" t="s">
        <v>575</v>
      </c>
      <c r="VPP9" s="358" t="s">
        <v>576</v>
      </c>
      <c r="VPQ9" s="189" t="s">
        <v>574</v>
      </c>
      <c r="VPR9" s="352" t="s">
        <v>573</v>
      </c>
      <c r="VPS9" s="142" t="s">
        <v>575</v>
      </c>
      <c r="VPT9" s="358" t="s">
        <v>576</v>
      </c>
      <c r="VPU9" s="189" t="s">
        <v>574</v>
      </c>
      <c r="VPV9" s="352" t="s">
        <v>573</v>
      </c>
      <c r="VPW9" s="142" t="s">
        <v>575</v>
      </c>
      <c r="VPX9" s="358" t="s">
        <v>576</v>
      </c>
      <c r="VPY9" s="189" t="s">
        <v>574</v>
      </c>
      <c r="VPZ9" s="352" t="s">
        <v>573</v>
      </c>
      <c r="VQA9" s="142" t="s">
        <v>575</v>
      </c>
      <c r="VQB9" s="358" t="s">
        <v>576</v>
      </c>
      <c r="VQC9" s="189" t="s">
        <v>574</v>
      </c>
      <c r="VQD9" s="352" t="s">
        <v>573</v>
      </c>
      <c r="VQE9" s="142" t="s">
        <v>575</v>
      </c>
      <c r="VQF9" s="358" t="s">
        <v>576</v>
      </c>
      <c r="VQG9" s="189" t="s">
        <v>574</v>
      </c>
      <c r="VQH9" s="352" t="s">
        <v>573</v>
      </c>
      <c r="VQI9" s="142" t="s">
        <v>575</v>
      </c>
      <c r="VQJ9" s="358" t="s">
        <v>576</v>
      </c>
      <c r="VQK9" s="189" t="s">
        <v>574</v>
      </c>
      <c r="VQL9" s="352" t="s">
        <v>573</v>
      </c>
      <c r="VQM9" s="142" t="s">
        <v>575</v>
      </c>
      <c r="VQN9" s="358" t="s">
        <v>576</v>
      </c>
      <c r="VQO9" s="189" t="s">
        <v>574</v>
      </c>
      <c r="VQP9" s="352" t="s">
        <v>573</v>
      </c>
      <c r="VQQ9" s="142" t="s">
        <v>575</v>
      </c>
      <c r="VQR9" s="358" t="s">
        <v>576</v>
      </c>
      <c r="VQS9" s="189" t="s">
        <v>574</v>
      </c>
      <c r="VQT9" s="352" t="s">
        <v>573</v>
      </c>
      <c r="VQU9" s="142" t="s">
        <v>575</v>
      </c>
      <c r="VQV9" s="358" t="s">
        <v>576</v>
      </c>
      <c r="VQW9" s="189" t="s">
        <v>574</v>
      </c>
      <c r="VQX9" s="352" t="s">
        <v>573</v>
      </c>
      <c r="VQY9" s="142" t="s">
        <v>575</v>
      </c>
      <c r="VQZ9" s="358" t="s">
        <v>576</v>
      </c>
      <c r="VRA9" s="189" t="s">
        <v>574</v>
      </c>
      <c r="VRB9" s="352" t="s">
        <v>573</v>
      </c>
      <c r="VRC9" s="142" t="s">
        <v>575</v>
      </c>
      <c r="VRD9" s="358" t="s">
        <v>576</v>
      </c>
      <c r="VRE9" s="189" t="s">
        <v>574</v>
      </c>
      <c r="VRF9" s="352" t="s">
        <v>573</v>
      </c>
      <c r="VRG9" s="142" t="s">
        <v>575</v>
      </c>
      <c r="VRH9" s="358" t="s">
        <v>576</v>
      </c>
      <c r="VRI9" s="189" t="s">
        <v>574</v>
      </c>
      <c r="VRJ9" s="352" t="s">
        <v>573</v>
      </c>
      <c r="VRK9" s="142" t="s">
        <v>575</v>
      </c>
      <c r="VRL9" s="358" t="s">
        <v>576</v>
      </c>
      <c r="VRM9" s="189" t="s">
        <v>574</v>
      </c>
      <c r="VRN9" s="352" t="s">
        <v>573</v>
      </c>
      <c r="VRO9" s="142" t="s">
        <v>575</v>
      </c>
      <c r="VRP9" s="358" t="s">
        <v>576</v>
      </c>
      <c r="VRQ9" s="189" t="s">
        <v>574</v>
      </c>
      <c r="VRR9" s="352" t="s">
        <v>573</v>
      </c>
      <c r="VRS9" s="142" t="s">
        <v>575</v>
      </c>
      <c r="VRT9" s="358" t="s">
        <v>576</v>
      </c>
      <c r="VRU9" s="189" t="s">
        <v>574</v>
      </c>
      <c r="VRV9" s="352" t="s">
        <v>573</v>
      </c>
      <c r="VRW9" s="142" t="s">
        <v>575</v>
      </c>
      <c r="VRX9" s="358" t="s">
        <v>576</v>
      </c>
      <c r="VRY9" s="189" t="s">
        <v>574</v>
      </c>
      <c r="VRZ9" s="352" t="s">
        <v>573</v>
      </c>
      <c r="VSA9" s="142" t="s">
        <v>575</v>
      </c>
      <c r="VSB9" s="358" t="s">
        <v>576</v>
      </c>
      <c r="VSC9" s="189" t="s">
        <v>574</v>
      </c>
      <c r="VSD9" s="352" t="s">
        <v>573</v>
      </c>
      <c r="VSE9" s="142" t="s">
        <v>575</v>
      </c>
      <c r="VSF9" s="358" t="s">
        <v>576</v>
      </c>
      <c r="VSG9" s="189" t="s">
        <v>574</v>
      </c>
      <c r="VSH9" s="352" t="s">
        <v>573</v>
      </c>
      <c r="VSI9" s="142" t="s">
        <v>575</v>
      </c>
      <c r="VSJ9" s="358" t="s">
        <v>576</v>
      </c>
      <c r="VSK9" s="189" t="s">
        <v>574</v>
      </c>
      <c r="VSL9" s="352" t="s">
        <v>573</v>
      </c>
      <c r="VSM9" s="142" t="s">
        <v>575</v>
      </c>
      <c r="VSN9" s="358" t="s">
        <v>576</v>
      </c>
      <c r="VSO9" s="189" t="s">
        <v>574</v>
      </c>
      <c r="VSP9" s="352" t="s">
        <v>573</v>
      </c>
      <c r="VSQ9" s="142" t="s">
        <v>575</v>
      </c>
      <c r="VSR9" s="358" t="s">
        <v>576</v>
      </c>
      <c r="VSS9" s="189" t="s">
        <v>574</v>
      </c>
      <c r="VST9" s="352" t="s">
        <v>573</v>
      </c>
      <c r="VSU9" s="142" t="s">
        <v>575</v>
      </c>
      <c r="VSV9" s="358" t="s">
        <v>576</v>
      </c>
      <c r="VSW9" s="189" t="s">
        <v>574</v>
      </c>
      <c r="VSX9" s="352" t="s">
        <v>573</v>
      </c>
      <c r="VSY9" s="142" t="s">
        <v>575</v>
      </c>
      <c r="VSZ9" s="358" t="s">
        <v>576</v>
      </c>
      <c r="VTA9" s="189" t="s">
        <v>574</v>
      </c>
      <c r="VTB9" s="352" t="s">
        <v>573</v>
      </c>
      <c r="VTC9" s="142" t="s">
        <v>575</v>
      </c>
      <c r="VTD9" s="358" t="s">
        <v>576</v>
      </c>
      <c r="VTE9" s="189" t="s">
        <v>574</v>
      </c>
      <c r="VTF9" s="352" t="s">
        <v>573</v>
      </c>
      <c r="VTG9" s="142" t="s">
        <v>575</v>
      </c>
      <c r="VTH9" s="358" t="s">
        <v>576</v>
      </c>
      <c r="VTI9" s="189" t="s">
        <v>574</v>
      </c>
      <c r="VTJ9" s="352" t="s">
        <v>573</v>
      </c>
      <c r="VTK9" s="142" t="s">
        <v>575</v>
      </c>
      <c r="VTL9" s="358" t="s">
        <v>576</v>
      </c>
      <c r="VTM9" s="189" t="s">
        <v>574</v>
      </c>
      <c r="VTN9" s="352" t="s">
        <v>573</v>
      </c>
      <c r="VTO9" s="142" t="s">
        <v>575</v>
      </c>
      <c r="VTP9" s="358" t="s">
        <v>576</v>
      </c>
      <c r="VTQ9" s="189" t="s">
        <v>574</v>
      </c>
      <c r="VTR9" s="352" t="s">
        <v>573</v>
      </c>
      <c r="VTS9" s="142" t="s">
        <v>575</v>
      </c>
      <c r="VTT9" s="358" t="s">
        <v>576</v>
      </c>
      <c r="VTU9" s="189" t="s">
        <v>574</v>
      </c>
      <c r="VTV9" s="352" t="s">
        <v>573</v>
      </c>
      <c r="VTW9" s="142" t="s">
        <v>575</v>
      </c>
      <c r="VTX9" s="358" t="s">
        <v>576</v>
      </c>
      <c r="VTY9" s="189" t="s">
        <v>574</v>
      </c>
      <c r="VTZ9" s="352" t="s">
        <v>573</v>
      </c>
      <c r="VUA9" s="142" t="s">
        <v>575</v>
      </c>
      <c r="VUB9" s="358" t="s">
        <v>576</v>
      </c>
      <c r="VUC9" s="189" t="s">
        <v>574</v>
      </c>
      <c r="VUD9" s="352" t="s">
        <v>573</v>
      </c>
      <c r="VUE9" s="142" t="s">
        <v>575</v>
      </c>
      <c r="VUF9" s="358" t="s">
        <v>576</v>
      </c>
      <c r="VUG9" s="189" t="s">
        <v>574</v>
      </c>
      <c r="VUH9" s="352" t="s">
        <v>573</v>
      </c>
      <c r="VUI9" s="142" t="s">
        <v>575</v>
      </c>
      <c r="VUJ9" s="358" t="s">
        <v>576</v>
      </c>
      <c r="VUK9" s="189" t="s">
        <v>574</v>
      </c>
      <c r="VUL9" s="352" t="s">
        <v>573</v>
      </c>
      <c r="VUM9" s="142" t="s">
        <v>575</v>
      </c>
      <c r="VUN9" s="358" t="s">
        <v>576</v>
      </c>
      <c r="VUO9" s="189" t="s">
        <v>574</v>
      </c>
      <c r="VUP9" s="352" t="s">
        <v>573</v>
      </c>
      <c r="VUQ9" s="142" t="s">
        <v>575</v>
      </c>
      <c r="VUR9" s="358" t="s">
        <v>576</v>
      </c>
      <c r="VUS9" s="189" t="s">
        <v>574</v>
      </c>
      <c r="VUT9" s="352" t="s">
        <v>573</v>
      </c>
      <c r="VUU9" s="142" t="s">
        <v>575</v>
      </c>
      <c r="VUV9" s="358" t="s">
        <v>576</v>
      </c>
      <c r="VUW9" s="189" t="s">
        <v>574</v>
      </c>
      <c r="VUX9" s="352" t="s">
        <v>573</v>
      </c>
      <c r="VUY9" s="142" t="s">
        <v>575</v>
      </c>
      <c r="VUZ9" s="358" t="s">
        <v>576</v>
      </c>
      <c r="VVA9" s="189" t="s">
        <v>574</v>
      </c>
      <c r="VVB9" s="352" t="s">
        <v>573</v>
      </c>
      <c r="VVC9" s="142" t="s">
        <v>575</v>
      </c>
      <c r="VVD9" s="358" t="s">
        <v>576</v>
      </c>
      <c r="VVE9" s="189" t="s">
        <v>574</v>
      </c>
      <c r="VVF9" s="352" t="s">
        <v>573</v>
      </c>
      <c r="VVG9" s="142" t="s">
        <v>575</v>
      </c>
      <c r="VVH9" s="358" t="s">
        <v>576</v>
      </c>
      <c r="VVI9" s="189" t="s">
        <v>574</v>
      </c>
      <c r="VVJ9" s="352" t="s">
        <v>573</v>
      </c>
      <c r="VVK9" s="142" t="s">
        <v>575</v>
      </c>
      <c r="VVL9" s="358" t="s">
        <v>576</v>
      </c>
      <c r="VVM9" s="189" t="s">
        <v>574</v>
      </c>
      <c r="VVN9" s="352" t="s">
        <v>573</v>
      </c>
      <c r="VVO9" s="142" t="s">
        <v>575</v>
      </c>
      <c r="VVP9" s="358" t="s">
        <v>576</v>
      </c>
      <c r="VVQ9" s="189" t="s">
        <v>574</v>
      </c>
      <c r="VVR9" s="352" t="s">
        <v>573</v>
      </c>
      <c r="VVS9" s="142" t="s">
        <v>575</v>
      </c>
      <c r="VVT9" s="358" t="s">
        <v>576</v>
      </c>
      <c r="VVU9" s="189" t="s">
        <v>574</v>
      </c>
      <c r="VVV9" s="352" t="s">
        <v>573</v>
      </c>
      <c r="VVW9" s="142" t="s">
        <v>575</v>
      </c>
      <c r="VVX9" s="358" t="s">
        <v>576</v>
      </c>
      <c r="VVY9" s="189" t="s">
        <v>574</v>
      </c>
      <c r="VVZ9" s="352" t="s">
        <v>573</v>
      </c>
      <c r="VWA9" s="142" t="s">
        <v>575</v>
      </c>
      <c r="VWB9" s="358" t="s">
        <v>576</v>
      </c>
      <c r="VWC9" s="189" t="s">
        <v>574</v>
      </c>
      <c r="VWD9" s="352" t="s">
        <v>573</v>
      </c>
      <c r="VWE9" s="142" t="s">
        <v>575</v>
      </c>
      <c r="VWF9" s="358" t="s">
        <v>576</v>
      </c>
      <c r="VWG9" s="189" t="s">
        <v>574</v>
      </c>
      <c r="VWH9" s="352" t="s">
        <v>573</v>
      </c>
      <c r="VWI9" s="142" t="s">
        <v>575</v>
      </c>
      <c r="VWJ9" s="358" t="s">
        <v>576</v>
      </c>
      <c r="VWK9" s="189" t="s">
        <v>574</v>
      </c>
      <c r="VWL9" s="352" t="s">
        <v>573</v>
      </c>
      <c r="VWM9" s="142" t="s">
        <v>575</v>
      </c>
      <c r="VWN9" s="358" t="s">
        <v>576</v>
      </c>
      <c r="VWO9" s="189" t="s">
        <v>574</v>
      </c>
      <c r="VWP9" s="352" t="s">
        <v>573</v>
      </c>
      <c r="VWQ9" s="142" t="s">
        <v>575</v>
      </c>
      <c r="VWR9" s="358" t="s">
        <v>576</v>
      </c>
      <c r="VWS9" s="189" t="s">
        <v>574</v>
      </c>
      <c r="VWT9" s="352" t="s">
        <v>573</v>
      </c>
      <c r="VWU9" s="142" t="s">
        <v>575</v>
      </c>
      <c r="VWV9" s="358" t="s">
        <v>576</v>
      </c>
      <c r="VWW9" s="189" t="s">
        <v>574</v>
      </c>
      <c r="VWX9" s="352" t="s">
        <v>573</v>
      </c>
      <c r="VWY9" s="142" t="s">
        <v>575</v>
      </c>
      <c r="VWZ9" s="358" t="s">
        <v>576</v>
      </c>
      <c r="VXA9" s="189" t="s">
        <v>574</v>
      </c>
      <c r="VXB9" s="352" t="s">
        <v>573</v>
      </c>
      <c r="VXC9" s="142" t="s">
        <v>575</v>
      </c>
      <c r="VXD9" s="358" t="s">
        <v>576</v>
      </c>
      <c r="VXE9" s="189" t="s">
        <v>574</v>
      </c>
      <c r="VXF9" s="352" t="s">
        <v>573</v>
      </c>
      <c r="VXG9" s="142" t="s">
        <v>575</v>
      </c>
      <c r="VXH9" s="358" t="s">
        <v>576</v>
      </c>
      <c r="VXI9" s="189" t="s">
        <v>574</v>
      </c>
      <c r="VXJ9" s="352" t="s">
        <v>573</v>
      </c>
      <c r="VXK9" s="142" t="s">
        <v>575</v>
      </c>
      <c r="VXL9" s="358" t="s">
        <v>576</v>
      </c>
      <c r="VXM9" s="189" t="s">
        <v>574</v>
      </c>
      <c r="VXN9" s="352" t="s">
        <v>573</v>
      </c>
      <c r="VXO9" s="142" t="s">
        <v>575</v>
      </c>
      <c r="VXP9" s="358" t="s">
        <v>576</v>
      </c>
      <c r="VXQ9" s="189" t="s">
        <v>574</v>
      </c>
      <c r="VXR9" s="352" t="s">
        <v>573</v>
      </c>
      <c r="VXS9" s="142" t="s">
        <v>575</v>
      </c>
      <c r="VXT9" s="358" t="s">
        <v>576</v>
      </c>
      <c r="VXU9" s="189" t="s">
        <v>574</v>
      </c>
      <c r="VXV9" s="352" t="s">
        <v>573</v>
      </c>
      <c r="VXW9" s="142" t="s">
        <v>575</v>
      </c>
      <c r="VXX9" s="358" t="s">
        <v>576</v>
      </c>
      <c r="VXY9" s="189" t="s">
        <v>574</v>
      </c>
      <c r="VXZ9" s="352" t="s">
        <v>573</v>
      </c>
      <c r="VYA9" s="142" t="s">
        <v>575</v>
      </c>
      <c r="VYB9" s="358" t="s">
        <v>576</v>
      </c>
      <c r="VYC9" s="189" t="s">
        <v>574</v>
      </c>
      <c r="VYD9" s="352" t="s">
        <v>573</v>
      </c>
      <c r="VYE9" s="142" t="s">
        <v>575</v>
      </c>
      <c r="VYF9" s="358" t="s">
        <v>576</v>
      </c>
      <c r="VYG9" s="189" t="s">
        <v>574</v>
      </c>
      <c r="VYH9" s="352" t="s">
        <v>573</v>
      </c>
      <c r="VYI9" s="142" t="s">
        <v>575</v>
      </c>
      <c r="VYJ9" s="358" t="s">
        <v>576</v>
      </c>
      <c r="VYK9" s="189" t="s">
        <v>574</v>
      </c>
      <c r="VYL9" s="352" t="s">
        <v>573</v>
      </c>
      <c r="VYM9" s="142" t="s">
        <v>575</v>
      </c>
      <c r="VYN9" s="358" t="s">
        <v>576</v>
      </c>
      <c r="VYO9" s="189" t="s">
        <v>574</v>
      </c>
      <c r="VYP9" s="352" t="s">
        <v>573</v>
      </c>
      <c r="VYQ9" s="142" t="s">
        <v>575</v>
      </c>
      <c r="VYR9" s="358" t="s">
        <v>576</v>
      </c>
      <c r="VYS9" s="189" t="s">
        <v>574</v>
      </c>
      <c r="VYT9" s="352" t="s">
        <v>573</v>
      </c>
      <c r="VYU9" s="142" t="s">
        <v>575</v>
      </c>
      <c r="VYV9" s="358" t="s">
        <v>576</v>
      </c>
      <c r="VYW9" s="189" t="s">
        <v>574</v>
      </c>
      <c r="VYX9" s="352" t="s">
        <v>573</v>
      </c>
      <c r="VYY9" s="142" t="s">
        <v>575</v>
      </c>
      <c r="VYZ9" s="358" t="s">
        <v>576</v>
      </c>
      <c r="VZA9" s="189" t="s">
        <v>574</v>
      </c>
      <c r="VZB9" s="352" t="s">
        <v>573</v>
      </c>
      <c r="VZC9" s="142" t="s">
        <v>575</v>
      </c>
      <c r="VZD9" s="358" t="s">
        <v>576</v>
      </c>
      <c r="VZE9" s="189" t="s">
        <v>574</v>
      </c>
      <c r="VZF9" s="352" t="s">
        <v>573</v>
      </c>
      <c r="VZG9" s="142" t="s">
        <v>575</v>
      </c>
      <c r="VZH9" s="358" t="s">
        <v>576</v>
      </c>
      <c r="VZI9" s="189" t="s">
        <v>574</v>
      </c>
      <c r="VZJ9" s="352" t="s">
        <v>573</v>
      </c>
      <c r="VZK9" s="142" t="s">
        <v>575</v>
      </c>
      <c r="VZL9" s="358" t="s">
        <v>576</v>
      </c>
      <c r="VZM9" s="189" t="s">
        <v>574</v>
      </c>
      <c r="VZN9" s="352" t="s">
        <v>573</v>
      </c>
      <c r="VZO9" s="142" t="s">
        <v>575</v>
      </c>
      <c r="VZP9" s="358" t="s">
        <v>576</v>
      </c>
      <c r="VZQ9" s="189" t="s">
        <v>574</v>
      </c>
      <c r="VZR9" s="352" t="s">
        <v>573</v>
      </c>
      <c r="VZS9" s="142" t="s">
        <v>575</v>
      </c>
      <c r="VZT9" s="358" t="s">
        <v>576</v>
      </c>
      <c r="VZU9" s="189" t="s">
        <v>574</v>
      </c>
      <c r="VZV9" s="352" t="s">
        <v>573</v>
      </c>
      <c r="VZW9" s="142" t="s">
        <v>575</v>
      </c>
      <c r="VZX9" s="358" t="s">
        <v>576</v>
      </c>
      <c r="VZY9" s="189" t="s">
        <v>574</v>
      </c>
      <c r="VZZ9" s="352" t="s">
        <v>573</v>
      </c>
      <c r="WAA9" s="142" t="s">
        <v>575</v>
      </c>
      <c r="WAB9" s="358" t="s">
        <v>576</v>
      </c>
      <c r="WAC9" s="189" t="s">
        <v>574</v>
      </c>
      <c r="WAD9" s="352" t="s">
        <v>573</v>
      </c>
      <c r="WAE9" s="142" t="s">
        <v>575</v>
      </c>
      <c r="WAF9" s="358" t="s">
        <v>576</v>
      </c>
      <c r="WAG9" s="189" t="s">
        <v>574</v>
      </c>
      <c r="WAH9" s="352" t="s">
        <v>573</v>
      </c>
      <c r="WAI9" s="142" t="s">
        <v>575</v>
      </c>
      <c r="WAJ9" s="358" t="s">
        <v>576</v>
      </c>
      <c r="WAK9" s="189" t="s">
        <v>574</v>
      </c>
      <c r="WAL9" s="352" t="s">
        <v>573</v>
      </c>
      <c r="WAM9" s="142" t="s">
        <v>575</v>
      </c>
      <c r="WAN9" s="358" t="s">
        <v>576</v>
      </c>
      <c r="WAO9" s="189" t="s">
        <v>574</v>
      </c>
      <c r="WAP9" s="352" t="s">
        <v>573</v>
      </c>
      <c r="WAQ9" s="142" t="s">
        <v>575</v>
      </c>
      <c r="WAR9" s="358" t="s">
        <v>576</v>
      </c>
      <c r="WAS9" s="189" t="s">
        <v>574</v>
      </c>
      <c r="WAT9" s="352" t="s">
        <v>573</v>
      </c>
      <c r="WAU9" s="142" t="s">
        <v>575</v>
      </c>
      <c r="WAV9" s="358" t="s">
        <v>576</v>
      </c>
      <c r="WAW9" s="189" t="s">
        <v>574</v>
      </c>
      <c r="WAX9" s="352" t="s">
        <v>573</v>
      </c>
      <c r="WAY9" s="142" t="s">
        <v>575</v>
      </c>
      <c r="WAZ9" s="358" t="s">
        <v>576</v>
      </c>
      <c r="WBA9" s="189" t="s">
        <v>574</v>
      </c>
      <c r="WBB9" s="352" t="s">
        <v>573</v>
      </c>
      <c r="WBC9" s="142" t="s">
        <v>575</v>
      </c>
      <c r="WBD9" s="358" t="s">
        <v>576</v>
      </c>
      <c r="WBE9" s="189" t="s">
        <v>574</v>
      </c>
      <c r="WBF9" s="352" t="s">
        <v>573</v>
      </c>
      <c r="WBG9" s="142" t="s">
        <v>575</v>
      </c>
      <c r="WBH9" s="358" t="s">
        <v>576</v>
      </c>
      <c r="WBI9" s="189" t="s">
        <v>574</v>
      </c>
      <c r="WBJ9" s="352" t="s">
        <v>573</v>
      </c>
      <c r="WBK9" s="142" t="s">
        <v>575</v>
      </c>
      <c r="WBL9" s="358" t="s">
        <v>576</v>
      </c>
      <c r="WBM9" s="189" t="s">
        <v>574</v>
      </c>
      <c r="WBN9" s="352" t="s">
        <v>573</v>
      </c>
      <c r="WBO9" s="142" t="s">
        <v>575</v>
      </c>
      <c r="WBP9" s="358" t="s">
        <v>576</v>
      </c>
      <c r="WBQ9" s="189" t="s">
        <v>574</v>
      </c>
      <c r="WBR9" s="352" t="s">
        <v>573</v>
      </c>
      <c r="WBS9" s="142" t="s">
        <v>575</v>
      </c>
      <c r="WBT9" s="358" t="s">
        <v>576</v>
      </c>
      <c r="WBU9" s="189" t="s">
        <v>574</v>
      </c>
      <c r="WBV9" s="352" t="s">
        <v>573</v>
      </c>
      <c r="WBW9" s="142" t="s">
        <v>575</v>
      </c>
      <c r="WBX9" s="358" t="s">
        <v>576</v>
      </c>
      <c r="WBY9" s="189" t="s">
        <v>574</v>
      </c>
      <c r="WBZ9" s="352" t="s">
        <v>573</v>
      </c>
      <c r="WCA9" s="142" t="s">
        <v>575</v>
      </c>
      <c r="WCB9" s="358" t="s">
        <v>576</v>
      </c>
      <c r="WCC9" s="189" t="s">
        <v>574</v>
      </c>
      <c r="WCD9" s="352" t="s">
        <v>573</v>
      </c>
      <c r="WCE9" s="142" t="s">
        <v>575</v>
      </c>
      <c r="WCF9" s="358" t="s">
        <v>576</v>
      </c>
      <c r="WCG9" s="189" t="s">
        <v>574</v>
      </c>
      <c r="WCH9" s="352" t="s">
        <v>573</v>
      </c>
      <c r="WCI9" s="142" t="s">
        <v>575</v>
      </c>
      <c r="WCJ9" s="358" t="s">
        <v>576</v>
      </c>
      <c r="WCK9" s="189" t="s">
        <v>574</v>
      </c>
      <c r="WCL9" s="352" t="s">
        <v>573</v>
      </c>
      <c r="WCM9" s="142" t="s">
        <v>575</v>
      </c>
      <c r="WCN9" s="358" t="s">
        <v>576</v>
      </c>
      <c r="WCO9" s="189" t="s">
        <v>574</v>
      </c>
      <c r="WCP9" s="352" t="s">
        <v>573</v>
      </c>
      <c r="WCQ9" s="142" t="s">
        <v>575</v>
      </c>
      <c r="WCR9" s="358" t="s">
        <v>576</v>
      </c>
      <c r="WCS9" s="189" t="s">
        <v>574</v>
      </c>
      <c r="WCT9" s="352" t="s">
        <v>573</v>
      </c>
      <c r="WCU9" s="142" t="s">
        <v>575</v>
      </c>
      <c r="WCV9" s="358" t="s">
        <v>576</v>
      </c>
      <c r="WCW9" s="189" t="s">
        <v>574</v>
      </c>
      <c r="WCX9" s="352" t="s">
        <v>573</v>
      </c>
      <c r="WCY9" s="142" t="s">
        <v>575</v>
      </c>
      <c r="WCZ9" s="358" t="s">
        <v>576</v>
      </c>
      <c r="WDA9" s="189" t="s">
        <v>574</v>
      </c>
      <c r="WDB9" s="352" t="s">
        <v>573</v>
      </c>
      <c r="WDC9" s="142" t="s">
        <v>575</v>
      </c>
      <c r="WDD9" s="358" t="s">
        <v>576</v>
      </c>
      <c r="WDE9" s="189" t="s">
        <v>574</v>
      </c>
      <c r="WDF9" s="352" t="s">
        <v>573</v>
      </c>
      <c r="WDG9" s="142" t="s">
        <v>575</v>
      </c>
      <c r="WDH9" s="358" t="s">
        <v>576</v>
      </c>
      <c r="WDI9" s="189" t="s">
        <v>574</v>
      </c>
      <c r="WDJ9" s="352" t="s">
        <v>573</v>
      </c>
      <c r="WDK9" s="142" t="s">
        <v>575</v>
      </c>
      <c r="WDL9" s="358" t="s">
        <v>576</v>
      </c>
      <c r="WDM9" s="189" t="s">
        <v>574</v>
      </c>
      <c r="WDN9" s="352" t="s">
        <v>573</v>
      </c>
      <c r="WDO9" s="142" t="s">
        <v>575</v>
      </c>
      <c r="WDP9" s="358" t="s">
        <v>576</v>
      </c>
      <c r="WDQ9" s="189" t="s">
        <v>574</v>
      </c>
      <c r="WDR9" s="352" t="s">
        <v>573</v>
      </c>
      <c r="WDS9" s="142" t="s">
        <v>575</v>
      </c>
      <c r="WDT9" s="358" t="s">
        <v>576</v>
      </c>
      <c r="WDU9" s="189" t="s">
        <v>574</v>
      </c>
      <c r="WDV9" s="352" t="s">
        <v>573</v>
      </c>
      <c r="WDW9" s="142" t="s">
        <v>575</v>
      </c>
      <c r="WDX9" s="358" t="s">
        <v>576</v>
      </c>
      <c r="WDY9" s="189" t="s">
        <v>574</v>
      </c>
      <c r="WDZ9" s="352" t="s">
        <v>573</v>
      </c>
      <c r="WEA9" s="142" t="s">
        <v>575</v>
      </c>
      <c r="WEB9" s="358" t="s">
        <v>576</v>
      </c>
      <c r="WEC9" s="189" t="s">
        <v>574</v>
      </c>
      <c r="WED9" s="352" t="s">
        <v>573</v>
      </c>
      <c r="WEE9" s="142" t="s">
        <v>575</v>
      </c>
      <c r="WEF9" s="358" t="s">
        <v>576</v>
      </c>
      <c r="WEG9" s="189" t="s">
        <v>574</v>
      </c>
      <c r="WEH9" s="352" t="s">
        <v>573</v>
      </c>
      <c r="WEI9" s="142" t="s">
        <v>575</v>
      </c>
      <c r="WEJ9" s="358" t="s">
        <v>576</v>
      </c>
      <c r="WEK9" s="189" t="s">
        <v>574</v>
      </c>
      <c r="WEL9" s="352" t="s">
        <v>573</v>
      </c>
      <c r="WEM9" s="142" t="s">
        <v>575</v>
      </c>
      <c r="WEN9" s="358" t="s">
        <v>576</v>
      </c>
      <c r="WEO9" s="189" t="s">
        <v>574</v>
      </c>
      <c r="WEP9" s="352" t="s">
        <v>573</v>
      </c>
      <c r="WEQ9" s="142" t="s">
        <v>575</v>
      </c>
      <c r="WER9" s="358" t="s">
        <v>576</v>
      </c>
      <c r="WES9" s="189" t="s">
        <v>574</v>
      </c>
      <c r="WET9" s="352" t="s">
        <v>573</v>
      </c>
      <c r="WEU9" s="142" t="s">
        <v>575</v>
      </c>
      <c r="WEV9" s="358" t="s">
        <v>576</v>
      </c>
      <c r="WEW9" s="189" t="s">
        <v>574</v>
      </c>
      <c r="WEX9" s="352" t="s">
        <v>573</v>
      </c>
      <c r="WEY9" s="142" t="s">
        <v>575</v>
      </c>
      <c r="WEZ9" s="358" t="s">
        <v>576</v>
      </c>
      <c r="WFA9" s="189" t="s">
        <v>574</v>
      </c>
      <c r="WFB9" s="352" t="s">
        <v>573</v>
      </c>
      <c r="WFC9" s="142" t="s">
        <v>575</v>
      </c>
      <c r="WFD9" s="358" t="s">
        <v>576</v>
      </c>
      <c r="WFE9" s="189" t="s">
        <v>574</v>
      </c>
      <c r="WFF9" s="352" t="s">
        <v>573</v>
      </c>
      <c r="WFG9" s="142" t="s">
        <v>575</v>
      </c>
      <c r="WFH9" s="358" t="s">
        <v>576</v>
      </c>
      <c r="WFI9" s="189" t="s">
        <v>574</v>
      </c>
      <c r="WFJ9" s="352" t="s">
        <v>573</v>
      </c>
      <c r="WFK9" s="142" t="s">
        <v>575</v>
      </c>
      <c r="WFL9" s="358" t="s">
        <v>576</v>
      </c>
      <c r="WFM9" s="189" t="s">
        <v>574</v>
      </c>
      <c r="WFN9" s="352" t="s">
        <v>573</v>
      </c>
      <c r="WFO9" s="142" t="s">
        <v>575</v>
      </c>
      <c r="WFP9" s="358" t="s">
        <v>576</v>
      </c>
      <c r="WFQ9" s="189" t="s">
        <v>574</v>
      </c>
      <c r="WFR9" s="352" t="s">
        <v>573</v>
      </c>
      <c r="WFS9" s="142" t="s">
        <v>575</v>
      </c>
      <c r="WFT9" s="358" t="s">
        <v>576</v>
      </c>
      <c r="WFU9" s="189" t="s">
        <v>574</v>
      </c>
      <c r="WFV9" s="352" t="s">
        <v>573</v>
      </c>
      <c r="WFW9" s="142" t="s">
        <v>575</v>
      </c>
      <c r="WFX9" s="358" t="s">
        <v>576</v>
      </c>
      <c r="WFY9" s="189" t="s">
        <v>574</v>
      </c>
      <c r="WFZ9" s="352" t="s">
        <v>573</v>
      </c>
      <c r="WGA9" s="142" t="s">
        <v>575</v>
      </c>
      <c r="WGB9" s="358" t="s">
        <v>576</v>
      </c>
      <c r="WGC9" s="189" t="s">
        <v>574</v>
      </c>
      <c r="WGD9" s="352" t="s">
        <v>573</v>
      </c>
      <c r="WGE9" s="142" t="s">
        <v>575</v>
      </c>
      <c r="WGF9" s="358" t="s">
        <v>576</v>
      </c>
      <c r="WGG9" s="189" t="s">
        <v>574</v>
      </c>
      <c r="WGH9" s="352" t="s">
        <v>573</v>
      </c>
      <c r="WGI9" s="142" t="s">
        <v>575</v>
      </c>
      <c r="WGJ9" s="358" t="s">
        <v>576</v>
      </c>
      <c r="WGK9" s="189" t="s">
        <v>574</v>
      </c>
      <c r="WGL9" s="352" t="s">
        <v>573</v>
      </c>
      <c r="WGM9" s="142" t="s">
        <v>575</v>
      </c>
      <c r="WGN9" s="358" t="s">
        <v>576</v>
      </c>
      <c r="WGO9" s="189" t="s">
        <v>574</v>
      </c>
      <c r="WGP9" s="352" t="s">
        <v>573</v>
      </c>
      <c r="WGQ9" s="142" t="s">
        <v>575</v>
      </c>
      <c r="WGR9" s="358" t="s">
        <v>576</v>
      </c>
      <c r="WGS9" s="189" t="s">
        <v>574</v>
      </c>
      <c r="WGT9" s="352" t="s">
        <v>573</v>
      </c>
      <c r="WGU9" s="142" t="s">
        <v>575</v>
      </c>
      <c r="WGV9" s="358" t="s">
        <v>576</v>
      </c>
      <c r="WGW9" s="189" t="s">
        <v>574</v>
      </c>
      <c r="WGX9" s="352" t="s">
        <v>573</v>
      </c>
      <c r="WGY9" s="142" t="s">
        <v>575</v>
      </c>
      <c r="WGZ9" s="358" t="s">
        <v>576</v>
      </c>
      <c r="WHA9" s="189" t="s">
        <v>574</v>
      </c>
      <c r="WHB9" s="352" t="s">
        <v>573</v>
      </c>
      <c r="WHC9" s="142" t="s">
        <v>575</v>
      </c>
      <c r="WHD9" s="358" t="s">
        <v>576</v>
      </c>
      <c r="WHE9" s="189" t="s">
        <v>574</v>
      </c>
      <c r="WHF9" s="352" t="s">
        <v>573</v>
      </c>
      <c r="WHG9" s="142" t="s">
        <v>575</v>
      </c>
      <c r="WHH9" s="358" t="s">
        <v>576</v>
      </c>
      <c r="WHI9" s="189" t="s">
        <v>574</v>
      </c>
      <c r="WHJ9" s="352" t="s">
        <v>573</v>
      </c>
      <c r="WHK9" s="142" t="s">
        <v>575</v>
      </c>
      <c r="WHL9" s="358" t="s">
        <v>576</v>
      </c>
      <c r="WHM9" s="189" t="s">
        <v>574</v>
      </c>
      <c r="WHN9" s="352" t="s">
        <v>573</v>
      </c>
      <c r="WHO9" s="142" t="s">
        <v>575</v>
      </c>
      <c r="WHP9" s="358" t="s">
        <v>576</v>
      </c>
      <c r="WHQ9" s="189" t="s">
        <v>574</v>
      </c>
      <c r="WHR9" s="352" t="s">
        <v>573</v>
      </c>
      <c r="WHS9" s="142" t="s">
        <v>575</v>
      </c>
      <c r="WHT9" s="358" t="s">
        <v>576</v>
      </c>
      <c r="WHU9" s="189" t="s">
        <v>574</v>
      </c>
      <c r="WHV9" s="352" t="s">
        <v>573</v>
      </c>
      <c r="WHW9" s="142" t="s">
        <v>575</v>
      </c>
      <c r="WHX9" s="358" t="s">
        <v>576</v>
      </c>
      <c r="WHY9" s="189" t="s">
        <v>574</v>
      </c>
      <c r="WHZ9" s="352" t="s">
        <v>573</v>
      </c>
      <c r="WIA9" s="142" t="s">
        <v>575</v>
      </c>
      <c r="WIB9" s="358" t="s">
        <v>576</v>
      </c>
      <c r="WIC9" s="189" t="s">
        <v>574</v>
      </c>
      <c r="WID9" s="352" t="s">
        <v>573</v>
      </c>
      <c r="WIE9" s="142" t="s">
        <v>575</v>
      </c>
      <c r="WIF9" s="358" t="s">
        <v>576</v>
      </c>
      <c r="WIG9" s="189" t="s">
        <v>574</v>
      </c>
      <c r="WIH9" s="352" t="s">
        <v>573</v>
      </c>
      <c r="WII9" s="142" t="s">
        <v>575</v>
      </c>
      <c r="WIJ9" s="358" t="s">
        <v>576</v>
      </c>
      <c r="WIK9" s="189" t="s">
        <v>574</v>
      </c>
      <c r="WIL9" s="352" t="s">
        <v>573</v>
      </c>
      <c r="WIM9" s="142" t="s">
        <v>575</v>
      </c>
      <c r="WIN9" s="358" t="s">
        <v>576</v>
      </c>
      <c r="WIO9" s="189" t="s">
        <v>574</v>
      </c>
      <c r="WIP9" s="352" t="s">
        <v>573</v>
      </c>
      <c r="WIQ9" s="142" t="s">
        <v>575</v>
      </c>
      <c r="WIR9" s="358" t="s">
        <v>576</v>
      </c>
      <c r="WIS9" s="189" t="s">
        <v>574</v>
      </c>
      <c r="WIT9" s="352" t="s">
        <v>573</v>
      </c>
      <c r="WIU9" s="142" t="s">
        <v>575</v>
      </c>
      <c r="WIV9" s="358" t="s">
        <v>576</v>
      </c>
      <c r="WIW9" s="189" t="s">
        <v>574</v>
      </c>
      <c r="WIX9" s="352" t="s">
        <v>573</v>
      </c>
      <c r="WIY9" s="142" t="s">
        <v>575</v>
      </c>
      <c r="WIZ9" s="358" t="s">
        <v>576</v>
      </c>
      <c r="WJA9" s="189" t="s">
        <v>574</v>
      </c>
      <c r="WJB9" s="352" t="s">
        <v>573</v>
      </c>
      <c r="WJC9" s="142" t="s">
        <v>575</v>
      </c>
      <c r="WJD9" s="358" t="s">
        <v>576</v>
      </c>
      <c r="WJE9" s="189" t="s">
        <v>574</v>
      </c>
      <c r="WJF9" s="352" t="s">
        <v>573</v>
      </c>
      <c r="WJG9" s="142" t="s">
        <v>575</v>
      </c>
      <c r="WJH9" s="358" t="s">
        <v>576</v>
      </c>
      <c r="WJI9" s="189" t="s">
        <v>574</v>
      </c>
      <c r="WJJ9" s="352" t="s">
        <v>573</v>
      </c>
      <c r="WJK9" s="142" t="s">
        <v>575</v>
      </c>
      <c r="WJL9" s="358" t="s">
        <v>576</v>
      </c>
      <c r="WJM9" s="189" t="s">
        <v>574</v>
      </c>
      <c r="WJN9" s="352" t="s">
        <v>573</v>
      </c>
      <c r="WJO9" s="142" t="s">
        <v>575</v>
      </c>
      <c r="WJP9" s="358" t="s">
        <v>576</v>
      </c>
      <c r="WJQ9" s="189" t="s">
        <v>574</v>
      </c>
      <c r="WJR9" s="352" t="s">
        <v>573</v>
      </c>
      <c r="WJS9" s="142" t="s">
        <v>575</v>
      </c>
      <c r="WJT9" s="358" t="s">
        <v>576</v>
      </c>
      <c r="WJU9" s="189" t="s">
        <v>574</v>
      </c>
      <c r="WJV9" s="352" t="s">
        <v>573</v>
      </c>
      <c r="WJW9" s="142" t="s">
        <v>575</v>
      </c>
      <c r="WJX9" s="358" t="s">
        <v>576</v>
      </c>
      <c r="WJY9" s="189" t="s">
        <v>574</v>
      </c>
      <c r="WJZ9" s="352" t="s">
        <v>573</v>
      </c>
      <c r="WKA9" s="142" t="s">
        <v>575</v>
      </c>
      <c r="WKB9" s="358" t="s">
        <v>576</v>
      </c>
      <c r="WKC9" s="189" t="s">
        <v>574</v>
      </c>
      <c r="WKD9" s="352" t="s">
        <v>573</v>
      </c>
      <c r="WKE9" s="142" t="s">
        <v>575</v>
      </c>
      <c r="WKF9" s="358" t="s">
        <v>576</v>
      </c>
      <c r="WKG9" s="189" t="s">
        <v>574</v>
      </c>
      <c r="WKH9" s="352" t="s">
        <v>573</v>
      </c>
      <c r="WKI9" s="142" t="s">
        <v>575</v>
      </c>
      <c r="WKJ9" s="358" t="s">
        <v>576</v>
      </c>
      <c r="WKK9" s="189" t="s">
        <v>574</v>
      </c>
      <c r="WKL9" s="352" t="s">
        <v>573</v>
      </c>
      <c r="WKM9" s="142" t="s">
        <v>575</v>
      </c>
      <c r="WKN9" s="358" t="s">
        <v>576</v>
      </c>
      <c r="WKO9" s="189" t="s">
        <v>574</v>
      </c>
      <c r="WKP9" s="352" t="s">
        <v>573</v>
      </c>
      <c r="WKQ9" s="142" t="s">
        <v>575</v>
      </c>
      <c r="WKR9" s="358" t="s">
        <v>576</v>
      </c>
      <c r="WKS9" s="189" t="s">
        <v>574</v>
      </c>
      <c r="WKT9" s="352" t="s">
        <v>573</v>
      </c>
      <c r="WKU9" s="142" t="s">
        <v>575</v>
      </c>
      <c r="WKV9" s="358" t="s">
        <v>576</v>
      </c>
      <c r="WKW9" s="189" t="s">
        <v>574</v>
      </c>
      <c r="WKX9" s="352" t="s">
        <v>573</v>
      </c>
      <c r="WKY9" s="142" t="s">
        <v>575</v>
      </c>
      <c r="WKZ9" s="358" t="s">
        <v>576</v>
      </c>
      <c r="WLA9" s="189" t="s">
        <v>574</v>
      </c>
      <c r="WLB9" s="352" t="s">
        <v>573</v>
      </c>
      <c r="WLC9" s="142" t="s">
        <v>575</v>
      </c>
      <c r="WLD9" s="358" t="s">
        <v>576</v>
      </c>
      <c r="WLE9" s="189" t="s">
        <v>574</v>
      </c>
      <c r="WLF9" s="352" t="s">
        <v>573</v>
      </c>
      <c r="WLG9" s="142" t="s">
        <v>575</v>
      </c>
      <c r="WLH9" s="358" t="s">
        <v>576</v>
      </c>
      <c r="WLI9" s="189" t="s">
        <v>574</v>
      </c>
      <c r="WLJ9" s="352" t="s">
        <v>573</v>
      </c>
      <c r="WLK9" s="142" t="s">
        <v>575</v>
      </c>
      <c r="WLL9" s="358" t="s">
        <v>576</v>
      </c>
      <c r="WLM9" s="189" t="s">
        <v>574</v>
      </c>
      <c r="WLN9" s="352" t="s">
        <v>573</v>
      </c>
      <c r="WLO9" s="142" t="s">
        <v>575</v>
      </c>
      <c r="WLP9" s="358" t="s">
        <v>576</v>
      </c>
      <c r="WLQ9" s="189" t="s">
        <v>574</v>
      </c>
      <c r="WLR9" s="352" t="s">
        <v>573</v>
      </c>
      <c r="WLS9" s="142" t="s">
        <v>575</v>
      </c>
      <c r="WLT9" s="358" t="s">
        <v>576</v>
      </c>
      <c r="WLU9" s="189" t="s">
        <v>574</v>
      </c>
      <c r="WLV9" s="352" t="s">
        <v>573</v>
      </c>
      <c r="WLW9" s="142" t="s">
        <v>575</v>
      </c>
      <c r="WLX9" s="358" t="s">
        <v>576</v>
      </c>
      <c r="WLY9" s="189" t="s">
        <v>574</v>
      </c>
      <c r="WLZ9" s="352" t="s">
        <v>573</v>
      </c>
      <c r="WMA9" s="142" t="s">
        <v>575</v>
      </c>
      <c r="WMB9" s="358" t="s">
        <v>576</v>
      </c>
      <c r="WMC9" s="189" t="s">
        <v>574</v>
      </c>
      <c r="WMD9" s="352" t="s">
        <v>573</v>
      </c>
      <c r="WME9" s="142" t="s">
        <v>575</v>
      </c>
      <c r="WMF9" s="358" t="s">
        <v>576</v>
      </c>
      <c r="WMG9" s="189" t="s">
        <v>574</v>
      </c>
      <c r="WMH9" s="352" t="s">
        <v>573</v>
      </c>
      <c r="WMI9" s="142" t="s">
        <v>575</v>
      </c>
      <c r="WMJ9" s="358" t="s">
        <v>576</v>
      </c>
      <c r="WMK9" s="189" t="s">
        <v>574</v>
      </c>
      <c r="WML9" s="352" t="s">
        <v>573</v>
      </c>
      <c r="WMM9" s="142" t="s">
        <v>575</v>
      </c>
      <c r="WMN9" s="358" t="s">
        <v>576</v>
      </c>
      <c r="WMO9" s="189" t="s">
        <v>574</v>
      </c>
      <c r="WMP9" s="352" t="s">
        <v>573</v>
      </c>
      <c r="WMQ9" s="142" t="s">
        <v>575</v>
      </c>
      <c r="WMR9" s="358" t="s">
        <v>576</v>
      </c>
      <c r="WMS9" s="189" t="s">
        <v>574</v>
      </c>
      <c r="WMT9" s="352" t="s">
        <v>573</v>
      </c>
      <c r="WMU9" s="142" t="s">
        <v>575</v>
      </c>
      <c r="WMV9" s="358" t="s">
        <v>576</v>
      </c>
      <c r="WMW9" s="189" t="s">
        <v>574</v>
      </c>
      <c r="WMX9" s="352" t="s">
        <v>573</v>
      </c>
      <c r="WMY9" s="142" t="s">
        <v>575</v>
      </c>
      <c r="WMZ9" s="358" t="s">
        <v>576</v>
      </c>
      <c r="WNA9" s="189" t="s">
        <v>574</v>
      </c>
      <c r="WNB9" s="352" t="s">
        <v>573</v>
      </c>
      <c r="WNC9" s="142" t="s">
        <v>575</v>
      </c>
      <c r="WND9" s="358" t="s">
        <v>576</v>
      </c>
      <c r="WNE9" s="189" t="s">
        <v>574</v>
      </c>
      <c r="WNF9" s="352" t="s">
        <v>573</v>
      </c>
      <c r="WNG9" s="142" t="s">
        <v>575</v>
      </c>
      <c r="WNH9" s="358" t="s">
        <v>576</v>
      </c>
      <c r="WNI9" s="189" t="s">
        <v>574</v>
      </c>
      <c r="WNJ9" s="352" t="s">
        <v>573</v>
      </c>
      <c r="WNK9" s="142" t="s">
        <v>575</v>
      </c>
      <c r="WNL9" s="358" t="s">
        <v>576</v>
      </c>
      <c r="WNM9" s="189" t="s">
        <v>574</v>
      </c>
      <c r="WNN9" s="352" t="s">
        <v>573</v>
      </c>
      <c r="WNO9" s="142" t="s">
        <v>575</v>
      </c>
      <c r="WNP9" s="358" t="s">
        <v>576</v>
      </c>
      <c r="WNQ9" s="189" t="s">
        <v>574</v>
      </c>
      <c r="WNR9" s="352" t="s">
        <v>573</v>
      </c>
      <c r="WNS9" s="142" t="s">
        <v>575</v>
      </c>
      <c r="WNT9" s="358" t="s">
        <v>576</v>
      </c>
      <c r="WNU9" s="189" t="s">
        <v>574</v>
      </c>
      <c r="WNV9" s="352" t="s">
        <v>573</v>
      </c>
      <c r="WNW9" s="142" t="s">
        <v>575</v>
      </c>
      <c r="WNX9" s="358" t="s">
        <v>576</v>
      </c>
      <c r="WNY9" s="189" t="s">
        <v>574</v>
      </c>
      <c r="WNZ9" s="352" t="s">
        <v>573</v>
      </c>
      <c r="WOA9" s="142" t="s">
        <v>575</v>
      </c>
      <c r="WOB9" s="358" t="s">
        <v>576</v>
      </c>
      <c r="WOC9" s="189" t="s">
        <v>574</v>
      </c>
      <c r="WOD9" s="352" t="s">
        <v>573</v>
      </c>
      <c r="WOE9" s="142" t="s">
        <v>575</v>
      </c>
      <c r="WOF9" s="358" t="s">
        <v>576</v>
      </c>
      <c r="WOG9" s="189" t="s">
        <v>574</v>
      </c>
      <c r="WOH9" s="352" t="s">
        <v>573</v>
      </c>
      <c r="WOI9" s="142" t="s">
        <v>575</v>
      </c>
      <c r="WOJ9" s="358" t="s">
        <v>576</v>
      </c>
      <c r="WOK9" s="189" t="s">
        <v>574</v>
      </c>
      <c r="WOL9" s="352" t="s">
        <v>573</v>
      </c>
      <c r="WOM9" s="142" t="s">
        <v>575</v>
      </c>
      <c r="WON9" s="358" t="s">
        <v>576</v>
      </c>
      <c r="WOO9" s="189" t="s">
        <v>574</v>
      </c>
      <c r="WOP9" s="352" t="s">
        <v>573</v>
      </c>
      <c r="WOQ9" s="142" t="s">
        <v>575</v>
      </c>
      <c r="WOR9" s="358" t="s">
        <v>576</v>
      </c>
      <c r="WOS9" s="189" t="s">
        <v>574</v>
      </c>
      <c r="WOT9" s="352" t="s">
        <v>573</v>
      </c>
      <c r="WOU9" s="142" t="s">
        <v>575</v>
      </c>
      <c r="WOV9" s="358" t="s">
        <v>576</v>
      </c>
      <c r="WOW9" s="189" t="s">
        <v>574</v>
      </c>
      <c r="WOX9" s="352" t="s">
        <v>573</v>
      </c>
      <c r="WOY9" s="142" t="s">
        <v>575</v>
      </c>
      <c r="WOZ9" s="358" t="s">
        <v>576</v>
      </c>
      <c r="WPA9" s="189" t="s">
        <v>574</v>
      </c>
      <c r="WPB9" s="352" t="s">
        <v>573</v>
      </c>
      <c r="WPC9" s="142" t="s">
        <v>575</v>
      </c>
      <c r="WPD9" s="358" t="s">
        <v>576</v>
      </c>
      <c r="WPE9" s="189" t="s">
        <v>574</v>
      </c>
      <c r="WPF9" s="352" t="s">
        <v>573</v>
      </c>
      <c r="WPG9" s="142" t="s">
        <v>575</v>
      </c>
      <c r="WPH9" s="358" t="s">
        <v>576</v>
      </c>
      <c r="WPI9" s="189" t="s">
        <v>574</v>
      </c>
      <c r="WPJ9" s="352" t="s">
        <v>573</v>
      </c>
      <c r="WPK9" s="142" t="s">
        <v>575</v>
      </c>
      <c r="WPL9" s="358" t="s">
        <v>576</v>
      </c>
      <c r="WPM9" s="189" t="s">
        <v>574</v>
      </c>
      <c r="WPN9" s="352" t="s">
        <v>573</v>
      </c>
      <c r="WPO9" s="142" t="s">
        <v>575</v>
      </c>
      <c r="WPP9" s="358" t="s">
        <v>576</v>
      </c>
      <c r="WPQ9" s="189" t="s">
        <v>574</v>
      </c>
      <c r="WPR9" s="352" t="s">
        <v>573</v>
      </c>
      <c r="WPS9" s="142" t="s">
        <v>575</v>
      </c>
      <c r="WPT9" s="358" t="s">
        <v>576</v>
      </c>
      <c r="WPU9" s="189" t="s">
        <v>574</v>
      </c>
      <c r="WPV9" s="352" t="s">
        <v>573</v>
      </c>
      <c r="WPW9" s="142" t="s">
        <v>575</v>
      </c>
      <c r="WPX9" s="358" t="s">
        <v>576</v>
      </c>
      <c r="WPY9" s="189" t="s">
        <v>574</v>
      </c>
      <c r="WPZ9" s="352" t="s">
        <v>573</v>
      </c>
      <c r="WQA9" s="142" t="s">
        <v>575</v>
      </c>
      <c r="WQB9" s="358" t="s">
        <v>576</v>
      </c>
      <c r="WQC9" s="189" t="s">
        <v>574</v>
      </c>
      <c r="WQD9" s="352" t="s">
        <v>573</v>
      </c>
      <c r="WQE9" s="142" t="s">
        <v>575</v>
      </c>
      <c r="WQF9" s="358" t="s">
        <v>576</v>
      </c>
      <c r="WQG9" s="189" t="s">
        <v>574</v>
      </c>
      <c r="WQH9" s="352" t="s">
        <v>573</v>
      </c>
      <c r="WQI9" s="142" t="s">
        <v>575</v>
      </c>
      <c r="WQJ9" s="358" t="s">
        <v>576</v>
      </c>
      <c r="WQK9" s="189" t="s">
        <v>574</v>
      </c>
      <c r="WQL9" s="352" t="s">
        <v>573</v>
      </c>
      <c r="WQM9" s="142" t="s">
        <v>575</v>
      </c>
      <c r="WQN9" s="358" t="s">
        <v>576</v>
      </c>
      <c r="WQO9" s="189" t="s">
        <v>574</v>
      </c>
      <c r="WQP9" s="352" t="s">
        <v>573</v>
      </c>
      <c r="WQQ9" s="142" t="s">
        <v>575</v>
      </c>
      <c r="WQR9" s="358" t="s">
        <v>576</v>
      </c>
      <c r="WQS9" s="189" t="s">
        <v>574</v>
      </c>
      <c r="WQT9" s="352" t="s">
        <v>573</v>
      </c>
      <c r="WQU9" s="142" t="s">
        <v>575</v>
      </c>
      <c r="WQV9" s="358" t="s">
        <v>576</v>
      </c>
      <c r="WQW9" s="189" t="s">
        <v>574</v>
      </c>
      <c r="WQX9" s="352" t="s">
        <v>573</v>
      </c>
      <c r="WQY9" s="142" t="s">
        <v>575</v>
      </c>
      <c r="WQZ9" s="358" t="s">
        <v>576</v>
      </c>
      <c r="WRA9" s="189" t="s">
        <v>574</v>
      </c>
      <c r="WRB9" s="352" t="s">
        <v>573</v>
      </c>
      <c r="WRC9" s="142" t="s">
        <v>575</v>
      </c>
      <c r="WRD9" s="358" t="s">
        <v>576</v>
      </c>
      <c r="WRE9" s="189" t="s">
        <v>574</v>
      </c>
      <c r="WRF9" s="352" t="s">
        <v>573</v>
      </c>
      <c r="WRG9" s="142" t="s">
        <v>575</v>
      </c>
      <c r="WRH9" s="358" t="s">
        <v>576</v>
      </c>
      <c r="WRI9" s="189" t="s">
        <v>574</v>
      </c>
      <c r="WRJ9" s="352" t="s">
        <v>573</v>
      </c>
      <c r="WRK9" s="142" t="s">
        <v>575</v>
      </c>
      <c r="WRL9" s="358" t="s">
        <v>576</v>
      </c>
      <c r="WRM9" s="189" t="s">
        <v>574</v>
      </c>
      <c r="WRN9" s="352" t="s">
        <v>573</v>
      </c>
      <c r="WRO9" s="142" t="s">
        <v>575</v>
      </c>
      <c r="WRP9" s="358" t="s">
        <v>576</v>
      </c>
      <c r="WRQ9" s="189" t="s">
        <v>574</v>
      </c>
      <c r="WRR9" s="352" t="s">
        <v>573</v>
      </c>
      <c r="WRS9" s="142" t="s">
        <v>575</v>
      </c>
      <c r="WRT9" s="358" t="s">
        <v>576</v>
      </c>
      <c r="WRU9" s="189" t="s">
        <v>574</v>
      </c>
      <c r="WRV9" s="352" t="s">
        <v>573</v>
      </c>
      <c r="WRW9" s="142" t="s">
        <v>575</v>
      </c>
      <c r="WRX9" s="358" t="s">
        <v>576</v>
      </c>
      <c r="WRY9" s="189" t="s">
        <v>574</v>
      </c>
      <c r="WRZ9" s="352" t="s">
        <v>573</v>
      </c>
      <c r="WSA9" s="142" t="s">
        <v>575</v>
      </c>
      <c r="WSB9" s="358" t="s">
        <v>576</v>
      </c>
      <c r="WSC9" s="189" t="s">
        <v>574</v>
      </c>
      <c r="WSD9" s="352" t="s">
        <v>573</v>
      </c>
      <c r="WSE9" s="142" t="s">
        <v>575</v>
      </c>
      <c r="WSF9" s="358" t="s">
        <v>576</v>
      </c>
      <c r="WSG9" s="189" t="s">
        <v>574</v>
      </c>
      <c r="WSH9" s="352" t="s">
        <v>573</v>
      </c>
      <c r="WSI9" s="142" t="s">
        <v>575</v>
      </c>
      <c r="WSJ9" s="358" t="s">
        <v>576</v>
      </c>
      <c r="WSK9" s="189" t="s">
        <v>574</v>
      </c>
      <c r="WSL9" s="352" t="s">
        <v>573</v>
      </c>
      <c r="WSM9" s="142" t="s">
        <v>575</v>
      </c>
      <c r="WSN9" s="358" t="s">
        <v>576</v>
      </c>
      <c r="WSO9" s="189" t="s">
        <v>574</v>
      </c>
      <c r="WSP9" s="352" t="s">
        <v>573</v>
      </c>
      <c r="WSQ9" s="142" t="s">
        <v>575</v>
      </c>
      <c r="WSR9" s="358" t="s">
        <v>576</v>
      </c>
      <c r="WSS9" s="189" t="s">
        <v>574</v>
      </c>
      <c r="WST9" s="352" t="s">
        <v>573</v>
      </c>
      <c r="WSU9" s="142" t="s">
        <v>575</v>
      </c>
      <c r="WSV9" s="358" t="s">
        <v>576</v>
      </c>
      <c r="WSW9" s="189" t="s">
        <v>574</v>
      </c>
      <c r="WSX9" s="352" t="s">
        <v>573</v>
      </c>
      <c r="WSY9" s="142" t="s">
        <v>575</v>
      </c>
      <c r="WSZ9" s="358" t="s">
        <v>576</v>
      </c>
      <c r="WTA9" s="189" t="s">
        <v>574</v>
      </c>
      <c r="WTB9" s="352" t="s">
        <v>573</v>
      </c>
      <c r="WTC9" s="142" t="s">
        <v>575</v>
      </c>
      <c r="WTD9" s="358" t="s">
        <v>576</v>
      </c>
      <c r="WTE9" s="189" t="s">
        <v>574</v>
      </c>
      <c r="WTF9" s="352" t="s">
        <v>573</v>
      </c>
      <c r="WTG9" s="142" t="s">
        <v>575</v>
      </c>
      <c r="WTH9" s="358" t="s">
        <v>576</v>
      </c>
      <c r="WTI9" s="189" t="s">
        <v>574</v>
      </c>
      <c r="WTJ9" s="352" t="s">
        <v>573</v>
      </c>
      <c r="WTK9" s="142" t="s">
        <v>575</v>
      </c>
      <c r="WTL9" s="358" t="s">
        <v>576</v>
      </c>
      <c r="WTM9" s="189" t="s">
        <v>574</v>
      </c>
      <c r="WTN9" s="352" t="s">
        <v>573</v>
      </c>
      <c r="WTO9" s="142" t="s">
        <v>575</v>
      </c>
      <c r="WTP9" s="358" t="s">
        <v>576</v>
      </c>
      <c r="WTQ9" s="189" t="s">
        <v>574</v>
      </c>
      <c r="WTR9" s="352" t="s">
        <v>573</v>
      </c>
      <c r="WTS9" s="142" t="s">
        <v>575</v>
      </c>
      <c r="WTT9" s="358" t="s">
        <v>576</v>
      </c>
      <c r="WTU9" s="189" t="s">
        <v>574</v>
      </c>
      <c r="WTV9" s="352" t="s">
        <v>573</v>
      </c>
      <c r="WTW9" s="142" t="s">
        <v>575</v>
      </c>
      <c r="WTX9" s="358" t="s">
        <v>576</v>
      </c>
      <c r="WTY9" s="189" t="s">
        <v>574</v>
      </c>
      <c r="WTZ9" s="352" t="s">
        <v>573</v>
      </c>
      <c r="WUA9" s="142" t="s">
        <v>575</v>
      </c>
      <c r="WUB9" s="358" t="s">
        <v>576</v>
      </c>
      <c r="WUC9" s="189" t="s">
        <v>574</v>
      </c>
      <c r="WUD9" s="352" t="s">
        <v>573</v>
      </c>
      <c r="WUE9" s="142" t="s">
        <v>575</v>
      </c>
      <c r="WUF9" s="358" t="s">
        <v>576</v>
      </c>
      <c r="WUG9" s="189" t="s">
        <v>574</v>
      </c>
      <c r="WUH9" s="352" t="s">
        <v>573</v>
      </c>
      <c r="WUI9" s="142" t="s">
        <v>575</v>
      </c>
      <c r="WUJ9" s="358" t="s">
        <v>576</v>
      </c>
      <c r="WUK9" s="189" t="s">
        <v>574</v>
      </c>
      <c r="WUL9" s="352" t="s">
        <v>573</v>
      </c>
      <c r="WUM9" s="142" t="s">
        <v>575</v>
      </c>
      <c r="WUN9" s="358" t="s">
        <v>576</v>
      </c>
      <c r="WUO9" s="189" t="s">
        <v>574</v>
      </c>
      <c r="WUP9" s="352" t="s">
        <v>573</v>
      </c>
      <c r="WUQ9" s="142" t="s">
        <v>575</v>
      </c>
      <c r="WUR9" s="358" t="s">
        <v>576</v>
      </c>
      <c r="WUS9" s="189" t="s">
        <v>574</v>
      </c>
      <c r="WUT9" s="352" t="s">
        <v>573</v>
      </c>
      <c r="WUU9" s="142" t="s">
        <v>575</v>
      </c>
      <c r="WUV9" s="358" t="s">
        <v>576</v>
      </c>
      <c r="WUW9" s="189" t="s">
        <v>574</v>
      </c>
      <c r="WUX9" s="352" t="s">
        <v>573</v>
      </c>
      <c r="WUY9" s="142" t="s">
        <v>575</v>
      </c>
      <c r="WUZ9" s="358" t="s">
        <v>576</v>
      </c>
      <c r="WVA9" s="189" t="s">
        <v>574</v>
      </c>
      <c r="WVB9" s="352" t="s">
        <v>573</v>
      </c>
      <c r="WVC9" s="142" t="s">
        <v>575</v>
      </c>
      <c r="WVD9" s="358" t="s">
        <v>576</v>
      </c>
      <c r="WVE9" s="189" t="s">
        <v>574</v>
      </c>
      <c r="WVF9" s="352" t="s">
        <v>573</v>
      </c>
      <c r="WVG9" s="142" t="s">
        <v>575</v>
      </c>
      <c r="WVH9" s="358" t="s">
        <v>576</v>
      </c>
      <c r="WVI9" s="189" t="s">
        <v>574</v>
      </c>
      <c r="WVJ9" s="352" t="s">
        <v>573</v>
      </c>
      <c r="WVK9" s="142" t="s">
        <v>575</v>
      </c>
      <c r="WVL9" s="358" t="s">
        <v>576</v>
      </c>
      <c r="WVM9" s="189" t="s">
        <v>574</v>
      </c>
      <c r="WVN9" s="352" t="s">
        <v>573</v>
      </c>
      <c r="WVO9" s="142" t="s">
        <v>575</v>
      </c>
      <c r="WVP9" s="358" t="s">
        <v>576</v>
      </c>
      <c r="WVQ9" s="189" t="s">
        <v>574</v>
      </c>
      <c r="WVR9" s="352" t="s">
        <v>573</v>
      </c>
      <c r="WVS9" s="142" t="s">
        <v>575</v>
      </c>
      <c r="WVT9" s="358" t="s">
        <v>576</v>
      </c>
      <c r="WVU9" s="189" t="s">
        <v>574</v>
      </c>
      <c r="WVV9" s="352" t="s">
        <v>573</v>
      </c>
      <c r="WVW9" s="142" t="s">
        <v>575</v>
      </c>
      <c r="WVX9" s="358" t="s">
        <v>576</v>
      </c>
      <c r="WVY9" s="189" t="s">
        <v>574</v>
      </c>
      <c r="WVZ9" s="352" t="s">
        <v>573</v>
      </c>
      <c r="WWA9" s="142" t="s">
        <v>575</v>
      </c>
      <c r="WWB9" s="358" t="s">
        <v>576</v>
      </c>
      <c r="WWC9" s="189" t="s">
        <v>574</v>
      </c>
      <c r="WWD9" s="352" t="s">
        <v>573</v>
      </c>
      <c r="WWE9" s="142" t="s">
        <v>575</v>
      </c>
      <c r="WWF9" s="358" t="s">
        <v>576</v>
      </c>
      <c r="WWG9" s="189" t="s">
        <v>574</v>
      </c>
      <c r="WWH9" s="352" t="s">
        <v>573</v>
      </c>
      <c r="WWI9" s="142" t="s">
        <v>575</v>
      </c>
      <c r="WWJ9" s="358" t="s">
        <v>576</v>
      </c>
      <c r="WWK9" s="189" t="s">
        <v>574</v>
      </c>
      <c r="WWL9" s="352" t="s">
        <v>573</v>
      </c>
      <c r="WWM9" s="142" t="s">
        <v>575</v>
      </c>
      <c r="WWN9" s="358" t="s">
        <v>576</v>
      </c>
      <c r="WWO9" s="189" t="s">
        <v>574</v>
      </c>
      <c r="WWP9" s="352" t="s">
        <v>573</v>
      </c>
      <c r="WWQ9" s="142" t="s">
        <v>575</v>
      </c>
      <c r="WWR9" s="358" t="s">
        <v>576</v>
      </c>
      <c r="WWS9" s="189" t="s">
        <v>574</v>
      </c>
      <c r="WWT9" s="352" t="s">
        <v>573</v>
      </c>
      <c r="WWU9" s="142" t="s">
        <v>575</v>
      </c>
      <c r="WWV9" s="358" t="s">
        <v>576</v>
      </c>
      <c r="WWW9" s="189" t="s">
        <v>574</v>
      </c>
      <c r="WWX9" s="352" t="s">
        <v>573</v>
      </c>
      <c r="WWY9" s="142" t="s">
        <v>575</v>
      </c>
      <c r="WWZ9" s="358" t="s">
        <v>576</v>
      </c>
      <c r="WXA9" s="189" t="s">
        <v>574</v>
      </c>
      <c r="WXB9" s="352" t="s">
        <v>573</v>
      </c>
      <c r="WXC9" s="142" t="s">
        <v>575</v>
      </c>
      <c r="WXD9" s="358" t="s">
        <v>576</v>
      </c>
      <c r="WXE9" s="189" t="s">
        <v>574</v>
      </c>
      <c r="WXF9" s="352" t="s">
        <v>573</v>
      </c>
      <c r="WXG9" s="142" t="s">
        <v>575</v>
      </c>
      <c r="WXH9" s="358" t="s">
        <v>576</v>
      </c>
      <c r="WXI9" s="189" t="s">
        <v>574</v>
      </c>
      <c r="WXJ9" s="352" t="s">
        <v>573</v>
      </c>
      <c r="WXK9" s="142" t="s">
        <v>575</v>
      </c>
      <c r="WXL9" s="358" t="s">
        <v>576</v>
      </c>
      <c r="WXM9" s="189" t="s">
        <v>574</v>
      </c>
      <c r="WXN9" s="352" t="s">
        <v>573</v>
      </c>
      <c r="WXO9" s="142" t="s">
        <v>575</v>
      </c>
      <c r="WXP9" s="358" t="s">
        <v>576</v>
      </c>
      <c r="WXQ9" s="189" t="s">
        <v>574</v>
      </c>
      <c r="WXR9" s="352" t="s">
        <v>573</v>
      </c>
      <c r="WXS9" s="142" t="s">
        <v>575</v>
      </c>
      <c r="WXT9" s="358" t="s">
        <v>576</v>
      </c>
      <c r="WXU9" s="189" t="s">
        <v>574</v>
      </c>
      <c r="WXV9" s="352" t="s">
        <v>573</v>
      </c>
      <c r="WXW9" s="142" t="s">
        <v>575</v>
      </c>
      <c r="WXX9" s="358" t="s">
        <v>576</v>
      </c>
      <c r="WXY9" s="189" t="s">
        <v>574</v>
      </c>
      <c r="WXZ9" s="352" t="s">
        <v>573</v>
      </c>
      <c r="WYA9" s="142" t="s">
        <v>575</v>
      </c>
      <c r="WYB9" s="358" t="s">
        <v>576</v>
      </c>
      <c r="WYC9" s="189" t="s">
        <v>574</v>
      </c>
      <c r="WYD9" s="352" t="s">
        <v>573</v>
      </c>
      <c r="WYE9" s="142" t="s">
        <v>575</v>
      </c>
      <c r="WYF9" s="358" t="s">
        <v>576</v>
      </c>
      <c r="WYG9" s="189" t="s">
        <v>574</v>
      </c>
      <c r="WYH9" s="352" t="s">
        <v>573</v>
      </c>
      <c r="WYI9" s="142" t="s">
        <v>575</v>
      </c>
      <c r="WYJ9" s="358" t="s">
        <v>576</v>
      </c>
      <c r="WYK9" s="189" t="s">
        <v>574</v>
      </c>
      <c r="WYL9" s="352" t="s">
        <v>573</v>
      </c>
      <c r="WYM9" s="142" t="s">
        <v>575</v>
      </c>
      <c r="WYN9" s="358" t="s">
        <v>576</v>
      </c>
      <c r="WYO9" s="189" t="s">
        <v>574</v>
      </c>
      <c r="WYP9" s="352" t="s">
        <v>573</v>
      </c>
      <c r="WYQ9" s="142" t="s">
        <v>575</v>
      </c>
      <c r="WYR9" s="358" t="s">
        <v>576</v>
      </c>
      <c r="WYS9" s="189" t="s">
        <v>574</v>
      </c>
      <c r="WYT9" s="352" t="s">
        <v>573</v>
      </c>
      <c r="WYU9" s="142" t="s">
        <v>575</v>
      </c>
      <c r="WYV9" s="358" t="s">
        <v>576</v>
      </c>
      <c r="WYW9" s="189" t="s">
        <v>574</v>
      </c>
      <c r="WYX9" s="352" t="s">
        <v>573</v>
      </c>
      <c r="WYY9" s="142" t="s">
        <v>575</v>
      </c>
      <c r="WYZ9" s="358" t="s">
        <v>576</v>
      </c>
      <c r="WZA9" s="189" t="s">
        <v>574</v>
      </c>
      <c r="WZB9" s="352" t="s">
        <v>573</v>
      </c>
      <c r="WZC9" s="142" t="s">
        <v>575</v>
      </c>
      <c r="WZD9" s="358" t="s">
        <v>576</v>
      </c>
      <c r="WZE9" s="189" t="s">
        <v>574</v>
      </c>
      <c r="WZF9" s="352" t="s">
        <v>573</v>
      </c>
      <c r="WZG9" s="142" t="s">
        <v>575</v>
      </c>
      <c r="WZH9" s="358" t="s">
        <v>576</v>
      </c>
      <c r="WZI9" s="189" t="s">
        <v>574</v>
      </c>
      <c r="WZJ9" s="352" t="s">
        <v>573</v>
      </c>
      <c r="WZK9" s="142" t="s">
        <v>575</v>
      </c>
      <c r="WZL9" s="358" t="s">
        <v>576</v>
      </c>
      <c r="WZM9" s="189" t="s">
        <v>574</v>
      </c>
      <c r="WZN9" s="352" t="s">
        <v>573</v>
      </c>
      <c r="WZO9" s="142" t="s">
        <v>575</v>
      </c>
      <c r="WZP9" s="358" t="s">
        <v>576</v>
      </c>
      <c r="WZQ9" s="189" t="s">
        <v>574</v>
      </c>
      <c r="WZR9" s="352" t="s">
        <v>573</v>
      </c>
      <c r="WZS9" s="142" t="s">
        <v>575</v>
      </c>
      <c r="WZT9" s="358" t="s">
        <v>576</v>
      </c>
      <c r="WZU9" s="189" t="s">
        <v>574</v>
      </c>
      <c r="WZV9" s="352" t="s">
        <v>573</v>
      </c>
      <c r="WZW9" s="142" t="s">
        <v>575</v>
      </c>
      <c r="WZX9" s="358" t="s">
        <v>576</v>
      </c>
      <c r="WZY9" s="189" t="s">
        <v>574</v>
      </c>
      <c r="WZZ9" s="352" t="s">
        <v>573</v>
      </c>
      <c r="XAA9" s="142" t="s">
        <v>575</v>
      </c>
      <c r="XAB9" s="358" t="s">
        <v>576</v>
      </c>
      <c r="XAC9" s="189" t="s">
        <v>574</v>
      </c>
      <c r="XAD9" s="352" t="s">
        <v>573</v>
      </c>
      <c r="XAE9" s="142" t="s">
        <v>575</v>
      </c>
      <c r="XAF9" s="358" t="s">
        <v>576</v>
      </c>
      <c r="XAG9" s="189" t="s">
        <v>574</v>
      </c>
      <c r="XAH9" s="352" t="s">
        <v>573</v>
      </c>
      <c r="XAI9" s="142" t="s">
        <v>575</v>
      </c>
      <c r="XAJ9" s="358" t="s">
        <v>576</v>
      </c>
      <c r="XAK9" s="189" t="s">
        <v>574</v>
      </c>
      <c r="XAL9" s="352" t="s">
        <v>573</v>
      </c>
      <c r="XAM9" s="142" t="s">
        <v>575</v>
      </c>
      <c r="XAN9" s="358" t="s">
        <v>576</v>
      </c>
      <c r="XAO9" s="189" t="s">
        <v>574</v>
      </c>
      <c r="XAP9" s="352" t="s">
        <v>573</v>
      </c>
      <c r="XAQ9" s="142" t="s">
        <v>575</v>
      </c>
      <c r="XAR9" s="358" t="s">
        <v>576</v>
      </c>
      <c r="XAS9" s="189" t="s">
        <v>574</v>
      </c>
      <c r="XAT9" s="352" t="s">
        <v>573</v>
      </c>
      <c r="XAU9" s="142" t="s">
        <v>575</v>
      </c>
      <c r="XAV9" s="358" t="s">
        <v>576</v>
      </c>
      <c r="XAW9" s="189" t="s">
        <v>574</v>
      </c>
      <c r="XAX9" s="352" t="s">
        <v>573</v>
      </c>
      <c r="XAY9" s="142" t="s">
        <v>575</v>
      </c>
      <c r="XAZ9" s="358" t="s">
        <v>576</v>
      </c>
      <c r="XBA9" s="189" t="s">
        <v>574</v>
      </c>
      <c r="XBB9" s="352" t="s">
        <v>573</v>
      </c>
      <c r="XBC9" s="142" t="s">
        <v>575</v>
      </c>
      <c r="XBD9" s="358" t="s">
        <v>576</v>
      </c>
      <c r="XBE9" s="189" t="s">
        <v>574</v>
      </c>
      <c r="XBF9" s="352" t="s">
        <v>573</v>
      </c>
      <c r="XBG9" s="142" t="s">
        <v>575</v>
      </c>
      <c r="XBH9" s="358" t="s">
        <v>576</v>
      </c>
      <c r="XBI9" s="189" t="s">
        <v>574</v>
      </c>
      <c r="XBJ9" s="352" t="s">
        <v>573</v>
      </c>
      <c r="XBK9" s="142" t="s">
        <v>575</v>
      </c>
      <c r="XBL9" s="358" t="s">
        <v>576</v>
      </c>
      <c r="XBM9" s="189" t="s">
        <v>574</v>
      </c>
      <c r="XBN9" s="352" t="s">
        <v>573</v>
      </c>
      <c r="XBO9" s="142" t="s">
        <v>575</v>
      </c>
      <c r="XBP9" s="358" t="s">
        <v>576</v>
      </c>
      <c r="XBQ9" s="189" t="s">
        <v>574</v>
      </c>
      <c r="XBR9" s="352" t="s">
        <v>573</v>
      </c>
      <c r="XBS9" s="142" t="s">
        <v>575</v>
      </c>
      <c r="XBT9" s="358" t="s">
        <v>576</v>
      </c>
      <c r="XBU9" s="189" t="s">
        <v>574</v>
      </c>
      <c r="XBV9" s="352" t="s">
        <v>573</v>
      </c>
      <c r="XBW9" s="142" t="s">
        <v>575</v>
      </c>
      <c r="XBX9" s="358" t="s">
        <v>576</v>
      </c>
      <c r="XBY9" s="189" t="s">
        <v>574</v>
      </c>
      <c r="XBZ9" s="352" t="s">
        <v>573</v>
      </c>
      <c r="XCA9" s="142" t="s">
        <v>575</v>
      </c>
      <c r="XCB9" s="358" t="s">
        <v>576</v>
      </c>
      <c r="XCC9" s="189" t="s">
        <v>574</v>
      </c>
      <c r="XCD9" s="352" t="s">
        <v>573</v>
      </c>
      <c r="XCE9" s="142" t="s">
        <v>575</v>
      </c>
      <c r="XCF9" s="358" t="s">
        <v>576</v>
      </c>
      <c r="XCG9" s="189" t="s">
        <v>574</v>
      </c>
      <c r="XCH9" s="352" t="s">
        <v>573</v>
      </c>
      <c r="XCI9" s="142" t="s">
        <v>575</v>
      </c>
      <c r="XCJ9" s="358" t="s">
        <v>576</v>
      </c>
      <c r="XCK9" s="189" t="s">
        <v>574</v>
      </c>
      <c r="XCL9" s="352" t="s">
        <v>573</v>
      </c>
      <c r="XCM9" s="142" t="s">
        <v>575</v>
      </c>
      <c r="XCN9" s="358" t="s">
        <v>576</v>
      </c>
      <c r="XCO9" s="189" t="s">
        <v>574</v>
      </c>
      <c r="XCP9" s="352" t="s">
        <v>573</v>
      </c>
      <c r="XCQ9" s="142" t="s">
        <v>575</v>
      </c>
      <c r="XCR9" s="358" t="s">
        <v>576</v>
      </c>
      <c r="XCS9" s="189" t="s">
        <v>574</v>
      </c>
      <c r="XCT9" s="352" t="s">
        <v>573</v>
      </c>
      <c r="XCU9" s="142" t="s">
        <v>575</v>
      </c>
      <c r="XCV9" s="358" t="s">
        <v>576</v>
      </c>
      <c r="XCW9" s="189" t="s">
        <v>574</v>
      </c>
      <c r="XCX9" s="352" t="s">
        <v>573</v>
      </c>
      <c r="XCY9" s="142" t="s">
        <v>575</v>
      </c>
      <c r="XCZ9" s="358" t="s">
        <v>576</v>
      </c>
      <c r="XDA9" s="189" t="s">
        <v>574</v>
      </c>
      <c r="XDB9" s="352" t="s">
        <v>573</v>
      </c>
      <c r="XDC9" s="142" t="s">
        <v>575</v>
      </c>
      <c r="XDD9" s="358" t="s">
        <v>576</v>
      </c>
      <c r="XDE9" s="189" t="s">
        <v>574</v>
      </c>
      <c r="XDF9" s="352" t="s">
        <v>573</v>
      </c>
      <c r="XDG9" s="142" t="s">
        <v>575</v>
      </c>
      <c r="XDH9" s="358" t="s">
        <v>576</v>
      </c>
      <c r="XDI9" s="189" t="s">
        <v>574</v>
      </c>
      <c r="XDJ9" s="352" t="s">
        <v>573</v>
      </c>
      <c r="XDK9" s="142" t="s">
        <v>575</v>
      </c>
      <c r="XDL9" s="358" t="s">
        <v>576</v>
      </c>
      <c r="XDM9" s="189" t="s">
        <v>574</v>
      </c>
      <c r="XDN9" s="352" t="s">
        <v>573</v>
      </c>
      <c r="XDO9" s="142" t="s">
        <v>575</v>
      </c>
      <c r="XDP9" s="358" t="s">
        <v>576</v>
      </c>
      <c r="XDQ9" s="189" t="s">
        <v>574</v>
      </c>
      <c r="XDR9" s="352" t="s">
        <v>573</v>
      </c>
      <c r="XDS9" s="142" t="s">
        <v>575</v>
      </c>
      <c r="XDT9" s="358" t="s">
        <v>576</v>
      </c>
      <c r="XDU9" s="189" t="s">
        <v>574</v>
      </c>
      <c r="XDV9" s="352" t="s">
        <v>573</v>
      </c>
      <c r="XDW9" s="142" t="s">
        <v>575</v>
      </c>
      <c r="XDX9" s="358" t="s">
        <v>576</v>
      </c>
      <c r="XDY9" s="189" t="s">
        <v>574</v>
      </c>
      <c r="XDZ9" s="352" t="s">
        <v>573</v>
      </c>
      <c r="XEA9" s="142" t="s">
        <v>575</v>
      </c>
      <c r="XEB9" s="358" t="s">
        <v>576</v>
      </c>
      <c r="XEC9" s="189" t="s">
        <v>574</v>
      </c>
      <c r="XED9" s="352" t="s">
        <v>573</v>
      </c>
      <c r="XEE9" s="142" t="s">
        <v>575</v>
      </c>
      <c r="XEF9" s="358" t="s">
        <v>576</v>
      </c>
      <c r="XEG9" s="189" t="s">
        <v>574</v>
      </c>
      <c r="XEH9" s="352" t="s">
        <v>573</v>
      </c>
      <c r="XEI9" s="142" t="s">
        <v>575</v>
      </c>
      <c r="XEJ9" s="358" t="s">
        <v>576</v>
      </c>
      <c r="XEK9" s="189" t="s">
        <v>574</v>
      </c>
      <c r="XEL9" s="352" t="s">
        <v>573</v>
      </c>
      <c r="XEM9" s="142" t="s">
        <v>575</v>
      </c>
      <c r="XEN9" s="358" t="s">
        <v>576</v>
      </c>
      <c r="XEO9" s="189" t="s">
        <v>574</v>
      </c>
      <c r="XEP9" s="352" t="s">
        <v>573</v>
      </c>
      <c r="XEQ9" s="142" t="s">
        <v>575</v>
      </c>
      <c r="XER9" s="358" t="s">
        <v>576</v>
      </c>
      <c r="XES9" s="189" t="s">
        <v>574</v>
      </c>
      <c r="XET9" s="352" t="s">
        <v>573</v>
      </c>
      <c r="XEU9" s="142" t="s">
        <v>575</v>
      </c>
      <c r="XEV9" s="358" t="s">
        <v>576</v>
      </c>
      <c r="XEW9" s="189" t="s">
        <v>574</v>
      </c>
      <c r="XEX9" s="352" t="s">
        <v>573</v>
      </c>
      <c r="XEY9" s="142" t="s">
        <v>575</v>
      </c>
      <c r="XEZ9" s="358" t="s">
        <v>576</v>
      </c>
      <c r="XFA9" s="189" t="s">
        <v>574</v>
      </c>
      <c r="XFB9" s="352" t="s">
        <v>573</v>
      </c>
      <c r="XFC9" s="142" t="s">
        <v>575</v>
      </c>
      <c r="XFD9" s="358" t="s">
        <v>576</v>
      </c>
    </row>
    <row r="10" spans="1:16384">
      <c r="A10" s="378" t="s">
        <v>602</v>
      </c>
      <c r="B10" s="648" t="s">
        <v>603</v>
      </c>
      <c r="C10" s="649"/>
      <c r="D10" s="650"/>
      <c r="E10" s="154"/>
      <c r="F10" s="154"/>
      <c r="G10" s="150"/>
      <c r="H10" s="150"/>
      <c r="I10" s="150"/>
      <c r="J10" s="150"/>
      <c r="K10" s="150"/>
      <c r="L10" s="150"/>
      <c r="M10" s="150"/>
      <c r="N10" s="150"/>
      <c r="O10" s="150"/>
      <c r="P10" s="150"/>
    </row>
    <row r="11" spans="1:16384">
      <c r="A11" s="378" t="s">
        <v>604</v>
      </c>
      <c r="B11" s="625" t="s">
        <v>640</v>
      </c>
      <c r="C11" s="626"/>
      <c r="D11" s="627"/>
      <c r="E11" s="154"/>
      <c r="F11" s="154"/>
      <c r="G11" s="150"/>
      <c r="H11" s="150"/>
      <c r="I11" s="150"/>
      <c r="J11" s="150"/>
      <c r="K11" s="150"/>
      <c r="L11" s="150"/>
      <c r="M11" s="150"/>
      <c r="N11" s="150"/>
      <c r="O11" s="150"/>
      <c r="P11" s="150"/>
    </row>
    <row r="12" spans="1:16384">
      <c r="A12" s="378" t="s">
        <v>605</v>
      </c>
      <c r="B12" s="651" t="s">
        <v>606</v>
      </c>
      <c r="C12" s="652"/>
      <c r="D12" s="653"/>
      <c r="E12" s="657" t="s">
        <v>636</v>
      </c>
      <c r="F12" s="658"/>
      <c r="G12" s="150"/>
      <c r="H12" s="150"/>
      <c r="I12" s="150"/>
      <c r="J12" s="150"/>
      <c r="K12" s="150"/>
      <c r="L12" s="150"/>
      <c r="M12" s="150"/>
      <c r="N12" s="150"/>
      <c r="O12" s="150"/>
      <c r="P12" s="150"/>
    </row>
    <row r="13" spans="1:16384">
      <c r="A13" s="379" t="s">
        <v>607</v>
      </c>
      <c r="B13" s="155" t="s">
        <v>758</v>
      </c>
      <c r="C13" s="380" t="s">
        <v>608</v>
      </c>
      <c r="D13" s="381" t="s">
        <v>609</v>
      </c>
      <c r="E13" s="659" t="s">
        <v>637</v>
      </c>
      <c r="F13" s="660"/>
      <c r="G13" s="369" t="s">
        <v>589</v>
      </c>
      <c r="H13" s="369" t="s">
        <v>590</v>
      </c>
      <c r="I13" s="370" t="s">
        <v>591</v>
      </c>
      <c r="J13" s="369" t="s">
        <v>592</v>
      </c>
      <c r="K13" s="369" t="s">
        <v>593</v>
      </c>
      <c r="L13" s="150"/>
      <c r="M13" s="150"/>
      <c r="N13" s="150"/>
      <c r="O13" s="150"/>
      <c r="P13" s="150"/>
    </row>
    <row r="14" spans="1:16384">
      <c r="A14" s="382" t="s">
        <v>610</v>
      </c>
      <c r="B14" s="383">
        <v>314489</v>
      </c>
      <c r="C14" s="380" t="s">
        <v>611</v>
      </c>
      <c r="D14" s="384" t="s">
        <v>612</v>
      </c>
      <c r="E14" s="150" t="s">
        <v>19</v>
      </c>
      <c r="F14" s="154"/>
      <c r="G14" s="371" t="s">
        <v>29</v>
      </c>
      <c r="H14" s="371" t="s">
        <v>29</v>
      </c>
      <c r="I14" s="371" t="s">
        <v>29</v>
      </c>
      <c r="J14" s="372" t="s">
        <v>29</v>
      </c>
      <c r="K14" s="372" t="s">
        <v>513</v>
      </c>
      <c r="L14" s="150"/>
      <c r="M14" s="150"/>
      <c r="N14" s="150"/>
      <c r="O14" s="150"/>
      <c r="P14" s="150"/>
    </row>
    <row r="15" spans="1:16384">
      <c r="A15" s="139" t="s">
        <v>613</v>
      </c>
      <c r="B15" s="385" t="s">
        <v>614</v>
      </c>
      <c r="C15" s="654" t="s">
        <v>615</v>
      </c>
      <c r="D15" s="655"/>
      <c r="E15" s="150" t="s">
        <v>22</v>
      </c>
      <c r="F15" s="156"/>
      <c r="G15" s="647" t="s">
        <v>594</v>
      </c>
      <c r="H15" s="647"/>
      <c r="I15" s="647"/>
      <c r="J15" s="647"/>
      <c r="K15" s="647"/>
      <c r="L15" s="150"/>
      <c r="M15" s="150"/>
      <c r="N15" s="150"/>
      <c r="O15" s="150"/>
      <c r="P15" s="150"/>
    </row>
    <row r="16" spans="1:16384">
      <c r="A16" s="140" t="s">
        <v>616</v>
      </c>
      <c r="B16" s="386">
        <v>10.57</v>
      </c>
      <c r="C16" s="387" t="s">
        <v>617</v>
      </c>
      <c r="D16" s="388" t="s">
        <v>17</v>
      </c>
      <c r="E16" s="157">
        <v>58058</v>
      </c>
      <c r="F16" s="150"/>
      <c r="G16" s="656" t="s">
        <v>595</v>
      </c>
      <c r="H16" s="656"/>
      <c r="I16" s="656"/>
      <c r="J16" s="656"/>
      <c r="K16" s="656"/>
      <c r="L16" s="150"/>
      <c r="M16" s="150"/>
      <c r="N16" s="150"/>
      <c r="O16" s="150"/>
      <c r="P16" s="150"/>
    </row>
    <row r="17" spans="1:16">
      <c r="A17" s="140" t="s">
        <v>618</v>
      </c>
      <c r="B17" s="158">
        <v>68.89</v>
      </c>
      <c r="C17" s="142" t="s">
        <v>619</v>
      </c>
      <c r="D17" s="389">
        <f>D14-B17</f>
        <v>20.230000000000004</v>
      </c>
      <c r="E17" s="354">
        <v>42908</v>
      </c>
      <c r="F17" s="150"/>
      <c r="G17" s="369" t="s">
        <v>596</v>
      </c>
      <c r="H17" s="656" t="s">
        <v>29</v>
      </c>
      <c r="I17" s="656"/>
      <c r="J17" s="656"/>
      <c r="K17" s="656"/>
      <c r="L17" s="150"/>
      <c r="M17" s="150"/>
      <c r="N17" s="150"/>
      <c r="O17" s="150"/>
      <c r="P17" s="150"/>
    </row>
    <row r="18" spans="1:16">
      <c r="A18" s="140" t="s">
        <v>613</v>
      </c>
      <c r="B18" s="390">
        <v>65313</v>
      </c>
      <c r="C18" s="142" t="s">
        <v>620</v>
      </c>
      <c r="D18" s="389" t="s">
        <v>621</v>
      </c>
      <c r="E18" s="150"/>
      <c r="F18" s="150"/>
      <c r="G18" s="150"/>
      <c r="H18" s="150"/>
      <c r="I18" s="150"/>
      <c r="J18" s="150"/>
      <c r="K18" s="150"/>
      <c r="L18" s="150"/>
      <c r="M18" s="150"/>
      <c r="N18" s="150"/>
      <c r="O18" s="150"/>
      <c r="P18" s="150"/>
    </row>
    <row r="19" spans="1:16">
      <c r="A19" s="140" t="s">
        <v>622</v>
      </c>
      <c r="B19" s="391">
        <v>7</v>
      </c>
      <c r="C19" s="142" t="s">
        <v>545</v>
      </c>
      <c r="D19" s="392" t="s">
        <v>623</v>
      </c>
      <c r="E19" s="150"/>
      <c r="F19" s="150"/>
      <c r="G19" s="150"/>
      <c r="H19" s="150"/>
      <c r="I19" s="150"/>
      <c r="J19" s="150"/>
      <c r="K19" s="150"/>
      <c r="L19" s="150"/>
      <c r="M19" s="150"/>
      <c r="N19" s="150"/>
      <c r="O19" s="150"/>
      <c r="P19" s="150"/>
    </row>
    <row r="20" spans="1:16">
      <c r="A20" s="393" t="s">
        <v>624</v>
      </c>
      <c r="B20" s="394" t="s">
        <v>625</v>
      </c>
      <c r="C20" s="142" t="s">
        <v>626</v>
      </c>
      <c r="D20" s="395">
        <v>42955</v>
      </c>
      <c r="E20" s="150"/>
      <c r="F20" s="150"/>
      <c r="G20" s="150"/>
      <c r="H20" s="150"/>
      <c r="I20" s="150"/>
      <c r="J20" s="150"/>
      <c r="K20" s="150"/>
      <c r="L20" s="150"/>
      <c r="M20" s="150"/>
      <c r="N20" s="150"/>
      <c r="O20" s="150"/>
      <c r="P20" s="150"/>
    </row>
    <row r="21" spans="1:16">
      <c r="A21" s="393" t="s">
        <v>627</v>
      </c>
      <c r="B21" s="1119" t="s">
        <v>628</v>
      </c>
      <c r="C21" s="1121" t="s">
        <v>829</v>
      </c>
      <c r="D21" s="1120" t="s">
        <v>830</v>
      </c>
      <c r="E21" s="150"/>
      <c r="F21" s="150"/>
      <c r="G21" s="150"/>
      <c r="H21" s="150"/>
      <c r="I21" s="150"/>
      <c r="J21" s="150"/>
      <c r="K21" s="150"/>
      <c r="L21" s="150"/>
      <c r="M21" s="150"/>
      <c r="N21" s="150"/>
      <c r="O21" s="150"/>
      <c r="P21" s="150"/>
    </row>
    <row r="22" spans="1:16" ht="57.75" customHeight="1">
      <c r="A22" s="139" t="s">
        <v>27</v>
      </c>
      <c r="B22" s="642" t="str">
        <f>B47</f>
        <v>根据估价委托人提供的《不动产权证》估价对象登记地址为：成都市成华区御风二路99号1栋1单元25楼7号,经估价人员现场查看，估价对象实际查看地址为：成都市成华区御风二路99号1栋1单元25楼7号估价委托人尚未提供《地址变更证明》，本次评估以注册房地产估价师现场查看房地产与《不动产权证》界定房地产为同一标的物为假设前提，提请报告使用人注意。</v>
      </c>
      <c r="C22" s="642"/>
      <c r="D22" s="643"/>
      <c r="E22" s="150"/>
      <c r="F22" s="150"/>
      <c r="G22" s="150"/>
      <c r="H22" s="150"/>
      <c r="I22" s="150"/>
      <c r="J22" s="150"/>
      <c r="K22" s="150"/>
      <c r="L22" s="150"/>
      <c r="M22" s="150"/>
      <c r="N22" s="150"/>
      <c r="O22" s="150"/>
      <c r="P22" s="150"/>
    </row>
    <row r="23" spans="1:16">
      <c r="A23" s="139" t="s">
        <v>28</v>
      </c>
      <c r="B23" s="642" t="s">
        <v>29</v>
      </c>
      <c r="C23" s="642"/>
      <c r="D23" s="643"/>
      <c r="E23" s="150"/>
      <c r="F23" s="150"/>
      <c r="G23" s="150"/>
      <c r="H23" s="150"/>
      <c r="I23" s="160"/>
      <c r="J23" s="661"/>
      <c r="K23" s="661"/>
      <c r="L23" s="661"/>
      <c r="M23" s="150"/>
      <c r="N23" s="150"/>
      <c r="O23" s="150"/>
      <c r="P23" s="150"/>
    </row>
    <row r="24" spans="1:16">
      <c r="A24" s="139" t="s">
        <v>30</v>
      </c>
      <c r="B24" s="161" t="s">
        <v>29</v>
      </c>
      <c r="C24" s="144" t="s">
        <v>31</v>
      </c>
      <c r="D24" s="162" t="s">
        <v>29</v>
      </c>
      <c r="E24" s="150"/>
      <c r="F24" s="667" t="s">
        <v>32</v>
      </c>
      <c r="G24" s="667"/>
      <c r="H24" s="344"/>
      <c r="I24" s="661" t="s">
        <v>33</v>
      </c>
      <c r="J24" s="661"/>
      <c r="K24" s="661"/>
      <c r="L24" s="661"/>
      <c r="M24" s="150"/>
      <c r="N24" s="150"/>
      <c r="O24" s="150"/>
      <c r="P24" s="150"/>
    </row>
    <row r="25" spans="1:16">
      <c r="A25" s="145" t="s">
        <v>34</v>
      </c>
      <c r="B25" s="398" t="s">
        <v>29</v>
      </c>
      <c r="C25" s="399" t="s">
        <v>35</v>
      </c>
      <c r="D25" s="400" t="s">
        <v>29</v>
      </c>
      <c r="E25" s="150" t="str">
        <f>TEXT(B25,"#,##0")</f>
        <v>无</v>
      </c>
      <c r="F25" s="667"/>
      <c r="G25" s="667"/>
      <c r="H25" s="344"/>
      <c r="I25" s="661"/>
      <c r="J25" s="661"/>
      <c r="K25" s="661"/>
      <c r="L25" s="661"/>
      <c r="M25" s="150"/>
      <c r="N25" s="150"/>
      <c r="O25" s="150"/>
      <c r="P25" s="150"/>
    </row>
    <row r="26" spans="1:16" ht="28.5">
      <c r="A26" s="144" t="s">
        <v>632</v>
      </c>
      <c r="B26" s="401" t="s">
        <v>634</v>
      </c>
      <c r="C26" s="144" t="s">
        <v>633</v>
      </c>
      <c r="D26" s="161" t="s">
        <v>634</v>
      </c>
      <c r="E26" s="150"/>
      <c r="F26" s="667"/>
      <c r="G26" s="667"/>
      <c r="H26" s="344"/>
      <c r="I26" s="661"/>
      <c r="J26" s="661"/>
      <c r="K26" s="661"/>
      <c r="L26" s="661"/>
      <c r="M26" s="150"/>
      <c r="N26" s="150"/>
      <c r="O26" s="150"/>
      <c r="P26" s="150"/>
    </row>
    <row r="27" spans="1:16">
      <c r="A27" s="350" t="s">
        <v>569</v>
      </c>
      <c r="B27" s="360" t="s">
        <v>570</v>
      </c>
      <c r="C27" s="359" t="s">
        <v>578</v>
      </c>
      <c r="D27" s="361" t="s">
        <v>635</v>
      </c>
      <c r="E27" s="150"/>
      <c r="F27" s="667"/>
      <c r="G27" s="667"/>
      <c r="H27" s="344"/>
      <c r="I27" s="661"/>
      <c r="J27" s="661"/>
      <c r="K27" s="661"/>
      <c r="L27" s="661"/>
      <c r="M27" s="150"/>
      <c r="N27" s="150"/>
      <c r="O27" s="150"/>
      <c r="P27" s="150"/>
    </row>
    <row r="28" spans="1:16">
      <c r="A28" s="402" t="s">
        <v>641</v>
      </c>
      <c r="B28" s="419">
        <f>ROUND((E16-E17)/365.25,2)</f>
        <v>41.48</v>
      </c>
      <c r="C28" s="350" t="s">
        <v>569</v>
      </c>
      <c r="D28" s="360" t="s">
        <v>570</v>
      </c>
      <c r="E28" s="150"/>
      <c r="F28" s="667"/>
      <c r="G28" s="667"/>
      <c r="H28" s="344"/>
      <c r="I28" s="661"/>
      <c r="J28" s="661"/>
      <c r="K28" s="661"/>
      <c r="L28" s="661"/>
      <c r="M28" s="150"/>
      <c r="N28" s="150"/>
      <c r="O28" s="150"/>
      <c r="P28" s="150"/>
    </row>
    <row r="29" spans="1:16">
      <c r="A29" s="402"/>
      <c r="B29" s="398"/>
      <c r="C29" s="399"/>
      <c r="D29" s="403"/>
      <c r="E29" s="150"/>
      <c r="F29" s="667"/>
      <c r="G29" s="667"/>
      <c r="H29" s="344"/>
      <c r="I29" s="661"/>
      <c r="J29" s="661"/>
      <c r="K29" s="661"/>
      <c r="L29" s="661"/>
      <c r="M29" s="150"/>
      <c r="N29" s="150"/>
      <c r="O29" s="150"/>
      <c r="P29" s="150"/>
    </row>
    <row r="30" spans="1:16">
      <c r="E30" s="150"/>
      <c r="F30" s="667"/>
      <c r="G30" s="667"/>
      <c r="H30" s="344"/>
      <c r="I30" s="661"/>
      <c r="J30" s="661"/>
      <c r="K30" s="661"/>
      <c r="L30" s="661"/>
      <c r="M30" s="150"/>
      <c r="N30" s="150"/>
      <c r="O30" s="150"/>
      <c r="P30" s="150"/>
    </row>
    <row r="31" spans="1:16">
      <c r="A31" s="668"/>
      <c r="B31" s="669"/>
      <c r="C31" s="669"/>
      <c r="D31" s="670"/>
      <c r="E31" s="150"/>
      <c r="F31" s="667"/>
      <c r="G31" s="667"/>
      <c r="H31" s="344"/>
      <c r="I31" s="661"/>
      <c r="J31" s="661"/>
      <c r="K31" s="661"/>
      <c r="L31" s="661"/>
      <c r="M31" s="150"/>
      <c r="N31" s="150"/>
      <c r="O31" s="150"/>
      <c r="P31" s="150"/>
    </row>
    <row r="32" spans="1:16" ht="19.5" thickBot="1">
      <c r="A32" s="644" t="s">
        <v>49</v>
      </c>
      <c r="B32" s="628"/>
      <c r="C32" s="628"/>
      <c r="D32" s="645"/>
      <c r="E32" s="150"/>
      <c r="F32" s="167"/>
      <c r="G32" s="667"/>
      <c r="H32" s="667"/>
      <c r="I32" s="667"/>
      <c r="J32" s="667"/>
      <c r="K32" s="150"/>
      <c r="L32" s="661"/>
      <c r="M32" s="661"/>
      <c r="N32" s="661"/>
      <c r="O32" s="661"/>
      <c r="P32" s="661"/>
    </row>
    <row r="33" spans="1:16">
      <c r="A33" s="146" t="s">
        <v>50</v>
      </c>
      <c r="B33" s="190">
        <f>比较法!L70</f>
        <v>31819</v>
      </c>
      <c r="C33" s="147" t="s">
        <v>51</v>
      </c>
      <c r="D33" s="191">
        <f>ROUND(B33*D14/10000,2)</f>
        <v>283.57</v>
      </c>
      <c r="E33" s="168" t="str">
        <f>TEXT(B33,"#,##0")</f>
        <v>31,819</v>
      </c>
      <c r="F33" s="150"/>
      <c r="G33" s="667"/>
      <c r="H33" s="667"/>
      <c r="I33" s="667"/>
      <c r="J33" s="667"/>
      <c r="K33" s="150"/>
      <c r="L33" s="661"/>
      <c r="M33" s="661"/>
      <c r="N33" s="661"/>
      <c r="O33" s="661"/>
      <c r="P33" s="661"/>
    </row>
    <row r="34" spans="1:16">
      <c r="A34" s="143" t="s">
        <v>52</v>
      </c>
      <c r="B34" s="662">
        <f>D33*10000</f>
        <v>2835700</v>
      </c>
      <c r="C34" s="662"/>
      <c r="D34" s="663"/>
      <c r="E34" s="168" t="str">
        <f>TEXT(D33,"#,##0")</f>
        <v>284</v>
      </c>
      <c r="F34" s="150"/>
      <c r="G34" s="667"/>
      <c r="H34" s="667"/>
      <c r="I34" s="667"/>
      <c r="J34" s="667"/>
      <c r="K34" s="150"/>
      <c r="L34" s="661"/>
      <c r="M34" s="661"/>
      <c r="N34" s="661"/>
      <c r="O34" s="661"/>
      <c r="P34" s="661"/>
    </row>
    <row r="35" spans="1:16" ht="15" thickBot="1">
      <c r="A35" s="148" t="s">
        <v>53</v>
      </c>
      <c r="B35" s="664">
        <f>D33</f>
        <v>283.57</v>
      </c>
      <c r="C35" s="665"/>
      <c r="D35" s="666"/>
      <c r="E35" s="168" t="str">
        <f>TEXT(B35,"#,##0")</f>
        <v>284</v>
      </c>
      <c r="F35" s="150"/>
      <c r="G35" s="667"/>
      <c r="H35" s="667"/>
      <c r="I35" s="667"/>
      <c r="J35" s="667"/>
      <c r="K35" s="150"/>
      <c r="L35" s="661"/>
      <c r="M35" s="661"/>
      <c r="N35" s="661"/>
      <c r="O35" s="661"/>
      <c r="P35" s="661"/>
    </row>
    <row r="36" spans="1:16">
      <c r="A36" s="149" t="s">
        <v>54</v>
      </c>
      <c r="B36" s="169" t="s">
        <v>759</v>
      </c>
      <c r="C36" s="170"/>
      <c r="D36" s="170"/>
      <c r="E36" s="168"/>
      <c r="F36" s="171"/>
      <c r="G36" s="667"/>
      <c r="H36" s="667"/>
      <c r="I36" s="667"/>
      <c r="J36" s="667"/>
      <c r="K36" s="171"/>
      <c r="L36" s="661"/>
      <c r="M36" s="661"/>
      <c r="N36" s="661"/>
      <c r="O36" s="661"/>
      <c r="P36" s="661"/>
    </row>
    <row r="37" spans="1:16" ht="19.5" thickBot="1">
      <c r="A37" s="644" t="s">
        <v>55</v>
      </c>
      <c r="B37" s="628"/>
      <c r="C37" s="628"/>
      <c r="D37" s="645"/>
      <c r="E37" s="646"/>
      <c r="F37" s="646"/>
      <c r="G37" s="667"/>
      <c r="H37" s="667"/>
      <c r="I37" s="667"/>
      <c r="J37" s="667"/>
      <c r="K37" s="150"/>
      <c r="L37" s="661"/>
      <c r="M37" s="661"/>
      <c r="N37" s="661"/>
      <c r="O37" s="661"/>
      <c r="P37" s="661"/>
    </row>
    <row r="38" spans="1:16">
      <c r="A38" s="404" t="s">
        <v>828</v>
      </c>
      <c r="B38" s="173" t="s">
        <v>56</v>
      </c>
      <c r="C38" s="407" t="s">
        <v>57</v>
      </c>
      <c r="D38" s="408" t="s">
        <v>347</v>
      </c>
      <c r="E38" s="172" t="s">
        <v>58</v>
      </c>
      <c r="F38" s="172"/>
      <c r="G38" s="667"/>
      <c r="H38" s="667"/>
      <c r="I38" s="667"/>
      <c r="J38" s="667"/>
      <c r="K38" s="150"/>
      <c r="L38" s="150"/>
      <c r="M38" s="150"/>
      <c r="N38" s="150"/>
      <c r="O38" s="150"/>
      <c r="P38" s="150"/>
    </row>
    <row r="39" spans="1:16">
      <c r="A39" s="405" t="s">
        <v>59</v>
      </c>
      <c r="B39" s="173" t="s">
        <v>8</v>
      </c>
      <c r="C39" s="141" t="s">
        <v>60</v>
      </c>
      <c r="D39" s="408" t="s">
        <v>8</v>
      </c>
      <c r="E39" s="172"/>
      <c r="F39" s="172"/>
      <c r="G39" s="667"/>
      <c r="H39" s="667"/>
      <c r="I39" s="667"/>
      <c r="J39" s="667"/>
      <c r="K39" s="150"/>
      <c r="L39" s="150"/>
      <c r="M39" s="150"/>
      <c r="N39" s="150"/>
      <c r="O39" s="150"/>
      <c r="P39" s="150"/>
    </row>
    <row r="40" spans="1:16">
      <c r="A40" s="405" t="s">
        <v>61</v>
      </c>
      <c r="B40" s="173" t="s">
        <v>8</v>
      </c>
      <c r="C40" s="141" t="s">
        <v>62</v>
      </c>
      <c r="D40" s="409"/>
      <c r="E40" s="172" t="s">
        <v>63</v>
      </c>
      <c r="F40" s="172"/>
      <c r="G40" s="667"/>
      <c r="H40" s="667"/>
      <c r="I40" s="667"/>
      <c r="J40" s="667"/>
      <c r="K40" s="150"/>
      <c r="L40" s="150"/>
      <c r="M40" s="150"/>
      <c r="N40" s="150"/>
      <c r="O40" s="150"/>
      <c r="P40" s="150"/>
    </row>
    <row r="41" spans="1:16" ht="15" thickBot="1">
      <c r="A41" s="406" t="s">
        <v>64</v>
      </c>
      <c r="B41" s="337">
        <v>1</v>
      </c>
      <c r="C41" s="141" t="s">
        <v>65</v>
      </c>
      <c r="D41" s="410" t="s">
        <v>66</v>
      </c>
      <c r="E41" s="172"/>
      <c r="F41" s="172"/>
      <c r="G41" s="150"/>
      <c r="H41" s="150"/>
      <c r="I41" s="150"/>
      <c r="J41" s="150"/>
      <c r="K41" s="150"/>
      <c r="L41" s="150"/>
      <c r="M41" s="150"/>
      <c r="N41" s="150"/>
      <c r="O41" s="150"/>
      <c r="P41" s="150"/>
    </row>
    <row r="42" spans="1:16">
      <c r="A42" s="186" t="s">
        <v>67</v>
      </c>
      <c r="B42" s="337" t="s">
        <v>757</v>
      </c>
      <c r="C42" s="411">
        <f>IF(B42="袁桃",3220140149,IF(B42="纪建",3220060079,IF(B42="陆巍",6520130006,IF(B42="尹薇",5120160025,IF(B42="高卫国",3220090104)))))</f>
        <v>6520130006</v>
      </c>
      <c r="D42" s="412"/>
      <c r="E42" s="172"/>
      <c r="F42" s="172"/>
      <c r="G42" s="150"/>
      <c r="H42" s="150"/>
      <c r="I42" s="150"/>
      <c r="J42" s="150"/>
      <c r="K42" s="150"/>
      <c r="L42" s="150"/>
      <c r="M42" s="150"/>
      <c r="N42" s="150"/>
      <c r="O42" s="150"/>
      <c r="P42" s="150"/>
    </row>
    <row r="43" spans="1:16">
      <c r="A43" s="186" t="s">
        <v>68</v>
      </c>
      <c r="B43" s="337" t="s">
        <v>551</v>
      </c>
      <c r="C43" s="411">
        <f>IF(B43="袁桃",3220140149,IF(B43="纪建",3220060079,IF(B43="陆巍",6520130006,IF(B43="尹薇",5120160025,IF(B43="高卫国",3220090104)))))</f>
        <v>3220090104</v>
      </c>
      <c r="D43" s="412"/>
      <c r="E43" s="172"/>
      <c r="F43" s="172"/>
      <c r="G43" s="150"/>
      <c r="H43" s="150"/>
      <c r="I43" s="150"/>
      <c r="J43" s="150"/>
      <c r="K43" s="150"/>
      <c r="L43" s="150"/>
      <c r="M43" s="150"/>
      <c r="N43" s="150"/>
      <c r="O43" s="150"/>
      <c r="P43" s="150"/>
    </row>
    <row r="44" spans="1:16">
      <c r="A44" s="186" t="s">
        <v>69</v>
      </c>
      <c r="B44" s="413" t="s">
        <v>639</v>
      </c>
      <c r="C44" s="174" t="s">
        <v>823</v>
      </c>
      <c r="D44" s="356" t="s">
        <v>826</v>
      </c>
      <c r="E44" s="172"/>
      <c r="F44" s="172"/>
      <c r="G44" s="150"/>
      <c r="H44" s="150"/>
      <c r="I44" s="150"/>
      <c r="J44" s="150"/>
      <c r="K44" s="150"/>
      <c r="L44" s="150"/>
      <c r="M44" s="150"/>
      <c r="N44" s="150"/>
      <c r="O44" s="150"/>
      <c r="P44" s="150"/>
    </row>
    <row r="45" spans="1:16">
      <c r="A45" s="176"/>
      <c r="B45" s="150"/>
      <c r="C45" s="150"/>
      <c r="D45" s="150"/>
      <c r="E45" s="172"/>
      <c r="F45" s="172"/>
      <c r="G45" s="150"/>
      <c r="H45" s="150"/>
      <c r="I45" s="150"/>
      <c r="J45" s="150"/>
      <c r="K45" s="150"/>
      <c r="L45" s="150"/>
      <c r="M45" s="150"/>
      <c r="N45" s="150"/>
      <c r="O45" s="150"/>
      <c r="P45" s="150"/>
    </row>
    <row r="46" spans="1:16" ht="126">
      <c r="A46" s="177" t="s">
        <v>75</v>
      </c>
      <c r="B46" s="177" t="s">
        <v>630</v>
      </c>
      <c r="C46" s="177" t="s">
        <v>77</v>
      </c>
      <c r="D46" s="177" t="s">
        <v>78</v>
      </c>
      <c r="E46" s="172"/>
      <c r="F46" s="172"/>
      <c r="G46" s="150"/>
      <c r="H46" s="150"/>
      <c r="I46" s="150"/>
      <c r="J46" s="150"/>
      <c r="K46" s="150"/>
      <c r="L46" s="150"/>
      <c r="M46" s="150"/>
      <c r="N46" s="150"/>
      <c r="O46" s="150"/>
      <c r="P46" s="150"/>
    </row>
    <row r="47" spans="1:16" ht="207" customHeight="1">
      <c r="A47" s="396" t="s">
        <v>80</v>
      </c>
      <c r="B47" s="396" t="str">
        <f>CONCATENATE("根据估价委托人提供的《不动产权证》估价对象登记地址为：",B5,",经估价人员现场查看，估价对象实际查看地址为：",B6,"估价委托人尚未提供《地址变更证明》，本次评估以注册房地产估价师现场查看房地产与《不动产权证》界定房地产为同一标的物为假设前提，提请报告使用人注意。")</f>
        <v>根据估价委托人提供的《不动产权证》估价对象登记地址为：成都市成华区御风二路99号1栋1单元25楼7号,经估价人员现场查看，估价对象实际查看地址为：成都市成华区御风二路99号1栋1单元25楼7号估价委托人尚未提供《地址变更证明》，本次评估以注册房地产估价师现场查看房地产与《不动产权证》界定房地产为同一标的物为假设前提，提请报告使用人注意。</v>
      </c>
      <c r="C47" s="396" t="str">
        <f>CONCATENATE("根据估价委托人提供的《不动产权证》估价对象登记地址为：",B5,",经估价人员现场查看，估价对象实际查看地址为：",B6,"估价委托人尚未提供《地址证明》，本次评估以注册房地产估价师现场查看房地产与《不动产权证》界定房地产为同一标的物为假设前提，提请报告使用人注意。")</f>
        <v>根据估价委托人提供的《不动产权证》估价对象登记地址为：成都市成华区御风二路99号1栋1单元25楼7号,经估价人员现场查看，估价对象实际查看地址为：成都市成华区御风二路99号1栋1单元25楼7号估价委托人尚未提供《地址证明》，本次评估以注册房地产估价师现场查看房地产与《不动产权证》界定房地产为同一标的物为假设前提，提请报告使用人注意。</v>
      </c>
      <c r="D47" s="414" t="str">
        <f>CONCATENATE("根据估价委托人提供的《房屋所有权证》估价对象登记地址为：",B5,",经估价人员现场查看，估价对象实际查看地址为：",B6,"根据估价委托人提供的《地址变更证明》，本次评估注册房地产估价师现场查看房地产与《房屋所有权证》界定房地产为同一标的物。")</f>
        <v>根据估价委托人提供的《房屋所有权证》估价对象登记地址为：成都市成华区御风二路99号1栋1单元25楼7号,经估价人员现场查看，估价对象实际查看地址为：成都市成华区御风二路99号1栋1单元25楼7号根据估价委托人提供的《地址变更证明》，本次评估注册房地产估价师现场查看房地产与《房屋所有权证》界定房地产为同一标的物。</v>
      </c>
      <c r="E47" s="396" t="str">
        <f>CONCATENATE("根据估价委托人提供的《房屋所有权证》估价对象登记地址为：",'基础数据(房地产)'!B3,",经估价人员现场查看，估价对象实际查看地址为：",'基础数据(房地产)'!B4,"根据估价委托人提供的《地址证明》，本次评估注册房地产估价师现场查看房地产与《房屋所有权证》界定房地产为同一标的物。")</f>
        <v>根据估价委托人提供的《房屋所有权证》估价对象登记地址为：苏海估CDY字［2017］,经估价人员现场查看，估价对象实际查看地址为：中海城南一号根据估价委托人提供的《地址证明》，本次评估注册房地产估价师现场查看房地产与《房屋所有权证》界定房地产为同一标的物。</v>
      </c>
    </row>
  </sheetData>
  <mergeCells count="28">
    <mergeCell ref="L32:P37"/>
    <mergeCell ref="A32:D32"/>
    <mergeCell ref="B34:D34"/>
    <mergeCell ref="B35:D35"/>
    <mergeCell ref="B23:D23"/>
    <mergeCell ref="J23:L23"/>
    <mergeCell ref="F24:G31"/>
    <mergeCell ref="I24:L31"/>
    <mergeCell ref="A31:D31"/>
    <mergeCell ref="G32:J40"/>
    <mergeCell ref="B22:D22"/>
    <mergeCell ref="A37:D37"/>
    <mergeCell ref="E37:F37"/>
    <mergeCell ref="G15:K15"/>
    <mergeCell ref="B10:D10"/>
    <mergeCell ref="B11:D11"/>
    <mergeCell ref="B12:D12"/>
    <mergeCell ref="C15:D15"/>
    <mergeCell ref="G16:K16"/>
    <mergeCell ref="H17:K17"/>
    <mergeCell ref="E12:F12"/>
    <mergeCell ref="E13:F13"/>
    <mergeCell ref="B7:D7"/>
    <mergeCell ref="A1:D1"/>
    <mergeCell ref="E2:I5"/>
    <mergeCell ref="B4:D4"/>
    <mergeCell ref="B5:D5"/>
    <mergeCell ref="B6:D6"/>
  </mergeCells>
  <phoneticPr fontId="23" type="noConversion"/>
  <dataValidations count="21">
    <dataValidation type="list" allowBlank="1" showInputMessage="1" showErrorMessage="1" sqref="E9 XEW9 XES9 XEO9 XEK9 XEG9 XEC9 XDY9 XDU9 XDQ9 XDM9 XDI9 XDE9 XDA9 XCW9 XCS9 XCO9 XCK9 XCG9 XCC9 XBY9 XBU9 XBQ9 XBM9 XBI9 XBE9 XBA9 XAW9 XAS9 XAO9 XAK9 XAG9 XAC9 WZY9 WZU9 WZQ9 WZM9 WZI9 WZE9 WZA9 WYW9 WYS9 WYO9 WYK9 WYG9 WYC9 WXY9 WXU9 WXQ9 WXM9 WXI9 WXE9 WXA9 WWW9 WWS9 WWO9 WWK9 WWG9 WWC9 WVY9 WVU9 WVQ9 WVM9 WVI9 WVE9 WVA9 WUW9 WUS9 WUO9 WUK9 WUG9 WUC9 WTY9 WTU9 WTQ9 WTM9 WTI9 WTE9 WTA9 WSW9 WSS9 WSO9 WSK9 WSG9 WSC9 WRY9 WRU9 WRQ9 WRM9 WRI9 WRE9 WRA9 WQW9 WQS9 WQO9 WQK9 WQG9 WQC9 WPY9 WPU9 WPQ9 WPM9 WPI9 WPE9 WPA9 WOW9 WOS9 WOO9 WOK9 WOG9 WOC9 WNY9 WNU9 WNQ9 WNM9 WNI9 WNE9 WNA9 WMW9 WMS9 WMO9 WMK9 WMG9 WMC9 WLY9 WLU9 WLQ9 WLM9 WLI9 WLE9 WLA9 WKW9 WKS9 WKO9 WKK9 WKG9 WKC9 WJY9 WJU9 WJQ9 WJM9 WJI9 WJE9 WJA9 WIW9 WIS9 WIO9 WIK9 WIG9 WIC9 WHY9 WHU9 WHQ9 WHM9 WHI9 WHE9 WHA9 WGW9 WGS9 WGO9 WGK9 WGG9 WGC9 WFY9 WFU9 WFQ9 WFM9 WFI9 WFE9 WFA9 WEW9 WES9 WEO9 WEK9 WEG9 WEC9 WDY9 WDU9 WDQ9 WDM9 WDI9 WDE9 WDA9 WCW9 WCS9 WCO9 WCK9 WCG9 WCC9 WBY9 WBU9 WBQ9 WBM9 WBI9 WBE9 WBA9 WAW9 WAS9 WAO9 WAK9 WAG9 WAC9 VZY9 VZU9 VZQ9 VZM9 VZI9 VZE9 VZA9 VYW9 VYS9 VYO9 VYK9 VYG9 VYC9 VXY9 VXU9 VXQ9 VXM9 VXI9 VXE9 VXA9 VWW9 VWS9 VWO9 VWK9 VWG9 VWC9 VVY9 VVU9 VVQ9 VVM9 VVI9 VVE9 VVA9 VUW9 VUS9 VUO9 VUK9 VUG9 VUC9 VTY9 VTU9 VTQ9 VTM9 VTI9 VTE9 VTA9 VSW9 VSS9 VSO9 VSK9 VSG9 VSC9 VRY9 VRU9 VRQ9 VRM9 VRI9 VRE9 VRA9 VQW9 VQS9 VQO9 VQK9 VQG9 VQC9 VPY9 VPU9 VPQ9 VPM9 VPI9 VPE9 VPA9 VOW9 VOS9 VOO9 VOK9 VOG9 VOC9 VNY9 VNU9 VNQ9 VNM9 VNI9 VNE9 VNA9 VMW9 VMS9 VMO9 VMK9 VMG9 VMC9 VLY9 VLU9 VLQ9 VLM9 VLI9 VLE9 VLA9 VKW9 VKS9 VKO9 VKK9 VKG9 VKC9 VJY9 VJU9 VJQ9 VJM9 VJI9 VJE9 VJA9 VIW9 VIS9 VIO9 VIK9 VIG9 VIC9 VHY9 VHU9 VHQ9 VHM9 VHI9 VHE9 VHA9 VGW9 VGS9 VGO9 VGK9 VGG9 VGC9 VFY9 VFU9 VFQ9 VFM9 VFI9 VFE9 VFA9 VEW9 VES9 VEO9 VEK9 VEG9 VEC9 VDY9 VDU9 VDQ9 VDM9 VDI9 VDE9 VDA9 VCW9 VCS9 VCO9 VCK9 VCG9 VCC9 VBY9 VBU9 VBQ9 VBM9 VBI9 VBE9 VBA9 VAW9 VAS9 VAO9 VAK9 VAG9 VAC9 UZY9 UZU9 UZQ9 UZM9 UZI9 UZE9 UZA9 UYW9 UYS9 UYO9 UYK9 UYG9 UYC9 UXY9 UXU9 UXQ9 UXM9 UXI9 UXE9 UXA9 UWW9 UWS9 UWO9 UWK9 UWG9 UWC9 UVY9 UVU9 UVQ9 UVM9 UVI9 UVE9 UVA9 UUW9 UUS9 UUO9 UUK9 UUG9 UUC9 UTY9 UTU9 UTQ9 UTM9 UTI9 UTE9 UTA9 USW9 USS9 USO9 USK9 USG9 USC9 URY9 URU9 URQ9 URM9 URI9 URE9 URA9 UQW9 UQS9 UQO9 UQK9 UQG9 UQC9 UPY9 UPU9 UPQ9 UPM9 UPI9 UPE9 UPA9 UOW9 UOS9 UOO9 UOK9 UOG9 UOC9 UNY9 UNU9 UNQ9 UNM9 UNI9 UNE9 UNA9 UMW9 UMS9 UMO9 UMK9 UMG9 UMC9 ULY9 ULU9 ULQ9 ULM9 ULI9 ULE9 ULA9 UKW9 UKS9 UKO9 UKK9 UKG9 UKC9 UJY9 UJU9 UJQ9 UJM9 UJI9 UJE9 UJA9 UIW9 UIS9 UIO9 UIK9 UIG9 UIC9 UHY9 UHU9 UHQ9 UHM9 UHI9 UHE9 UHA9 UGW9 UGS9 UGO9 UGK9 UGG9 UGC9 UFY9 UFU9 UFQ9 UFM9 UFI9 UFE9 UFA9 UEW9 UES9 UEO9 UEK9 UEG9 UEC9 UDY9 UDU9 UDQ9 UDM9 UDI9 UDE9 UDA9 UCW9 UCS9 UCO9 UCK9 UCG9 UCC9 UBY9 UBU9 UBQ9 UBM9 UBI9 UBE9 UBA9 UAW9 UAS9 UAO9 UAK9 UAG9 UAC9 TZY9 TZU9 TZQ9 TZM9 TZI9 TZE9 TZA9 TYW9 TYS9 TYO9 TYK9 TYG9 TYC9 TXY9 TXU9 TXQ9 TXM9 TXI9 TXE9 TXA9 TWW9 TWS9 TWO9 TWK9 TWG9 TWC9 TVY9 TVU9 TVQ9 TVM9 TVI9 TVE9 TVA9 TUW9 TUS9 TUO9 TUK9 TUG9 TUC9 TTY9 TTU9 TTQ9 TTM9 TTI9 TTE9 TTA9 TSW9 TSS9 TSO9 TSK9 TSG9 TSC9 TRY9 TRU9 TRQ9 TRM9 TRI9 TRE9 TRA9 TQW9 TQS9 TQO9 TQK9 TQG9 TQC9 TPY9 TPU9 TPQ9 TPM9 TPI9 TPE9 TPA9 TOW9 TOS9 TOO9 TOK9 TOG9 TOC9 TNY9 TNU9 TNQ9 TNM9 TNI9 TNE9 TNA9 TMW9 TMS9 TMO9 TMK9 TMG9 TMC9 TLY9 TLU9 TLQ9 TLM9 TLI9 TLE9 TLA9 TKW9 TKS9 TKO9 TKK9 TKG9 TKC9 TJY9 TJU9 TJQ9 TJM9 TJI9 TJE9 TJA9 TIW9 TIS9 TIO9 TIK9 TIG9 TIC9 THY9 THU9 THQ9 THM9 THI9 THE9 THA9 TGW9 TGS9 TGO9 TGK9 TGG9 TGC9 TFY9 TFU9 TFQ9 TFM9 TFI9 TFE9 TFA9 TEW9 TES9 TEO9 TEK9 TEG9 TEC9 TDY9 TDU9 TDQ9 TDM9 TDI9 TDE9 TDA9 TCW9 TCS9 TCO9 TCK9 TCG9 TCC9 TBY9 TBU9 TBQ9 TBM9 TBI9 TBE9 TBA9 TAW9 TAS9 TAO9 TAK9 TAG9 TAC9 SZY9 SZU9 SZQ9 SZM9 SZI9 SZE9 SZA9 SYW9 SYS9 SYO9 SYK9 SYG9 SYC9 SXY9 SXU9 SXQ9 SXM9 SXI9 SXE9 SXA9 SWW9 SWS9 SWO9 SWK9 SWG9 SWC9 SVY9 SVU9 SVQ9 SVM9 SVI9 SVE9 SVA9 SUW9 SUS9 SUO9 SUK9 SUG9 SUC9 STY9 STU9 STQ9 STM9 STI9 STE9 STA9 SSW9 SSS9 SSO9 SSK9 SSG9 SSC9 SRY9 SRU9 SRQ9 SRM9 SRI9 SRE9 SRA9 SQW9 SQS9 SQO9 SQK9 SQG9 SQC9 SPY9 SPU9 SPQ9 SPM9 SPI9 SPE9 SPA9 SOW9 SOS9 SOO9 SOK9 SOG9 SOC9 SNY9 SNU9 SNQ9 SNM9 SNI9 SNE9 SNA9 SMW9 SMS9 SMO9 SMK9 SMG9 SMC9 SLY9 SLU9 SLQ9 SLM9 SLI9 SLE9 SLA9 SKW9 SKS9 SKO9 SKK9 SKG9 SKC9 SJY9 SJU9 SJQ9 SJM9 SJI9 SJE9 SJA9 SIW9 SIS9 SIO9 SIK9 SIG9 SIC9 SHY9 SHU9 SHQ9 SHM9 SHI9 SHE9 SHA9 SGW9 SGS9 SGO9 SGK9 SGG9 SGC9 SFY9 SFU9 SFQ9 SFM9 SFI9 SFE9 SFA9 SEW9 SES9 SEO9 SEK9 SEG9 SEC9 SDY9 SDU9 SDQ9 SDM9 SDI9 SDE9 SDA9 SCW9 SCS9 SCO9 SCK9 SCG9 SCC9 SBY9 SBU9 SBQ9 SBM9 SBI9 SBE9 SBA9 SAW9 SAS9 SAO9 SAK9 SAG9 SAC9 RZY9 RZU9 RZQ9 RZM9 RZI9 RZE9 RZA9 RYW9 RYS9 RYO9 RYK9 RYG9 RYC9 RXY9 RXU9 RXQ9 RXM9 RXI9 RXE9 RXA9 RWW9 RWS9 RWO9 RWK9 RWG9 RWC9 RVY9 RVU9 RVQ9 RVM9 RVI9 RVE9 RVA9 RUW9 RUS9 RUO9 RUK9 RUG9 RUC9 RTY9 RTU9 RTQ9 RTM9 RTI9 RTE9 RTA9 RSW9 RSS9 RSO9 RSK9 RSG9 RSC9 RRY9 RRU9 RRQ9 RRM9 RRI9 RRE9 RRA9 RQW9 RQS9 RQO9 RQK9 RQG9 RQC9 RPY9 RPU9 RPQ9 RPM9 RPI9 RPE9 RPA9 ROW9 ROS9 ROO9 ROK9 ROG9 ROC9 RNY9 RNU9 RNQ9 RNM9 RNI9 RNE9 RNA9 RMW9 RMS9 RMO9 RMK9 RMG9 RMC9 RLY9 RLU9 RLQ9 RLM9 RLI9 RLE9 RLA9 RKW9 RKS9 RKO9 RKK9 RKG9 RKC9 RJY9 RJU9 RJQ9 RJM9 RJI9 RJE9 RJA9 RIW9 RIS9 RIO9 RIK9 RIG9 RIC9 RHY9 RHU9 RHQ9 RHM9 RHI9 RHE9 RHA9 RGW9 RGS9 RGO9 RGK9 RGG9 RGC9 RFY9 RFU9 RFQ9 RFM9 RFI9 RFE9 RFA9 REW9 RES9 REO9 REK9 REG9 REC9 RDY9 RDU9 RDQ9 RDM9 RDI9 RDE9 RDA9 RCW9 RCS9 RCO9 RCK9 RCG9 RCC9 RBY9 RBU9 RBQ9 RBM9 RBI9 RBE9 RBA9 RAW9 RAS9 RAO9 RAK9 RAG9 RAC9 QZY9 QZU9 QZQ9 QZM9 QZI9 QZE9 QZA9 QYW9 QYS9 QYO9 QYK9 QYG9 QYC9 QXY9 QXU9 QXQ9 QXM9 QXI9 QXE9 QXA9 QWW9 QWS9 QWO9 QWK9 QWG9 QWC9 QVY9 QVU9 QVQ9 QVM9 QVI9 QVE9 QVA9 QUW9 QUS9 QUO9 QUK9 QUG9 QUC9 QTY9 QTU9 QTQ9 QTM9 QTI9 QTE9 QTA9 QSW9 QSS9 QSO9 QSK9 QSG9 QSC9 QRY9 QRU9 QRQ9 QRM9 QRI9 QRE9 QRA9 QQW9 QQS9 QQO9 QQK9 QQG9 QQC9 QPY9 QPU9 QPQ9 QPM9 QPI9 QPE9 QPA9 QOW9 QOS9 QOO9 QOK9 QOG9 QOC9 QNY9 QNU9 QNQ9 QNM9 QNI9 QNE9 QNA9 QMW9 QMS9 QMO9 QMK9 QMG9 QMC9 QLY9 QLU9 QLQ9 QLM9 QLI9 QLE9 QLA9 QKW9 QKS9 QKO9 QKK9 QKG9 QKC9 QJY9 QJU9 QJQ9 QJM9 QJI9 QJE9 QJA9 QIW9 QIS9 QIO9 QIK9 QIG9 QIC9 QHY9 QHU9 QHQ9 QHM9 QHI9 QHE9 QHA9 QGW9 QGS9 QGO9 QGK9 QGG9 QGC9 QFY9 QFU9 QFQ9 QFM9 QFI9 QFE9 QFA9 QEW9 QES9 QEO9 QEK9 QEG9 QEC9 QDY9 QDU9 QDQ9 QDM9 QDI9 QDE9 QDA9 QCW9 QCS9 QCO9 QCK9 QCG9 QCC9 QBY9 QBU9 QBQ9 QBM9 QBI9 QBE9 QBA9 QAW9 QAS9 QAO9 QAK9 QAG9 QAC9 PZY9 PZU9 PZQ9 PZM9 PZI9 PZE9 PZA9 PYW9 PYS9 PYO9 PYK9 PYG9 PYC9 PXY9 PXU9 PXQ9 PXM9 PXI9 PXE9 PXA9 PWW9 PWS9 PWO9 PWK9 PWG9 PWC9 PVY9 PVU9 PVQ9 PVM9 PVI9 PVE9 PVA9 PUW9 PUS9 PUO9 PUK9 PUG9 PUC9 PTY9 PTU9 PTQ9 PTM9 PTI9 PTE9 PTA9 PSW9 PSS9 PSO9 PSK9 PSG9 PSC9 PRY9 PRU9 PRQ9 PRM9 PRI9 PRE9 PRA9 PQW9 PQS9 PQO9 PQK9 PQG9 PQC9 PPY9 PPU9 PPQ9 PPM9 PPI9 PPE9 PPA9 POW9 POS9 POO9 POK9 POG9 POC9 PNY9 PNU9 PNQ9 PNM9 PNI9 PNE9 PNA9 PMW9 PMS9 PMO9 PMK9 PMG9 PMC9 PLY9 PLU9 PLQ9 PLM9 PLI9 PLE9 PLA9 PKW9 PKS9 PKO9 PKK9 PKG9 PKC9 PJY9 PJU9 PJQ9 PJM9 PJI9 PJE9 PJA9 PIW9 PIS9 PIO9 PIK9 PIG9 PIC9 PHY9 PHU9 PHQ9 PHM9 PHI9 PHE9 PHA9 PGW9 PGS9 PGO9 PGK9 PGG9 PGC9 PFY9 PFU9 PFQ9 PFM9 PFI9 PFE9 PFA9 PEW9 PES9 PEO9 PEK9 PEG9 PEC9 PDY9 PDU9 PDQ9 PDM9 PDI9 PDE9 PDA9 PCW9 PCS9 PCO9 PCK9 PCG9 PCC9 PBY9 PBU9 PBQ9 PBM9 PBI9 PBE9 PBA9 PAW9 PAS9 PAO9 PAK9 PAG9 PAC9 OZY9 OZU9 OZQ9 OZM9 OZI9 OZE9 OZA9 OYW9 OYS9 OYO9 OYK9 OYG9 OYC9 OXY9 OXU9 OXQ9 OXM9 OXI9 OXE9 OXA9 OWW9 OWS9 OWO9 OWK9 OWG9 OWC9 OVY9 OVU9 OVQ9 OVM9 OVI9 OVE9 OVA9 OUW9 OUS9 OUO9 OUK9 OUG9 OUC9 OTY9 OTU9 OTQ9 OTM9 OTI9 OTE9 OTA9 OSW9 OSS9 OSO9 OSK9 OSG9 OSC9 ORY9 ORU9 ORQ9 ORM9 ORI9 ORE9 ORA9 OQW9 OQS9 OQO9 OQK9 OQG9 OQC9 OPY9 OPU9 OPQ9 OPM9 OPI9 OPE9 OPA9 OOW9 OOS9 OOO9 OOK9 OOG9 OOC9 ONY9 ONU9 ONQ9 ONM9 ONI9 ONE9 ONA9 OMW9 OMS9 OMO9 OMK9 OMG9 OMC9 OLY9 OLU9 OLQ9 OLM9 OLI9 OLE9 OLA9 OKW9 OKS9 OKO9 OKK9 OKG9 OKC9 OJY9 OJU9 OJQ9 OJM9 OJI9 OJE9 OJA9 OIW9 OIS9 OIO9 OIK9 OIG9 OIC9 OHY9 OHU9 OHQ9 OHM9 OHI9 OHE9 OHA9 OGW9 OGS9 OGO9 OGK9 OGG9 OGC9 OFY9 OFU9 OFQ9 OFM9 OFI9 OFE9 OFA9 OEW9 OES9 OEO9 OEK9 OEG9 OEC9 ODY9 ODU9 ODQ9 ODM9 ODI9 ODE9 ODA9 OCW9 OCS9 OCO9 OCK9 OCG9 OCC9 OBY9 OBU9 OBQ9 OBM9 OBI9 OBE9 OBA9 OAW9 OAS9 OAO9 OAK9 OAG9 OAC9 NZY9 NZU9 NZQ9 NZM9 NZI9 NZE9 NZA9 NYW9 NYS9 NYO9 NYK9 NYG9 NYC9 NXY9 NXU9 NXQ9 NXM9 NXI9 NXE9 NXA9 NWW9 NWS9 NWO9 NWK9 NWG9 NWC9 NVY9 NVU9 NVQ9 NVM9 NVI9 NVE9 NVA9 NUW9 NUS9 NUO9 NUK9 NUG9 NUC9 NTY9 NTU9 NTQ9 NTM9 NTI9 NTE9 NTA9 NSW9 NSS9 NSO9 NSK9 NSG9 NSC9 NRY9 NRU9 NRQ9 NRM9 NRI9 NRE9 NRA9 NQW9 NQS9 NQO9 NQK9 NQG9 NQC9 NPY9 NPU9 NPQ9 NPM9 NPI9 NPE9 NPA9 NOW9 NOS9 NOO9 NOK9 NOG9 NOC9 NNY9 NNU9 NNQ9 NNM9 NNI9 NNE9 NNA9 NMW9 NMS9 NMO9 NMK9 NMG9 NMC9 NLY9 NLU9 NLQ9 NLM9 NLI9 NLE9 NLA9 NKW9 NKS9 NKO9 NKK9 NKG9 NKC9 NJY9 NJU9 NJQ9 NJM9 NJI9 NJE9 NJA9 NIW9 NIS9 NIO9 NIK9 NIG9 NIC9 NHY9 NHU9 NHQ9 NHM9 NHI9 NHE9 NHA9 NGW9 NGS9 NGO9 NGK9 NGG9 NGC9 NFY9 NFU9 NFQ9 NFM9 NFI9 NFE9 NFA9 NEW9 NES9 NEO9 NEK9 NEG9 NEC9 NDY9 NDU9 NDQ9 NDM9 NDI9 NDE9 NDA9 NCW9 NCS9 NCO9 NCK9 NCG9 NCC9 NBY9 NBU9 NBQ9 NBM9 NBI9 NBE9 NBA9 NAW9 NAS9 NAO9 NAK9 NAG9 NAC9 MZY9 MZU9 MZQ9 MZM9 MZI9 MZE9 MZA9 MYW9 MYS9 MYO9 MYK9 MYG9 MYC9 MXY9 MXU9 MXQ9 MXM9 MXI9 MXE9 MXA9 MWW9 MWS9 MWO9 MWK9 MWG9 MWC9 MVY9 MVU9 MVQ9 MVM9 MVI9 MVE9 MVA9 MUW9 MUS9 MUO9 MUK9 MUG9 MUC9 MTY9 MTU9 MTQ9 MTM9 MTI9 MTE9 MTA9 MSW9 MSS9 MSO9 MSK9 MSG9 MSC9 MRY9 MRU9 MRQ9 MRM9 MRI9 MRE9 MRA9 MQW9 MQS9 MQO9 MQK9 MQG9 MQC9 MPY9 MPU9 MPQ9 MPM9 MPI9 MPE9 MPA9 MOW9 MOS9 MOO9 MOK9 MOG9 MOC9 MNY9 MNU9 MNQ9 MNM9 MNI9 MNE9 MNA9 MMW9 MMS9 MMO9 MMK9 MMG9 MMC9 MLY9 MLU9 MLQ9 MLM9 MLI9 MLE9 MLA9 MKW9 MKS9 MKO9 MKK9 MKG9 MKC9 MJY9 MJU9 MJQ9 MJM9 MJI9 MJE9 MJA9 MIW9 MIS9 MIO9 MIK9 MIG9 MIC9 MHY9 MHU9 MHQ9 MHM9 MHI9 MHE9 MHA9 MGW9 MGS9 MGO9 MGK9 MGG9 MGC9 MFY9 MFU9 MFQ9 MFM9 MFI9 MFE9 MFA9 MEW9 MES9 MEO9 MEK9 MEG9 MEC9 MDY9 MDU9 MDQ9 MDM9 MDI9 MDE9 MDA9 MCW9 MCS9 MCO9 MCK9 MCG9 MCC9 MBY9 MBU9 MBQ9 MBM9 MBI9 MBE9 MBA9 MAW9 MAS9 MAO9 MAK9 MAG9 MAC9 LZY9 LZU9 LZQ9 LZM9 LZI9 LZE9 LZA9 LYW9 LYS9 LYO9 LYK9 LYG9 LYC9 LXY9 LXU9 LXQ9 LXM9 LXI9 LXE9 LXA9 LWW9 LWS9 LWO9 LWK9 LWG9 LWC9 LVY9 LVU9 LVQ9 LVM9 LVI9 LVE9 LVA9 LUW9 LUS9 LUO9 LUK9 LUG9 LUC9 LTY9 LTU9 LTQ9 LTM9 LTI9 LTE9 LTA9 LSW9 LSS9 LSO9 LSK9 LSG9 LSC9 LRY9 LRU9 LRQ9 LRM9 LRI9 LRE9 LRA9 LQW9 LQS9 LQO9 LQK9 LQG9 LQC9 LPY9 LPU9 LPQ9 LPM9 LPI9 LPE9 LPA9 LOW9 LOS9 LOO9 LOK9 LOG9 LOC9 LNY9 LNU9 LNQ9 LNM9 LNI9 LNE9 LNA9 LMW9 LMS9 LMO9 LMK9 LMG9 LMC9 LLY9 LLU9 LLQ9 LLM9 LLI9 LLE9 LLA9 LKW9 LKS9 LKO9 LKK9 LKG9 LKC9 LJY9 LJU9 LJQ9 LJM9 LJI9 LJE9 LJA9 LIW9 LIS9 LIO9 LIK9 LIG9 LIC9 LHY9 LHU9 LHQ9 LHM9 LHI9 LHE9 LHA9 LGW9 LGS9 LGO9 LGK9 LGG9 LGC9 LFY9 LFU9 LFQ9 LFM9 LFI9 LFE9 LFA9 LEW9 LES9 LEO9 LEK9 LEG9 LEC9 LDY9 LDU9 LDQ9 LDM9 LDI9 LDE9 LDA9 LCW9 LCS9 LCO9 LCK9 LCG9 LCC9 LBY9 LBU9 LBQ9 LBM9 LBI9 LBE9 LBA9 LAW9 LAS9 LAO9 LAK9 LAG9 LAC9 KZY9 KZU9 KZQ9 KZM9 KZI9 KZE9 KZA9 KYW9 KYS9 KYO9 KYK9 KYG9 KYC9 KXY9 KXU9 KXQ9 KXM9 KXI9 KXE9 KXA9 KWW9 KWS9 KWO9 KWK9 KWG9 KWC9 KVY9 KVU9 KVQ9 KVM9 KVI9 KVE9 KVA9 KUW9 KUS9 KUO9 KUK9 KUG9 KUC9 KTY9 KTU9 KTQ9 KTM9 KTI9 KTE9 KTA9 KSW9 KSS9 KSO9 KSK9 KSG9 KSC9 KRY9 KRU9 KRQ9 KRM9 KRI9 KRE9 KRA9 KQW9 KQS9 KQO9 KQK9 KQG9 KQC9 KPY9 KPU9 KPQ9 KPM9 KPI9 KPE9 KPA9 KOW9 KOS9 KOO9 KOK9 KOG9 KOC9 KNY9 KNU9 KNQ9 KNM9 KNI9 KNE9 KNA9 KMW9 KMS9 KMO9 KMK9 KMG9 KMC9 KLY9 KLU9 KLQ9 KLM9 KLI9 KLE9 KLA9 KKW9 KKS9 KKO9 KKK9 KKG9 KKC9 KJY9 KJU9 KJQ9 KJM9 KJI9 KJE9 KJA9 KIW9 KIS9 KIO9 KIK9 KIG9 KIC9 KHY9 KHU9 KHQ9 KHM9 KHI9 KHE9 KHA9 KGW9 KGS9 KGO9 KGK9 KGG9 KGC9 KFY9 KFU9 KFQ9 KFM9 KFI9 KFE9 KFA9 KEW9 KES9 KEO9 KEK9 KEG9 KEC9 KDY9 KDU9 KDQ9 KDM9 KDI9 KDE9 KDA9 KCW9 KCS9 KCO9 KCK9 KCG9 KCC9 KBY9 KBU9 KBQ9 KBM9 KBI9 KBE9 KBA9 KAW9 KAS9 KAO9 KAK9 KAG9 KAC9 JZY9 JZU9 JZQ9 JZM9 JZI9 JZE9 JZA9 JYW9 JYS9 JYO9 JYK9 JYG9 JYC9 JXY9 JXU9 JXQ9 JXM9 JXI9 JXE9 JXA9 JWW9 JWS9 JWO9 JWK9 JWG9 JWC9 JVY9 JVU9 JVQ9 JVM9 JVI9 JVE9 JVA9 JUW9 JUS9 JUO9 JUK9 JUG9 JUC9 JTY9 JTU9 JTQ9 JTM9 JTI9 JTE9 JTA9 JSW9 JSS9 JSO9 JSK9 JSG9 JSC9 JRY9 JRU9 JRQ9 JRM9 JRI9 JRE9 JRA9 JQW9 JQS9 JQO9 JQK9 JQG9 JQC9 JPY9 JPU9 JPQ9 JPM9 JPI9 JPE9 JPA9 JOW9 JOS9 JOO9 JOK9 JOG9 JOC9 JNY9 JNU9 JNQ9 JNM9 JNI9 JNE9 JNA9 JMW9 JMS9 JMO9 JMK9 JMG9 JMC9 JLY9 JLU9 JLQ9 JLM9 JLI9 JLE9 JLA9 JKW9 JKS9 JKO9 JKK9 JKG9 JKC9 JJY9 JJU9 JJQ9 JJM9 JJI9 JJE9 JJA9 JIW9 JIS9 JIO9 JIK9 JIG9 JIC9 JHY9 JHU9 JHQ9 JHM9 JHI9 JHE9 JHA9 JGW9 JGS9 JGO9 JGK9 JGG9 JGC9 JFY9 JFU9 JFQ9 JFM9 JFI9 JFE9 JFA9 JEW9 JES9 JEO9 JEK9 JEG9 JEC9 JDY9 JDU9 JDQ9 JDM9 JDI9 JDE9 JDA9 JCW9 JCS9 JCO9 JCK9 JCG9 JCC9 JBY9 JBU9 JBQ9 JBM9 JBI9 JBE9 JBA9 JAW9 JAS9 JAO9 JAK9 JAG9 JAC9 IZY9 IZU9 IZQ9 IZM9 IZI9 IZE9 IZA9 IYW9 IYS9 IYO9 IYK9 IYG9 IYC9 IXY9 IXU9 IXQ9 IXM9 IXI9 IXE9 IXA9 IWW9 IWS9 IWO9 IWK9 IWG9 IWC9 IVY9 IVU9 IVQ9 IVM9 IVI9 IVE9 IVA9 IUW9 IUS9 IUO9 IUK9 IUG9 IUC9 ITY9 ITU9 ITQ9 ITM9 ITI9 ITE9 ITA9 ISW9 ISS9 ISO9 ISK9 ISG9 ISC9 IRY9 IRU9 IRQ9 IRM9 IRI9 IRE9 IRA9 IQW9 IQS9 IQO9 IQK9 IQG9 IQC9 IPY9 IPU9 IPQ9 IPM9 IPI9 IPE9 IPA9 IOW9 IOS9 IOO9 IOK9 IOG9 IOC9 INY9 INU9 INQ9 INM9 INI9 INE9 INA9 IMW9 IMS9 IMO9 IMK9 IMG9 IMC9 ILY9 ILU9 ILQ9 ILM9 ILI9 ILE9 ILA9 IKW9 IKS9 IKO9 IKK9 IKG9 IKC9 IJY9 IJU9 IJQ9 IJM9 IJI9 IJE9 IJA9 IIW9 IIS9 IIO9 IIK9 IIG9 IIC9 IHY9 IHU9 IHQ9 IHM9 IHI9 IHE9 IHA9 IGW9 IGS9 IGO9 IGK9 IGG9 IGC9 IFY9 IFU9 IFQ9 IFM9 IFI9 IFE9 IFA9 IEW9 IES9 IEO9 IEK9 IEG9 IEC9 IDY9 IDU9 IDQ9 IDM9 IDI9 IDE9 IDA9 ICW9 ICS9 ICO9 ICK9 ICG9 ICC9 IBY9 IBU9 IBQ9 IBM9 IBI9 IBE9 IBA9 IAW9 IAS9 IAO9 IAK9 IAG9 IAC9 HZY9 HZU9 HZQ9 HZM9 HZI9 HZE9 HZA9 HYW9 HYS9 HYO9 HYK9 HYG9 HYC9 HXY9 HXU9 HXQ9 HXM9 HXI9 HXE9 HXA9 HWW9 HWS9 HWO9 HWK9 HWG9 HWC9 HVY9 HVU9 HVQ9 HVM9 HVI9 HVE9 HVA9 HUW9 HUS9 HUO9 HUK9 HUG9 HUC9 HTY9 HTU9 HTQ9 HTM9 HTI9 HTE9 HTA9 HSW9 HSS9 HSO9 HSK9 HSG9 HSC9 HRY9 HRU9 HRQ9 HRM9 HRI9 HRE9 HRA9 HQW9 HQS9 HQO9 HQK9 HQG9 HQC9 HPY9 HPU9 HPQ9 HPM9 HPI9 HPE9 HPA9 HOW9 HOS9 HOO9 HOK9 HOG9 HOC9 HNY9 HNU9 HNQ9 HNM9 HNI9 HNE9 HNA9 HMW9 HMS9 HMO9 HMK9 HMG9 HMC9 HLY9 HLU9 HLQ9 HLM9 HLI9 HLE9 HLA9 HKW9 HKS9 HKO9 HKK9 HKG9 HKC9 HJY9 HJU9 HJQ9 HJM9 HJI9 HJE9 HJA9 HIW9 HIS9 HIO9 HIK9 HIG9 HIC9 HHY9 HHU9 HHQ9 HHM9 HHI9 HHE9 HHA9 HGW9 HGS9 HGO9 HGK9 HGG9 HGC9 HFY9 HFU9 HFQ9 HFM9 HFI9 HFE9 HFA9 HEW9 HES9 HEO9 HEK9 HEG9 HEC9 HDY9 HDU9 HDQ9 HDM9 HDI9 HDE9 HDA9 HCW9 HCS9 HCO9 HCK9 HCG9 HCC9 HBY9 HBU9 HBQ9 HBM9 HBI9 HBE9 HBA9 HAW9 HAS9 HAO9 HAK9 HAG9 HAC9 GZY9 GZU9 GZQ9 GZM9 GZI9 GZE9 GZA9 GYW9 GYS9 GYO9 GYK9 GYG9 GYC9 GXY9 GXU9 GXQ9 GXM9 GXI9 GXE9 GXA9 GWW9 GWS9 GWO9 GWK9 GWG9 GWC9 GVY9 GVU9 GVQ9 GVM9 GVI9 GVE9 GVA9 GUW9 GUS9 GUO9 GUK9 GUG9 GUC9 GTY9 GTU9 GTQ9 GTM9 GTI9 GTE9 GTA9 GSW9 GSS9 GSO9 GSK9 GSG9 GSC9 GRY9 GRU9 GRQ9 GRM9 GRI9 GRE9 GRA9 GQW9 GQS9 GQO9 GQK9 GQG9 GQC9 GPY9 GPU9 GPQ9 GPM9 GPI9 GPE9 GPA9 GOW9 GOS9 GOO9 GOK9 GOG9 GOC9 GNY9 GNU9 GNQ9 GNM9 GNI9 GNE9 GNA9 GMW9 GMS9 GMO9 GMK9 GMG9 GMC9 GLY9 GLU9 GLQ9 GLM9 GLI9 GLE9 GLA9 GKW9 GKS9 GKO9 GKK9 GKG9 GKC9 GJY9 GJU9 GJQ9 GJM9 GJI9 GJE9 GJA9 GIW9 GIS9 GIO9 GIK9 GIG9 GIC9 GHY9 GHU9 GHQ9 GHM9 GHI9 GHE9 GHA9 GGW9 GGS9 GGO9 GGK9 GGG9 GGC9 GFY9 GFU9 GFQ9 GFM9 GFI9 GFE9 GFA9 GEW9 GES9 GEO9 GEK9 GEG9 GEC9 GDY9 GDU9 GDQ9 GDM9 GDI9 GDE9 GDA9 GCW9 GCS9 GCO9 GCK9 GCG9 GCC9 GBY9 GBU9 GBQ9 GBM9 GBI9 GBE9 GBA9 GAW9 GAS9 GAO9 GAK9 GAG9 GAC9 FZY9 FZU9 FZQ9 FZM9 FZI9 FZE9 FZA9 FYW9 FYS9 FYO9 FYK9 FYG9 FYC9 FXY9 FXU9 FXQ9 FXM9 FXI9 FXE9 FXA9 FWW9 FWS9 FWO9 FWK9 FWG9 FWC9 FVY9 FVU9 FVQ9 FVM9 FVI9 FVE9 FVA9 FUW9 FUS9 FUO9 FUK9 FUG9 FUC9 FTY9 FTU9 FTQ9 FTM9 FTI9 FTE9 FTA9 FSW9 FSS9 FSO9 FSK9 FSG9 FSC9 FRY9 FRU9 FRQ9 FRM9 FRI9 FRE9 FRA9 FQW9 FQS9 FQO9 FQK9 FQG9 FQC9 FPY9 FPU9 FPQ9 FPM9 FPI9 FPE9 FPA9 FOW9 FOS9 FOO9 FOK9 FOG9 FOC9 FNY9 FNU9 FNQ9 FNM9 FNI9 FNE9 FNA9 FMW9 FMS9 FMO9 FMK9 FMG9 FMC9 FLY9 FLU9 FLQ9 FLM9 FLI9 FLE9 FLA9 FKW9 FKS9 FKO9 FKK9 FKG9 FKC9 FJY9 FJU9 FJQ9 FJM9 FJI9 FJE9 FJA9 FIW9 FIS9 FIO9 FIK9 FIG9 FIC9 FHY9 FHU9 FHQ9 FHM9 FHI9 FHE9 FHA9 FGW9 FGS9 FGO9 FGK9 FGG9 FGC9 FFY9 FFU9 FFQ9 FFM9 FFI9 FFE9 FFA9 FEW9 FES9 FEO9 FEK9 FEG9 FEC9 FDY9 FDU9 FDQ9 FDM9 FDI9 FDE9 FDA9 FCW9 FCS9 FCO9 FCK9 FCG9 FCC9 FBY9 FBU9 FBQ9 FBM9 FBI9 FBE9 FBA9 FAW9 FAS9 FAO9 FAK9 FAG9 FAC9 EZY9 EZU9 EZQ9 EZM9 EZI9 EZE9 EZA9 EYW9 EYS9 EYO9 EYK9 EYG9 EYC9 EXY9 EXU9 EXQ9 EXM9 EXI9 EXE9 EXA9 EWW9 EWS9 EWO9 EWK9 EWG9 EWC9 EVY9 EVU9 EVQ9 EVM9 EVI9 EVE9 EVA9 EUW9 EUS9 EUO9 EUK9 EUG9 EUC9 ETY9 ETU9 ETQ9 ETM9 ETI9 ETE9 ETA9 ESW9 ESS9 ESO9 ESK9 ESG9 ESC9 ERY9 ERU9 ERQ9 ERM9 ERI9 ERE9 ERA9 EQW9 EQS9 EQO9 EQK9 EQG9 EQC9 EPY9 EPU9 EPQ9 EPM9 EPI9 EPE9 EPA9 EOW9 EOS9 EOO9 EOK9 EOG9 EOC9 ENY9 ENU9 ENQ9 ENM9 ENI9 ENE9 ENA9 EMW9 EMS9 EMO9 EMK9 EMG9 EMC9 ELY9 ELU9 ELQ9 ELM9 ELI9 ELE9 ELA9 EKW9 EKS9 EKO9 EKK9 EKG9 EKC9 EJY9 EJU9 EJQ9 EJM9 EJI9 EJE9 EJA9 EIW9 EIS9 EIO9 EIK9 EIG9 EIC9 EHY9 EHU9 EHQ9 EHM9 EHI9 EHE9 EHA9 EGW9 EGS9 EGO9 EGK9 EGG9 EGC9 EFY9 EFU9 EFQ9 EFM9 EFI9 EFE9 EFA9 EEW9 EES9 EEO9 EEK9 EEG9 EEC9 EDY9 EDU9 EDQ9 EDM9 EDI9 EDE9 EDA9 ECW9 ECS9 ECO9 ECK9 ECG9 ECC9 EBY9 EBU9 EBQ9 EBM9 EBI9 EBE9 EBA9 EAW9 EAS9 EAO9 EAK9 EAG9 EAC9 DZY9 DZU9 DZQ9 DZM9 DZI9 DZE9 DZA9 DYW9 DYS9 DYO9 DYK9 DYG9 DYC9 DXY9 DXU9 DXQ9 DXM9 DXI9 DXE9 DXA9 DWW9 DWS9 DWO9 DWK9 DWG9 DWC9 DVY9 DVU9 DVQ9 DVM9 DVI9 DVE9 DVA9 DUW9 DUS9 DUO9 DUK9 DUG9 DUC9 DTY9 DTU9 DTQ9 DTM9 DTI9 DTE9 DTA9 DSW9 DSS9 DSO9 DSK9 DSG9 DSC9 DRY9 DRU9 DRQ9 DRM9 DRI9 DRE9 DRA9 DQW9 DQS9 DQO9 DQK9 DQG9 DQC9 DPY9 DPU9 DPQ9 DPM9 DPI9 DPE9 DPA9 DOW9 DOS9 DOO9 DOK9 DOG9 DOC9 DNY9 DNU9 DNQ9 DNM9 DNI9 DNE9 DNA9 DMW9 DMS9 DMO9 DMK9 DMG9 DMC9 DLY9 DLU9 DLQ9 DLM9 DLI9 DLE9 DLA9 DKW9 DKS9 DKO9 DKK9 DKG9 DKC9 DJY9 DJU9 DJQ9 DJM9 DJI9 DJE9 DJA9 DIW9 DIS9 DIO9 DIK9 DIG9 DIC9 DHY9 DHU9 DHQ9 DHM9 DHI9 DHE9 DHA9 DGW9 DGS9 DGO9 DGK9 DGG9 DGC9 DFY9 DFU9 DFQ9 DFM9 DFI9 DFE9 DFA9 DEW9 DES9 DEO9 DEK9 DEG9 DEC9 DDY9 DDU9 DDQ9 DDM9 DDI9 DDE9 DDA9 DCW9 DCS9 DCO9 DCK9 DCG9 DCC9 DBY9 DBU9 DBQ9 DBM9 DBI9 DBE9 DBA9 DAW9 DAS9 DAO9 DAK9 DAG9 DAC9 CZY9 CZU9 CZQ9 CZM9 CZI9 CZE9 CZA9 CYW9 CYS9 CYO9 CYK9 CYG9 CYC9 CXY9 CXU9 CXQ9 CXM9 CXI9 CXE9 CXA9 CWW9 CWS9 CWO9 CWK9 CWG9 CWC9 CVY9 CVU9 CVQ9 CVM9 CVI9 CVE9 CVA9 CUW9 CUS9 CUO9 CUK9 CUG9 CUC9 CTY9 CTU9 CTQ9 CTM9 CTI9 CTE9 CTA9 CSW9 CSS9 CSO9 CSK9 CSG9 CSC9 CRY9 CRU9 CRQ9 CRM9 CRI9 CRE9 CRA9 CQW9 CQS9 CQO9 CQK9 CQG9 CQC9 CPY9 CPU9 CPQ9 CPM9 CPI9 CPE9 CPA9 COW9 COS9 COO9 COK9 COG9 COC9 CNY9 CNU9 CNQ9 CNM9 CNI9 CNE9 CNA9 CMW9 CMS9 CMO9 CMK9 CMG9 CMC9 CLY9 CLU9 CLQ9 CLM9 CLI9 CLE9 CLA9 CKW9 CKS9 CKO9 CKK9 CKG9 CKC9 CJY9 CJU9 CJQ9 CJM9 CJI9 CJE9 CJA9 CIW9 CIS9 CIO9 CIK9 CIG9 CIC9 CHY9 CHU9 CHQ9 CHM9 CHI9 CHE9 CHA9 CGW9 CGS9 CGO9 CGK9 CGG9 CGC9 CFY9 CFU9 CFQ9 CFM9 CFI9 CFE9 CFA9 CEW9 CES9 CEO9 CEK9 CEG9 CEC9 CDY9 CDU9 CDQ9 CDM9 CDI9 CDE9 CDA9 CCW9 CCS9 CCO9 CCK9 CCG9 CCC9 CBY9 CBU9 CBQ9 CBM9 CBI9 CBE9 CBA9 CAW9 CAS9 CAO9 CAK9 CAG9 CAC9 BZY9 BZU9 BZQ9 BZM9 BZI9 BZE9 BZA9 BYW9 BYS9 BYO9 BYK9 BYG9 BYC9 BXY9 BXU9 BXQ9 BXM9 BXI9 BXE9 BXA9 BWW9 BWS9 BWO9 BWK9 BWG9 BWC9 BVY9 BVU9 BVQ9 BVM9 BVI9 BVE9 BVA9 BUW9 BUS9 BUO9 BUK9 BUG9 BUC9 BTY9 BTU9 BTQ9 BTM9 BTI9 BTE9 BTA9 BSW9 BSS9 BSO9 BSK9 BSG9 BSC9 BRY9 BRU9 BRQ9 BRM9 BRI9 BRE9 BRA9 BQW9 BQS9 BQO9 BQK9 BQG9 BQC9 BPY9 BPU9 BPQ9 BPM9 BPI9 BPE9 BPA9 BOW9 BOS9 BOO9 BOK9 BOG9 BOC9 BNY9 BNU9 BNQ9 BNM9 BNI9 BNE9 BNA9 BMW9 BMS9 BMO9 BMK9 BMG9 BMC9 BLY9 BLU9 BLQ9 BLM9 BLI9 BLE9 BLA9 BKW9 BKS9 BKO9 BKK9 BKG9 BKC9 BJY9 BJU9 BJQ9 BJM9 BJI9 BJE9 BJA9 BIW9 BIS9 BIO9 BIK9 BIG9 BIC9 BHY9 BHU9 BHQ9 BHM9 BHI9 BHE9 BHA9 BGW9 BGS9 BGO9 BGK9 BGG9 BGC9 BFY9 BFU9 BFQ9 BFM9 BFI9 BFE9 BFA9 BEW9 BES9 BEO9 BEK9 BEG9 BEC9 BDY9 BDU9 BDQ9 BDM9 BDI9 BDE9 BDA9 BCW9 BCS9 BCO9 BCK9 BCG9 BCC9 BBY9 BBU9 BBQ9 BBM9 BBI9 BBE9 BBA9 BAW9 BAS9 BAO9 BAK9 BAG9 BAC9 AZY9 AZU9 AZQ9 AZM9 AZI9 AZE9 AZA9 AYW9 AYS9 AYO9 AYK9 AYG9 AYC9 AXY9 AXU9 AXQ9 AXM9 AXI9 AXE9 AXA9 AWW9 AWS9 AWO9 AWK9 AWG9 AWC9 AVY9 AVU9 AVQ9 AVM9 AVI9 AVE9 AVA9 AUW9 AUS9 AUO9 AUK9 AUG9 AUC9 ATY9 ATU9 ATQ9 ATM9 ATI9 ATE9 ATA9 ASW9 ASS9 ASO9 ASK9 ASG9 ASC9 ARY9 ARU9 ARQ9 ARM9 ARI9 ARE9 ARA9 AQW9 AQS9 AQO9 AQK9 AQG9 AQC9 APY9 APU9 APQ9 APM9 API9 APE9 APA9 AOW9 AOS9 AOO9 AOK9 AOG9 AOC9 ANY9 ANU9 ANQ9 ANM9 ANI9 ANE9 ANA9 AMW9 AMS9 AMO9 AMK9 AMG9 AMC9 ALY9 ALU9 ALQ9 ALM9 ALI9 ALE9 ALA9 AKW9 AKS9 AKO9 AKK9 AKG9 AKC9 AJY9 AJU9 AJQ9 AJM9 AJI9 AJE9 AJA9 AIW9 AIS9 AIO9 AIK9 AIG9 AIC9 AHY9 AHU9 AHQ9 AHM9 AHI9 AHE9 AHA9 AGW9 AGS9 AGO9 AGK9 AGG9 AGC9 AFY9 AFU9 AFQ9 AFM9 AFI9 AFE9 AFA9 AEW9 AES9 AEO9 AEK9 AEG9 AEC9 ADY9 ADU9 ADQ9 ADM9 ADI9 ADE9 ADA9 ACW9 ACS9 ACO9 ACK9 ACG9 ACC9 ABY9 ABU9 ABQ9 ABM9 ABI9 ABE9 ABA9 AAW9 AAS9 AAO9 AAK9 AAG9 AAC9 ZY9 ZU9 ZQ9 ZM9 ZI9 ZE9 ZA9 YW9 YS9 YO9 YK9 YG9 YC9 XY9 XU9 XQ9 XM9 XI9 XE9 XA9 WW9 WS9 WO9 WK9 WG9 WC9 VY9 VU9 VQ9 VM9 VI9 VE9 VA9 UW9 US9 UO9 UK9 UG9 UC9 TY9 TU9 TQ9 TM9 TI9 TE9 TA9 SW9 SS9 SO9 SK9 SG9 SC9 RY9 RU9 RQ9 RM9 RI9 RE9 RA9 QW9 QS9 QO9 QK9 QG9 QC9 PY9 PU9 PQ9 PM9 PI9 PE9 PA9 OW9 OS9 OO9 OK9 OG9 OC9 NY9 NU9 NQ9 NM9 NI9 NE9 NA9 MW9 MS9 MO9 MK9 MG9 MC9 LY9 LU9 LQ9 LM9 LI9 LE9 LA9 KW9 KS9 KO9 KK9 KG9 KC9 JY9 JU9 JQ9 JM9 JI9 JE9 JA9 IW9 IS9 IO9 IK9 IG9 IC9 HY9 HU9 HQ9 HM9 HI9 HE9 HA9 GW9 GS9 GO9 GK9 GG9 GC9 FY9 FU9 A9 XFA9">
      <formula1>"身份证住址,住所"</formula1>
    </dataValidation>
    <dataValidation showInputMessage="1" showErrorMessage="1" sqref="D44"/>
    <dataValidation type="list" allowBlank="1" showInputMessage="1" showErrorMessage="1" sqref="B41">
      <formula1>"1,2,3,4,5,6"</formula1>
    </dataValidation>
    <dataValidation type="list" allowBlank="1" showInputMessage="1" showErrorMessage="1" sqref="D38">
      <formula1>"抵押,公开市场价值,其它"</formula1>
    </dataValidation>
    <dataValidation type="list" allowBlank="1" showInputMessage="1" showErrorMessage="1" sqref="D39 B38:B40">
      <formula1>"袁桃,杨骞,唐文治,陈也,温健"</formula1>
    </dataValidation>
    <dataValidation type="list" allowBlank="1" showInputMessage="1" showErrorMessage="1" promptTitle="比较法，比较法、收益法，比较法、成本法" sqref="B36">
      <formula1>"比较法,比较法、收益法,比较法、成本法,比较法、假设开发法,收益法、成本法,收益法、假设开发法,成本法、假设开发法"</formula1>
    </dataValidation>
    <dataValidation type="list" allowBlank="1" showInputMessage="1" showErrorMessage="1" sqref="B42:B43">
      <formula1>"袁桃,纪建,尹薇,高卫国,陆巍"</formula1>
    </dataValidation>
    <dataValidation type="list" allowBlank="1" showInputMessage="1" showErrorMessage="1" sqref="B10">
      <formula1>"单独所有,共同共有,私产,私人所有房产,按份共有"</formula1>
    </dataValidation>
    <dataValidation type="list" allowBlank="1" showInputMessage="1" showErrorMessage="1" sqref="B13">
      <formula1>"划拨/普通,出让/普通"</formula1>
    </dataValidation>
    <dataValidation type="list" allowBlank="1" showInputMessage="1" showErrorMessage="1" sqref="D16">
      <formula1>"框剪,框架,钢混,砖混,砖木,混合"</formula1>
    </dataValidation>
    <dataValidation type="list" allowBlank="1" showInputMessage="1" showErrorMessage="1" sqref="A8">
      <formula1>"权利人"</formula1>
    </dataValidation>
    <dataValidation type="list" allowBlank="1" showInputMessage="1" showErrorMessage="1" sqref="A13">
      <formula1>"权利性质"</formula1>
    </dataValidation>
    <dataValidation type="list" allowBlank="1" showInputMessage="1" showErrorMessage="1" sqref="B27 D28">
      <formula1>"规则，呈标准四边形,规则，呈标准多边形,较规则，呈较规折四边形,较规折，呈较规则多边形,不规则，影响正常利用"</formula1>
    </dataValidation>
    <dataValidation type="list" allowBlank="1" showInputMessage="1" showErrorMessage="1" sqref="D27">
      <formula1>"平坦,有一定起伏利于造景,高低差较大,不平坦"</formula1>
    </dataValidation>
    <dataValidation type="list" allowBlank="1" showInputMessage="1" showErrorMessage="1" sqref="H17:K17">
      <formula1>"无,根据估价委托人提供的资料和相关调查，估价对象已补查封限制"</formula1>
    </dataValidation>
    <dataValidation type="list" allowBlank="1" showInputMessage="1" showErrorMessage="1" sqref="G16:K16">
      <formula1>"土地未对外出租，未设定抵押，不存在抵押等他项权利,土地已对外出租，未设定抵押，已设定租赁权，不存在租赁权以外的他项权利,土地未对外出租，已设定抵押，已设定抵押权，不存在除抵押权以外的他项权利,土地已对外出租，已设定抵押，已设定租赁权，不存在除抵押权和租赁权以外的他项权利"</formula1>
    </dataValidation>
    <dataValidation type="list" allowBlank="1" showInputMessage="1" showErrorMessage="1" sqref="K14">
      <formula1>"清晰,不清晰"</formula1>
    </dataValidation>
    <dataValidation type="list" allowBlank="1" showInputMessage="1" showErrorMessage="1" sqref="G14:J14">
      <formula1>"已设立,无"</formula1>
    </dataValidation>
    <dataValidation type="list" allowBlank="1" showInputMessage="1" showErrorMessage="1" sqref="D3">
      <formula1>"苏海估CDQ技字［2017］,苏海估CDY技字［2017］"</formula1>
    </dataValidation>
    <dataValidation type="list" allowBlank="1" showInputMessage="1" showErrorMessage="1" sqref="B3">
      <formula1>"苏海估CDQ字［2017］,苏海估CDY字［2017］"</formula1>
    </dataValidation>
    <dataValidation type="list" allowBlank="1" showInputMessage="1" showErrorMessage="1" sqref="C9 XFC9 XEY9 XEU9 XEQ9 XEM9 XEI9 XEE9 XEA9 XDW9 XDS9 XDO9 XDK9 XDG9 XDC9 XCY9 XCU9 XCQ9 XCM9 XCI9 XCE9 XCA9 XBW9 XBS9 XBO9 XBK9 XBG9 XBC9 XAY9 XAU9 XAQ9 XAM9 XAI9 XAE9 XAA9 WZW9 WZS9 WZO9 WZK9 WZG9 WZC9 WYY9 WYU9 WYQ9 WYM9 WYI9 WYE9 WYA9 WXW9 WXS9 WXO9 WXK9 WXG9 WXC9 WWY9 WWU9 WWQ9 WWM9 WWI9 WWE9 WWA9 WVW9 WVS9 WVO9 WVK9 WVG9 WVC9 WUY9 WUU9 WUQ9 WUM9 WUI9 WUE9 WUA9 WTW9 WTS9 WTO9 WTK9 WTG9 WTC9 WSY9 WSU9 WSQ9 WSM9 WSI9 WSE9 WSA9 WRW9 WRS9 WRO9 WRK9 WRG9 WRC9 WQY9 WQU9 WQQ9 WQM9 WQI9 WQE9 WQA9 WPW9 WPS9 WPO9 WPK9 WPG9 WPC9 WOY9 WOU9 WOQ9 WOM9 WOI9 WOE9 WOA9 WNW9 WNS9 WNO9 WNK9 WNG9 WNC9 WMY9 WMU9 WMQ9 WMM9 WMI9 WME9 WMA9 WLW9 WLS9 WLO9 WLK9 WLG9 WLC9 WKY9 WKU9 WKQ9 WKM9 WKI9 WKE9 WKA9 WJW9 WJS9 WJO9 WJK9 WJG9 WJC9 WIY9 WIU9 WIQ9 WIM9 WII9 WIE9 WIA9 WHW9 WHS9 WHO9 WHK9 WHG9 WHC9 WGY9 WGU9 WGQ9 WGM9 WGI9 WGE9 WGA9 WFW9 WFS9 WFO9 WFK9 WFG9 WFC9 WEY9 WEU9 WEQ9 WEM9 WEI9 WEE9 WEA9 WDW9 WDS9 WDO9 WDK9 WDG9 WDC9 WCY9 WCU9 WCQ9 WCM9 WCI9 WCE9 WCA9 WBW9 WBS9 WBO9 WBK9 WBG9 WBC9 WAY9 WAU9 WAQ9 WAM9 WAI9 WAE9 WAA9 VZW9 VZS9 VZO9 VZK9 VZG9 VZC9 VYY9 VYU9 VYQ9 VYM9 VYI9 VYE9 VYA9 VXW9 VXS9 VXO9 VXK9 VXG9 VXC9 VWY9 VWU9 VWQ9 VWM9 VWI9 VWE9 VWA9 VVW9 VVS9 VVO9 VVK9 VVG9 VVC9 VUY9 VUU9 VUQ9 VUM9 VUI9 VUE9 VUA9 VTW9 VTS9 VTO9 VTK9 VTG9 VTC9 VSY9 VSU9 VSQ9 VSM9 VSI9 VSE9 VSA9 VRW9 VRS9 VRO9 VRK9 VRG9 VRC9 VQY9 VQU9 VQQ9 VQM9 VQI9 VQE9 VQA9 VPW9 VPS9 VPO9 VPK9 VPG9 VPC9 VOY9 VOU9 VOQ9 VOM9 VOI9 VOE9 VOA9 VNW9 VNS9 VNO9 VNK9 VNG9 VNC9 VMY9 VMU9 VMQ9 VMM9 VMI9 VME9 VMA9 VLW9 VLS9 VLO9 VLK9 VLG9 VLC9 VKY9 VKU9 VKQ9 VKM9 VKI9 VKE9 VKA9 VJW9 VJS9 VJO9 VJK9 VJG9 VJC9 VIY9 VIU9 VIQ9 VIM9 VII9 VIE9 VIA9 VHW9 VHS9 VHO9 VHK9 VHG9 VHC9 VGY9 VGU9 VGQ9 VGM9 VGI9 VGE9 VGA9 VFW9 VFS9 VFO9 VFK9 VFG9 VFC9 VEY9 VEU9 VEQ9 VEM9 VEI9 VEE9 VEA9 VDW9 VDS9 VDO9 VDK9 VDG9 VDC9 VCY9 VCU9 VCQ9 VCM9 VCI9 VCE9 VCA9 VBW9 VBS9 VBO9 VBK9 VBG9 VBC9 VAY9 VAU9 VAQ9 VAM9 VAI9 VAE9 VAA9 UZW9 UZS9 UZO9 UZK9 UZG9 UZC9 UYY9 UYU9 UYQ9 UYM9 UYI9 UYE9 UYA9 UXW9 UXS9 UXO9 UXK9 UXG9 UXC9 UWY9 UWU9 UWQ9 UWM9 UWI9 UWE9 UWA9 UVW9 UVS9 UVO9 UVK9 UVG9 UVC9 UUY9 UUU9 UUQ9 UUM9 UUI9 UUE9 UUA9 UTW9 UTS9 UTO9 UTK9 UTG9 UTC9 USY9 USU9 USQ9 USM9 USI9 USE9 USA9 URW9 URS9 URO9 URK9 URG9 URC9 UQY9 UQU9 UQQ9 UQM9 UQI9 UQE9 UQA9 UPW9 UPS9 UPO9 UPK9 UPG9 UPC9 UOY9 UOU9 UOQ9 UOM9 UOI9 UOE9 UOA9 UNW9 UNS9 UNO9 UNK9 UNG9 UNC9 UMY9 UMU9 UMQ9 UMM9 UMI9 UME9 UMA9 ULW9 ULS9 ULO9 ULK9 ULG9 ULC9 UKY9 UKU9 UKQ9 UKM9 UKI9 UKE9 UKA9 UJW9 UJS9 UJO9 UJK9 UJG9 UJC9 UIY9 UIU9 UIQ9 UIM9 UII9 UIE9 UIA9 UHW9 UHS9 UHO9 UHK9 UHG9 UHC9 UGY9 UGU9 UGQ9 UGM9 UGI9 UGE9 UGA9 UFW9 UFS9 UFO9 UFK9 UFG9 UFC9 UEY9 UEU9 UEQ9 UEM9 UEI9 UEE9 UEA9 UDW9 UDS9 UDO9 UDK9 UDG9 UDC9 UCY9 UCU9 UCQ9 UCM9 UCI9 UCE9 UCA9 UBW9 UBS9 UBO9 UBK9 UBG9 UBC9 UAY9 UAU9 UAQ9 UAM9 UAI9 UAE9 UAA9 TZW9 TZS9 TZO9 TZK9 TZG9 TZC9 TYY9 TYU9 TYQ9 TYM9 TYI9 TYE9 TYA9 TXW9 TXS9 TXO9 TXK9 TXG9 TXC9 TWY9 TWU9 TWQ9 TWM9 TWI9 TWE9 TWA9 TVW9 TVS9 TVO9 TVK9 TVG9 TVC9 TUY9 TUU9 TUQ9 TUM9 TUI9 TUE9 TUA9 TTW9 TTS9 TTO9 TTK9 TTG9 TTC9 TSY9 TSU9 TSQ9 TSM9 TSI9 TSE9 TSA9 TRW9 TRS9 TRO9 TRK9 TRG9 TRC9 TQY9 TQU9 TQQ9 TQM9 TQI9 TQE9 TQA9 TPW9 TPS9 TPO9 TPK9 TPG9 TPC9 TOY9 TOU9 TOQ9 TOM9 TOI9 TOE9 TOA9 TNW9 TNS9 TNO9 TNK9 TNG9 TNC9 TMY9 TMU9 TMQ9 TMM9 TMI9 TME9 TMA9 TLW9 TLS9 TLO9 TLK9 TLG9 TLC9 TKY9 TKU9 TKQ9 TKM9 TKI9 TKE9 TKA9 TJW9 TJS9 TJO9 TJK9 TJG9 TJC9 TIY9 TIU9 TIQ9 TIM9 TII9 TIE9 TIA9 THW9 THS9 THO9 THK9 THG9 THC9 TGY9 TGU9 TGQ9 TGM9 TGI9 TGE9 TGA9 TFW9 TFS9 TFO9 TFK9 TFG9 TFC9 TEY9 TEU9 TEQ9 TEM9 TEI9 TEE9 TEA9 TDW9 TDS9 TDO9 TDK9 TDG9 TDC9 TCY9 TCU9 TCQ9 TCM9 TCI9 TCE9 TCA9 TBW9 TBS9 TBO9 TBK9 TBG9 TBC9 TAY9 TAU9 TAQ9 TAM9 TAI9 TAE9 TAA9 SZW9 SZS9 SZO9 SZK9 SZG9 SZC9 SYY9 SYU9 SYQ9 SYM9 SYI9 SYE9 SYA9 SXW9 SXS9 SXO9 SXK9 SXG9 SXC9 SWY9 SWU9 SWQ9 SWM9 SWI9 SWE9 SWA9 SVW9 SVS9 SVO9 SVK9 SVG9 SVC9 SUY9 SUU9 SUQ9 SUM9 SUI9 SUE9 SUA9 STW9 STS9 STO9 STK9 STG9 STC9 SSY9 SSU9 SSQ9 SSM9 SSI9 SSE9 SSA9 SRW9 SRS9 SRO9 SRK9 SRG9 SRC9 SQY9 SQU9 SQQ9 SQM9 SQI9 SQE9 SQA9 SPW9 SPS9 SPO9 SPK9 SPG9 SPC9 SOY9 SOU9 SOQ9 SOM9 SOI9 SOE9 SOA9 SNW9 SNS9 SNO9 SNK9 SNG9 SNC9 SMY9 SMU9 SMQ9 SMM9 SMI9 SME9 SMA9 SLW9 SLS9 SLO9 SLK9 SLG9 SLC9 SKY9 SKU9 SKQ9 SKM9 SKI9 SKE9 SKA9 SJW9 SJS9 SJO9 SJK9 SJG9 SJC9 SIY9 SIU9 SIQ9 SIM9 SII9 SIE9 SIA9 SHW9 SHS9 SHO9 SHK9 SHG9 SHC9 SGY9 SGU9 SGQ9 SGM9 SGI9 SGE9 SGA9 SFW9 SFS9 SFO9 SFK9 SFG9 SFC9 SEY9 SEU9 SEQ9 SEM9 SEI9 SEE9 SEA9 SDW9 SDS9 SDO9 SDK9 SDG9 SDC9 SCY9 SCU9 SCQ9 SCM9 SCI9 SCE9 SCA9 SBW9 SBS9 SBO9 SBK9 SBG9 SBC9 SAY9 SAU9 SAQ9 SAM9 SAI9 SAE9 SAA9 RZW9 RZS9 RZO9 RZK9 RZG9 RZC9 RYY9 RYU9 RYQ9 RYM9 RYI9 RYE9 RYA9 RXW9 RXS9 RXO9 RXK9 RXG9 RXC9 RWY9 RWU9 RWQ9 RWM9 RWI9 RWE9 RWA9 RVW9 RVS9 RVO9 RVK9 RVG9 RVC9 RUY9 RUU9 RUQ9 RUM9 RUI9 RUE9 RUA9 RTW9 RTS9 RTO9 RTK9 RTG9 RTC9 RSY9 RSU9 RSQ9 RSM9 RSI9 RSE9 RSA9 RRW9 RRS9 RRO9 RRK9 RRG9 RRC9 RQY9 RQU9 RQQ9 RQM9 RQI9 RQE9 RQA9 RPW9 RPS9 RPO9 RPK9 RPG9 RPC9 ROY9 ROU9 ROQ9 ROM9 ROI9 ROE9 ROA9 RNW9 RNS9 RNO9 RNK9 RNG9 RNC9 RMY9 RMU9 RMQ9 RMM9 RMI9 RME9 RMA9 RLW9 RLS9 RLO9 RLK9 RLG9 RLC9 RKY9 RKU9 RKQ9 RKM9 RKI9 RKE9 RKA9 RJW9 RJS9 RJO9 RJK9 RJG9 RJC9 RIY9 RIU9 RIQ9 RIM9 RII9 RIE9 RIA9 RHW9 RHS9 RHO9 RHK9 RHG9 RHC9 RGY9 RGU9 RGQ9 RGM9 RGI9 RGE9 RGA9 RFW9 RFS9 RFO9 RFK9 RFG9 RFC9 REY9 REU9 REQ9 REM9 REI9 REE9 REA9 RDW9 RDS9 RDO9 RDK9 RDG9 RDC9 RCY9 RCU9 RCQ9 RCM9 RCI9 RCE9 RCA9 RBW9 RBS9 RBO9 RBK9 RBG9 RBC9 RAY9 RAU9 RAQ9 RAM9 RAI9 RAE9 RAA9 QZW9 QZS9 QZO9 QZK9 QZG9 QZC9 QYY9 QYU9 QYQ9 QYM9 QYI9 QYE9 QYA9 QXW9 QXS9 QXO9 QXK9 QXG9 QXC9 QWY9 QWU9 QWQ9 QWM9 QWI9 QWE9 QWA9 QVW9 QVS9 QVO9 QVK9 QVG9 QVC9 QUY9 QUU9 QUQ9 QUM9 QUI9 QUE9 QUA9 QTW9 QTS9 QTO9 QTK9 QTG9 QTC9 QSY9 QSU9 QSQ9 QSM9 QSI9 QSE9 QSA9 QRW9 QRS9 QRO9 QRK9 QRG9 QRC9 QQY9 QQU9 QQQ9 QQM9 QQI9 QQE9 QQA9 QPW9 QPS9 QPO9 QPK9 QPG9 QPC9 QOY9 QOU9 QOQ9 QOM9 QOI9 QOE9 QOA9 QNW9 QNS9 QNO9 QNK9 QNG9 QNC9 QMY9 QMU9 QMQ9 QMM9 QMI9 QME9 QMA9 QLW9 QLS9 QLO9 QLK9 QLG9 QLC9 QKY9 QKU9 QKQ9 QKM9 QKI9 QKE9 QKA9 QJW9 QJS9 QJO9 QJK9 QJG9 QJC9 QIY9 QIU9 QIQ9 QIM9 QII9 QIE9 QIA9 QHW9 QHS9 QHO9 QHK9 QHG9 QHC9 QGY9 QGU9 QGQ9 QGM9 QGI9 QGE9 QGA9 QFW9 QFS9 QFO9 QFK9 QFG9 QFC9 QEY9 QEU9 QEQ9 QEM9 QEI9 QEE9 QEA9 QDW9 QDS9 QDO9 QDK9 QDG9 QDC9 QCY9 QCU9 QCQ9 QCM9 QCI9 QCE9 QCA9 QBW9 QBS9 QBO9 QBK9 QBG9 QBC9 QAY9 QAU9 QAQ9 QAM9 QAI9 QAE9 QAA9 PZW9 PZS9 PZO9 PZK9 PZG9 PZC9 PYY9 PYU9 PYQ9 PYM9 PYI9 PYE9 PYA9 PXW9 PXS9 PXO9 PXK9 PXG9 PXC9 PWY9 PWU9 PWQ9 PWM9 PWI9 PWE9 PWA9 PVW9 PVS9 PVO9 PVK9 PVG9 PVC9 PUY9 PUU9 PUQ9 PUM9 PUI9 PUE9 PUA9 PTW9 PTS9 PTO9 PTK9 PTG9 PTC9 PSY9 PSU9 PSQ9 PSM9 PSI9 PSE9 PSA9 PRW9 PRS9 PRO9 PRK9 PRG9 PRC9 PQY9 PQU9 PQQ9 PQM9 PQI9 PQE9 PQA9 PPW9 PPS9 PPO9 PPK9 PPG9 PPC9 POY9 POU9 POQ9 POM9 POI9 POE9 POA9 PNW9 PNS9 PNO9 PNK9 PNG9 PNC9 PMY9 PMU9 PMQ9 PMM9 PMI9 PME9 PMA9 PLW9 PLS9 PLO9 PLK9 PLG9 PLC9 PKY9 PKU9 PKQ9 PKM9 PKI9 PKE9 PKA9 PJW9 PJS9 PJO9 PJK9 PJG9 PJC9 PIY9 PIU9 PIQ9 PIM9 PII9 PIE9 PIA9 PHW9 PHS9 PHO9 PHK9 PHG9 PHC9 PGY9 PGU9 PGQ9 PGM9 PGI9 PGE9 PGA9 PFW9 PFS9 PFO9 PFK9 PFG9 PFC9 PEY9 PEU9 PEQ9 PEM9 PEI9 PEE9 PEA9 PDW9 PDS9 PDO9 PDK9 PDG9 PDC9 PCY9 PCU9 PCQ9 PCM9 PCI9 PCE9 PCA9 PBW9 PBS9 PBO9 PBK9 PBG9 PBC9 PAY9 PAU9 PAQ9 PAM9 PAI9 PAE9 PAA9 OZW9 OZS9 OZO9 OZK9 OZG9 OZC9 OYY9 OYU9 OYQ9 OYM9 OYI9 OYE9 OYA9 OXW9 OXS9 OXO9 OXK9 OXG9 OXC9 OWY9 OWU9 OWQ9 OWM9 OWI9 OWE9 OWA9 OVW9 OVS9 OVO9 OVK9 OVG9 OVC9 OUY9 OUU9 OUQ9 OUM9 OUI9 OUE9 OUA9 OTW9 OTS9 OTO9 OTK9 OTG9 OTC9 OSY9 OSU9 OSQ9 OSM9 OSI9 OSE9 OSA9 ORW9 ORS9 ORO9 ORK9 ORG9 ORC9 OQY9 OQU9 OQQ9 OQM9 OQI9 OQE9 OQA9 OPW9 OPS9 OPO9 OPK9 OPG9 OPC9 OOY9 OOU9 OOQ9 OOM9 OOI9 OOE9 OOA9 ONW9 ONS9 ONO9 ONK9 ONG9 ONC9 OMY9 OMU9 OMQ9 OMM9 OMI9 OME9 OMA9 OLW9 OLS9 OLO9 OLK9 OLG9 OLC9 OKY9 OKU9 OKQ9 OKM9 OKI9 OKE9 OKA9 OJW9 OJS9 OJO9 OJK9 OJG9 OJC9 OIY9 OIU9 OIQ9 OIM9 OII9 OIE9 OIA9 OHW9 OHS9 OHO9 OHK9 OHG9 OHC9 OGY9 OGU9 OGQ9 OGM9 OGI9 OGE9 OGA9 OFW9 OFS9 OFO9 OFK9 OFG9 OFC9 OEY9 OEU9 OEQ9 OEM9 OEI9 OEE9 OEA9 ODW9 ODS9 ODO9 ODK9 ODG9 ODC9 OCY9 OCU9 OCQ9 OCM9 OCI9 OCE9 OCA9 OBW9 OBS9 OBO9 OBK9 OBG9 OBC9 OAY9 OAU9 OAQ9 OAM9 OAI9 OAE9 OAA9 NZW9 NZS9 NZO9 NZK9 NZG9 NZC9 NYY9 NYU9 NYQ9 NYM9 NYI9 NYE9 NYA9 NXW9 NXS9 NXO9 NXK9 NXG9 NXC9 NWY9 NWU9 NWQ9 NWM9 NWI9 NWE9 NWA9 NVW9 NVS9 NVO9 NVK9 NVG9 NVC9 NUY9 NUU9 NUQ9 NUM9 NUI9 NUE9 NUA9 NTW9 NTS9 NTO9 NTK9 NTG9 NTC9 NSY9 NSU9 NSQ9 NSM9 NSI9 NSE9 NSA9 NRW9 NRS9 NRO9 NRK9 NRG9 NRC9 NQY9 NQU9 NQQ9 NQM9 NQI9 NQE9 NQA9 NPW9 NPS9 NPO9 NPK9 NPG9 NPC9 NOY9 NOU9 NOQ9 NOM9 NOI9 NOE9 NOA9 NNW9 NNS9 NNO9 NNK9 NNG9 NNC9 NMY9 NMU9 NMQ9 NMM9 NMI9 NME9 NMA9 NLW9 NLS9 NLO9 NLK9 NLG9 NLC9 NKY9 NKU9 NKQ9 NKM9 NKI9 NKE9 NKA9 NJW9 NJS9 NJO9 NJK9 NJG9 NJC9 NIY9 NIU9 NIQ9 NIM9 NII9 NIE9 NIA9 NHW9 NHS9 NHO9 NHK9 NHG9 NHC9 NGY9 NGU9 NGQ9 NGM9 NGI9 NGE9 NGA9 NFW9 NFS9 NFO9 NFK9 NFG9 NFC9 NEY9 NEU9 NEQ9 NEM9 NEI9 NEE9 NEA9 NDW9 NDS9 NDO9 NDK9 NDG9 NDC9 NCY9 NCU9 NCQ9 NCM9 NCI9 NCE9 NCA9 NBW9 NBS9 NBO9 NBK9 NBG9 NBC9 NAY9 NAU9 NAQ9 NAM9 NAI9 NAE9 NAA9 MZW9 MZS9 MZO9 MZK9 MZG9 MZC9 MYY9 MYU9 MYQ9 MYM9 MYI9 MYE9 MYA9 MXW9 MXS9 MXO9 MXK9 MXG9 MXC9 MWY9 MWU9 MWQ9 MWM9 MWI9 MWE9 MWA9 MVW9 MVS9 MVO9 MVK9 MVG9 MVC9 MUY9 MUU9 MUQ9 MUM9 MUI9 MUE9 MUA9 MTW9 MTS9 MTO9 MTK9 MTG9 MTC9 MSY9 MSU9 MSQ9 MSM9 MSI9 MSE9 MSA9 MRW9 MRS9 MRO9 MRK9 MRG9 MRC9 MQY9 MQU9 MQQ9 MQM9 MQI9 MQE9 MQA9 MPW9 MPS9 MPO9 MPK9 MPG9 MPC9 MOY9 MOU9 MOQ9 MOM9 MOI9 MOE9 MOA9 MNW9 MNS9 MNO9 MNK9 MNG9 MNC9 MMY9 MMU9 MMQ9 MMM9 MMI9 MME9 MMA9 MLW9 MLS9 MLO9 MLK9 MLG9 MLC9 MKY9 MKU9 MKQ9 MKM9 MKI9 MKE9 MKA9 MJW9 MJS9 MJO9 MJK9 MJG9 MJC9 MIY9 MIU9 MIQ9 MIM9 MII9 MIE9 MIA9 MHW9 MHS9 MHO9 MHK9 MHG9 MHC9 MGY9 MGU9 MGQ9 MGM9 MGI9 MGE9 MGA9 MFW9 MFS9 MFO9 MFK9 MFG9 MFC9 MEY9 MEU9 MEQ9 MEM9 MEI9 MEE9 MEA9 MDW9 MDS9 MDO9 MDK9 MDG9 MDC9 MCY9 MCU9 MCQ9 MCM9 MCI9 MCE9 MCA9 MBW9 MBS9 MBO9 MBK9 MBG9 MBC9 MAY9 MAU9 MAQ9 MAM9 MAI9 MAE9 MAA9 LZW9 LZS9 LZO9 LZK9 LZG9 LZC9 LYY9 LYU9 LYQ9 LYM9 LYI9 LYE9 LYA9 LXW9 LXS9 LXO9 LXK9 LXG9 LXC9 LWY9 LWU9 LWQ9 LWM9 LWI9 LWE9 LWA9 LVW9 LVS9 LVO9 LVK9 LVG9 LVC9 LUY9 LUU9 LUQ9 LUM9 LUI9 LUE9 LUA9 LTW9 LTS9 LTO9 LTK9 LTG9 LTC9 LSY9 LSU9 LSQ9 LSM9 LSI9 LSE9 LSA9 LRW9 LRS9 LRO9 LRK9 LRG9 LRC9 LQY9 LQU9 LQQ9 LQM9 LQI9 LQE9 LQA9 LPW9 LPS9 LPO9 LPK9 LPG9 LPC9 LOY9 LOU9 LOQ9 LOM9 LOI9 LOE9 LOA9 LNW9 LNS9 LNO9 LNK9 LNG9 LNC9 LMY9 LMU9 LMQ9 LMM9 LMI9 LME9 LMA9 LLW9 LLS9 LLO9 LLK9 LLG9 LLC9 LKY9 LKU9 LKQ9 LKM9 LKI9 LKE9 LKA9 LJW9 LJS9 LJO9 LJK9 LJG9 LJC9 LIY9 LIU9 LIQ9 LIM9 LII9 LIE9 LIA9 LHW9 LHS9 LHO9 LHK9 LHG9 LHC9 LGY9 LGU9 LGQ9 LGM9 LGI9 LGE9 LGA9 LFW9 LFS9 LFO9 LFK9 LFG9 LFC9 LEY9 LEU9 LEQ9 LEM9 LEI9 LEE9 LEA9 LDW9 LDS9 LDO9 LDK9 LDG9 LDC9 LCY9 LCU9 LCQ9 LCM9 LCI9 LCE9 LCA9 LBW9 LBS9 LBO9 LBK9 LBG9 LBC9 LAY9 LAU9 LAQ9 LAM9 LAI9 LAE9 LAA9 KZW9 KZS9 KZO9 KZK9 KZG9 KZC9 KYY9 KYU9 KYQ9 KYM9 KYI9 KYE9 KYA9 KXW9 KXS9 KXO9 KXK9 KXG9 KXC9 KWY9 KWU9 KWQ9 KWM9 KWI9 KWE9 KWA9 KVW9 KVS9 KVO9 KVK9 KVG9 KVC9 KUY9 KUU9 KUQ9 KUM9 KUI9 KUE9 KUA9 KTW9 KTS9 KTO9 KTK9 KTG9 KTC9 KSY9 KSU9 KSQ9 KSM9 KSI9 KSE9 KSA9 KRW9 KRS9 KRO9 KRK9 KRG9 KRC9 KQY9 KQU9 KQQ9 KQM9 KQI9 KQE9 KQA9 KPW9 KPS9 KPO9 KPK9 KPG9 KPC9 KOY9 KOU9 KOQ9 KOM9 KOI9 KOE9 KOA9 KNW9 KNS9 KNO9 KNK9 KNG9 KNC9 KMY9 KMU9 KMQ9 KMM9 KMI9 KME9 KMA9 KLW9 KLS9 KLO9 KLK9 KLG9 KLC9 KKY9 KKU9 KKQ9 KKM9 KKI9 KKE9 KKA9 KJW9 KJS9 KJO9 KJK9 KJG9 KJC9 KIY9 KIU9 KIQ9 KIM9 KII9 KIE9 KIA9 KHW9 KHS9 KHO9 KHK9 KHG9 KHC9 KGY9 KGU9 KGQ9 KGM9 KGI9 KGE9 KGA9 KFW9 KFS9 KFO9 KFK9 KFG9 KFC9 KEY9 KEU9 KEQ9 KEM9 KEI9 KEE9 KEA9 KDW9 KDS9 KDO9 KDK9 KDG9 KDC9 KCY9 KCU9 KCQ9 KCM9 KCI9 KCE9 KCA9 KBW9 KBS9 KBO9 KBK9 KBG9 KBC9 KAY9 KAU9 KAQ9 KAM9 KAI9 KAE9 KAA9 JZW9 JZS9 JZO9 JZK9 JZG9 JZC9 JYY9 JYU9 JYQ9 JYM9 JYI9 JYE9 JYA9 JXW9 JXS9 JXO9 JXK9 JXG9 JXC9 JWY9 JWU9 JWQ9 JWM9 JWI9 JWE9 JWA9 JVW9 JVS9 JVO9 JVK9 JVG9 JVC9 JUY9 JUU9 JUQ9 JUM9 JUI9 JUE9 JUA9 JTW9 JTS9 JTO9 JTK9 JTG9 JTC9 JSY9 JSU9 JSQ9 JSM9 JSI9 JSE9 JSA9 JRW9 JRS9 JRO9 JRK9 JRG9 JRC9 JQY9 JQU9 JQQ9 JQM9 JQI9 JQE9 JQA9 JPW9 JPS9 JPO9 JPK9 JPG9 JPC9 JOY9 JOU9 JOQ9 JOM9 JOI9 JOE9 JOA9 JNW9 JNS9 JNO9 JNK9 JNG9 JNC9 JMY9 JMU9 JMQ9 JMM9 JMI9 JME9 JMA9 JLW9 JLS9 JLO9 JLK9 JLG9 JLC9 JKY9 JKU9 JKQ9 JKM9 JKI9 JKE9 JKA9 JJW9 JJS9 JJO9 JJK9 JJG9 JJC9 JIY9 JIU9 JIQ9 JIM9 JII9 JIE9 JIA9 JHW9 JHS9 JHO9 JHK9 JHG9 JHC9 JGY9 JGU9 JGQ9 JGM9 JGI9 JGE9 JGA9 JFW9 JFS9 JFO9 JFK9 JFG9 JFC9 JEY9 JEU9 JEQ9 JEM9 JEI9 JEE9 JEA9 JDW9 JDS9 JDO9 JDK9 JDG9 JDC9 JCY9 JCU9 JCQ9 JCM9 JCI9 JCE9 JCA9 JBW9 JBS9 JBO9 JBK9 JBG9 JBC9 JAY9 JAU9 JAQ9 JAM9 JAI9 JAE9 JAA9 IZW9 IZS9 IZO9 IZK9 IZG9 IZC9 IYY9 IYU9 IYQ9 IYM9 IYI9 IYE9 IYA9 IXW9 IXS9 IXO9 IXK9 IXG9 IXC9 IWY9 IWU9 IWQ9 IWM9 IWI9 IWE9 IWA9 IVW9 IVS9 IVO9 IVK9 IVG9 IVC9 IUY9 IUU9 IUQ9 IUM9 IUI9 IUE9 IUA9 ITW9 ITS9 ITO9 ITK9 ITG9 ITC9 ISY9 ISU9 ISQ9 ISM9 ISI9 ISE9 ISA9 IRW9 IRS9 IRO9 IRK9 IRG9 IRC9 IQY9 IQU9 IQQ9 IQM9 IQI9 IQE9 IQA9 IPW9 IPS9 IPO9 IPK9 IPG9 IPC9 IOY9 IOU9 IOQ9 IOM9 IOI9 IOE9 IOA9 INW9 INS9 INO9 INK9 ING9 INC9 IMY9 IMU9 IMQ9 IMM9 IMI9 IME9 IMA9 ILW9 ILS9 ILO9 ILK9 ILG9 ILC9 IKY9 IKU9 IKQ9 IKM9 IKI9 IKE9 IKA9 IJW9 IJS9 IJO9 IJK9 IJG9 IJC9 IIY9 IIU9 IIQ9 IIM9 III9 IIE9 IIA9 IHW9 IHS9 IHO9 IHK9 IHG9 IHC9 IGY9 IGU9 IGQ9 IGM9 IGI9 IGE9 IGA9 IFW9 IFS9 IFO9 IFK9 IFG9 IFC9 IEY9 IEU9 IEQ9 IEM9 IEI9 IEE9 IEA9 IDW9 IDS9 IDO9 IDK9 IDG9 IDC9 ICY9 ICU9 ICQ9 ICM9 ICI9 ICE9 ICA9 IBW9 IBS9 IBO9 IBK9 IBG9 IBC9 IAY9 IAU9 IAQ9 IAM9 IAI9 IAE9 IAA9 HZW9 HZS9 HZO9 HZK9 HZG9 HZC9 HYY9 HYU9 HYQ9 HYM9 HYI9 HYE9 HYA9 HXW9 HXS9 HXO9 HXK9 HXG9 HXC9 HWY9 HWU9 HWQ9 HWM9 HWI9 HWE9 HWA9 HVW9 HVS9 HVO9 HVK9 HVG9 HVC9 HUY9 HUU9 HUQ9 HUM9 HUI9 HUE9 HUA9 HTW9 HTS9 HTO9 HTK9 HTG9 HTC9 HSY9 HSU9 HSQ9 HSM9 HSI9 HSE9 HSA9 HRW9 HRS9 HRO9 HRK9 HRG9 HRC9 HQY9 HQU9 HQQ9 HQM9 HQI9 HQE9 HQA9 HPW9 HPS9 HPO9 HPK9 HPG9 HPC9 HOY9 HOU9 HOQ9 HOM9 HOI9 HOE9 HOA9 HNW9 HNS9 HNO9 HNK9 HNG9 HNC9 HMY9 HMU9 HMQ9 HMM9 HMI9 HME9 HMA9 HLW9 HLS9 HLO9 HLK9 HLG9 HLC9 HKY9 HKU9 HKQ9 HKM9 HKI9 HKE9 HKA9 HJW9 HJS9 HJO9 HJK9 HJG9 HJC9 HIY9 HIU9 HIQ9 HIM9 HII9 HIE9 HIA9 HHW9 HHS9 HHO9 HHK9 HHG9 HHC9 HGY9 HGU9 HGQ9 HGM9 HGI9 HGE9 HGA9 HFW9 HFS9 HFO9 HFK9 HFG9 HFC9 HEY9 HEU9 HEQ9 HEM9 HEI9 HEE9 HEA9 HDW9 HDS9 HDO9 HDK9 HDG9 HDC9 HCY9 HCU9 HCQ9 HCM9 HCI9 HCE9 HCA9 HBW9 HBS9 HBO9 HBK9 HBG9 HBC9 HAY9 HAU9 HAQ9 HAM9 HAI9 HAE9 HAA9 GZW9 GZS9 GZO9 GZK9 GZG9 GZC9 GYY9 GYU9 GYQ9 GYM9 GYI9 GYE9 GYA9 GXW9 GXS9 GXO9 GXK9 GXG9 GXC9 GWY9 GWU9 GWQ9 GWM9 GWI9 GWE9 GWA9 GVW9 GVS9 GVO9 GVK9 GVG9 GVC9 GUY9 GUU9 GUQ9 GUM9 GUI9 GUE9 GUA9 GTW9 GTS9 GTO9 GTK9 GTG9 GTC9 GSY9 GSU9 GSQ9 GSM9 GSI9 GSE9 GSA9 GRW9 GRS9 GRO9 GRK9 GRG9 GRC9 GQY9 GQU9 GQQ9 GQM9 GQI9 GQE9 GQA9 GPW9 GPS9 GPO9 GPK9 GPG9 GPC9 GOY9 GOU9 GOQ9 GOM9 GOI9 GOE9 GOA9 GNW9 GNS9 GNO9 GNK9 GNG9 GNC9 GMY9 GMU9 GMQ9 GMM9 GMI9 GME9 GMA9 GLW9 GLS9 GLO9 GLK9 GLG9 GLC9 GKY9 GKU9 GKQ9 GKM9 GKI9 GKE9 GKA9 GJW9 GJS9 GJO9 GJK9 GJG9 GJC9 GIY9 GIU9 GIQ9 GIM9 GII9 GIE9 GIA9 GHW9 GHS9 GHO9 GHK9 GHG9 GHC9 GGY9 GGU9 GGQ9 GGM9 GGI9 GGE9 GGA9 GFW9 GFS9 GFO9 GFK9 GFG9 GFC9 GEY9 GEU9 GEQ9 GEM9 GEI9 GEE9 GEA9 GDW9 GDS9 GDO9 GDK9 GDG9 GDC9 GCY9 GCU9 GCQ9 GCM9 GCI9 GCE9 GCA9 GBW9 GBS9 GBO9 GBK9 GBG9 GBC9 GAY9 GAU9 GAQ9 GAM9 GAI9 GAE9 GAA9 FZW9 FZS9 FZO9 FZK9 FZG9 FZC9 FYY9 FYU9 FYQ9 FYM9 FYI9 FYE9 FYA9 FXW9 FXS9 FXO9 FXK9 FXG9 FXC9 FWY9 FWU9 FWQ9 FWM9 FWI9 FWE9 FWA9 FVW9 FVS9 FVO9 FVK9 FVG9 FVC9 FUY9 FUU9 FUQ9 FUM9 FUI9 FUE9 FUA9 FTW9 FTS9 FTO9 FTK9 FTG9 FTC9 FSY9 FSU9 FSQ9 FSM9 FSI9 FSE9 FSA9 FRW9 FRS9 FRO9 FRK9 FRG9 FRC9 FQY9 FQU9 FQQ9 FQM9 FQI9 FQE9 FQA9 FPW9 FPS9 FPO9 FPK9 FPG9 FPC9 FOY9 FOU9 FOQ9 FOM9 FOI9 FOE9 FOA9 FNW9 FNS9 FNO9 FNK9 FNG9 FNC9 FMY9 FMU9 FMQ9 FMM9 FMI9 FME9 FMA9 FLW9 FLS9 FLO9 FLK9 FLG9 FLC9 FKY9 FKU9 FKQ9 FKM9 FKI9 FKE9 FKA9 FJW9 FJS9 FJO9 FJK9 FJG9 FJC9 FIY9 FIU9 FIQ9 FIM9 FII9 FIE9 FIA9 FHW9 FHS9 FHO9 FHK9 FHG9 FHC9 FGY9 FGU9 FGQ9 FGM9 FGI9 FGE9 FGA9 FFW9 FFS9 FFO9 FFK9 FFG9 FFC9 FEY9 FEU9 FEQ9 FEM9 FEI9 FEE9 FEA9 FDW9 FDS9 FDO9 FDK9 FDG9 FDC9 FCY9 FCU9 FCQ9 FCM9 FCI9 FCE9 FCA9 FBW9 FBS9 FBO9 FBK9 FBG9 FBC9 FAY9 FAU9 FAQ9 FAM9 FAI9 FAE9 FAA9 EZW9 EZS9 EZO9 EZK9 EZG9 EZC9 EYY9 EYU9 EYQ9 EYM9 EYI9 EYE9 EYA9 EXW9 EXS9 EXO9 EXK9 EXG9 EXC9 EWY9 EWU9 EWQ9 EWM9 EWI9 EWE9 EWA9 EVW9 EVS9 EVO9 EVK9 EVG9 EVC9 EUY9 EUU9 EUQ9 EUM9 EUI9 EUE9 EUA9 ETW9 ETS9 ETO9 ETK9 ETG9 ETC9 ESY9 ESU9 ESQ9 ESM9 ESI9 ESE9 ESA9 ERW9 ERS9 ERO9 ERK9 ERG9 ERC9 EQY9 EQU9 EQQ9 EQM9 EQI9 EQE9 EQA9 EPW9 EPS9 EPO9 EPK9 EPG9 EPC9 EOY9 EOU9 EOQ9 EOM9 EOI9 EOE9 EOA9 ENW9 ENS9 ENO9 ENK9 ENG9 ENC9 EMY9 EMU9 EMQ9 EMM9 EMI9 EME9 EMA9 ELW9 ELS9 ELO9 ELK9 ELG9 ELC9 EKY9 EKU9 EKQ9 EKM9 EKI9 EKE9 EKA9 EJW9 EJS9 EJO9 EJK9 EJG9 EJC9 EIY9 EIU9 EIQ9 EIM9 EII9 EIE9 EIA9 EHW9 EHS9 EHO9 EHK9 EHG9 EHC9 EGY9 EGU9 EGQ9 EGM9 EGI9 EGE9 EGA9 EFW9 EFS9 EFO9 EFK9 EFG9 EFC9 EEY9 EEU9 EEQ9 EEM9 EEI9 EEE9 EEA9 EDW9 EDS9 EDO9 EDK9 EDG9 EDC9 ECY9 ECU9 ECQ9 ECM9 ECI9 ECE9 ECA9 EBW9 EBS9 EBO9 EBK9 EBG9 EBC9 EAY9 EAU9 EAQ9 EAM9 EAI9 EAE9 EAA9 DZW9 DZS9 DZO9 DZK9 DZG9 DZC9 DYY9 DYU9 DYQ9 DYM9 DYI9 DYE9 DYA9 DXW9 DXS9 DXO9 DXK9 DXG9 DXC9 DWY9 DWU9 DWQ9 DWM9 DWI9 DWE9 DWA9 DVW9 DVS9 DVO9 DVK9 DVG9 DVC9 DUY9 DUU9 DUQ9 DUM9 DUI9 DUE9 DUA9 DTW9 DTS9 DTO9 DTK9 DTG9 DTC9 DSY9 DSU9 DSQ9 DSM9 DSI9 DSE9 DSA9 DRW9 DRS9 DRO9 DRK9 DRG9 DRC9 DQY9 DQU9 DQQ9 DQM9 DQI9 DQE9 DQA9 DPW9 DPS9 DPO9 DPK9 DPG9 DPC9 DOY9 DOU9 DOQ9 DOM9 DOI9 DOE9 DOA9 DNW9 DNS9 DNO9 DNK9 DNG9 DNC9 DMY9 DMU9 DMQ9 DMM9 DMI9 DME9 DMA9 DLW9 DLS9 DLO9 DLK9 DLG9 DLC9 DKY9 DKU9 DKQ9 DKM9 DKI9 DKE9 DKA9 DJW9 DJS9 DJO9 DJK9 DJG9 DJC9 DIY9 DIU9 DIQ9 DIM9 DII9 DIE9 DIA9 DHW9 DHS9 DHO9 DHK9 DHG9 DHC9 DGY9 DGU9 DGQ9 DGM9 DGI9 DGE9 DGA9 DFW9 DFS9 DFO9 DFK9 DFG9 DFC9 DEY9 DEU9 DEQ9 DEM9 DEI9 DEE9 DEA9 DDW9 DDS9 DDO9 DDK9 DDG9 DDC9 DCY9 DCU9 DCQ9 DCM9 DCI9 DCE9 DCA9 DBW9 DBS9 DBO9 DBK9 DBG9 DBC9 DAY9 DAU9 DAQ9 DAM9 DAI9 DAE9 DAA9 CZW9 CZS9 CZO9 CZK9 CZG9 CZC9 CYY9 CYU9 CYQ9 CYM9 CYI9 CYE9 CYA9 CXW9 CXS9 CXO9 CXK9 CXG9 CXC9 CWY9 CWU9 CWQ9 CWM9 CWI9 CWE9 CWA9 CVW9 CVS9 CVO9 CVK9 CVG9 CVC9 CUY9 CUU9 CUQ9 CUM9 CUI9 CUE9 CUA9 CTW9 CTS9 CTO9 CTK9 CTG9 CTC9 CSY9 CSU9 CSQ9 CSM9 CSI9 CSE9 CSA9 CRW9 CRS9 CRO9 CRK9 CRG9 CRC9 CQY9 CQU9 CQQ9 CQM9 CQI9 CQE9 CQA9 CPW9 CPS9 CPO9 CPK9 CPG9 CPC9 COY9 COU9 COQ9 COM9 COI9 COE9 COA9 CNW9 CNS9 CNO9 CNK9 CNG9 CNC9 CMY9 CMU9 CMQ9 CMM9 CMI9 CME9 CMA9 CLW9 CLS9 CLO9 CLK9 CLG9 CLC9 CKY9 CKU9 CKQ9 CKM9 CKI9 CKE9 CKA9 CJW9 CJS9 CJO9 CJK9 CJG9 CJC9 CIY9 CIU9 CIQ9 CIM9 CII9 CIE9 CIA9 CHW9 CHS9 CHO9 CHK9 CHG9 CHC9 CGY9 CGU9 CGQ9 CGM9 CGI9 CGE9 CGA9 CFW9 CFS9 CFO9 CFK9 CFG9 CFC9 CEY9 CEU9 CEQ9 CEM9 CEI9 CEE9 CEA9 CDW9 CDS9 CDO9 CDK9 CDG9 CDC9 CCY9 CCU9 CCQ9 CCM9 CCI9 CCE9 CCA9 CBW9 CBS9 CBO9 CBK9 CBG9 CBC9 CAY9 CAU9 CAQ9 CAM9 CAI9 CAE9 CAA9 BZW9 BZS9 BZO9 BZK9 BZG9 BZC9 BYY9 BYU9 BYQ9 BYM9 BYI9 BYE9 BYA9 BXW9 BXS9 BXO9 BXK9 BXG9 BXC9 BWY9 BWU9 BWQ9 BWM9 BWI9 BWE9 BWA9 BVW9 BVS9 BVO9 BVK9 BVG9 BVC9 BUY9 BUU9 BUQ9 BUM9 BUI9 BUE9 BUA9 BTW9 BTS9 BTO9 BTK9 BTG9 BTC9 BSY9 BSU9 BSQ9 BSM9 BSI9 BSE9 BSA9 BRW9 BRS9 BRO9 BRK9 BRG9 BRC9 BQY9 BQU9 BQQ9 BQM9 BQI9 BQE9 BQA9 BPW9 BPS9 BPO9 BPK9 BPG9 BPC9 BOY9 BOU9 BOQ9 BOM9 BOI9 BOE9 BOA9 BNW9 BNS9 BNO9 BNK9 BNG9 BNC9 BMY9 BMU9 BMQ9 BMM9 BMI9 BME9 BMA9 BLW9 BLS9 BLO9 BLK9 BLG9 BLC9 BKY9 BKU9 BKQ9 BKM9 BKI9 BKE9 BKA9 BJW9 BJS9 BJO9 BJK9 BJG9 BJC9 BIY9 BIU9 BIQ9 BIM9 BII9 BIE9 BIA9 BHW9 BHS9 BHO9 BHK9 BHG9 BHC9 BGY9 BGU9 BGQ9 BGM9 BGI9 BGE9 BGA9 BFW9 BFS9 BFO9 BFK9 BFG9 BFC9 BEY9 BEU9 BEQ9 BEM9 BEI9 BEE9 BEA9 BDW9 BDS9 BDO9 BDK9 BDG9 BDC9 BCY9 BCU9 BCQ9 BCM9 BCI9 BCE9 BCA9 BBW9 BBS9 BBO9 BBK9 BBG9 BBC9 BAY9 BAU9 BAQ9 BAM9 BAI9 BAE9 BAA9 AZW9 AZS9 AZO9 AZK9 AZG9 AZC9 AYY9 AYU9 AYQ9 AYM9 AYI9 AYE9 AYA9 AXW9 AXS9 AXO9 AXK9 AXG9 AXC9 AWY9 AWU9 AWQ9 AWM9 AWI9 AWE9 AWA9 AVW9 AVS9 AVO9 AVK9 AVG9 AVC9 AUY9 AUU9 AUQ9 AUM9 AUI9 AUE9 AUA9 ATW9 ATS9 ATO9 ATK9 ATG9 ATC9 ASY9 ASU9 ASQ9 ASM9 ASI9 ASE9 ASA9 ARW9 ARS9 ARO9 ARK9 ARG9 ARC9 AQY9 AQU9 AQQ9 AQM9 AQI9 AQE9 AQA9 APW9 APS9 APO9 APK9 APG9 APC9 AOY9 AOU9 AOQ9 AOM9 AOI9 AOE9 AOA9 ANW9 ANS9 ANO9 ANK9 ANG9 ANC9 AMY9 AMU9 AMQ9 AMM9 AMI9 AME9 AMA9 ALW9 ALS9 ALO9 ALK9 ALG9 ALC9 AKY9 AKU9 AKQ9 AKM9 AKI9 AKE9 AKA9 AJW9 AJS9 AJO9 AJK9 AJG9 AJC9 AIY9 AIU9 AIQ9 AIM9 AII9 AIE9 AIA9 AHW9 AHS9 AHO9 AHK9 AHG9 AHC9 AGY9 AGU9 AGQ9 AGM9 AGI9 AGE9 AGA9 AFW9 AFS9 AFO9 AFK9 AFG9 AFC9 AEY9 AEU9 AEQ9 AEM9 AEI9 AEE9 AEA9 ADW9 ADS9 ADO9 ADK9 ADG9 ADC9 ACY9 ACU9 ACQ9 ACM9 ACI9 ACE9 ACA9 ABW9 ABS9 ABO9 ABK9 ABG9 ABC9 AAY9 AAU9 AAQ9 AAM9 AAI9 AAE9 AAA9 ZW9 ZS9 ZO9 ZK9 ZG9 ZC9 YY9 YU9 YQ9 YM9 YI9 YE9 YA9 XW9 XS9 XO9 XK9 XG9 XC9 WY9 WU9 WQ9 WM9 WI9 WE9 WA9 VW9 VS9 VO9 VK9 VG9 VC9 UY9 UU9 UQ9 UM9 UI9 UE9 UA9 TW9 TS9 TO9 TK9 TG9 TC9 SY9 SU9 SQ9 SM9 SI9 SE9 SA9 RW9 RS9 RO9 RK9 RG9 RC9 QY9 QU9 QQ9 QM9 QI9 QE9 QA9 PW9 PS9 PO9 PK9 PG9 PC9 OY9 OU9 OQ9 OM9 OI9 OE9 OA9 NW9 NS9 NO9 NK9 NG9 NC9 MY9 MU9 MQ9 MM9 MI9 ME9 MA9 LW9 LS9 LO9 LK9 LG9 LC9 KY9 KU9 KQ9 KM9 KI9 KE9 KA9 JW9 JS9 JO9 JK9 JG9 JC9 IY9 IU9 IQ9 IM9 II9 IE9 IA9 HW9 HS9 HO9 HK9 HG9 HC9 GY9 GU9 GQ9 GM9 GI9 GE9 GA9 FW9">
      <formula1>"身份证号,统一社会信用代码,营业执照编号"</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sheetPr codeName="Sheet10"/>
  <dimension ref="A1:T94"/>
  <sheetViews>
    <sheetView view="pageBreakPreview" topLeftCell="A68" zoomScale="120" zoomScaleSheetLayoutView="120" workbookViewId="0">
      <selection activeCell="H73" sqref="H73"/>
    </sheetView>
  </sheetViews>
  <sheetFormatPr defaultColWidth="9" defaultRowHeight="14.25"/>
  <cols>
    <col min="1" max="2" width="4.125" style="79" customWidth="1"/>
    <col min="3" max="3" width="15.5" style="79" customWidth="1"/>
    <col min="4" max="4" width="7.75" style="79" customWidth="1"/>
    <col min="5" max="5" width="8.875" style="79" customWidth="1"/>
    <col min="6" max="6" width="8.375" style="79" customWidth="1"/>
    <col min="7" max="7" width="9.625" style="79" customWidth="1"/>
    <col min="8" max="8" width="8.875" style="79" customWidth="1"/>
    <col min="9" max="9" width="8.75" style="79" customWidth="1"/>
    <col min="10" max="10" width="4.875" style="79" customWidth="1"/>
    <col min="11" max="11" width="10.125" style="79" customWidth="1"/>
    <col min="12" max="16384" width="9" style="79"/>
  </cols>
  <sheetData>
    <row r="1" spans="1:11" ht="1.5" customHeight="1"/>
    <row r="2" spans="1:11" ht="19.5" customHeight="1">
      <c r="A2" s="976" t="s">
        <v>327</v>
      </c>
      <c r="B2" s="976"/>
      <c r="C2" s="976"/>
      <c r="D2" s="976"/>
      <c r="E2" s="976"/>
      <c r="F2" s="976"/>
      <c r="G2" s="976"/>
      <c r="H2" s="976"/>
      <c r="I2" s="976"/>
      <c r="J2" s="976"/>
    </row>
    <row r="3" spans="1:11">
      <c r="A3" s="977" t="str">
        <f>CONCATENATE("初评编号：",'基础数据(房地产)'!B2,'基础数据(房地产)'!C2,"号")</f>
        <v>初评编号：苏海CD预估字[2017]号</v>
      </c>
      <c r="B3" s="977"/>
      <c r="C3" s="977"/>
      <c r="D3" s="977"/>
      <c r="E3" s="977"/>
      <c r="F3" s="977"/>
      <c r="G3" s="977"/>
      <c r="H3" s="977"/>
      <c r="I3" s="977"/>
      <c r="J3" s="977"/>
    </row>
    <row r="4" spans="1:11">
      <c r="A4" s="1066" t="str">
        <f>'基础数据(房地产)'!B7</f>
        <v>杜沛鸿</v>
      </c>
      <c r="B4" s="1066"/>
      <c r="C4" s="1066"/>
      <c r="D4" s="1066"/>
      <c r="E4" s="1066"/>
      <c r="F4" s="1066"/>
      <c r="G4" s="1066"/>
      <c r="H4" s="1066"/>
      <c r="I4" s="1066"/>
      <c r="J4" s="1066"/>
    </row>
    <row r="5" spans="1:11" ht="65.25" customHeight="1">
      <c r="A5" s="1069" t="e">
        <f>CONCATENATE("        承蒙信任，我们对您们所属的位于",'基础数据(房地产)'!B5,"",'基础数据(房地产)'!B10,"用房地产在价值时点",YEAR('基础数据(房地产)'!B28),"年",MONTH('基础数据(房地产)'!B28),"月",DAY('基础数据(房地产)'!B28),"日","进行初评，估价目的是：为确定房地产抵押贷款额度提供参考依据而评估房地产抵押价值，经过初步市场调查和实地查勘，选用比较法进行了分析、测算和判断，确定估价对象在未设立法定优先受偿权利下的抵押价值如下:")</f>
        <v>#VALUE!</v>
      </c>
      <c r="B5" s="1069"/>
      <c r="C5" s="1069"/>
      <c r="D5" s="1069"/>
      <c r="E5" s="1069"/>
      <c r="F5" s="1069"/>
      <c r="G5" s="1069"/>
      <c r="H5" s="1069"/>
      <c r="I5" s="1069"/>
      <c r="J5" s="1069"/>
    </row>
    <row r="6" spans="1:11">
      <c r="A6" s="84"/>
      <c r="B6" s="84"/>
      <c r="C6" s="990" t="s">
        <v>164</v>
      </c>
      <c r="D6" s="992" t="s">
        <v>20</v>
      </c>
      <c r="E6" s="979" t="s">
        <v>328</v>
      </c>
      <c r="F6" s="979"/>
      <c r="G6" s="994" t="s">
        <v>394</v>
      </c>
      <c r="H6" s="994" t="s">
        <v>395</v>
      </c>
      <c r="I6" s="1087"/>
      <c r="J6" s="105"/>
    </row>
    <row r="7" spans="1:11" ht="28.5">
      <c r="A7" s="84"/>
      <c r="B7" s="84"/>
      <c r="C7" s="991"/>
      <c r="D7" s="993"/>
      <c r="E7" s="85" t="s">
        <v>413</v>
      </c>
      <c r="F7" s="85" t="s">
        <v>397</v>
      </c>
      <c r="G7" s="995"/>
      <c r="H7" s="995"/>
      <c r="I7" s="1088"/>
      <c r="J7" s="106"/>
      <c r="K7" s="79" t="e">
        <f>#REF!</f>
        <v>#REF!</v>
      </c>
    </row>
    <row r="8" spans="1:11" ht="69" customHeight="1">
      <c r="A8" s="84"/>
      <c r="B8" s="84"/>
      <c r="C8" s="86" t="str">
        <f>'基础数据(房地产)'!B5</f>
        <v>成都市高新区交子大道199号16栋1单元9层902号</v>
      </c>
      <c r="D8" s="87">
        <f>'基础数据(房地产)'!B12</f>
        <v>248.9</v>
      </c>
      <c r="E8" s="88" t="e">
        <f>#REF!</f>
        <v>#REF!</v>
      </c>
      <c r="F8" s="89" t="e">
        <f>#REF!</f>
        <v>#REF!</v>
      </c>
      <c r="G8" s="90">
        <v>0</v>
      </c>
      <c r="H8" s="89" t="e">
        <f>F8</f>
        <v>#REF!</v>
      </c>
      <c r="I8" s="107"/>
      <c r="J8" s="108"/>
      <c r="K8" s="79" t="e">
        <f>TEXT(K7,"[DBNum2][$-804]G/通用格式")</f>
        <v>#REF!</v>
      </c>
    </row>
    <row r="9" spans="1:11" ht="15.75">
      <c r="A9" s="84"/>
      <c r="B9" s="84"/>
      <c r="C9" s="980" t="s">
        <v>333</v>
      </c>
      <c r="D9" s="981"/>
      <c r="E9" s="1070" t="e">
        <f>CONCATENATE("人民币",K8,"元整")</f>
        <v>#REF!</v>
      </c>
      <c r="F9" s="1071"/>
      <c r="G9" s="1071"/>
      <c r="H9" s="1072"/>
      <c r="I9" s="109"/>
      <c r="J9" s="108"/>
      <c r="K9" s="79" t="e">
        <f>#REF!</f>
        <v>#REF!</v>
      </c>
    </row>
    <row r="10" spans="1:11">
      <c r="A10" s="1073" t="s">
        <v>58</v>
      </c>
      <c r="B10" s="1073"/>
      <c r="C10" s="1074" t="s">
        <v>334</v>
      </c>
      <c r="D10" s="1075"/>
      <c r="E10" s="1075"/>
      <c r="F10" s="1075"/>
      <c r="G10" s="1075"/>
      <c r="H10" s="1075"/>
      <c r="I10" s="1075"/>
      <c r="J10" s="1075"/>
      <c r="K10" s="79" t="e">
        <f>TEXT(K9,"[DBNum2][$-804]G/通用格式")</f>
        <v>#REF!</v>
      </c>
    </row>
    <row r="11" spans="1:11" ht="15.75">
      <c r="A11" s="1017" t="s">
        <v>335</v>
      </c>
      <c r="B11" s="1018"/>
      <c r="C11" s="91" t="s">
        <v>336</v>
      </c>
      <c r="D11" s="996" t="str">
        <f>'基础数据(房地产)'!B5</f>
        <v>成都市高新区交子大道199号16栋1单元9层902号</v>
      </c>
      <c r="E11" s="1023"/>
      <c r="F11" s="1023"/>
      <c r="G11" s="997"/>
      <c r="H11" s="997"/>
      <c r="I11" s="997"/>
      <c r="J11" s="998"/>
    </row>
    <row r="12" spans="1:11" ht="15.75">
      <c r="A12" s="1019"/>
      <c r="B12" s="1020"/>
      <c r="C12" s="91" t="s">
        <v>337</v>
      </c>
      <c r="D12" s="1024" t="str">
        <f>'基础数据(房地产)'!B6</f>
        <v>成都市高新区交子大道中海城南一号16栋1单元9层，未见街道门牌号及房号</v>
      </c>
      <c r="E12" s="1025"/>
      <c r="F12" s="1025"/>
      <c r="G12" s="1026"/>
      <c r="H12" s="1026"/>
      <c r="I12" s="1026"/>
      <c r="J12" s="1027"/>
    </row>
    <row r="13" spans="1:11" ht="15.75">
      <c r="A13" s="1019"/>
      <c r="B13" s="1020"/>
      <c r="C13" s="91" t="s">
        <v>7</v>
      </c>
      <c r="D13" s="970" t="str">
        <f>'基础数据(房地产)'!B7</f>
        <v>杜沛鸿</v>
      </c>
      <c r="E13" s="970"/>
      <c r="F13" s="970"/>
      <c r="G13" s="91" t="s">
        <v>20</v>
      </c>
      <c r="H13" s="971">
        <f>'基础数据(房地产)'!B12</f>
        <v>248.9</v>
      </c>
      <c r="I13" s="971"/>
      <c r="J13" s="971"/>
    </row>
    <row r="14" spans="1:11" ht="15.75">
      <c r="A14" s="1019"/>
      <c r="B14" s="1020"/>
      <c r="C14" s="91" t="s">
        <v>338</v>
      </c>
      <c r="D14" s="971" t="str">
        <f>'基础数据(房地产)'!B8</f>
        <v>成房权证监证字第3796950号</v>
      </c>
      <c r="E14" s="971"/>
      <c r="F14" s="971"/>
      <c r="G14" s="91" t="str">
        <f>'基础数据(房地产)'!C13</f>
        <v>业务件号</v>
      </c>
      <c r="H14" s="971" t="str">
        <f>'基础数据(房地产)'!D13</f>
        <v>权2459043</v>
      </c>
      <c r="I14" s="971"/>
      <c r="J14" s="971"/>
    </row>
    <row r="15" spans="1:11" ht="15.75">
      <c r="A15" s="1019"/>
      <c r="B15" s="1020"/>
      <c r="C15" s="91" t="s">
        <v>16</v>
      </c>
      <c r="D15" s="971" t="str">
        <f>'基础数据(房地产)'!B11</f>
        <v>钢混</v>
      </c>
      <c r="E15" s="971"/>
      <c r="F15" s="971"/>
      <c r="G15" s="91" t="s">
        <v>12</v>
      </c>
      <c r="H15" s="972" t="str">
        <f>'基础数据(房地产)'!B10</f>
        <v>住宅</v>
      </c>
      <c r="I15" s="972"/>
      <c r="J15" s="972"/>
    </row>
    <row r="16" spans="1:11" ht="15.75">
      <c r="A16" s="1019"/>
      <c r="B16" s="1020"/>
      <c r="C16" s="91" t="s">
        <v>26</v>
      </c>
      <c r="D16" s="973" t="str">
        <f>'基础数据(房地产)'!B15</f>
        <v>28</v>
      </c>
      <c r="E16" s="971"/>
      <c r="F16" s="971"/>
      <c r="G16" s="91" t="s">
        <v>25</v>
      </c>
      <c r="H16" s="975" t="str">
        <f>'基础数据(房地产)'!D14</f>
        <v>9</v>
      </c>
      <c r="I16" s="975"/>
      <c r="J16" s="975"/>
    </row>
    <row r="17" spans="1:17" ht="15.75">
      <c r="A17" s="1019"/>
      <c r="B17" s="1020"/>
      <c r="C17" s="94" t="s">
        <v>414</v>
      </c>
      <c r="D17" s="1006">
        <f>'基础数据(房地产)'!B13</f>
        <v>41593</v>
      </c>
      <c r="E17" s="1007"/>
      <c r="F17" s="1008"/>
      <c r="G17" s="91" t="s">
        <v>21</v>
      </c>
      <c r="H17" s="1009">
        <f>'基础数据(房地产)'!D12</f>
        <v>214.82</v>
      </c>
      <c r="I17" s="1004"/>
      <c r="J17" s="1005"/>
    </row>
    <row r="18" spans="1:17" ht="15.75">
      <c r="A18" s="1019"/>
      <c r="B18" s="1020"/>
      <c r="C18" s="94" t="s">
        <v>415</v>
      </c>
      <c r="D18" s="1010" t="str">
        <f>'基础数据(房地产)'!D10</f>
        <v>单独所有</v>
      </c>
      <c r="E18" s="1011"/>
      <c r="F18" s="1011"/>
      <c r="G18" s="91" t="s">
        <v>339</v>
      </c>
      <c r="H18" s="1010" t="str">
        <f>'基础数据(房地产)'!B17</f>
        <v>无</v>
      </c>
      <c r="I18" s="1011"/>
      <c r="J18" s="1012"/>
    </row>
    <row r="19" spans="1:17" ht="15.75">
      <c r="A19" s="1021"/>
      <c r="B19" s="1022"/>
      <c r="C19" s="94" t="s">
        <v>27</v>
      </c>
      <c r="D19" s="1013" t="str">
        <f>'基础数据(房地产)'!B16</f>
        <v>根据估价委托人提供的《房屋所有权证》估价对象登记地址为：成都市高新区交子大道199号16栋1单元9层902号,经估价人员现场查看，估价对象实际查看地址为：成都市高新区交子大道中海城南一号16栋1单元9层，未见街道门牌号及房号估价委托人尚未提供《地址变更证明》，本次评估以注册房地产估价师现场查看房地产与《房屋所有权证》界定房地产为同一标的物为假设前提，提请报告使用人注意。</v>
      </c>
      <c r="E19" s="1014"/>
      <c r="F19" s="1014"/>
      <c r="G19" s="1014"/>
      <c r="H19" s="1014"/>
      <c r="I19" s="1014"/>
      <c r="J19" s="1015"/>
    </row>
    <row r="20" spans="1:17" ht="15.75">
      <c r="A20" s="1017" t="s">
        <v>340</v>
      </c>
      <c r="B20" s="1018"/>
      <c r="C20" s="91" t="str">
        <f>'基础数据(房地产)'!A23</f>
        <v>土地坐落</v>
      </c>
      <c r="D20" s="996" t="str">
        <f>'基础数据(房地产)'!B23</f>
        <v>成都市高新区交子大道199号16栋1单元9层902号</v>
      </c>
      <c r="E20" s="997"/>
      <c r="F20" s="997"/>
      <c r="G20" s="997"/>
      <c r="H20" s="997"/>
      <c r="I20" s="997"/>
      <c r="J20" s="998"/>
    </row>
    <row r="21" spans="1:17" ht="15.75">
      <c r="A21" s="1019"/>
      <c r="B21" s="1020"/>
      <c r="C21" s="91" t="str">
        <f>'基础数据(房地产)'!A21</f>
        <v>《土地使用证》编</v>
      </c>
      <c r="D21" s="1016" t="str">
        <f>'基础数据(房地产)'!B21</f>
        <v>-</v>
      </c>
      <c r="E21" s="997"/>
      <c r="F21" s="997"/>
      <c r="G21" s="91" t="str">
        <f>'基础数据(房地产)'!A22</f>
        <v>土地使用权人</v>
      </c>
      <c r="H21" s="996" t="str">
        <f>'基础数据(房地产)'!B22</f>
        <v>杜沛鸿</v>
      </c>
      <c r="I21" s="997"/>
      <c r="J21" s="998"/>
    </row>
    <row r="22" spans="1:17" ht="15.75">
      <c r="A22" s="1019"/>
      <c r="B22" s="1020"/>
      <c r="C22" s="91" t="str">
        <f>'基础数据(房地产)'!A24</f>
        <v>地类（用途）</v>
      </c>
      <c r="D22" s="996" t="str">
        <f>'基础数据(房地产)'!B24</f>
        <v>假设住宅</v>
      </c>
      <c r="E22" s="997"/>
      <c r="F22" s="998"/>
      <c r="G22" s="91" t="str">
        <f>'基础数据(房地产)'!A25</f>
        <v>使用权类型</v>
      </c>
      <c r="H22" s="1006" t="str">
        <f>'基础数据(房地产)'!B25</f>
        <v>出让</v>
      </c>
      <c r="I22" s="997"/>
      <c r="J22" s="998"/>
    </row>
    <row r="23" spans="1:17" ht="15.75">
      <c r="A23" s="1019"/>
      <c r="B23" s="1020"/>
      <c r="C23" s="91" t="str">
        <f>'基础数据(房地产)'!C22</f>
        <v>地号/图号</v>
      </c>
      <c r="D23" s="996" t="str">
        <f>'基础数据(房地产)'!D22</f>
        <v>----</v>
      </c>
      <c r="E23" s="997"/>
      <c r="F23" s="998"/>
      <c r="G23" s="91" t="str">
        <f>'基础数据(房地产)'!C24</f>
        <v>终止日期</v>
      </c>
      <c r="H23" s="1006" t="str">
        <f>'基础数据(房地产)'!D24</f>
        <v>-</v>
      </c>
      <c r="I23" s="1007"/>
      <c r="J23" s="1008"/>
    </row>
    <row r="24" spans="1:17" ht="15.75">
      <c r="A24" s="1019"/>
      <c r="B24" s="1020"/>
      <c r="C24" s="91" t="str">
        <f>'基础数据(房地产)'!C25</f>
        <v>使用权面积（㎡）</v>
      </c>
      <c r="D24" s="996" t="str">
        <f>'基础数据(房地产)'!D25</f>
        <v>-</v>
      </c>
      <c r="E24" s="997"/>
      <c r="F24" s="998"/>
      <c r="G24" s="91" t="str">
        <f>'基础数据(房地产)'!A26</f>
        <v>其中分摊面积（㎡）</v>
      </c>
      <c r="H24" s="996" t="str">
        <f>'基础数据(房地产)'!B26</f>
        <v>-</v>
      </c>
      <c r="I24" s="997"/>
      <c r="J24" s="998"/>
    </row>
    <row r="25" spans="1:17" ht="80.25" customHeight="1">
      <c r="A25" s="1021"/>
      <c r="B25" s="1022"/>
      <c r="C25" s="91" t="str">
        <f>'基础数据(房地产)'!A30</f>
        <v>备注</v>
      </c>
      <c r="D25" s="1076" t="str">
        <f>'基础数据(房地产)'!B30</f>
        <v>因委托方未提供估价对象《国有土地使用证》复印件，根据委托方提供的《房屋所有权证》复印件记载，土地使用权取得方式：出让，提请报告使用人注意。</v>
      </c>
      <c r="E25" s="1077"/>
      <c r="F25" s="1077"/>
      <c r="G25" s="1078"/>
      <c r="H25" s="1078"/>
      <c r="I25" s="1078"/>
      <c r="J25" s="1079"/>
    </row>
    <row r="26" spans="1:17" ht="15.75">
      <c r="A26" s="1073" t="s">
        <v>341</v>
      </c>
      <c r="B26" s="1073"/>
      <c r="C26" s="1074" t="s">
        <v>342</v>
      </c>
      <c r="D26" s="1075"/>
      <c r="E26" s="1075"/>
      <c r="F26" s="1075"/>
      <c r="G26" s="1075"/>
      <c r="H26" s="1075"/>
      <c r="I26" s="1075"/>
      <c r="J26" s="1075"/>
      <c r="O26" s="1003"/>
      <c r="P26" s="1004"/>
      <c r="Q26" s="1005"/>
    </row>
    <row r="27" spans="1:17" ht="15.75">
      <c r="A27" s="1003" t="str">
        <f>查看表!A5</f>
        <v>楼盘名称</v>
      </c>
      <c r="B27" s="1004"/>
      <c r="C27" s="1005"/>
      <c r="D27" s="996" t="str">
        <f>查看表!D5</f>
        <v>中海城南一号</v>
      </c>
      <c r="E27" s="998"/>
      <c r="F27" s="91" t="str">
        <f>查看表!F5</f>
        <v>建成年代</v>
      </c>
      <c r="G27" s="93" t="str">
        <f>查看表!G5</f>
        <v>2011-10-1</v>
      </c>
      <c r="H27" s="91" t="str">
        <f>查看表!H5</f>
        <v>建筑结构</v>
      </c>
      <c r="I27" s="996" t="str">
        <f>查看表!I5</f>
        <v>钢混</v>
      </c>
      <c r="J27" s="998"/>
    </row>
    <row r="28" spans="1:17" ht="15.75">
      <c r="A28" s="1003" t="str">
        <f>查看表!A6</f>
        <v>户型</v>
      </c>
      <c r="B28" s="1004"/>
      <c r="C28" s="1005"/>
      <c r="D28" s="996" t="str">
        <f>查看表!D6</f>
        <v>4室2厅1厨3卫</v>
      </c>
      <c r="E28" s="998"/>
      <c r="F28" s="91" t="str">
        <f>查看表!F6</f>
        <v>朝向</v>
      </c>
      <c r="G28" s="92" t="str">
        <f>查看表!G6</f>
        <v>南</v>
      </c>
      <c r="H28" s="91" t="str">
        <f>查看表!H6</f>
        <v>空间布局</v>
      </c>
      <c r="I28" s="996" t="str">
        <f>查看表!I6</f>
        <v>平层</v>
      </c>
      <c r="J28" s="998"/>
    </row>
    <row r="29" spans="1:17" ht="15.75">
      <c r="A29" s="1003" t="str">
        <f>查看表!A7</f>
        <v>位置状况</v>
      </c>
      <c r="B29" s="1004"/>
      <c r="C29" s="1005"/>
      <c r="D29" s="996" t="str">
        <f>查看表!D7</f>
        <v>不临街</v>
      </c>
      <c r="E29" s="998"/>
      <c r="F29" s="91" t="str">
        <f>查看表!F7</f>
        <v>层高</v>
      </c>
      <c r="G29" s="92" t="str">
        <f>查看表!G7</f>
        <v>约3米</v>
      </c>
      <c r="H29" s="91" t="str">
        <f>查看表!H7</f>
        <v>利用现状</v>
      </c>
      <c r="I29" s="996" t="str">
        <f>查看表!I7</f>
        <v>自用</v>
      </c>
      <c r="J29" s="998"/>
    </row>
    <row r="30" spans="1:17" ht="15.75">
      <c r="A30" s="1003" t="str">
        <f>查看表!A8</f>
        <v>总层数</v>
      </c>
      <c r="B30" s="1004"/>
      <c r="C30" s="1005"/>
      <c r="D30" s="996" t="str">
        <f>查看表!D8</f>
        <v>28</v>
      </c>
      <c r="E30" s="998"/>
      <c r="F30" s="91" t="str">
        <f>查看表!F8</f>
        <v>所在层数</v>
      </c>
      <c r="G30" s="92" t="str">
        <f>查看表!G8</f>
        <v>9</v>
      </c>
      <c r="H30" s="91" t="str">
        <f>查看表!H8</f>
        <v>实际用途</v>
      </c>
      <c r="I30" s="996" t="str">
        <f>查看表!I8</f>
        <v>住宅</v>
      </c>
      <c r="J30" s="998"/>
    </row>
    <row r="31" spans="1:17" ht="15.75">
      <c r="A31" s="1003" t="str">
        <f>查看表!A9</f>
        <v>单元户数</v>
      </c>
      <c r="B31" s="1004"/>
      <c r="C31" s="1005"/>
      <c r="D31" s="1016" t="str">
        <f>查看表!D9</f>
        <v>两梯四户</v>
      </c>
      <c r="E31" s="998"/>
      <c r="F31" s="91" t="str">
        <f>查看表!F9</f>
        <v>成新率</v>
      </c>
      <c r="G31" s="93" t="str">
        <f>查看表!G9</f>
        <v>90%</v>
      </c>
      <c r="H31" s="91" t="str">
        <f>查看表!H9</f>
        <v>维护保养状况</v>
      </c>
      <c r="I31" s="1016" t="str">
        <f>查看表!I9</f>
        <v>完好房</v>
      </c>
      <c r="J31" s="998"/>
    </row>
    <row r="32" spans="1:17" ht="18" customHeight="1">
      <c r="A32" s="1003" t="str">
        <f>查看表!A10</f>
        <v>设施设备</v>
      </c>
      <c r="B32" s="1004"/>
      <c r="C32" s="1005"/>
      <c r="D32" s="996" t="str">
        <f>查看表!D10</f>
        <v>2部电梯、地下停车位、电话接口、专用宽带、有线电视接口、管道天然气</v>
      </c>
      <c r="E32" s="1023"/>
      <c r="F32" s="1023"/>
      <c r="G32" s="997"/>
      <c r="H32" s="997"/>
      <c r="I32" s="997"/>
      <c r="J32" s="998"/>
    </row>
    <row r="33" spans="1:10">
      <c r="A33" s="1003" t="str">
        <f>查看表!A11</f>
        <v>装修状况</v>
      </c>
      <c r="B33" s="1047"/>
      <c r="C33" s="985" t="str">
        <f>查看表!C11</f>
        <v>估价对象所在建筑物外墙为条形砖，估价对象入户为防盗门，室内安装实木门分户，安装塑钢窗；室内客厅地面铺花岗石，墙面刷墙纸，顶棚为墙纸；卧室地面铺花岗石，墙面为墙纸,顶棚为墙纸；厨房及卫生间地面铺设防滑地砖、墙面为瓷砖满贴，顶棚采用塑料扣板吊顶。</v>
      </c>
      <c r="D33" s="1049"/>
      <c r="E33" s="1050"/>
      <c r="F33" s="1050"/>
      <c r="G33" s="1050"/>
      <c r="H33" s="1050"/>
      <c r="I33" s="1050"/>
      <c r="J33" s="1051"/>
    </row>
    <row r="34" spans="1:10" ht="57.75" customHeight="1">
      <c r="A34" s="1048"/>
      <c r="B34" s="1047"/>
      <c r="C34" s="1052"/>
      <c r="D34" s="1050"/>
      <c r="E34" s="1050"/>
      <c r="F34" s="1050"/>
      <c r="G34" s="1050"/>
      <c r="H34" s="1050"/>
      <c r="I34" s="1050"/>
      <c r="J34" s="1051"/>
    </row>
    <row r="35" spans="1:10" s="80" customFormat="1">
      <c r="A35" s="987" t="s">
        <v>134</v>
      </c>
      <c r="B35" s="987"/>
      <c r="C35" s="1040" t="s">
        <v>135</v>
      </c>
      <c r="D35" s="1041"/>
      <c r="E35" s="1041"/>
      <c r="F35" s="1041"/>
      <c r="G35" s="1041"/>
      <c r="H35" s="1041"/>
      <c r="I35" s="1041"/>
      <c r="J35" s="1041"/>
    </row>
    <row r="36" spans="1:10" s="81" customFormat="1">
      <c r="A36" s="1053" t="str">
        <f>查看表!A14</f>
        <v>位置状况</v>
      </c>
      <c r="B36" s="1054"/>
      <c r="C36" s="1057" t="str">
        <f>查看表!C14</f>
        <v>估价对象位于“中海城南一号”小区，该小区位于成都市南面，三环路外，东临益州大道，南临锦悦西二街，西临成汉南路，北临交子大道，区位条件较好。</v>
      </c>
      <c r="D36" s="1058"/>
      <c r="E36" s="1058"/>
      <c r="F36" s="1058"/>
      <c r="G36" s="1058"/>
      <c r="H36" s="1058"/>
      <c r="I36" s="1058"/>
      <c r="J36" s="1054"/>
    </row>
    <row r="37" spans="1:10" s="81" customFormat="1" ht="31.5" customHeight="1">
      <c r="A37" s="1055"/>
      <c r="B37" s="1056"/>
      <c r="C37" s="1055"/>
      <c r="D37" s="1059"/>
      <c r="E37" s="1059"/>
      <c r="F37" s="1059"/>
      <c r="G37" s="1059"/>
      <c r="H37" s="1059"/>
      <c r="I37" s="1059"/>
      <c r="J37" s="1056"/>
    </row>
    <row r="38" spans="1:10" s="81" customFormat="1">
      <c r="A38" s="1060" t="str">
        <f>查看表!A16</f>
        <v>交通状况</v>
      </c>
      <c r="B38" s="1054"/>
      <c r="C38" s="1057" t="str">
        <f>查看表!C16</f>
        <v>区域内分布有交子大道，锦悦西二街，益州大道，成汉南路等多条道路，并通过以上道路与城市主要干道相连，形成较为发达的交通网络，区域内道路通达度较好，附近有84、115、188、236、505路等多条公交线路途经并就近设有公交站点，估价对象所在小区出入口无交通限制，公交便捷度较高。</v>
      </c>
      <c r="D38" s="1058"/>
      <c r="E38" s="1058"/>
      <c r="F38" s="1058"/>
      <c r="G38" s="1058"/>
      <c r="H38" s="1058"/>
      <c r="I38" s="1058"/>
      <c r="J38" s="1054"/>
    </row>
    <row r="39" spans="1:10" s="81" customFormat="1" ht="54" customHeight="1">
      <c r="A39" s="1055"/>
      <c r="B39" s="1056"/>
      <c r="C39" s="1055"/>
      <c r="D39" s="1059"/>
      <c r="E39" s="1059"/>
      <c r="F39" s="1059"/>
      <c r="G39" s="1059"/>
      <c r="H39" s="1059"/>
      <c r="I39" s="1059"/>
      <c r="J39" s="1056"/>
    </row>
    <row r="40" spans="1:10" s="81" customFormat="1" ht="46.5" customHeight="1">
      <c r="A40" s="1003" t="str">
        <f>查看表!A18</f>
        <v>生活服务设施</v>
      </c>
      <c r="B40" s="1039"/>
      <c r="C40" s="985" t="str">
        <f>查看表!C18</f>
        <v>该区域内分布有红旗超市、二十四时便利店、七十一便利店、宋庆龄国际幼稚园、泡桐树小学天府校区、成都市石室天府中学、乐山商业银行、农业银行、成都农商银行、成都市第一人民医院、成都高薪民爱医院、成都市中西医结合医院等，该区域内生活配套设施齐全。</v>
      </c>
      <c r="D40" s="1030"/>
      <c r="E40" s="1030"/>
      <c r="F40" s="1030"/>
      <c r="G40" s="1030"/>
      <c r="H40" s="1030"/>
      <c r="I40" s="1030"/>
      <c r="J40" s="1029"/>
    </row>
    <row r="41" spans="1:10" ht="24.75" customHeight="1">
      <c r="A41" s="1003" t="str">
        <f>查看表!A19</f>
        <v>居住氛围</v>
      </c>
      <c r="B41" s="1029"/>
      <c r="C41" s="985" t="str">
        <f>查看表!C19</f>
        <v>周边分布有誉峰、仁和春天国际公寓、天府新谷等住宅小区，常住人口众多，居住氛围浓厚。</v>
      </c>
      <c r="D41" s="1030"/>
      <c r="E41" s="1030"/>
      <c r="F41" s="1030"/>
      <c r="G41" s="1030"/>
      <c r="H41" s="1030"/>
      <c r="I41" s="1030"/>
      <c r="J41" s="1029"/>
    </row>
    <row r="42" spans="1:10">
      <c r="A42" s="1031" t="s">
        <v>416</v>
      </c>
      <c r="B42" s="1032"/>
      <c r="C42" s="1032"/>
      <c r="D42" s="1032"/>
      <c r="E42" s="1032"/>
      <c r="F42" s="1032"/>
      <c r="G42" s="1032"/>
      <c r="H42" s="1032"/>
      <c r="I42" s="1040"/>
      <c r="J42" s="1041"/>
    </row>
    <row r="43" spans="1:10" ht="69" customHeight="1">
      <c r="A43" s="980" t="s">
        <v>417</v>
      </c>
      <c r="B43" s="1081"/>
      <c r="C43" s="980" t="s">
        <v>418</v>
      </c>
      <c r="D43" s="1081"/>
      <c r="E43" s="1081"/>
      <c r="F43" s="1081"/>
      <c r="G43" s="1081"/>
      <c r="H43" s="1081"/>
      <c r="I43" s="1081"/>
      <c r="J43" s="1081"/>
    </row>
    <row r="44" spans="1:10" ht="73.5" customHeight="1">
      <c r="A44" s="980" t="s">
        <v>419</v>
      </c>
      <c r="B44" s="1081"/>
      <c r="C44" s="985" t="s">
        <v>420</v>
      </c>
      <c r="D44" s="1049"/>
      <c r="E44" s="1049"/>
      <c r="F44" s="1049"/>
      <c r="G44" s="1049"/>
      <c r="H44" s="1049"/>
      <c r="I44" s="1049"/>
      <c r="J44" s="986"/>
    </row>
    <row r="45" spans="1:10" ht="69" customHeight="1">
      <c r="A45" s="980" t="s">
        <v>421</v>
      </c>
      <c r="B45" s="1081"/>
      <c r="C45" s="980" t="s">
        <v>422</v>
      </c>
      <c r="D45" s="980"/>
      <c r="E45" s="980"/>
      <c r="F45" s="980"/>
      <c r="G45" s="980"/>
      <c r="H45" s="980"/>
      <c r="I45" s="980"/>
      <c r="J45" s="980"/>
    </row>
    <row r="46" spans="1:10" ht="15" customHeight="1">
      <c r="A46" s="1031" t="s">
        <v>423</v>
      </c>
      <c r="B46" s="1032"/>
      <c r="C46" s="1032"/>
      <c r="D46" s="1032"/>
      <c r="E46" s="1032"/>
      <c r="F46" s="1032"/>
      <c r="G46" s="1032"/>
      <c r="H46" s="1032"/>
      <c r="I46" s="1031"/>
      <c r="J46" s="1032"/>
    </row>
    <row r="47" spans="1:10" ht="64.5" customHeight="1">
      <c r="A47" s="1043" t="s">
        <v>407</v>
      </c>
      <c r="B47" s="1044"/>
      <c r="C47" s="980" t="s">
        <v>424</v>
      </c>
      <c r="D47" s="980"/>
      <c r="E47" s="980"/>
      <c r="F47" s="980"/>
      <c r="G47" s="980"/>
      <c r="H47" s="980"/>
      <c r="I47" s="980"/>
      <c r="J47" s="980"/>
    </row>
    <row r="48" spans="1:10" ht="69" customHeight="1">
      <c r="A48" s="1045"/>
      <c r="B48" s="1046"/>
      <c r="C48" s="980" t="s">
        <v>409</v>
      </c>
      <c r="D48" s="980"/>
      <c r="E48" s="980"/>
      <c r="F48" s="980"/>
      <c r="G48" s="980"/>
      <c r="H48" s="980"/>
      <c r="I48" s="980"/>
      <c r="J48" s="980"/>
    </row>
    <row r="49" spans="1:10" ht="66.75" customHeight="1">
      <c r="A49" s="1033" t="s">
        <v>410</v>
      </c>
      <c r="B49" s="1033"/>
      <c r="C49" s="980" t="s">
        <v>411</v>
      </c>
      <c r="D49" s="980"/>
      <c r="E49" s="980"/>
      <c r="F49" s="980"/>
      <c r="G49" s="980"/>
      <c r="H49" s="980"/>
      <c r="I49" s="980"/>
      <c r="J49" s="980"/>
    </row>
    <row r="50" spans="1:10" ht="21" customHeight="1">
      <c r="A50" s="1031" t="s">
        <v>425</v>
      </c>
      <c r="B50" s="1090"/>
      <c r="C50" s="1090"/>
      <c r="D50" s="1090"/>
      <c r="E50" s="1090"/>
      <c r="F50" s="1090"/>
      <c r="G50" s="1090"/>
      <c r="H50" s="1090"/>
      <c r="I50" s="1040"/>
      <c r="J50" s="1080"/>
    </row>
    <row r="51" spans="1:10">
      <c r="A51" s="1069" t="s">
        <v>426</v>
      </c>
      <c r="B51" s="1069"/>
      <c r="C51" s="1069"/>
      <c r="D51" s="1069"/>
      <c r="E51" s="1069"/>
      <c r="F51" s="1069"/>
      <c r="G51" s="1069"/>
      <c r="H51" s="1069"/>
      <c r="I51" s="1069"/>
      <c r="J51" s="1069"/>
    </row>
    <row r="52" spans="1:10" ht="68.25" customHeight="1">
      <c r="A52" s="1069"/>
      <c r="B52" s="1069"/>
      <c r="C52" s="1069"/>
      <c r="D52" s="1069"/>
      <c r="E52" s="1069"/>
      <c r="F52" s="1069"/>
      <c r="G52" s="1069"/>
      <c r="H52" s="1069"/>
      <c r="I52" s="1069"/>
      <c r="J52" s="1069"/>
    </row>
    <row r="53" spans="1:10" ht="46.5" customHeight="1">
      <c r="A53" s="1069" t="s">
        <v>427</v>
      </c>
      <c r="B53" s="1069"/>
      <c r="C53" s="1069"/>
      <c r="D53" s="1069"/>
      <c r="E53" s="1069"/>
      <c r="F53" s="1069"/>
      <c r="G53" s="1069"/>
      <c r="H53" s="1069"/>
      <c r="I53" s="1069"/>
      <c r="J53" s="1069"/>
    </row>
    <row r="54" spans="1:10" ht="21" customHeight="1">
      <c r="A54" s="1085" t="s">
        <v>428</v>
      </c>
      <c r="B54" s="1085"/>
      <c r="C54" s="1085"/>
      <c r="D54" s="1085"/>
      <c r="E54" s="95"/>
      <c r="F54" s="95"/>
      <c r="G54" s="95"/>
      <c r="H54" s="95"/>
      <c r="I54" s="95"/>
      <c r="J54" s="83"/>
    </row>
    <row r="55" spans="1:10" ht="15.75">
      <c r="A55" s="96"/>
      <c r="B55" s="1034" t="e">
        <f>#REF!</f>
        <v>#REF!</v>
      </c>
      <c r="C55" s="1035"/>
      <c r="D55" s="97" t="e">
        <f>#REF!</f>
        <v>#REF!</v>
      </c>
      <c r="E55" s="97" t="e">
        <f>#REF!</f>
        <v>#REF!</v>
      </c>
      <c r="F55" s="97" t="e">
        <f>#REF!</f>
        <v>#REF!</v>
      </c>
      <c r="G55" s="97" t="e">
        <f>#REF!</f>
        <v>#REF!</v>
      </c>
      <c r="H55" s="97" t="e">
        <f>#REF!</f>
        <v>#REF!</v>
      </c>
      <c r="I55" s="110" t="e">
        <f>#REF!</f>
        <v>#REF!</v>
      </c>
      <c r="J55" s="83"/>
    </row>
    <row r="56" spans="1:10" ht="15.75">
      <c r="A56" s="96"/>
      <c r="B56" s="1036" t="e">
        <f>#REF!</f>
        <v>#REF!</v>
      </c>
      <c r="C56" s="1037"/>
      <c r="D56" s="98" t="e">
        <f>#REF!</f>
        <v>#REF!</v>
      </c>
      <c r="E56" s="99" t="e">
        <f>#REF!</f>
        <v>#REF!</v>
      </c>
      <c r="F56" s="99" t="e">
        <f>#REF!</f>
        <v>#REF!</v>
      </c>
      <c r="G56" s="98" t="e">
        <f>#REF!</f>
        <v>#REF!</v>
      </c>
      <c r="H56" s="100" t="e">
        <f>#REF!</f>
        <v>#REF!</v>
      </c>
      <c r="I56" s="111" t="e">
        <f>#REF!</f>
        <v>#REF!</v>
      </c>
      <c r="J56" s="83"/>
    </row>
    <row r="57" spans="1:10" ht="15.75">
      <c r="A57" s="96"/>
      <c r="B57" s="1036" t="e">
        <f>#REF!</f>
        <v>#REF!</v>
      </c>
      <c r="C57" s="1037"/>
      <c r="D57" s="98" t="e">
        <f>#REF!</f>
        <v>#REF!</v>
      </c>
      <c r="E57" s="99" t="e">
        <f>#REF!</f>
        <v>#REF!</v>
      </c>
      <c r="F57" s="99" t="e">
        <f>#REF!</f>
        <v>#REF!</v>
      </c>
      <c r="G57" s="98" t="e">
        <f>#REF!</f>
        <v>#REF!</v>
      </c>
      <c r="H57" s="100" t="e">
        <f>#REF!</f>
        <v>#REF!</v>
      </c>
      <c r="I57" s="111" t="e">
        <f>#REF!</f>
        <v>#REF!</v>
      </c>
      <c r="J57" s="83"/>
    </row>
    <row r="58" spans="1:10" ht="15.75">
      <c r="A58" s="96"/>
      <c r="B58" s="1064" t="e">
        <f>#REF!</f>
        <v>#REF!</v>
      </c>
      <c r="C58" s="1065"/>
      <c r="D58" s="101" t="e">
        <f>#REF!</f>
        <v>#REF!</v>
      </c>
      <c r="E58" s="102" t="e">
        <f>#REF!</f>
        <v>#REF!</v>
      </c>
      <c r="F58" s="102" t="e">
        <f>#REF!</f>
        <v>#REF!</v>
      </c>
      <c r="G58" s="101" t="e">
        <f>#REF!</f>
        <v>#REF!</v>
      </c>
      <c r="H58" s="103" t="e">
        <f>#REF!</f>
        <v>#REF!</v>
      </c>
      <c r="I58" s="112" t="e">
        <f>#REF!</f>
        <v>#REF!</v>
      </c>
      <c r="J58" s="83"/>
    </row>
    <row r="59" spans="1:10" ht="34.5" customHeight="1">
      <c r="A59" s="96"/>
      <c r="B59" s="1069" t="s">
        <v>429</v>
      </c>
      <c r="C59" s="1069"/>
      <c r="D59" s="1069"/>
      <c r="E59" s="1069"/>
      <c r="F59" s="1069"/>
      <c r="G59" s="1069"/>
      <c r="H59" s="1069"/>
      <c r="I59" s="1069"/>
      <c r="J59" s="1069"/>
    </row>
    <row r="60" spans="1:10" ht="15.75">
      <c r="A60" s="96"/>
      <c r="B60" s="1089" t="e">
        <f>CONCATENATE("可比实例A比准价格=",#REF!,"×",#REF!,"×",#REF!,"×",#REF!,"×",#REF!,"×",#REF!,"=",#REF!,"")</f>
        <v>#REF!</v>
      </c>
      <c r="C60" s="1089"/>
      <c r="D60" s="1089"/>
      <c r="E60" s="1089"/>
      <c r="F60" s="1089"/>
      <c r="G60" s="1089"/>
      <c r="H60" s="1089"/>
      <c r="I60" s="1089"/>
      <c r="J60" s="83"/>
    </row>
    <row r="61" spans="1:10" ht="15.75">
      <c r="A61" s="96"/>
      <c r="B61" s="1083" t="e">
        <f>CONCATENATE("可比实例B比准价格=",#REF!,"×",#REF!,"×",#REF!,"×",#REF!,"×",#REF!,"×",#REF!,"=",#REF!,"")</f>
        <v>#REF!</v>
      </c>
      <c r="C61" s="1083"/>
      <c r="D61" s="1083"/>
      <c r="E61" s="1083"/>
      <c r="F61" s="1083"/>
      <c r="G61" s="1083"/>
      <c r="H61" s="1083"/>
      <c r="I61" s="1083"/>
      <c r="J61" s="104"/>
    </row>
    <row r="62" spans="1:10" ht="12.75" customHeight="1">
      <c r="A62" s="96"/>
      <c r="B62" s="1083" t="e">
        <f>CONCATENATE("可比实例C比准价格=",#REF!,"×",#REF!,"×",#REF!,"×",#REF!,"×",#REF!,"×",#REF!,"=",#REF!,"")</f>
        <v>#REF!</v>
      </c>
      <c r="C62" s="1083"/>
      <c r="D62" s="1083"/>
      <c r="E62" s="1083"/>
      <c r="F62" s="1083"/>
      <c r="G62" s="1083"/>
      <c r="H62" s="1083"/>
      <c r="I62" s="1083"/>
      <c r="J62" s="104"/>
    </row>
    <row r="63" spans="1:10" ht="13.5" customHeight="1">
      <c r="A63" s="96"/>
      <c r="B63" s="1083" t="e">
        <f>CONCATENATE("估价对象单价=",#REF!,"×1/3+",#REF!,"×1/3+",#REF!,"×1/3=",#REF!,"元/平方米（结果取整至十位）")</f>
        <v>#REF!</v>
      </c>
      <c r="C63" s="1083"/>
      <c r="D63" s="1083"/>
      <c r="E63" s="1083"/>
      <c r="F63" s="1083"/>
      <c r="G63" s="1083"/>
      <c r="H63" s="1083"/>
      <c r="I63" s="1083"/>
      <c r="J63" s="104"/>
    </row>
    <row r="64" spans="1:10" ht="12.75" customHeight="1">
      <c r="A64" s="1066" t="s">
        <v>343</v>
      </c>
      <c r="B64" s="1066"/>
      <c r="C64" s="1066"/>
      <c r="D64" s="1066"/>
      <c r="E64" s="1066"/>
      <c r="F64" s="1066"/>
      <c r="G64" s="1066"/>
      <c r="H64" s="1066"/>
      <c r="I64" s="1066"/>
      <c r="J64" s="1066"/>
    </row>
    <row r="65" spans="1:20" ht="30" customHeight="1">
      <c r="A65" s="113" t="s">
        <v>58</v>
      </c>
      <c r="B65" s="1067" t="s">
        <v>344</v>
      </c>
      <c r="C65" s="1067"/>
      <c r="D65" s="1067"/>
      <c r="E65" s="1067"/>
      <c r="F65" s="1067"/>
      <c r="G65" s="1067"/>
      <c r="H65" s="1067"/>
      <c r="I65" s="1067"/>
      <c r="J65" s="1067"/>
    </row>
    <row r="66" spans="1:20" ht="17.25" customHeight="1">
      <c r="A66" s="113" t="s">
        <v>341</v>
      </c>
      <c r="B66" s="1067" t="s">
        <v>430</v>
      </c>
      <c r="C66" s="1067"/>
      <c r="D66" s="1067"/>
      <c r="E66" s="1067"/>
      <c r="F66" s="1067"/>
      <c r="G66" s="1067"/>
      <c r="H66" s="1067"/>
      <c r="I66" s="1067"/>
      <c r="J66" s="1067"/>
    </row>
    <row r="67" spans="1:20" ht="32.25" customHeight="1">
      <c r="A67" s="113" t="s">
        <v>134</v>
      </c>
      <c r="B67" s="1067" t="s">
        <v>431</v>
      </c>
      <c r="C67" s="1067"/>
      <c r="D67" s="1067"/>
      <c r="E67" s="1067"/>
      <c r="F67" s="1067"/>
      <c r="G67" s="1067"/>
      <c r="H67" s="1067"/>
      <c r="I67" s="1067"/>
      <c r="J67" s="1067"/>
    </row>
    <row r="68" spans="1:20" ht="16.5" customHeight="1">
      <c r="A68" s="113" t="s">
        <v>350</v>
      </c>
      <c r="B68" s="1061" t="s">
        <v>432</v>
      </c>
      <c r="C68" s="1061"/>
      <c r="D68" s="1061"/>
      <c r="E68" s="1061"/>
      <c r="F68" s="1061"/>
      <c r="G68" s="1061"/>
      <c r="H68" s="1061"/>
      <c r="I68" s="1061"/>
      <c r="J68" s="1061"/>
    </row>
    <row r="69" spans="1:20" ht="60.75" customHeight="1">
      <c r="A69" s="113" t="s">
        <v>354</v>
      </c>
      <c r="B69" s="1067" t="str">
        <f>D25</f>
        <v>因委托方未提供估价对象《国有土地使用证》复印件，根据委托方提供的《房屋所有权证》复印件记载，土地使用权取得方式：出让，提请报告使用人注意。</v>
      </c>
      <c r="C69" s="1067"/>
      <c r="D69" s="1067"/>
      <c r="E69" s="1067"/>
      <c r="F69" s="1067"/>
      <c r="G69" s="1067"/>
      <c r="H69" s="1067"/>
      <c r="I69" s="1067"/>
      <c r="J69" s="1067"/>
      <c r="K69" s="117" t="s">
        <v>433</v>
      </c>
      <c r="L69" s="1068" t="str">
        <f>CONCATENATE("根据估价委托人提供的《房屋所有权证》登记记载，估价对象于",'基础数据(房地产)'!D18,"已设定抵押，抵押权利人为",'基础数据(房地产)'!B18,"，约定期限为",'基础数据(房地产)'!D19,"，权利价值为",'基础数据(房地产)'!B19,"元，根据估价委托人提供的《房地产估价委托书》，经估价委托人确认，估价委托人拟以清偿债权后的估价对象作为抵押物再次申请贷款，并作出书面承诺：以该房地产作为抵押物再次申请贷款，并作出书面承诺：以该房地产作为抵押担保物向有关机构贷款和办理抵押登记前清偿该房地产已抵押担保的所有债权并注销抵押的他项权利登记，保证该房地产未设定他项权利。本次评估以估价对象未设定抵押权为前提。在此提请报告使用者加以关注。")</f>
        <v>根据估价委托人提供的《房屋所有权证》登记记载，估价对象于无已设定抵押，抵押权利人为无，约定期限为无，权利价值为无元，根据估价委托人提供的《房地产估价委托书》，经估价委托人确认，估价委托人拟以清偿债权后的估价对象作为抵押物再次申请贷款，并作出书面承诺：以该房地产作为抵押物再次申请贷款，并作出书面承诺：以该房地产作为抵押担保物向有关机构贷款和办理抵押登记前清偿该房地产已抵押担保的所有债权并注销抵押的他项权利登记，保证该房地产未设定他项权利。本次评估以估价对象未设定抵押权为前提。在此提请报告使用者加以关注。</v>
      </c>
      <c r="M69" s="1068"/>
      <c r="N69" s="1068"/>
      <c r="O69" s="1068"/>
      <c r="P69" s="1068"/>
      <c r="Q69" s="1068"/>
      <c r="R69" s="1068"/>
      <c r="S69" s="1068"/>
      <c r="T69" s="1068"/>
    </row>
    <row r="70" spans="1:20" ht="59.25" customHeight="1">
      <c r="A70" s="113" t="s">
        <v>348</v>
      </c>
      <c r="B70" s="1084" t="str">
        <f>L73</f>
        <v>根据估价委托人提供的《房屋所有权证》界定地址为：成都市高新区交子大道199号16栋1单元9层902号,经估价人员现场查看，估价对象现地址为：成都市高新区交子大道中海城南一号16栋1单元9层，未见街道门牌号及房号,本次评估以估价人员现场查看房地产与《房屋所有权证》界定房地产为同一标的物为假设前提，提请报告使用人注意。</v>
      </c>
      <c r="C70" s="1084"/>
      <c r="D70" s="1084"/>
      <c r="E70" s="1084"/>
      <c r="F70" s="1084"/>
      <c r="G70" s="1084"/>
      <c r="H70" s="1084"/>
      <c r="I70" s="1084"/>
      <c r="J70" s="1084"/>
      <c r="K70" s="117" t="s">
        <v>434</v>
      </c>
      <c r="L70" s="1068" t="e">
        <f>CONCATENATE("根据估价委托人提供的《国有土地使用证》，估价对象所属宗地系划拨方式取得，本次评估已扣除估价对象预计处分时应缴纳的土地出让金或相当于出让金的价款￥：",#REF!,"元（人民币",#REF!,"元）。")</f>
        <v>#REF!</v>
      </c>
      <c r="M70" s="1068"/>
      <c r="N70" s="1068"/>
      <c r="O70" s="1068"/>
      <c r="P70" s="1068"/>
      <c r="Q70" s="1068"/>
      <c r="R70" s="1068"/>
      <c r="S70" s="1068"/>
      <c r="T70" s="118"/>
    </row>
    <row r="71" spans="1:20" ht="18.75" customHeight="1">
      <c r="C71" s="79" t="s">
        <v>359</v>
      </c>
      <c r="F71" s="79" t="s">
        <v>360</v>
      </c>
      <c r="G71" s="79" t="s">
        <v>399</v>
      </c>
      <c r="K71" s="79" t="s">
        <v>435</v>
      </c>
      <c r="L71" s="1067" t="e">
        <f>CONCATENATE("因估价委托人未提供估价对象《国有土地使用证》，根据估价委托人提供的《房屋所有权证》、《房地产估价委托书》等相关资料，经估价委托人介绍，估价对象所属宗地系划拨方式取得，本次评估已扣除估价对象预计处分时应缴纳的土地出让金或相当于出让金的价款￥：",#REF!,"元（人民币",#REF!,"元）。")</f>
        <v>#REF!</v>
      </c>
      <c r="M71" s="1067"/>
      <c r="N71" s="1067"/>
      <c r="O71" s="1067"/>
      <c r="P71" s="1067"/>
      <c r="Q71" s="1067"/>
      <c r="R71" s="1067"/>
      <c r="S71" s="1067"/>
      <c r="T71" s="1067"/>
    </row>
    <row r="72" spans="1:20" ht="16.5" customHeight="1">
      <c r="C72" s="79" t="s">
        <v>436</v>
      </c>
      <c r="L72" s="1067"/>
      <c r="M72" s="1067"/>
      <c r="N72" s="1067"/>
      <c r="O72" s="1067"/>
      <c r="P72" s="1067"/>
      <c r="Q72" s="1067"/>
      <c r="R72" s="1067"/>
      <c r="S72" s="1067"/>
      <c r="T72" s="1067"/>
    </row>
    <row r="73" spans="1:20" ht="13.5" customHeight="1">
      <c r="C73" s="79" t="s">
        <v>363</v>
      </c>
      <c r="K73" s="79" t="s">
        <v>437</v>
      </c>
      <c r="L73" s="1067" t="str">
        <f>CONCATENATE("根据估价委托人提供的《房屋所有权证》界定地址为：",'基础数据(房地产)'!B5,",经估价人员现场查看，估价对象现地址为：",'基础数据(房地产)'!B6,",本次评估以估价人员现场查看房地产与《房屋所有权证》界定房地产为同一标的物为假设前提，提请报告使用人注意。")</f>
        <v>根据估价委托人提供的《房屋所有权证》界定地址为：成都市高新区交子大道199号16栋1单元9层902号,经估价人员现场查看，估价对象现地址为：成都市高新区交子大道中海城南一号16栋1单元9层，未见街道门牌号及房号,本次评估以估价人员现场查看房地产与《房屋所有权证》界定房地产为同一标的物为假设前提，提请报告使用人注意。</v>
      </c>
      <c r="M73" s="1067"/>
      <c r="N73" s="1067"/>
      <c r="O73" s="1067"/>
      <c r="P73" s="1067"/>
      <c r="Q73" s="1067"/>
      <c r="R73" s="1067"/>
      <c r="S73" s="1067"/>
      <c r="T73" s="1067"/>
    </row>
    <row r="74" spans="1:20" ht="18.75" customHeight="1">
      <c r="C74" s="79" t="s">
        <v>363</v>
      </c>
      <c r="L74" s="1067"/>
      <c r="M74" s="1067"/>
      <c r="N74" s="1067"/>
      <c r="O74" s="1067"/>
      <c r="P74" s="1067"/>
      <c r="Q74" s="1067"/>
      <c r="R74" s="1067"/>
      <c r="S74" s="1067"/>
      <c r="T74" s="1067"/>
    </row>
    <row r="75" spans="1:20" ht="13.5" hidden="1" customHeight="1">
      <c r="F75" s="1086"/>
      <c r="G75" s="1086"/>
      <c r="H75" s="1086"/>
      <c r="I75" s="1086"/>
      <c r="J75" s="1086"/>
      <c r="L75" s="1067"/>
      <c r="M75" s="1067"/>
      <c r="N75" s="1067"/>
      <c r="O75" s="1067"/>
      <c r="P75" s="1067"/>
      <c r="Q75" s="1067"/>
      <c r="R75" s="1067"/>
      <c r="S75" s="1067"/>
      <c r="T75" s="1067"/>
    </row>
    <row r="76" spans="1:20">
      <c r="B76" s="977" t="str">
        <f>统一初评!B54</f>
        <v>江苏海正土地房地产评估有限公司</v>
      </c>
      <c r="C76" s="977"/>
      <c r="D76" s="977"/>
      <c r="E76" s="977"/>
      <c r="F76" s="977"/>
      <c r="G76" s="977"/>
      <c r="H76" s="977"/>
      <c r="I76" s="977"/>
      <c r="J76" s="977"/>
      <c r="L76" s="1067"/>
      <c r="M76" s="1067"/>
      <c r="N76" s="1067"/>
      <c r="O76" s="1067"/>
      <c r="P76" s="1067"/>
      <c r="Q76" s="1067"/>
      <c r="R76" s="1067"/>
      <c r="S76" s="1067"/>
      <c r="T76" s="1067"/>
    </row>
    <row r="77" spans="1:20">
      <c r="B77" s="1062" t="str">
        <f>'基础数据(房地产)'!B29</f>
        <v>二〇一七年十一月十日</v>
      </c>
      <c r="C77" s="1062"/>
      <c r="D77" s="1062"/>
      <c r="E77" s="1062"/>
      <c r="F77" s="1062"/>
      <c r="G77" s="1062"/>
      <c r="H77" s="1062"/>
      <c r="I77" s="1062"/>
      <c r="J77" s="1062"/>
      <c r="K77" s="79" t="s">
        <v>438</v>
      </c>
      <c r="L77" s="1067"/>
      <c r="M77" s="1067"/>
      <c r="N77" s="1067"/>
      <c r="O77" s="1067"/>
      <c r="P77" s="1067"/>
      <c r="Q77" s="1067"/>
      <c r="R77" s="1067"/>
      <c r="S77" s="1067"/>
      <c r="T77" s="1067"/>
    </row>
    <row r="78" spans="1:20">
      <c r="A78" s="79" t="s">
        <v>439</v>
      </c>
      <c r="L78" s="79" t="s">
        <v>440</v>
      </c>
    </row>
    <row r="79" spans="1:20" ht="24.75" customHeight="1">
      <c r="A79" s="1082" t="str">
        <f>CONCATENATE("根据估价委托人提供的《房屋所有权证》登记记载，估价对象于",'基础数据(房地产)'!D18,"已设定抵押，抵押权利人为",'基础数据(房地产)'!B18,"，约定期限为",'基础数据(房地产)'!D19,"，权利价值为",'基础数据(房地产)'!B19,"元，根据估价委托人提供的《房地产估价委托书》，经估价委托人确认，估价委托人拟以清偿债权后的估价对象作为抵押物再次申请贷款，并作出书面承诺：以该房地产作为抵押物再次申请贷款，并作出书面承诺：以该房地产作为抵押担保物向有关机构贷款和办理抵押登记前清偿该房地产已抵押担保的所有债权并注销抵押的他项权利登记，保证该房地产未设定他项权利。本次评估以估价对象未设定抵押权为前提。")</f>
        <v>根据估价委托人提供的《房屋所有权证》登记记载，估价对象于无已设定抵押，抵押权利人为无，约定期限为无，权利价值为无元，根据估价委托人提供的《房地产估价委托书》，经估价委托人确认，估价委托人拟以清偿债权后的估价对象作为抵押物再次申请贷款，并作出书面承诺：以该房地产作为抵押物再次申请贷款，并作出书面承诺：以该房地产作为抵押担保物向有关机构贷款和办理抵押登记前清偿该房地产已抵押担保的所有债权并注销抵押的他项权利登记，保证该房地产未设定他项权利。本次评估以估价对象未设定抵押权为前提。</v>
      </c>
      <c r="B79" s="1082"/>
      <c r="C79" s="1082"/>
      <c r="D79" s="1082"/>
      <c r="E79" s="1082"/>
      <c r="F79" s="1082"/>
      <c r="G79" s="1082"/>
      <c r="H79" s="1082"/>
      <c r="I79" s="1082"/>
      <c r="J79" s="1082"/>
      <c r="K79" s="1082"/>
      <c r="L79" s="79" t="s">
        <v>441</v>
      </c>
    </row>
    <row r="80" spans="1:20">
      <c r="A80" s="1082"/>
      <c r="B80" s="1082"/>
      <c r="C80" s="1082"/>
      <c r="D80" s="1082"/>
      <c r="E80" s="1082"/>
      <c r="F80" s="1082"/>
      <c r="G80" s="1082"/>
      <c r="H80" s="1082"/>
      <c r="I80" s="1082"/>
      <c r="J80" s="1082"/>
      <c r="K80" s="1082"/>
    </row>
    <row r="81" spans="1:11">
      <c r="A81" s="1082"/>
      <c r="B81" s="1082"/>
      <c r="C81" s="1082"/>
      <c r="D81" s="1082"/>
      <c r="E81" s="1082"/>
      <c r="F81" s="1082"/>
      <c r="G81" s="1082"/>
      <c r="H81" s="1082"/>
      <c r="I81" s="1082"/>
      <c r="J81" s="1082"/>
      <c r="K81" s="1082"/>
    </row>
    <row r="82" spans="1:11">
      <c r="A82" s="1082"/>
      <c r="B82" s="1082"/>
      <c r="C82" s="1082"/>
      <c r="D82" s="1082"/>
      <c r="E82" s="1082"/>
      <c r="F82" s="1082"/>
      <c r="G82" s="1082"/>
      <c r="H82" s="1082"/>
      <c r="I82" s="1082"/>
      <c r="J82" s="1082"/>
      <c r="K82" s="1082"/>
    </row>
    <row r="83" spans="1:11">
      <c r="A83" s="1082"/>
      <c r="B83" s="1082"/>
      <c r="C83" s="1082"/>
      <c r="D83" s="1082"/>
      <c r="E83" s="1082"/>
      <c r="F83" s="1082"/>
      <c r="G83" s="1082"/>
      <c r="H83" s="1082"/>
      <c r="I83" s="1082"/>
      <c r="J83" s="1082"/>
      <c r="K83" s="1082"/>
    </row>
    <row r="84" spans="1:11">
      <c r="A84" s="1082"/>
      <c r="B84" s="1082"/>
      <c r="C84" s="1082"/>
      <c r="D84" s="1082"/>
      <c r="E84" s="1082"/>
      <c r="F84" s="1082"/>
      <c r="G84" s="1082"/>
      <c r="H84" s="1082"/>
      <c r="I84" s="1082"/>
      <c r="J84" s="1082"/>
      <c r="K84" s="1082"/>
    </row>
    <row r="85" spans="1:11">
      <c r="A85" s="1082"/>
      <c r="B85" s="1082"/>
      <c r="C85" s="1082"/>
      <c r="D85" s="1082"/>
      <c r="E85" s="1082"/>
      <c r="F85" s="1082"/>
      <c r="G85" s="1082"/>
      <c r="H85" s="1082"/>
      <c r="I85" s="1082"/>
      <c r="J85" s="1082"/>
      <c r="K85" s="1082"/>
    </row>
    <row r="88" spans="1:11">
      <c r="B88" s="1042" t="s">
        <v>442</v>
      </c>
      <c r="C88" s="1042"/>
      <c r="D88" s="1042"/>
      <c r="E88" s="1042"/>
      <c r="F88" s="1042"/>
      <c r="G88" s="1042"/>
      <c r="H88" s="1042"/>
      <c r="I88" s="1042"/>
      <c r="J88" s="1042"/>
      <c r="K88" s="1042"/>
    </row>
    <row r="89" spans="1:11">
      <c r="B89" s="1042"/>
      <c r="C89" s="1042"/>
      <c r="D89" s="1042"/>
      <c r="E89" s="1042"/>
      <c r="F89" s="1042"/>
      <c r="G89" s="1042"/>
      <c r="H89" s="1042"/>
      <c r="I89" s="1042"/>
      <c r="J89" s="1042"/>
      <c r="K89" s="1042"/>
    </row>
    <row r="90" spans="1:11">
      <c r="B90" s="1042"/>
      <c r="C90" s="1042"/>
      <c r="D90" s="1042"/>
      <c r="E90" s="1042"/>
      <c r="F90" s="1042"/>
      <c r="G90" s="1042"/>
      <c r="H90" s="1042"/>
      <c r="I90" s="1042"/>
      <c r="J90" s="1042"/>
      <c r="K90" s="1042"/>
    </row>
    <row r="91" spans="1:11">
      <c r="B91" s="1042"/>
      <c r="C91" s="1042"/>
      <c r="D91" s="1042"/>
      <c r="E91" s="1042"/>
      <c r="F91" s="1042"/>
      <c r="G91" s="1042"/>
      <c r="H91" s="1042"/>
      <c r="I91" s="1042"/>
      <c r="J91" s="1042"/>
      <c r="K91" s="1042"/>
    </row>
    <row r="92" spans="1:11">
      <c r="B92" s="1042"/>
      <c r="C92" s="1042"/>
      <c r="D92" s="1042"/>
      <c r="E92" s="1042"/>
      <c r="F92" s="1042"/>
      <c r="G92" s="1042"/>
      <c r="H92" s="1042"/>
      <c r="I92" s="1042"/>
      <c r="J92" s="1042"/>
      <c r="K92" s="1042"/>
    </row>
    <row r="93" spans="1:11">
      <c r="B93" s="1042"/>
      <c r="C93" s="1042"/>
      <c r="D93" s="1042"/>
      <c r="E93" s="1042"/>
      <c r="F93" s="1042"/>
      <c r="G93" s="1042"/>
      <c r="H93" s="1042"/>
      <c r="I93" s="1042"/>
      <c r="J93" s="1042"/>
      <c r="K93" s="1042"/>
    </row>
    <row r="94" spans="1:11">
      <c r="B94" s="1042"/>
      <c r="C94" s="1042"/>
      <c r="D94" s="1042"/>
      <c r="E94" s="1042"/>
      <c r="F94" s="1042"/>
      <c r="G94" s="1042"/>
      <c r="H94" s="1042"/>
      <c r="I94" s="1042"/>
      <c r="J94" s="1042"/>
      <c r="K94" s="1042"/>
    </row>
  </sheetData>
  <mergeCells count="118">
    <mergeCell ref="L71:T72"/>
    <mergeCell ref="L73:T77"/>
    <mergeCell ref="A51:J52"/>
    <mergeCell ref="F75:J75"/>
    <mergeCell ref="B76:J76"/>
    <mergeCell ref="B77:J77"/>
    <mergeCell ref="C6:C7"/>
    <mergeCell ref="D6:D7"/>
    <mergeCell ref="G6:G7"/>
    <mergeCell ref="H6:H7"/>
    <mergeCell ref="I6:I7"/>
    <mergeCell ref="L69:T69"/>
    <mergeCell ref="L70:S70"/>
    <mergeCell ref="B59:J59"/>
    <mergeCell ref="B60:I60"/>
    <mergeCell ref="B61:I61"/>
    <mergeCell ref="B62:I62"/>
    <mergeCell ref="A46:H46"/>
    <mergeCell ref="I46:J46"/>
    <mergeCell ref="C47:J47"/>
    <mergeCell ref="C48:J48"/>
    <mergeCell ref="A49:B49"/>
    <mergeCell ref="C49:J49"/>
    <mergeCell ref="A50:H50"/>
    <mergeCell ref="B88:K94"/>
    <mergeCell ref="A20:B25"/>
    <mergeCell ref="A11:B19"/>
    <mergeCell ref="C33:J34"/>
    <mergeCell ref="A47:B48"/>
    <mergeCell ref="A33:B34"/>
    <mergeCell ref="A79:K85"/>
    <mergeCell ref="A36:B37"/>
    <mergeCell ref="C36:J37"/>
    <mergeCell ref="A38:B39"/>
    <mergeCell ref="C38:J39"/>
    <mergeCell ref="B63:I63"/>
    <mergeCell ref="A64:J64"/>
    <mergeCell ref="B65:J65"/>
    <mergeCell ref="B66:J66"/>
    <mergeCell ref="B67:J67"/>
    <mergeCell ref="B68:J68"/>
    <mergeCell ref="B69:J69"/>
    <mergeCell ref="B70:J70"/>
    <mergeCell ref="A54:D54"/>
    <mergeCell ref="B55:C55"/>
    <mergeCell ref="B56:C56"/>
    <mergeCell ref="B57:C57"/>
    <mergeCell ref="B58:C58"/>
    <mergeCell ref="I50:J50"/>
    <mergeCell ref="A53:J53"/>
    <mergeCell ref="A41:B41"/>
    <mergeCell ref="C41:J41"/>
    <mergeCell ref="A42:H42"/>
    <mergeCell ref="I42:J42"/>
    <mergeCell ref="A43:B43"/>
    <mergeCell ref="C43:J43"/>
    <mergeCell ref="A44:B44"/>
    <mergeCell ref="C44:J44"/>
    <mergeCell ref="A45:B45"/>
    <mergeCell ref="C45:J45"/>
    <mergeCell ref="A31:C31"/>
    <mergeCell ref="D31:E31"/>
    <mergeCell ref="I31:J31"/>
    <mergeCell ref="A32:C32"/>
    <mergeCell ref="D32:J32"/>
    <mergeCell ref="A35:B35"/>
    <mergeCell ref="C35:J35"/>
    <mergeCell ref="A40:B40"/>
    <mergeCell ref="C40:J40"/>
    <mergeCell ref="A28:C28"/>
    <mergeCell ref="D28:E28"/>
    <mergeCell ref="I28:J28"/>
    <mergeCell ref="A29:C29"/>
    <mergeCell ref="D29:E29"/>
    <mergeCell ref="I29:J29"/>
    <mergeCell ref="A30:C30"/>
    <mergeCell ref="D30:E30"/>
    <mergeCell ref="I30:J30"/>
    <mergeCell ref="D23:F23"/>
    <mergeCell ref="H23:J23"/>
    <mergeCell ref="D24:F24"/>
    <mergeCell ref="H24:J24"/>
    <mergeCell ref="D25:J25"/>
    <mergeCell ref="A26:B26"/>
    <mergeCell ref="C26:J26"/>
    <mergeCell ref="O26:Q26"/>
    <mergeCell ref="A27:C27"/>
    <mergeCell ref="D27:E27"/>
    <mergeCell ref="I27:J27"/>
    <mergeCell ref="D17:F17"/>
    <mergeCell ref="H17:J17"/>
    <mergeCell ref="D18:F18"/>
    <mergeCell ref="H18:J18"/>
    <mergeCell ref="D19:J19"/>
    <mergeCell ref="D20:J20"/>
    <mergeCell ref="D21:F21"/>
    <mergeCell ref="H21:J21"/>
    <mergeCell ref="D22:F22"/>
    <mergeCell ref="H22:J22"/>
    <mergeCell ref="D11:J11"/>
    <mergeCell ref="D12:J12"/>
    <mergeCell ref="D13:F13"/>
    <mergeCell ref="H13:J13"/>
    <mergeCell ref="D14:F14"/>
    <mergeCell ref="H14:J14"/>
    <mergeCell ref="D15:F15"/>
    <mergeCell ref="H15:J15"/>
    <mergeCell ref="D16:F16"/>
    <mergeCell ref="H16:J16"/>
    <mergeCell ref="A2:J2"/>
    <mergeCell ref="A3:J3"/>
    <mergeCell ref="A4:J4"/>
    <mergeCell ref="A5:J5"/>
    <mergeCell ref="E6:F6"/>
    <mergeCell ref="C9:D9"/>
    <mergeCell ref="E9:H9"/>
    <mergeCell ref="A10:B10"/>
    <mergeCell ref="C10:J10"/>
  </mergeCells>
  <phoneticPr fontId="23" type="noConversion"/>
  <dataValidations count="1">
    <dataValidation showInputMessage="1" showErrorMessage="1" sqref="F68"/>
  </dataValidations>
  <pageMargins left="0.70763888888888904" right="0.70763888888888904" top="0.74791666666666701" bottom="0.74791666666666701" header="0.31388888888888899" footer="0.31388888888888899"/>
  <pageSetup paperSize="9" orientation="portrait" r:id="rId1"/>
  <headerFooter>
    <oddFooter>&amp;L&amp;G</oddFooter>
  </headerFooter>
  <rowBreaks count="2" manualBreakCount="2">
    <brk id="32" max="9" man="1"/>
    <brk id="49" max="9" man="1"/>
  </rowBreaks>
  <legacyDrawing r:id="rId2"/>
  <legacyDrawingHF r:id="rId3"/>
</worksheet>
</file>

<file path=xl/worksheets/sheet11.xml><?xml version="1.0" encoding="utf-8"?>
<worksheet xmlns="http://schemas.openxmlformats.org/spreadsheetml/2006/main" xmlns:r="http://schemas.openxmlformats.org/officeDocument/2006/relationships">
  <sheetPr codeName="Sheet11"/>
  <dimension ref="B1:J35"/>
  <sheetViews>
    <sheetView view="pageBreakPreview" zoomScaleSheetLayoutView="100" workbookViewId="0">
      <selection activeCell="G27" sqref="G27"/>
    </sheetView>
  </sheetViews>
  <sheetFormatPr defaultColWidth="9" defaultRowHeight="14.25"/>
  <cols>
    <col min="1" max="2" width="9" style="59"/>
    <col min="3" max="3" width="13.125" style="59" customWidth="1"/>
    <col min="4" max="4" width="23.375" style="59" customWidth="1"/>
    <col min="5" max="5" width="14.375" style="59" customWidth="1"/>
    <col min="6" max="6" width="17.5" style="59" customWidth="1"/>
    <col min="7" max="7" width="9" style="59"/>
    <col min="8" max="8" width="9.375" style="59" customWidth="1"/>
    <col min="9" max="9" width="18.625" style="59" customWidth="1"/>
    <col min="10" max="10" width="17.375" style="59" customWidth="1"/>
    <col min="11" max="11" width="14.625" style="59" customWidth="1"/>
    <col min="12" max="16384" width="9" style="59"/>
  </cols>
  <sheetData>
    <row r="1" spans="2:10" ht="21">
      <c r="B1" s="1091" t="s">
        <v>443</v>
      </c>
      <c r="C1" s="1091"/>
      <c r="D1" s="1091"/>
      <c r="E1" s="1091"/>
      <c r="F1" s="1091"/>
    </row>
    <row r="2" spans="2:10">
      <c r="B2" s="17"/>
      <c r="C2" s="18"/>
      <c r="D2" s="18"/>
      <c r="E2" s="60"/>
      <c r="F2" s="61"/>
    </row>
    <row r="3" spans="2:10">
      <c r="B3" s="1092" t="s">
        <v>444</v>
      </c>
      <c r="C3" s="1092"/>
      <c r="D3" s="1093" t="str">
        <f>'基础数据(房地产)'!B5</f>
        <v>成都市高新区交子大道199号16栋1单元9层902号</v>
      </c>
      <c r="E3" s="1093"/>
      <c r="F3" s="1093"/>
    </row>
    <row r="4" spans="2:10">
      <c r="B4" s="1092" t="s">
        <v>160</v>
      </c>
      <c r="C4" s="1092"/>
      <c r="D4" s="1094">
        <f>'基础数据(房地产)'!B12</f>
        <v>248.9</v>
      </c>
      <c r="E4" s="1094"/>
      <c r="F4" s="1094"/>
      <c r="G4" s="59" t="e">
        <f>TEXT(E20,"#,##0")</f>
        <v>#REF!</v>
      </c>
    </row>
    <row r="5" spans="2:10">
      <c r="B5" s="1095" t="s">
        <v>445</v>
      </c>
      <c r="C5" s="1095"/>
      <c r="D5" s="1096" t="e">
        <f>#REF!</f>
        <v>#REF!</v>
      </c>
      <c r="E5" s="1096"/>
      <c r="F5" s="1096"/>
      <c r="G5" s="59" t="e">
        <f>TEXT(D21,"#,##0")</f>
        <v>#REF!</v>
      </c>
      <c r="H5" s="64"/>
      <c r="I5" s="64"/>
    </row>
    <row r="6" spans="2:10">
      <c r="B6" s="1095" t="s">
        <v>446</v>
      </c>
      <c r="C6" s="1095"/>
      <c r="D6" s="1096" t="e">
        <f>D5*0.8</f>
        <v>#REF!</v>
      </c>
      <c r="E6" s="1096"/>
      <c r="F6" s="1096"/>
      <c r="H6" s="64">
        <v>0</v>
      </c>
      <c r="I6" s="64"/>
    </row>
    <row r="7" spans="2:10">
      <c r="B7" s="1095" t="s">
        <v>447</v>
      </c>
      <c r="C7" s="1095"/>
      <c r="D7" s="1096"/>
      <c r="E7" s="1096"/>
      <c r="F7" s="1096"/>
      <c r="H7" s="64"/>
      <c r="I7" s="64"/>
    </row>
    <row r="8" spans="2:10">
      <c r="B8" s="62"/>
      <c r="C8" s="62" t="s">
        <v>448</v>
      </c>
      <c r="D8" s="63" t="s">
        <v>449</v>
      </c>
      <c r="E8" s="1096" t="s">
        <v>450</v>
      </c>
      <c r="F8" s="1096"/>
    </row>
    <row r="9" spans="2:10" ht="28.5">
      <c r="B9" s="65" t="s">
        <v>451</v>
      </c>
      <c r="C9" s="66" t="s">
        <v>452</v>
      </c>
      <c r="D9" s="66" t="s">
        <v>453</v>
      </c>
      <c r="E9" s="1096">
        <v>0</v>
      </c>
      <c r="F9" s="1096"/>
    </row>
    <row r="10" spans="2:10">
      <c r="B10" s="65" t="s">
        <v>454</v>
      </c>
      <c r="C10" s="66" t="s">
        <v>455</v>
      </c>
      <c r="D10" s="66" t="s">
        <v>456</v>
      </c>
      <c r="E10" s="1096">
        <f>ROUND(SUMPRODUCT(E9,7%),0)</f>
        <v>0</v>
      </c>
      <c r="F10" s="1096"/>
    </row>
    <row r="11" spans="2:10">
      <c r="B11" s="65" t="s">
        <v>457</v>
      </c>
      <c r="C11" s="66" t="s">
        <v>458</v>
      </c>
      <c r="D11" s="66" t="s">
        <v>459</v>
      </c>
      <c r="E11" s="1096">
        <f>ROUND(SUMPRODUCT(E9,3%),0)</f>
        <v>0</v>
      </c>
      <c r="F11" s="1096"/>
    </row>
    <row r="12" spans="2:10" ht="22.15" customHeight="1">
      <c r="B12" s="65" t="s">
        <v>460</v>
      </c>
      <c r="C12" s="66" t="s">
        <v>461</v>
      </c>
      <c r="D12" s="66" t="s">
        <v>462</v>
      </c>
      <c r="E12" s="1096">
        <f>ROUND(SUMPRODUCT(E9,2%),0)</f>
        <v>0</v>
      </c>
      <c r="F12" s="1096"/>
      <c r="H12" s="67" t="s">
        <v>463</v>
      </c>
      <c r="I12" s="59" t="e">
        <f>D6*10%</f>
        <v>#REF!</v>
      </c>
      <c r="J12" s="75" t="s">
        <v>464</v>
      </c>
    </row>
    <row r="13" spans="2:10">
      <c r="B13" s="65" t="s">
        <v>465</v>
      </c>
      <c r="C13" s="66" t="s">
        <v>466</v>
      </c>
      <c r="D13" s="66" t="s">
        <v>467</v>
      </c>
      <c r="E13" s="1096">
        <v>0</v>
      </c>
      <c r="F13" s="1096"/>
      <c r="H13" s="68" t="s">
        <v>468</v>
      </c>
      <c r="I13" s="59">
        <v>0</v>
      </c>
    </row>
    <row r="14" spans="2:10" hidden="1">
      <c r="B14" s="69"/>
      <c r="C14" s="66" t="s">
        <v>469</v>
      </c>
      <c r="D14" s="66" t="s">
        <v>470</v>
      </c>
      <c r="E14" s="1096" t="e">
        <f>ROUND(SUM(D5,-E15),0)</f>
        <v>#REF!</v>
      </c>
      <c r="F14" s="1096"/>
      <c r="H14" s="70"/>
    </row>
    <row r="15" spans="2:10" ht="28.5" hidden="1">
      <c r="B15" s="69"/>
      <c r="C15" s="66" t="s">
        <v>471</v>
      </c>
      <c r="D15" s="66" t="s">
        <v>472</v>
      </c>
      <c r="E15" s="1096" t="e">
        <f>ROUND(SUM(D6,I12,I13,E12,D7,E9,E10,E11,E13),0)</f>
        <v>#REF!</v>
      </c>
      <c r="F15" s="1096"/>
      <c r="H15" s="71" t="s">
        <v>473</v>
      </c>
      <c r="I15" s="71" t="e">
        <f>+E14/E15</f>
        <v>#REF!</v>
      </c>
      <c r="J15" s="76"/>
    </row>
    <row r="16" spans="2:10">
      <c r="B16" s="65" t="s">
        <v>474</v>
      </c>
      <c r="C16" s="66" t="s">
        <v>475</v>
      </c>
      <c r="D16" s="66" t="s">
        <v>476</v>
      </c>
      <c r="E16" s="1096" t="e">
        <f>ROUND(E14*I16-E15*I17,0)*0</f>
        <v>#REF!</v>
      </c>
      <c r="F16" s="1096"/>
      <c r="H16" s="71" t="s">
        <v>477</v>
      </c>
      <c r="I16" s="71" t="e">
        <f>IF(OR(E14&lt;0,E14=0),0,IF(OR(I15&lt;0.5,I15=0.5),0.3,IF(OR(I15&lt;1,I15=1),0.4,IF(OR(I15&lt;2,I15=2),0.5,0.6))))</f>
        <v>#REF!</v>
      </c>
      <c r="J16" s="76"/>
    </row>
    <row r="17" spans="2:10">
      <c r="B17" s="65" t="s">
        <v>478</v>
      </c>
      <c r="C17" s="72" t="s">
        <v>479</v>
      </c>
      <c r="D17" s="66" t="s">
        <v>480</v>
      </c>
      <c r="E17" s="1096" t="e">
        <f>ROUND(IF(SUM(D5,-D6,-D7,-E9,-E10,-E11,-E13,-E16,-E18)&lt;0,0,SUMPRODUCT(I20,SUM(D5,-D6,-D7,-E9,-E10,-E11,-E13,-E16,-E18))),0)*0+D5*1%</f>
        <v>#REF!</v>
      </c>
      <c r="F17" s="1096"/>
      <c r="G17" s="59" t="e">
        <f>ROUND(IF(SUM(D5,-D6,-D7,-E9,-E10,-E11,-E13,-E16,-E18)&lt;0,0,SUMPRODUCT(I20,SUM(D5,-D6,-D7,-E9,-E10,-E11,-E13,-E16,-E18))),0)*0+D5*1%</f>
        <v>#REF!</v>
      </c>
      <c r="H17" s="71" t="s">
        <v>481</v>
      </c>
      <c r="I17" s="71" t="e">
        <f>IF(OR(I15&lt;0.5,I15=0.5),0,IF(OR(I15&lt;1,I15=1),0.05,IF(OR(I15&lt;2,I15=2),0.15,0.35)))</f>
        <v>#REF!</v>
      </c>
      <c r="J17" s="76"/>
    </row>
    <row r="18" spans="2:10" ht="28.5">
      <c r="B18" s="65" t="s">
        <v>482</v>
      </c>
      <c r="C18" s="72" t="s">
        <v>483</v>
      </c>
      <c r="D18" s="72" t="s">
        <v>484</v>
      </c>
      <c r="E18" s="1096" t="e">
        <f>IF(D5*0.8%*50%&gt;20000,20000,D5*0.8%*50%)</f>
        <v>#REF!</v>
      </c>
      <c r="F18" s="1096"/>
      <c r="H18" s="44"/>
      <c r="I18" s="71"/>
      <c r="J18" s="76"/>
    </row>
    <row r="19" spans="2:10" ht="28.5">
      <c r="B19" s="65" t="s">
        <v>485</v>
      </c>
      <c r="C19" s="72" t="s">
        <v>486</v>
      </c>
      <c r="D19" s="72" t="s">
        <v>487</v>
      </c>
      <c r="E19" s="1096" t="e">
        <f>ROUND(D5*3%,0)</f>
        <v>#REF!</v>
      </c>
      <c r="F19" s="1096"/>
      <c r="H19" s="44"/>
      <c r="I19" s="71"/>
      <c r="J19" s="76"/>
    </row>
    <row r="20" spans="2:10">
      <c r="B20" s="65" t="s">
        <v>488</v>
      </c>
      <c r="C20" s="72" t="s">
        <v>489</v>
      </c>
      <c r="D20" s="73" t="s">
        <v>490</v>
      </c>
      <c r="E20" s="1096" t="e">
        <f>SUM(E9,E10,E11,E12,E13,E16,E17,E18,E19)</f>
        <v>#REF!</v>
      </c>
      <c r="F20" s="1096"/>
      <c r="G20" s="59" t="e">
        <f>TEXT(E20,"#,##0")</f>
        <v>#REF!</v>
      </c>
      <c r="H20" s="71" t="s">
        <v>491</v>
      </c>
      <c r="I20" s="77">
        <v>0.2</v>
      </c>
      <c r="J20" s="76"/>
    </row>
    <row r="21" spans="2:10">
      <c r="B21" s="1097" t="s">
        <v>492</v>
      </c>
      <c r="C21" s="1098"/>
      <c r="D21" s="1099" t="e">
        <f>ROUND((D5-E20),0)</f>
        <v>#REF!</v>
      </c>
      <c r="E21" s="1100"/>
      <c r="F21" s="1101"/>
      <c r="G21" s="59" t="str">
        <f>TEXT(F21,"#,##0")</f>
        <v>0</v>
      </c>
      <c r="H21" s="71" t="s">
        <v>493</v>
      </c>
      <c r="I21" s="78">
        <v>0</v>
      </c>
      <c r="J21" s="71"/>
    </row>
    <row r="22" spans="2:10">
      <c r="B22" s="1102" t="s">
        <v>494</v>
      </c>
      <c r="C22" s="1102"/>
      <c r="D22" s="1102"/>
      <c r="E22" s="74"/>
      <c r="F22" s="74" t="e">
        <f>ROUND((D5-E20),-2)</f>
        <v>#REF!</v>
      </c>
      <c r="G22" s="59" t="e">
        <f>TEXT(G20,"[DBNum2][$-804]G/通用格式")</f>
        <v>#REF!</v>
      </c>
    </row>
    <row r="23" spans="2:10" ht="45.75" customHeight="1">
      <c r="B23" s="1103" t="s">
        <v>495</v>
      </c>
      <c r="C23" s="1103"/>
      <c r="D23" s="1103"/>
      <c r="E23" s="1103"/>
      <c r="F23" s="1103"/>
      <c r="G23" s="59" t="str">
        <f>TEXT(G21,"[DBNum2][$-804]G/通用格式")</f>
        <v>零</v>
      </c>
    </row>
    <row r="24" spans="2:10" ht="60" customHeight="1">
      <c r="B24" s="1104" t="s">
        <v>496</v>
      </c>
      <c r="C24" s="1104"/>
      <c r="D24" s="1104"/>
      <c r="E24" s="1104"/>
      <c r="F24" s="1104"/>
    </row>
    <row r="25" spans="2:10" ht="45.75" customHeight="1">
      <c r="B25" s="1104" t="s">
        <v>497</v>
      </c>
      <c r="C25" s="1104"/>
      <c r="D25" s="1104"/>
      <c r="E25" s="1104"/>
      <c r="F25" s="1104"/>
    </row>
    <row r="26" spans="2:10" ht="60" customHeight="1">
      <c r="B26" s="1104" t="s">
        <v>498</v>
      </c>
      <c r="C26" s="1104"/>
      <c r="D26" s="1104"/>
      <c r="E26" s="1104"/>
      <c r="F26" s="1104"/>
    </row>
    <row r="27" spans="2:10" ht="75" customHeight="1">
      <c r="B27" s="1104" t="s">
        <v>499</v>
      </c>
      <c r="C27" s="1104"/>
      <c r="D27" s="1104"/>
      <c r="E27" s="1104"/>
      <c r="F27" s="1104"/>
    </row>
    <row r="28" spans="2:10" ht="89.25" customHeight="1">
      <c r="B28" s="1103" t="s">
        <v>500</v>
      </c>
      <c r="C28" s="1103"/>
      <c r="D28" s="1103"/>
      <c r="E28" s="1103"/>
      <c r="F28" s="1103"/>
    </row>
    <row r="29" spans="2:10" ht="46.5" customHeight="1">
      <c r="B29" s="1103" t="s">
        <v>501</v>
      </c>
      <c r="C29" s="1103"/>
      <c r="D29" s="1103"/>
      <c r="E29" s="1103"/>
      <c r="F29" s="1103"/>
    </row>
    <row r="30" spans="2:10" ht="72.75" customHeight="1">
      <c r="B30" s="1103" t="s">
        <v>502</v>
      </c>
      <c r="C30" s="1103"/>
      <c r="D30" s="1103"/>
      <c r="E30" s="1103"/>
      <c r="F30" s="1103"/>
    </row>
    <row r="31" spans="2:10" ht="48" customHeight="1">
      <c r="B31" s="1103" t="s">
        <v>503</v>
      </c>
      <c r="C31" s="1103"/>
      <c r="D31" s="1103"/>
      <c r="E31" s="1103"/>
      <c r="F31" s="1103"/>
    </row>
    <row r="32" spans="2:10" ht="56.25" customHeight="1">
      <c r="B32" s="1104" t="s">
        <v>504</v>
      </c>
      <c r="C32" s="1104"/>
      <c r="D32" s="1104"/>
      <c r="E32" s="1104"/>
      <c r="F32" s="1104"/>
    </row>
    <row r="33" spans="2:6" ht="142.5" customHeight="1">
      <c r="B33" s="1104" t="s">
        <v>505</v>
      </c>
      <c r="C33" s="1104"/>
      <c r="D33" s="1104"/>
      <c r="E33" s="1104"/>
      <c r="F33" s="1104"/>
    </row>
    <row r="34" spans="2:6" ht="37.5" customHeight="1">
      <c r="B34" s="1104" t="s">
        <v>506</v>
      </c>
      <c r="C34" s="1104"/>
      <c r="D34" s="1104"/>
      <c r="E34" s="1104"/>
      <c r="F34" s="1104"/>
    </row>
    <row r="35" spans="2:6">
      <c r="B35" s="1103" t="s">
        <v>507</v>
      </c>
      <c r="C35" s="1103"/>
      <c r="D35" s="1103"/>
      <c r="E35" s="1103"/>
      <c r="F35" s="1103"/>
    </row>
  </sheetData>
  <mergeCells count="40">
    <mergeCell ref="B32:F32"/>
    <mergeCell ref="B33:F33"/>
    <mergeCell ref="B34:F34"/>
    <mergeCell ref="B35:F35"/>
    <mergeCell ref="B27:F27"/>
    <mergeCell ref="B28:F28"/>
    <mergeCell ref="B29:F29"/>
    <mergeCell ref="B30:F30"/>
    <mergeCell ref="B31:F31"/>
    <mergeCell ref="B22:D22"/>
    <mergeCell ref="B23:F23"/>
    <mergeCell ref="B24:F24"/>
    <mergeCell ref="B25:F25"/>
    <mergeCell ref="B26:F26"/>
    <mergeCell ref="E18:F18"/>
    <mergeCell ref="E19:F19"/>
    <mergeCell ref="E20:F20"/>
    <mergeCell ref="B21:C21"/>
    <mergeCell ref="D21:F21"/>
    <mergeCell ref="E13:F13"/>
    <mergeCell ref="E14:F14"/>
    <mergeCell ref="E15:F15"/>
    <mergeCell ref="E16:F16"/>
    <mergeCell ref="E17:F17"/>
    <mergeCell ref="E8:F8"/>
    <mergeCell ref="E9:F9"/>
    <mergeCell ref="E10:F10"/>
    <mergeCell ref="E11:F11"/>
    <mergeCell ref="E12:F12"/>
    <mergeCell ref="B5:C5"/>
    <mergeCell ref="D5:F5"/>
    <mergeCell ref="B6:C6"/>
    <mergeCell ref="D6:F6"/>
    <mergeCell ref="B7:C7"/>
    <mergeCell ref="D7:F7"/>
    <mergeCell ref="B1:F1"/>
    <mergeCell ref="B3:C3"/>
    <mergeCell ref="D3:F3"/>
    <mergeCell ref="B4:C4"/>
    <mergeCell ref="D4:F4"/>
  </mergeCells>
  <phoneticPr fontId="23" type="noConversion"/>
  <pageMargins left="0.69930555555555596" right="0.69930555555555596" top="0.75" bottom="0.75" header="0.3" footer="0.3"/>
  <pageSetup paperSize="9" scale="95" orientation="portrait" r:id="rId1"/>
  <colBreaks count="1" manualBreakCount="1">
    <brk id="6" max="1048575" man="1"/>
  </colBreaks>
  <drawing r:id="rId2"/>
  <legacyDrawing r:id="rId3"/>
</worksheet>
</file>

<file path=xl/worksheets/sheet12.xml><?xml version="1.0" encoding="utf-8"?>
<worksheet xmlns="http://schemas.openxmlformats.org/spreadsheetml/2006/main" xmlns:r="http://schemas.openxmlformats.org/officeDocument/2006/relationships">
  <sheetPr>
    <tabColor rgb="FFFF0000"/>
  </sheetPr>
  <dimension ref="A1:T227"/>
  <sheetViews>
    <sheetView topLeftCell="A208" workbookViewId="0">
      <selection activeCell="G213" sqref="G213"/>
    </sheetView>
  </sheetViews>
  <sheetFormatPr defaultRowHeight="14.25"/>
  <cols>
    <col min="1" max="1" width="32.75" bestFit="1" customWidth="1"/>
    <col min="2" max="2" width="22.75" bestFit="1" customWidth="1"/>
    <col min="3" max="3" width="15" bestFit="1" customWidth="1"/>
    <col min="4" max="4" width="13.875" bestFit="1" customWidth="1"/>
    <col min="5" max="5" width="16.125" bestFit="1" customWidth="1"/>
    <col min="6" max="6" width="15" bestFit="1" customWidth="1"/>
    <col min="7" max="8" width="16.125" bestFit="1" customWidth="1"/>
    <col min="9" max="9" width="15" bestFit="1" customWidth="1"/>
    <col min="11" max="11" width="15" bestFit="1" customWidth="1"/>
    <col min="13" max="13" width="13.875" bestFit="1" customWidth="1"/>
  </cols>
  <sheetData>
    <row r="1" spans="1:8">
      <c r="A1" s="420" t="str">
        <f>'基础数据(房地产)'!B5</f>
        <v>成都市高新区交子大道199号16栋1单元9层902号</v>
      </c>
      <c r="B1" s="420"/>
      <c r="C1" s="420"/>
      <c r="D1" s="420"/>
    </row>
    <row r="2" spans="1:8">
      <c r="A2" s="420" t="str">
        <f>'基础数据(房地产)'!B10</f>
        <v>住宅</v>
      </c>
      <c r="B2" s="420"/>
      <c r="C2" s="420" t="str">
        <f>'基础数据(房地产)'!C3</f>
        <v>11001</v>
      </c>
      <c r="D2" s="420"/>
    </row>
    <row r="3" spans="1:8">
      <c r="A3" s="420" t="str">
        <f>'基础数据(房地产)'!D7</f>
        <v>杜沛鸿</v>
      </c>
      <c r="B3" s="420"/>
      <c r="C3" s="606" t="str">
        <f>'基础数据(房地产)'!B6</f>
        <v>成都市高新区交子大道中海城南一号16栋1单元9层，未见街道门牌号及房号</v>
      </c>
      <c r="D3" s="420"/>
    </row>
    <row r="4" spans="1:8">
      <c r="A4" s="420" t="str">
        <f>'基础数据(房地产)'!B41</f>
        <v>袁桃</v>
      </c>
      <c r="B4" s="421">
        <f>'基础数据(房地产)'!C41</f>
        <v>3220140149</v>
      </c>
      <c r="C4" s="420" t="str">
        <f>'基础数据(房地产)'!D24</f>
        <v>-</v>
      </c>
      <c r="D4" s="420"/>
      <c r="H4" s="353"/>
    </row>
    <row r="5" spans="1:8">
      <c r="A5" s="420" t="str">
        <f>'基础数据(房地产)'!B42</f>
        <v>高卫国</v>
      </c>
      <c r="B5" s="421">
        <f>'基础数据(房地产)'!C42</f>
        <v>3220090104</v>
      </c>
      <c r="C5" s="420" t="str">
        <f>'基础数据(房地产)'!B25</f>
        <v>出让</v>
      </c>
      <c r="D5" s="420"/>
    </row>
    <row r="6" spans="1:8">
      <c r="A6" s="420" t="str">
        <f>'基础数据(房地产)'!B43</f>
        <v xml:space="preserve"> 二0一七年十月十八日</v>
      </c>
      <c r="B6" s="420"/>
      <c r="C6" s="420" t="str">
        <f>'基础数据(房地产)'!F24</f>
        <v>无</v>
      </c>
      <c r="D6" s="420"/>
    </row>
    <row r="7" spans="1:8">
      <c r="A7" s="420" t="str">
        <f>'基础数据(房地产)'!B7</f>
        <v>杜沛鸿</v>
      </c>
      <c r="B7" s="420"/>
      <c r="C7" s="420" t="str">
        <f>'基础数据(房地产)'!G24</f>
        <v>无</v>
      </c>
      <c r="D7" s="420"/>
      <c r="H7" s="373"/>
    </row>
    <row r="8" spans="1:8">
      <c r="A8" s="420" t="str">
        <f>'基础数据(房地产)'!B8</f>
        <v>成房权证监证字第3796950号</v>
      </c>
      <c r="B8" s="420"/>
      <c r="C8" s="420" t="str">
        <f>'基础数据(房地产)'!H24</f>
        <v>无</v>
      </c>
      <c r="D8" s="420"/>
    </row>
    <row r="9" spans="1:8">
      <c r="A9" s="422">
        <f>'基础数据(房地产)'!B12</f>
        <v>248.9</v>
      </c>
      <c r="B9" s="420"/>
      <c r="C9" s="420" t="str">
        <f>'基础数据(房地产)'!I24</f>
        <v>无</v>
      </c>
      <c r="D9" s="420"/>
    </row>
    <row r="10" spans="1:8">
      <c r="A10" s="420" t="str">
        <f>'基础数据(房地产)'!B21</f>
        <v>-</v>
      </c>
      <c r="B10" s="420"/>
      <c r="C10" s="420" t="str">
        <f>'基础数据(房地产)'!J24</f>
        <v>清晰</v>
      </c>
      <c r="D10" s="420"/>
    </row>
    <row r="11" spans="1:8">
      <c r="A11" s="420" t="str">
        <f>'基础数据(房地产)'!D25</f>
        <v>-</v>
      </c>
      <c r="B11" s="420"/>
      <c r="C11" s="420" t="str">
        <f>'基础数据(房地产)'!F26</f>
        <v>土地未对外出租，未设定抵押，不存在抵押等他项权利</v>
      </c>
      <c r="D11" s="420"/>
    </row>
    <row r="12" spans="1:8">
      <c r="A12" s="420" t="str">
        <f>'基础数据(房地产)'!B28</f>
        <v>二〇一七年十一月十日</v>
      </c>
      <c r="B12" s="420"/>
      <c r="C12" s="420" t="str">
        <f>'基础数据(房地产)'!G27</f>
        <v>无</v>
      </c>
      <c r="D12" s="420"/>
    </row>
    <row r="13" spans="1:8">
      <c r="A13" s="420" t="str">
        <f>'基础数据(房地产)'!B35</f>
        <v>比较法</v>
      </c>
      <c r="B13" s="420"/>
      <c r="C13" s="420"/>
      <c r="D13" s="420"/>
    </row>
    <row r="14" spans="1:8">
      <c r="A14" s="422">
        <f>比较法!L71</f>
        <v>283.57</v>
      </c>
      <c r="B14" s="607">
        <f>比较法!L72</f>
        <v>2835700</v>
      </c>
      <c r="C14" s="340"/>
      <c r="D14" s="340"/>
      <c r="E14" s="340"/>
      <c r="F14" s="340"/>
      <c r="G14" s="340"/>
    </row>
    <row r="15" spans="1:8">
      <c r="A15" s="608">
        <f>比较法!L70</f>
        <v>31819</v>
      </c>
      <c r="B15" s="420"/>
      <c r="C15" s="340"/>
      <c r="D15" s="340"/>
      <c r="E15" s="340"/>
      <c r="F15" s="340"/>
      <c r="G15" s="340"/>
    </row>
    <row r="16" spans="1:8">
      <c r="A16" s="420" t="str">
        <f>'基础数据(房地产)'!B16</f>
        <v>根据估价委托人提供的《房屋所有权证》估价对象登记地址为：成都市高新区交子大道199号16栋1单元9层902号,经估价人员现场查看，估价对象实际查看地址为：成都市高新区交子大道中海城南一号16栋1单元9层，未见街道门牌号及房号估价委托人尚未提供《地址变更证明》，本次评估以注册房地产估价师现场查看房地产与《房屋所有权证》界定房地产为同一标的物为假设前提，提请报告使用人注意。</v>
      </c>
      <c r="B16" s="420"/>
      <c r="C16" s="340"/>
      <c r="D16" s="340"/>
      <c r="E16" s="340"/>
      <c r="F16" s="340"/>
      <c r="G16" s="340"/>
    </row>
    <row r="17" spans="1:8">
      <c r="A17" s="420" t="str">
        <f>'基础数据(房地产)'!A9</f>
        <v>身份证住址</v>
      </c>
      <c r="B17" s="420" t="str">
        <f>'基础数据(房地产)'!B9</f>
        <v>成都市高新区神仙树南路8号16栋2单元301号</v>
      </c>
      <c r="C17" s="340"/>
      <c r="D17" s="420" t="str">
        <f>'基础数据(房地产)'!C9</f>
        <v>身份证号</v>
      </c>
      <c r="E17" s="340"/>
      <c r="F17" s="421" t="str">
        <f>'基础数据(房地产)'!D9</f>
        <v>512901196809200854</v>
      </c>
      <c r="G17" s="340"/>
    </row>
    <row r="18" spans="1:8" s="340" customFormat="1">
      <c r="A18" s="420" t="str">
        <f>'基础数据(房地产)'!B23</f>
        <v>成都市高新区交子大道199号16栋1单元9层902号</v>
      </c>
      <c r="B18" s="420"/>
    </row>
    <row r="19" spans="1:8" s="340" customFormat="1">
      <c r="A19" s="420" t="str">
        <f>'基础数据(房地产)'!B22</f>
        <v>杜沛鸿</v>
      </c>
      <c r="B19" s="420"/>
      <c r="D19" s="594" t="str">
        <f>比较法!C38</f>
        <v>离区域中心点距离</v>
      </c>
    </row>
    <row r="20" spans="1:8" s="340" customFormat="1">
      <c r="A20" s="420" t="str">
        <f>'基础数据(房地产)'!D26</f>
        <v>-</v>
      </c>
      <c r="B20" s="420"/>
      <c r="D20" s="594" t="str">
        <f>比较法!C47</f>
        <v>楼幢在小区中的位置</v>
      </c>
    </row>
    <row r="21" spans="1:8" s="340" customFormat="1">
      <c r="A21" s="420" t="str">
        <f>'基础数据(房地产)'!D28</f>
        <v>规则，呈标准四边形</v>
      </c>
      <c r="B21" s="420"/>
      <c r="D21" s="594" t="str">
        <f>比较法!C58</f>
        <v>物业管理</v>
      </c>
      <c r="E21" s="594" t="str">
        <f>比较法!D94</f>
        <v>100/101</v>
      </c>
      <c r="F21" s="594" t="str">
        <f>比较法!E94</f>
        <v>100/101</v>
      </c>
      <c r="G21" s="594" t="str">
        <f>比较法!F94</f>
        <v>100/101</v>
      </c>
    </row>
    <row r="22" spans="1:8" s="340" customFormat="1">
      <c r="A22" s="340" t="str">
        <f>查看表!N18</f>
        <v>东至：益州大道，西至：成汉南路，南至：锦悦西二街，北至：交子大道</v>
      </c>
    </row>
    <row r="23" spans="1:8" s="340" customFormat="1">
      <c r="A23" s="340" t="str">
        <f>查看表!L19</f>
        <v>宗地红线内外均达到“六通”（通路、通上水、通下水、通电、通气、通讯）的开发水平</v>
      </c>
    </row>
    <row r="24" spans="1:8" s="340" customFormat="1">
      <c r="A24" s="420" t="str">
        <f>'基础数据(房地产)'!B24</f>
        <v>假设住宅</v>
      </c>
      <c r="B24" s="340" t="str">
        <f>查看表!P19</f>
        <v>六通一平</v>
      </c>
    </row>
    <row r="25" spans="1:8" s="340" customFormat="1">
      <c r="A25" s="420" t="str">
        <f>'基础数据(房地产)'!B27</f>
        <v>-</v>
      </c>
    </row>
    <row r="26" spans="1:8" s="340" customFormat="1">
      <c r="A26" s="340" t="str">
        <f>查看表!L21</f>
        <v>平坦</v>
      </c>
      <c r="D26" s="340" t="str">
        <f>查看表!C20</f>
        <v>周边分布有誉峰、仁和春天国际公寓、天府新谷等住宅小区，常住人口及流动人口众多，商业氛围浓厚。</v>
      </c>
    </row>
    <row r="27" spans="1:8" s="340" customFormat="1">
      <c r="A27" s="340" t="str">
        <f>查看表!L20</f>
        <v>地质承载力较强，利于建设</v>
      </c>
      <c r="D27" s="340" t="str">
        <f>查看表!C21</f>
        <v>周边分布有时代八号、ifs国际金融中心、时代1号等中高档写字楼，办公聚集度较高。</v>
      </c>
    </row>
    <row r="28" spans="1:8" s="340" customFormat="1">
      <c r="A28" s="420" t="str">
        <f>'基础数据(房地产)'!B30</f>
        <v>因委托方未提供估价对象《国有土地使用证》复印件，根据委托方提供的《房屋所有权证》复印件记载，土地使用权取得方式：出让，提请报告使用人注意。</v>
      </c>
    </row>
    <row r="29" spans="1:8" s="340" customFormat="1">
      <c r="A29" s="420" t="str">
        <f>'基础数据(房地产)'!D13</f>
        <v>权2459043</v>
      </c>
      <c r="B29" s="420" t="str">
        <f>'基础数据(房地产)'!C13</f>
        <v>业务件号</v>
      </c>
      <c r="C29" s="422">
        <f>'基础数据(房地产)'!D12</f>
        <v>214.82</v>
      </c>
    </row>
    <row r="30" spans="1:8" s="340" customFormat="1">
      <c r="A30" s="420">
        <f>'基础数据(房地产)'!B13</f>
        <v>41593</v>
      </c>
      <c r="B30" s="340" t="str">
        <f>查看表!A6</f>
        <v>户型</v>
      </c>
      <c r="C30" s="340" t="str">
        <f>查看表!D6</f>
        <v>4室2厅1厨3卫</v>
      </c>
      <c r="D30" s="340" t="str">
        <f>查看表!G6</f>
        <v>南</v>
      </c>
      <c r="E30" s="340" t="str">
        <f>查看表!I6</f>
        <v>平层</v>
      </c>
      <c r="F30" s="340" t="str">
        <f>查看表!D7</f>
        <v>不临街</v>
      </c>
      <c r="G30" s="340" t="str">
        <f>查看表!G7</f>
        <v>约3米</v>
      </c>
      <c r="H30" s="340" t="str">
        <f>查看表!I7</f>
        <v>自用</v>
      </c>
    </row>
    <row r="31" spans="1:8" s="340" customFormat="1">
      <c r="A31" s="420" t="str">
        <f>'基础数据(房地产)'!D10</f>
        <v>单独所有</v>
      </c>
      <c r="B31" s="340" t="str">
        <f>查看表!D8</f>
        <v>28</v>
      </c>
      <c r="C31" s="340" t="str">
        <f>查看表!G8</f>
        <v>9</v>
      </c>
      <c r="D31" s="340" t="str">
        <f>查看表!I8</f>
        <v>住宅</v>
      </c>
      <c r="E31" s="340" t="str">
        <f>查看表!A9</f>
        <v>单元户数</v>
      </c>
      <c r="F31" s="340" t="str">
        <f>查看表!D9</f>
        <v>两梯四户</v>
      </c>
      <c r="G31" s="340" t="str">
        <f>查看表!G9</f>
        <v>90%</v>
      </c>
      <c r="H31" s="340" t="str">
        <f>查看表!I9</f>
        <v>完好房</v>
      </c>
    </row>
    <row r="32" spans="1:8" s="340" customFormat="1">
      <c r="A32" s="340" t="str">
        <f>查看表!D5</f>
        <v>中海城南一号</v>
      </c>
      <c r="B32" s="340" t="str">
        <f>查看表!D10</f>
        <v>2部电梯、地下停车位、电话接口、专用宽带、有线电视接口、管道天然气</v>
      </c>
    </row>
    <row r="33" spans="1:20" s="340" customFormat="1">
      <c r="A33" s="340" t="str">
        <f>查看表!G5</f>
        <v>2011-10-1</v>
      </c>
      <c r="B33" s="340" t="str">
        <f>查看表!C11</f>
        <v>估价对象所在建筑物外墙为条形砖，估价对象入户为防盗门，室内安装实木门分户，安装塑钢窗；室内客厅地面铺花岗石，墙面刷墙纸，顶棚为墙纸；卧室地面铺花岗石，墙面为墙纸,顶棚为墙纸；厨房及卫生间地面铺设防滑地砖、墙面为瓷砖满贴，顶棚采用塑料扣板吊顶。</v>
      </c>
    </row>
    <row r="34" spans="1:20" s="340" customFormat="1">
      <c r="A34" s="340" t="str">
        <f>查看表!I5</f>
        <v>钢混</v>
      </c>
      <c r="B34" s="340" t="str">
        <f>查看表!C14</f>
        <v>估价对象位于“中海城南一号”小区，该小区位于成都市南面，三环路外，东临益州大道，南临锦悦西二街，西临成汉南路，北临交子大道，区位条件较好。</v>
      </c>
    </row>
    <row r="35" spans="1:20" s="340" customFormat="1">
      <c r="A35" s="340" t="str">
        <f>查看表!C16</f>
        <v>区域内分布有交子大道，锦悦西二街，益州大道，成汉南路等多条道路，并通过以上道路与城市主要干道相连，形成较为发达的交通网络，区域内道路通达度较好，附近有84、115、188、236、505路等多条公交线路途经并就近设有公交站点，估价对象所在小区出入口无交通限制，公交便捷度较高。</v>
      </c>
    </row>
    <row r="36" spans="1:20" s="340" customFormat="1">
      <c r="A36" s="340" t="str">
        <f>查看表!C18</f>
        <v>该区域内分布有红旗超市、二十四时便利店、七十一便利店、宋庆龄国际幼稚园、泡桐树小学天府校区、成都市石室天府中学、乐山商业银行、农业银行、成都农商银行、成都市第一人民医院、成都高薪民爱医院、成都市中西医结合医院等，该区域内生活配套设施齐全。</v>
      </c>
    </row>
    <row r="37" spans="1:20" s="340" customFormat="1">
      <c r="A37" s="340" t="str">
        <f>查看表!C19</f>
        <v>周边分布有誉峰、仁和春天国际公寓、天府新谷等住宅小区，常住人口众多，居住氛围浓厚。</v>
      </c>
    </row>
    <row r="38" spans="1:20">
      <c r="A38" s="340" t="str">
        <f>CONCATENATE(" ",'基础数据(房地产)'!B52)</f>
        <v xml:space="preserve">     比较法，是指选取一定数量的可比实例，将它们与估价对象进行比较，根据其间的差异对可比实例成交价格进行处理后得到估价对象价值或价格的方法。                                  </v>
      </c>
      <c r="B38" s="340"/>
      <c r="C38" s="340"/>
      <c r="D38" s="340"/>
      <c r="E38" s="340"/>
      <c r="F38" s="340"/>
      <c r="G38" s="340"/>
    </row>
    <row r="39" spans="1:20">
      <c r="A39" s="420" t="str">
        <f>'基础数据(房地产)'!B29</f>
        <v>二〇一七年十一月十日</v>
      </c>
      <c r="B39" s="340"/>
      <c r="C39" s="420" t="str">
        <f>'基础数据(房地产)'!D40</f>
        <v>邮政银行成都市分行</v>
      </c>
      <c r="D39" s="340"/>
      <c r="E39" s="340"/>
      <c r="F39" s="340"/>
      <c r="G39" s="340"/>
    </row>
    <row r="40" spans="1:20">
      <c r="A40" s="374" t="str">
        <f>比较法!P75</f>
        <v>房地产价值量较小，容易寻找到适当的买主，对变现有利。</v>
      </c>
      <c r="B40" s="340"/>
      <c r="C40" s="340"/>
      <c r="D40" s="340" t="str">
        <f>比较法!R76</f>
        <v>8个月</v>
      </c>
      <c r="E40" s="340" t="str">
        <f>比较法!R77</f>
        <v>八成</v>
      </c>
      <c r="F40" s="420" t="str">
        <f>'基础数据(房地产)'!D3</f>
        <v>苏海估CDY技字［2017］</v>
      </c>
      <c r="G40" s="340"/>
    </row>
    <row r="41" spans="1:20">
      <c r="A41" s="340"/>
      <c r="B41" s="340"/>
      <c r="C41" s="340"/>
      <c r="D41" s="340"/>
      <c r="E41" s="340"/>
      <c r="F41" s="340"/>
      <c r="G41" s="340"/>
    </row>
    <row r="42" spans="1:20">
      <c r="A42" s="340" t="str">
        <f>比较法!E7</f>
        <v>中海城南一号</v>
      </c>
      <c r="B42" s="340"/>
      <c r="C42" s="340" t="str">
        <f>比较法!F7</f>
        <v>中海城南一号</v>
      </c>
      <c r="D42" s="340"/>
      <c r="E42" s="340" t="str">
        <f>比较法!G7</f>
        <v>中海城南一号</v>
      </c>
      <c r="F42" s="340"/>
      <c r="G42" s="340"/>
      <c r="H42" s="340" t="str">
        <f>比较法!D29</f>
        <v>中海城南一号</v>
      </c>
      <c r="I42" s="340"/>
      <c r="J42" s="340" t="str">
        <f>比较法!D38</f>
        <v>市级商业中心</v>
      </c>
      <c r="K42" s="340"/>
      <c r="L42" s="340"/>
      <c r="M42" s="340" t="str">
        <f>比较法!E38</f>
        <v>较近</v>
      </c>
      <c r="N42" s="340"/>
      <c r="O42" s="340"/>
      <c r="P42" s="340" t="str">
        <f>比较法!F38</f>
        <v>较近</v>
      </c>
      <c r="Q42" s="340"/>
      <c r="R42" s="340"/>
      <c r="S42" s="340"/>
      <c r="T42" s="340" t="str">
        <f>比较法!G38</f>
        <v>较近</v>
      </c>
    </row>
    <row r="43" spans="1:20">
      <c r="A43" s="340" t="str">
        <f>比较法!E8</f>
        <v>市场调查走访</v>
      </c>
      <c r="B43" s="340"/>
      <c r="C43" s="340" t="str">
        <f>比较法!F8</f>
        <v>市场调查走访</v>
      </c>
      <c r="D43" s="340"/>
      <c r="E43" s="340" t="str">
        <f>比较法!G8</f>
        <v>市场调查走访</v>
      </c>
      <c r="F43" s="340"/>
      <c r="G43" s="340"/>
      <c r="H43" s="340" t="str">
        <f>比较法!D30</f>
        <v>住宅</v>
      </c>
      <c r="I43" s="340"/>
      <c r="J43" s="340" t="str">
        <f>比较法!D39</f>
        <v>无特殊管制</v>
      </c>
      <c r="K43" s="340"/>
      <c r="L43" s="340"/>
      <c r="M43" s="340" t="str">
        <f>比较法!E39</f>
        <v>无特殊管制</v>
      </c>
      <c r="N43" s="340"/>
      <c r="O43" s="340"/>
      <c r="P43" s="340" t="str">
        <f>比较法!F39</f>
        <v>无特殊管制</v>
      </c>
      <c r="Q43" s="340"/>
      <c r="R43" s="340"/>
      <c r="S43" s="340"/>
      <c r="T43" s="340" t="str">
        <f>比较法!G39</f>
        <v>无特殊管制</v>
      </c>
    </row>
    <row r="44" spans="1:20">
      <c r="A44" s="340" t="str">
        <f>比较法!E9</f>
        <v>与估价对象位于同一项目</v>
      </c>
      <c r="B44" s="340"/>
      <c r="C44" s="340" t="str">
        <f>比较法!F9</f>
        <v>与估价对象位于同一项目</v>
      </c>
      <c r="D44" s="340"/>
      <c r="E44" s="340" t="str">
        <f>比较法!G9</f>
        <v>与估价对象位于同一项目</v>
      </c>
      <c r="F44" s="340"/>
      <c r="G44" s="340"/>
      <c r="H44" s="340" t="str">
        <f>比较法!D31</f>
        <v>房地产及配套设施、装潢</v>
      </c>
      <c r="I44" s="340"/>
      <c r="J44" s="340" t="str">
        <f>比较法!D40</f>
        <v>较优</v>
      </c>
      <c r="K44" s="340"/>
      <c r="L44" s="340"/>
      <c r="M44" s="340" t="str">
        <f>比较法!E40</f>
        <v>较优</v>
      </c>
      <c r="N44" s="340"/>
      <c r="O44" s="340"/>
      <c r="P44" s="340" t="str">
        <f>比较法!F40</f>
        <v>较优</v>
      </c>
      <c r="Q44" s="340"/>
      <c r="R44" s="340"/>
      <c r="S44" s="340"/>
      <c r="T44" s="340" t="str">
        <f>比较法!G40</f>
        <v>差</v>
      </c>
    </row>
    <row r="45" spans="1:20">
      <c r="A45" s="341">
        <f>比较法!E10</f>
        <v>248</v>
      </c>
      <c r="B45" s="340"/>
      <c r="C45" s="341">
        <f>比较法!F10</f>
        <v>180</v>
      </c>
      <c r="D45" s="340"/>
      <c r="E45" s="341">
        <f>比较法!G10</f>
        <v>198</v>
      </c>
      <c r="F45" s="340"/>
      <c r="G45" s="340"/>
      <c r="H45" s="340" t="str">
        <f>比较法!D32</f>
        <v>一次性付款</v>
      </c>
      <c r="I45" s="340"/>
      <c r="J45" s="340" t="str">
        <f>比较法!D41</f>
        <v>六通一平</v>
      </c>
      <c r="K45" s="340"/>
      <c r="L45" s="340"/>
      <c r="M45" s="340" t="str">
        <f>比较法!E41</f>
        <v>六通一平</v>
      </c>
      <c r="N45" s="340"/>
      <c r="O45" s="340"/>
      <c r="P45" s="340" t="str">
        <f>比较法!F41</f>
        <v>六通一平</v>
      </c>
      <c r="Q45" s="340"/>
      <c r="R45" s="340"/>
      <c r="S45" s="340"/>
      <c r="T45" s="340" t="str">
        <f>比较法!G41</f>
        <v>三通一平</v>
      </c>
    </row>
    <row r="46" spans="1:20">
      <c r="A46" s="342">
        <f>比较法!E11</f>
        <v>28957</v>
      </c>
      <c r="B46" s="340"/>
      <c r="C46" s="342">
        <f>比较法!F11</f>
        <v>29657</v>
      </c>
      <c r="D46" s="340"/>
      <c r="E46" s="342">
        <f>比较法!G11</f>
        <v>32147</v>
      </c>
      <c r="F46" s="340"/>
      <c r="G46" s="340"/>
      <c r="H46" s="340" t="str">
        <f>比较法!D33</f>
        <v>可正常融资</v>
      </c>
      <c r="I46" s="340"/>
      <c r="J46" s="340" t="str">
        <f>比较法!D42</f>
        <v>完善</v>
      </c>
      <c r="K46" s="340"/>
      <c r="L46" s="340"/>
      <c r="M46" s="340" t="str">
        <f>比较法!E42</f>
        <v>完善</v>
      </c>
      <c r="N46" s="340"/>
      <c r="O46" s="340"/>
      <c r="P46" s="340" t="str">
        <f>比较法!F42</f>
        <v>完善</v>
      </c>
      <c r="Q46" s="340"/>
      <c r="R46" s="340"/>
      <c r="S46" s="340"/>
      <c r="T46" s="340" t="str">
        <f>比较法!G42</f>
        <v>一般</v>
      </c>
    </row>
    <row r="47" spans="1:20">
      <c r="A47" s="341">
        <f>比较法!E12</f>
        <v>718.13</v>
      </c>
      <c r="B47" s="340"/>
      <c r="C47" s="341">
        <f>比较法!F12</f>
        <v>533.83000000000004</v>
      </c>
      <c r="D47" s="340"/>
      <c r="E47" s="341">
        <f>比较法!G12</f>
        <v>636.51</v>
      </c>
      <c r="F47" s="340"/>
      <c r="G47" s="340"/>
      <c r="H47" s="340" t="str">
        <f>比较法!D34</f>
        <v>税费各担</v>
      </c>
      <c r="I47" s="340"/>
      <c r="J47" s="340" t="str">
        <f>比较法!D43</f>
        <v>较优</v>
      </c>
      <c r="K47" s="340"/>
      <c r="L47" s="340"/>
      <c r="M47" s="340" t="str">
        <f>比较法!E43</f>
        <v>较优</v>
      </c>
      <c r="N47" s="340"/>
      <c r="O47" s="340"/>
      <c r="P47" s="340" t="str">
        <f>比较法!F43</f>
        <v>较优</v>
      </c>
      <c r="Q47" s="340"/>
      <c r="R47" s="340"/>
      <c r="S47" s="340"/>
      <c r="T47" s="340" t="str">
        <f>比较法!G43</f>
        <v>较优</v>
      </c>
    </row>
    <row r="48" spans="1:20">
      <c r="A48" s="340" t="str">
        <f>比较法!E13</f>
        <v>正常交易</v>
      </c>
      <c r="B48" s="340"/>
      <c r="C48" s="340" t="str">
        <f>比较法!F13</f>
        <v>正常交易</v>
      </c>
      <c r="D48" s="340"/>
      <c r="E48" s="340" t="str">
        <f>比较法!G13</f>
        <v>正常交易</v>
      </c>
      <c r="F48" s="340"/>
      <c r="G48" s="340"/>
      <c r="H48" s="340" t="str">
        <f>比较法!D35</f>
        <v>待估</v>
      </c>
      <c r="I48" s="340"/>
      <c r="J48" s="340" t="str">
        <f>比较法!D44</f>
        <v>充足</v>
      </c>
      <c r="K48" s="340"/>
      <c r="L48" s="340"/>
      <c r="M48" s="340" t="str">
        <f>比较法!E44</f>
        <v>充足</v>
      </c>
      <c r="N48" s="340"/>
      <c r="O48" s="340"/>
      <c r="P48" s="340" t="str">
        <f>比较法!F44</f>
        <v>充足</v>
      </c>
      <c r="Q48" s="340"/>
      <c r="R48" s="340"/>
      <c r="S48" s="340"/>
      <c r="T48" s="340" t="str">
        <f>比较法!G44</f>
        <v>充足</v>
      </c>
    </row>
    <row r="49" spans="1:20">
      <c r="A49" s="375">
        <f>比较法!E14</f>
        <v>43038</v>
      </c>
      <c r="B49" s="340"/>
      <c r="C49" s="375">
        <f>比较法!F14</f>
        <v>42993</v>
      </c>
      <c r="D49" s="340"/>
      <c r="E49" s="375">
        <f>比较法!G14</f>
        <v>42864</v>
      </c>
      <c r="F49" s="340"/>
      <c r="G49" s="340"/>
      <c r="H49" s="340" t="str">
        <f>比较法!D36</f>
        <v>正常交易</v>
      </c>
      <c r="I49" s="340"/>
      <c r="J49" s="340" t="str">
        <f>比较法!D45</f>
        <v>南</v>
      </c>
      <c r="K49" s="340"/>
      <c r="L49" s="340"/>
      <c r="M49" s="340" t="str">
        <f>比较法!E45</f>
        <v>南</v>
      </c>
      <c r="N49" s="340"/>
      <c r="O49" s="340"/>
      <c r="P49" s="340" t="str">
        <f>比较法!F45</f>
        <v>南</v>
      </c>
      <c r="Q49" s="340"/>
      <c r="R49" s="340"/>
      <c r="S49" s="340"/>
      <c r="T49" s="340" t="str">
        <f>比较法!G45</f>
        <v>南</v>
      </c>
    </row>
    <row r="50" spans="1:20">
      <c r="A50" s="340" t="str">
        <f>比较法!E15</f>
        <v>住宅</v>
      </c>
      <c r="B50" s="340"/>
      <c r="C50" s="340" t="str">
        <f>比较法!F15</f>
        <v>住宅</v>
      </c>
      <c r="D50" s="340"/>
      <c r="E50" s="340" t="str">
        <f>比较法!G15</f>
        <v>住宅</v>
      </c>
      <c r="F50" s="340"/>
      <c r="G50" s="340"/>
      <c r="H50" s="375">
        <f>比较法!D37</f>
        <v>42908</v>
      </c>
      <c r="I50" s="340"/>
      <c r="J50" s="340" t="str">
        <f>比较法!D46</f>
        <v>9层</v>
      </c>
      <c r="K50" s="340"/>
      <c r="L50" s="340"/>
      <c r="M50" s="340" t="str">
        <f>比较法!E46</f>
        <v>25层/28层</v>
      </c>
      <c r="N50" s="340"/>
      <c r="O50" s="340"/>
      <c r="P50" s="340" t="str">
        <f>比较法!F46</f>
        <v>16层/28层</v>
      </c>
      <c r="Q50" s="340"/>
      <c r="R50" s="340"/>
      <c r="S50" s="340"/>
      <c r="T50" s="340" t="str">
        <f>比较法!G46</f>
        <v>12层/28层</v>
      </c>
    </row>
    <row r="51" spans="1:20">
      <c r="A51" s="340" t="str">
        <f>比较法!E16</f>
        <v>房地产及配套设施、装潢</v>
      </c>
      <c r="B51" s="340"/>
      <c r="C51" s="340" t="str">
        <f>比较法!F16</f>
        <v>房地产及配套设施、装潢</v>
      </c>
      <c r="D51" s="340"/>
      <c r="E51" s="340" t="str">
        <f>比较法!G16</f>
        <v>房地产及配套设施、装潢</v>
      </c>
      <c r="F51" s="340"/>
      <c r="G51" s="340"/>
      <c r="H51" s="340" t="str">
        <f>比较法!D38</f>
        <v>市级商业中心</v>
      </c>
      <c r="I51" s="340"/>
      <c r="J51" s="340" t="str">
        <f>比较法!D47</f>
        <v>一面临街</v>
      </c>
      <c r="K51" s="340"/>
      <c r="L51" s="340"/>
      <c r="M51" s="340" t="str">
        <f>比较法!E47</f>
        <v>较好</v>
      </c>
      <c r="N51" s="340"/>
      <c r="O51" s="340"/>
      <c r="P51" s="340" t="str">
        <f>比较法!F47</f>
        <v>较好</v>
      </c>
      <c r="Q51" s="340"/>
      <c r="R51" s="340"/>
      <c r="S51" s="340"/>
      <c r="T51" s="340" t="str">
        <f>比较法!G47</f>
        <v>较好</v>
      </c>
    </row>
    <row r="52" spans="1:20">
      <c r="A52" s="340" t="str">
        <f>比较法!E17</f>
        <v>一次性付款</v>
      </c>
      <c r="B52" s="340"/>
      <c r="C52" s="340" t="str">
        <f>比较法!F17</f>
        <v>一次性付款</v>
      </c>
      <c r="D52" s="340"/>
      <c r="E52" s="340" t="str">
        <f>比较法!G17</f>
        <v>一次性付款</v>
      </c>
      <c r="F52" s="340"/>
      <c r="G52" s="340"/>
      <c r="H52" s="340" t="str">
        <f>比较法!D39</f>
        <v>无特殊管制</v>
      </c>
      <c r="I52" s="340"/>
      <c r="J52" s="340" t="str">
        <f>比较法!D48</f>
        <v>生活型次干道</v>
      </c>
      <c r="K52" s="340"/>
      <c r="L52" s="340"/>
      <c r="M52" s="340" t="str">
        <f>比较法!E48</f>
        <v>生活型主干道</v>
      </c>
      <c r="N52" s="340"/>
      <c r="O52" s="340"/>
      <c r="P52" s="340" t="str">
        <f>比较法!F48</f>
        <v>生活型主干道</v>
      </c>
      <c r="Q52" s="340"/>
      <c r="R52" s="340"/>
      <c r="S52" s="340"/>
      <c r="T52" s="340" t="str">
        <f>比较法!G48</f>
        <v>交通型次干道</v>
      </c>
    </row>
    <row r="53" spans="1:20">
      <c r="A53" s="340" t="str">
        <f>比较法!E18</f>
        <v>可正常融资</v>
      </c>
      <c r="B53" s="340"/>
      <c r="C53" s="340" t="str">
        <f>比较法!F18</f>
        <v>可正常融资</v>
      </c>
      <c r="D53" s="340"/>
      <c r="E53" s="340" t="str">
        <f>比较法!G18</f>
        <v>可正常融资</v>
      </c>
      <c r="F53" s="340"/>
      <c r="G53" s="340"/>
      <c r="H53" s="340" t="str">
        <f>比较法!D40</f>
        <v>较优</v>
      </c>
      <c r="I53" s="340"/>
      <c r="J53" s="340" t="str">
        <f>比较法!D49</f>
        <v>适中</v>
      </c>
      <c r="K53" s="340"/>
      <c r="L53" s="340"/>
      <c r="M53" s="340" t="str">
        <f>比较法!E49</f>
        <v>适中</v>
      </c>
      <c r="N53" s="340"/>
      <c r="O53" s="340"/>
      <c r="P53" s="340" t="str">
        <f>比较法!F49</f>
        <v>适中</v>
      </c>
      <c r="Q53" s="340"/>
      <c r="R53" s="340"/>
      <c r="S53" s="340"/>
      <c r="T53" s="340" t="str">
        <f>比较法!G49</f>
        <v>适中</v>
      </c>
    </row>
    <row r="54" spans="1:20">
      <c r="A54" s="340" t="str">
        <f>比较法!E19</f>
        <v>税费各担</v>
      </c>
      <c r="B54" s="340"/>
      <c r="C54" s="340" t="str">
        <f>比较法!F19</f>
        <v>税费各担</v>
      </c>
      <c r="D54" s="340"/>
      <c r="E54" s="340" t="str">
        <f>比较法!G19</f>
        <v>税费各担</v>
      </c>
      <c r="F54" s="340"/>
      <c r="G54" s="340"/>
      <c r="H54" s="340" t="str">
        <f>比较法!D41</f>
        <v>六通一平</v>
      </c>
      <c r="I54" s="340"/>
      <c r="J54" s="340" t="str">
        <f>比较法!D50</f>
        <v>钢混</v>
      </c>
      <c r="K54" s="340"/>
      <c r="L54" s="340"/>
      <c r="M54" s="340" t="str">
        <f>比较法!E50</f>
        <v>简易</v>
      </c>
      <c r="N54" s="340"/>
      <c r="O54" s="340"/>
      <c r="P54" s="340" t="str">
        <f>比较法!F50</f>
        <v>钢混</v>
      </c>
      <c r="Q54" s="340"/>
      <c r="R54" s="340"/>
      <c r="S54" s="340"/>
      <c r="T54" s="340" t="str">
        <f>比较法!G50</f>
        <v>钢混</v>
      </c>
    </row>
    <row r="55" spans="1:20">
      <c r="A55" s="340" t="str">
        <f>比较法!E20</f>
        <v>25层/28层</v>
      </c>
      <c r="B55" s="340"/>
      <c r="C55" s="340" t="str">
        <f>比较法!F20</f>
        <v>16层/28层</v>
      </c>
      <c r="D55" s="340"/>
      <c r="E55" s="340" t="str">
        <f>比较法!G20</f>
        <v>12层/28层</v>
      </c>
      <c r="F55" s="340"/>
      <c r="G55" s="340"/>
      <c r="H55" s="340" t="str">
        <f>比较法!D42</f>
        <v>完善</v>
      </c>
      <c r="I55" s="340"/>
      <c r="J55" s="340" t="str">
        <f>比较法!D51</f>
        <v>美观大方</v>
      </c>
      <c r="K55" s="340"/>
      <c r="L55" s="340"/>
      <c r="M55" s="340" t="str">
        <f>比较法!E51</f>
        <v>差</v>
      </c>
      <c r="N55" s="340"/>
      <c r="O55" s="340"/>
      <c r="P55" s="340" t="str">
        <f>比较法!F51</f>
        <v>美观大方</v>
      </c>
      <c r="Q55" s="340"/>
      <c r="R55" s="340"/>
      <c r="S55" s="340"/>
      <c r="T55" s="340" t="str">
        <f>比较法!G51</f>
        <v>一般</v>
      </c>
    </row>
    <row r="56" spans="1:20">
      <c r="A56" s="340" t="str">
        <f>比较法!E21</f>
        <v>南</v>
      </c>
      <c r="B56" s="340"/>
      <c r="C56" s="340" t="str">
        <f>比较法!F21</f>
        <v>南</v>
      </c>
      <c r="D56" s="340"/>
      <c r="E56" s="340" t="str">
        <f>比较法!G21</f>
        <v>南</v>
      </c>
      <c r="F56" s="340"/>
      <c r="G56" s="340"/>
      <c r="H56" s="340" t="str">
        <f>比较法!D43</f>
        <v>较优</v>
      </c>
      <c r="I56" s="340"/>
      <c r="J56" s="340" t="str">
        <f>比较法!D52</f>
        <v>九五成新</v>
      </c>
      <c r="K56" s="340"/>
      <c r="L56" s="340"/>
      <c r="M56" s="340" t="str">
        <f>比较法!E52</f>
        <v>九五成新</v>
      </c>
      <c r="N56" s="340"/>
      <c r="O56" s="340"/>
      <c r="P56" s="340" t="str">
        <f>比较法!F52</f>
        <v>九五成新</v>
      </c>
      <c r="Q56" s="340"/>
      <c r="R56" s="340"/>
      <c r="S56" s="340"/>
      <c r="T56" s="340" t="str">
        <f>比较法!G52</f>
        <v>九五成新</v>
      </c>
    </row>
    <row r="57" spans="1:20">
      <c r="A57" s="340" t="str">
        <f>比较法!E22</f>
        <v>豪华装潢</v>
      </c>
      <c r="B57" s="340"/>
      <c r="C57" s="340" t="str">
        <f>比较法!F22</f>
        <v>豪华装潢</v>
      </c>
      <c r="D57" s="340"/>
      <c r="E57" s="340" t="str">
        <f>比较法!G22</f>
        <v>一般装潢</v>
      </c>
      <c r="F57" s="340"/>
      <c r="G57" s="340"/>
      <c r="H57" s="340" t="str">
        <f>比较法!D44</f>
        <v>充足</v>
      </c>
      <c r="I57" s="340"/>
      <c r="J57" s="340" t="str">
        <f>比较法!D53</f>
        <v>优</v>
      </c>
      <c r="K57" s="340"/>
      <c r="L57" s="340"/>
      <c r="M57" s="340" t="str">
        <f>比较法!E53</f>
        <v>优</v>
      </c>
      <c r="N57" s="340"/>
      <c r="O57" s="340"/>
      <c r="P57" s="340" t="str">
        <f>比较法!F53</f>
        <v>优</v>
      </c>
      <c r="Q57" s="340"/>
      <c r="R57" s="340"/>
      <c r="S57" s="340"/>
      <c r="T57" s="340" t="str">
        <f>比较法!G53</f>
        <v>优</v>
      </c>
    </row>
    <row r="58" spans="1:20">
      <c r="A58" s="340" t="str">
        <f>比较法!E23</f>
        <v>平层</v>
      </c>
      <c r="B58" s="340"/>
      <c r="C58" s="340" t="str">
        <f>比较法!F23</f>
        <v>平层</v>
      </c>
      <c r="D58" s="340"/>
      <c r="E58" s="340" t="str">
        <f>比较法!G23</f>
        <v>平层</v>
      </c>
      <c r="F58" s="340"/>
      <c r="G58" s="340"/>
      <c r="H58" s="340" t="str">
        <f>比较法!D45</f>
        <v>南</v>
      </c>
      <c r="I58" s="340"/>
      <c r="J58" s="340" t="str">
        <f>比较法!D54</f>
        <v>合理</v>
      </c>
      <c r="K58" s="340"/>
      <c r="L58" s="340"/>
      <c r="M58" s="340" t="str">
        <f>比较法!E54</f>
        <v>合理</v>
      </c>
      <c r="N58" s="340"/>
      <c r="O58" s="340"/>
      <c r="P58" s="340" t="str">
        <f>比较法!F54</f>
        <v>合理</v>
      </c>
      <c r="Q58" s="340"/>
      <c r="R58" s="340"/>
      <c r="S58" s="340"/>
      <c r="T58" s="340" t="str">
        <f>比较法!G54</f>
        <v>合理</v>
      </c>
    </row>
    <row r="59" spans="1:20">
      <c r="A59" s="375">
        <f>比较法!L13</f>
        <v>42908</v>
      </c>
      <c r="B59" s="375">
        <f>比较法!M13</f>
        <v>43038</v>
      </c>
      <c r="C59" s="375">
        <f>比较法!N13</f>
        <v>42993</v>
      </c>
      <c r="D59" s="375">
        <f>比较法!O13</f>
        <v>42864</v>
      </c>
      <c r="J59" s="340" t="str">
        <f>比较法!D55</f>
        <v>豪华装潢</v>
      </c>
      <c r="K59" s="340"/>
      <c r="L59" s="340"/>
      <c r="M59" s="340" t="str">
        <f>比较法!E55</f>
        <v>豪华装潢</v>
      </c>
      <c r="N59" s="340"/>
      <c r="O59" s="340"/>
      <c r="P59" s="340" t="str">
        <f>比较法!F55</f>
        <v>豪华装潢</v>
      </c>
      <c r="Q59" s="340"/>
      <c r="R59" s="340"/>
      <c r="S59" s="340"/>
      <c r="T59" s="340" t="str">
        <f>比较法!G55</f>
        <v>一般装潢</v>
      </c>
    </row>
    <row r="60" spans="1:20">
      <c r="A60" s="339">
        <f>比较法!L14</f>
        <v>130.28</v>
      </c>
      <c r="B60" s="339">
        <f>比较法!M14</f>
        <v>130.28</v>
      </c>
      <c r="C60" s="339">
        <f>比较法!N14</f>
        <v>130.28</v>
      </c>
      <c r="D60" s="339">
        <f>比较法!O14</f>
        <v>130.28</v>
      </c>
      <c r="J60" s="340" t="str">
        <f>比较法!D56</f>
        <v>无设施设备</v>
      </c>
      <c r="K60" s="340"/>
      <c r="L60" s="340"/>
      <c r="M60" s="340" t="str">
        <f>比较法!E56</f>
        <v>无设施设备</v>
      </c>
      <c r="N60" s="340"/>
      <c r="O60" s="340"/>
      <c r="P60" s="340" t="str">
        <f>比较法!F56</f>
        <v>无设施设备</v>
      </c>
      <c r="Q60" s="340"/>
      <c r="R60" s="340"/>
      <c r="S60" s="340"/>
      <c r="T60" s="340" t="str">
        <f>比较法!G56</f>
        <v>设施设备齐全</v>
      </c>
    </row>
    <row r="61" spans="1:20">
      <c r="B61" s="339"/>
      <c r="C61" s="339"/>
      <c r="D61" s="339"/>
      <c r="J61" s="340" t="str">
        <f>比较法!D57</f>
        <v>2.8米至4.7米之间</v>
      </c>
      <c r="K61" s="340"/>
      <c r="L61" s="340"/>
      <c r="M61" s="340" t="str">
        <f>比较法!E57</f>
        <v>5.5米以上</v>
      </c>
      <c r="N61" s="340"/>
      <c r="O61" s="340"/>
      <c r="P61" s="340" t="str">
        <f>比较法!F57</f>
        <v>小于2.8米</v>
      </c>
      <c r="Q61" s="340"/>
      <c r="R61" s="340"/>
      <c r="S61" s="340"/>
      <c r="T61" s="340" t="str">
        <f>比较法!G57</f>
        <v>4.7米至5.5米之间</v>
      </c>
    </row>
    <row r="62" spans="1:20">
      <c r="A62" s="376">
        <f>比较法!L36</f>
        <v>100</v>
      </c>
      <c r="B62" s="376">
        <f>比较法!M36</f>
        <v>100</v>
      </c>
      <c r="C62" s="376">
        <f>比较法!N36</f>
        <v>100</v>
      </c>
      <c r="D62" s="376">
        <f>比较法!O36</f>
        <v>100</v>
      </c>
      <c r="E62" s="340" t="str">
        <f>比较法!D83</f>
        <v>100/100</v>
      </c>
      <c r="F62" s="340" t="str">
        <f>比较法!E83</f>
        <v>100/100</v>
      </c>
      <c r="G62" s="340"/>
      <c r="H62" s="340" t="str">
        <f>比较法!F83</f>
        <v>100/100</v>
      </c>
      <c r="J62" s="340" t="str">
        <f>比较法!D58</f>
        <v>小于0.25</v>
      </c>
      <c r="K62" s="340"/>
      <c r="L62" s="340"/>
      <c r="M62" s="340" t="str">
        <f>比较法!E58</f>
        <v>好</v>
      </c>
      <c r="N62" s="340"/>
      <c r="O62" s="340"/>
      <c r="P62" s="340" t="str">
        <f>比较法!F58</f>
        <v>好</v>
      </c>
      <c r="Q62" s="340"/>
      <c r="R62" s="340"/>
      <c r="S62" s="340"/>
      <c r="T62" s="340" t="str">
        <f>比较法!G58</f>
        <v>好</v>
      </c>
    </row>
    <row r="63" spans="1:20">
      <c r="A63" s="376">
        <f>比较法!L37</f>
        <v>130.28</v>
      </c>
      <c r="B63" s="376">
        <f>比较法!M37</f>
        <v>130.28</v>
      </c>
      <c r="C63" s="376">
        <f>比较法!N37</f>
        <v>130.28</v>
      </c>
      <c r="D63" s="376">
        <f>比较法!O37</f>
        <v>130.28</v>
      </c>
      <c r="E63" s="340" t="str">
        <f>比较法!D84</f>
        <v>130.28/130.28</v>
      </c>
      <c r="F63" s="340" t="str">
        <f>比较法!E84</f>
        <v>130.28/130.28</v>
      </c>
      <c r="G63" s="340"/>
      <c r="H63" s="340" t="str">
        <f>比较法!F84</f>
        <v>130.28/130.28</v>
      </c>
      <c r="J63" s="340" t="str">
        <f>比较法!D59</f>
        <v>按规划条件建设</v>
      </c>
      <c r="K63" s="340"/>
      <c r="L63" s="340"/>
      <c r="M63" s="340" t="str">
        <f>比较法!E59</f>
        <v>按规划条件建设</v>
      </c>
      <c r="N63" s="340"/>
      <c r="O63" s="340"/>
      <c r="P63" s="340" t="str">
        <f>比较法!F59</f>
        <v>按规划条件建设</v>
      </c>
      <c r="Q63" s="340"/>
      <c r="R63" s="340"/>
      <c r="S63" s="340"/>
      <c r="T63" s="340" t="str">
        <f>比较法!G59</f>
        <v>按规划条件建设</v>
      </c>
    </row>
    <row r="64" spans="1:20">
      <c r="A64" s="615">
        <f>比较法!L38</f>
        <v>106</v>
      </c>
      <c r="B64" s="615">
        <f>比较法!M38</f>
        <v>100</v>
      </c>
      <c r="C64" s="615">
        <f>比较法!N38</f>
        <v>100</v>
      </c>
      <c r="D64" s="615">
        <f>比较法!O38</f>
        <v>100</v>
      </c>
      <c r="E64" s="420" t="str">
        <f>比较法!D85</f>
        <v>106/100</v>
      </c>
      <c r="F64" s="420" t="str">
        <f>比较法!E85</f>
        <v>106/100</v>
      </c>
      <c r="G64" s="420"/>
      <c r="H64" s="420" t="str">
        <f>比较法!F85</f>
        <v>106/100</v>
      </c>
      <c r="J64" s="340" t="str">
        <f>比较法!D60</f>
        <v>已登记，权属清晰</v>
      </c>
      <c r="K64" s="340"/>
      <c r="L64" s="340"/>
      <c r="M64" s="340" t="str">
        <f>比较法!E60</f>
        <v>已登记，权属清晰</v>
      </c>
      <c r="N64" s="340"/>
      <c r="O64" s="340"/>
      <c r="P64" s="340" t="str">
        <f>比较法!F60</f>
        <v>已登记，权属清晰</v>
      </c>
      <c r="Q64" s="340"/>
      <c r="R64" s="340"/>
      <c r="S64" s="340"/>
      <c r="T64" s="340" t="str">
        <f>比较法!G60</f>
        <v>已登记，权属清晰</v>
      </c>
    </row>
    <row r="65" spans="1:20">
      <c r="A65" s="615">
        <f>比较法!L39</f>
        <v>102</v>
      </c>
      <c r="B65" s="615">
        <f>比较法!M39</f>
        <v>102</v>
      </c>
      <c r="C65" s="615">
        <f>比较法!N39</f>
        <v>102</v>
      </c>
      <c r="D65" s="615">
        <f>比较法!O39</f>
        <v>102</v>
      </c>
      <c r="E65" s="420" t="str">
        <f>比较法!D86</f>
        <v>102/102</v>
      </c>
      <c r="F65" s="420" t="str">
        <f>比较法!E86</f>
        <v>102/102</v>
      </c>
      <c r="G65" s="420"/>
      <c r="H65" s="420" t="str">
        <f>比较法!F86</f>
        <v>102/102</v>
      </c>
      <c r="J65" s="340" t="str">
        <f>比较法!D61</f>
        <v>国有出让</v>
      </c>
      <c r="K65" s="340"/>
      <c r="L65" s="340"/>
      <c r="M65" s="340" t="str">
        <f>比较法!E61</f>
        <v>国有出让</v>
      </c>
      <c r="N65" s="340"/>
      <c r="O65" s="340"/>
      <c r="P65" s="340" t="str">
        <f>比较法!F61</f>
        <v>国有出让</v>
      </c>
      <c r="Q65" s="340"/>
      <c r="R65" s="340"/>
      <c r="S65" s="340"/>
      <c r="T65" s="340" t="str">
        <f>比较法!G61</f>
        <v>国有出让</v>
      </c>
    </row>
    <row r="66" spans="1:20">
      <c r="A66" s="615">
        <f>比较法!L40</f>
        <v>100</v>
      </c>
      <c r="B66" s="615">
        <f>比较法!M40</f>
        <v>100</v>
      </c>
      <c r="C66" s="615">
        <f>比较法!N40</f>
        <v>100</v>
      </c>
      <c r="D66" s="615">
        <f>比较法!O40</f>
        <v>94</v>
      </c>
      <c r="E66" s="420" t="str">
        <f>比较法!D87</f>
        <v>100/100</v>
      </c>
      <c r="F66" s="420" t="str">
        <f>比较法!E87</f>
        <v>100/100</v>
      </c>
      <c r="G66" s="420"/>
      <c r="H66" s="420" t="str">
        <f>比较法!F87</f>
        <v>100/94</v>
      </c>
      <c r="J66" s="340" t="str">
        <f>比较法!D62</f>
        <v>？年</v>
      </c>
      <c r="K66" s="340"/>
      <c r="L66" s="340"/>
      <c r="M66" s="340" t="str">
        <f>比较法!E62</f>
        <v>与估价对象相近</v>
      </c>
      <c r="N66" s="340"/>
      <c r="O66" s="340"/>
      <c r="P66" s="340" t="str">
        <f>比较法!F62</f>
        <v>与估价对象相近</v>
      </c>
      <c r="Q66" s="340"/>
      <c r="R66" s="340"/>
      <c r="S66" s="340"/>
      <c r="T66" s="340" t="str">
        <f>比较法!G62</f>
        <v>与估价对象相近</v>
      </c>
    </row>
    <row r="67" spans="1:20">
      <c r="A67" s="615">
        <f>比较法!L41</f>
        <v>100</v>
      </c>
      <c r="B67" s="615">
        <f>比较法!M41</f>
        <v>100</v>
      </c>
      <c r="C67" s="615">
        <f>比较法!N41</f>
        <v>100</v>
      </c>
      <c r="D67" s="615">
        <f>比较法!O41</f>
        <v>98</v>
      </c>
      <c r="E67" s="420" t="str">
        <f>比较法!D88</f>
        <v>100/100</v>
      </c>
      <c r="F67" s="420" t="str">
        <f>比较法!E88</f>
        <v>100/100</v>
      </c>
      <c r="G67" s="420"/>
      <c r="H67" s="420" t="str">
        <f>比较法!F88</f>
        <v>100/98</v>
      </c>
      <c r="J67" s="340" t="str">
        <f>比较法!D63</f>
        <v>无其他共有权人</v>
      </c>
      <c r="K67" s="340"/>
      <c r="L67" s="340"/>
      <c r="M67" s="340" t="str">
        <f>比较法!E63</f>
        <v>无其他共有权人</v>
      </c>
      <c r="N67" s="340"/>
      <c r="O67" s="340"/>
      <c r="P67" s="340" t="str">
        <f>比较法!F63</f>
        <v>无其他共有权人</v>
      </c>
      <c r="Q67" s="340"/>
      <c r="R67" s="340"/>
      <c r="S67" s="340"/>
      <c r="T67" s="340" t="str">
        <f>比较法!G63</f>
        <v>无其他共有权人</v>
      </c>
    </row>
    <row r="68" spans="1:20">
      <c r="A68" s="615">
        <f>比较法!L42</f>
        <v>101</v>
      </c>
      <c r="B68" s="615">
        <f>比较法!M42</f>
        <v>101</v>
      </c>
      <c r="C68" s="615">
        <f>比较法!N42</f>
        <v>101</v>
      </c>
      <c r="D68" s="615">
        <f>比较法!O42</f>
        <v>100</v>
      </c>
      <c r="E68" s="420" t="str">
        <f>比较法!D89</f>
        <v>101/101</v>
      </c>
      <c r="F68" s="420" t="str">
        <f>比较法!E89</f>
        <v>101/101</v>
      </c>
      <c r="G68" s="420"/>
      <c r="H68" s="420" t="str">
        <f>比较法!F89</f>
        <v>101/100</v>
      </c>
      <c r="J68" s="340" t="str">
        <f>比较法!D64</f>
        <v>无用益物权</v>
      </c>
      <c r="K68" s="340"/>
      <c r="L68" s="340"/>
      <c r="M68" s="340" t="str">
        <f>比较法!E64</f>
        <v>无用益物权</v>
      </c>
      <c r="N68" s="340"/>
      <c r="O68" s="340"/>
      <c r="P68" s="340" t="str">
        <f>比较法!F64</f>
        <v>无用益物权</v>
      </c>
      <c r="Q68" s="340"/>
      <c r="R68" s="340"/>
      <c r="S68" s="340"/>
      <c r="T68" s="340" t="str">
        <f>比较法!G64</f>
        <v>无用益物权</v>
      </c>
    </row>
    <row r="69" spans="1:20">
      <c r="A69" s="615">
        <f>比较法!L43</f>
        <v>101</v>
      </c>
      <c r="B69" s="615">
        <f>比较法!M43</f>
        <v>101</v>
      </c>
      <c r="C69" s="615">
        <f>比较法!N43</f>
        <v>101</v>
      </c>
      <c r="D69" s="615">
        <f>比较法!O43</f>
        <v>101</v>
      </c>
      <c r="E69" s="420" t="str">
        <f>比较法!D90</f>
        <v>101/101</v>
      </c>
      <c r="F69" s="420" t="str">
        <f>比较法!E90</f>
        <v>101/101</v>
      </c>
      <c r="G69" s="420"/>
      <c r="H69" s="420" t="str">
        <f>比较法!F90</f>
        <v>101/101</v>
      </c>
      <c r="J69" s="340" t="str">
        <f>比较法!D65</f>
        <v>无担保物权</v>
      </c>
      <c r="K69" s="340"/>
      <c r="L69" s="340"/>
      <c r="M69" s="340" t="str">
        <f>比较法!E65</f>
        <v>无担保物权</v>
      </c>
      <c r="N69" s="340"/>
      <c r="O69" s="340"/>
      <c r="P69" s="340" t="str">
        <f>比较法!F65</f>
        <v>无担保物权</v>
      </c>
      <c r="Q69" s="340"/>
      <c r="R69" s="340"/>
      <c r="S69" s="340"/>
      <c r="T69" s="340" t="str">
        <f>比较法!G65</f>
        <v>无担保物权</v>
      </c>
    </row>
    <row r="70" spans="1:20">
      <c r="A70" s="615">
        <f>比较法!L44</f>
        <v>102</v>
      </c>
      <c r="B70" s="615">
        <f>比较法!M44</f>
        <v>102</v>
      </c>
      <c r="C70" s="615">
        <f>比较法!N44</f>
        <v>102</v>
      </c>
      <c r="D70" s="615">
        <f>比较法!O44</f>
        <v>102</v>
      </c>
      <c r="E70" s="420" t="str">
        <f>比较法!D91</f>
        <v>102/102</v>
      </c>
      <c r="F70" s="420" t="str">
        <f>比较法!E91</f>
        <v>102/102</v>
      </c>
      <c r="G70" s="420"/>
      <c r="H70" s="420" t="str">
        <f>比较法!F91</f>
        <v>102/102</v>
      </c>
      <c r="J70" s="340" t="str">
        <f>比较法!D66</f>
        <v>无租赁或短期租赁、正常租金</v>
      </c>
      <c r="K70" s="340"/>
      <c r="L70" s="340"/>
      <c r="M70" s="340" t="str">
        <f>比较法!E66</f>
        <v>无租赁或短期租赁、正常租金</v>
      </c>
      <c r="N70" s="340"/>
      <c r="O70" s="340"/>
      <c r="P70" s="340" t="str">
        <f>比较法!F66</f>
        <v>无租赁或短期租赁、正常租金</v>
      </c>
      <c r="Q70" s="340"/>
      <c r="R70" s="340"/>
      <c r="S70" s="340"/>
      <c r="T70" s="340" t="str">
        <f>比较法!G66</f>
        <v>无租赁或短期租赁、正常租金</v>
      </c>
    </row>
    <row r="71" spans="1:20">
      <c r="A71" s="615">
        <f>比较法!L45</f>
        <v>103</v>
      </c>
      <c r="B71" s="615">
        <f>比较法!M45</f>
        <v>103</v>
      </c>
      <c r="C71" s="615">
        <f>比较法!N45</f>
        <v>103</v>
      </c>
      <c r="D71" s="615">
        <f>比较法!O45</f>
        <v>103</v>
      </c>
      <c r="E71" s="420" t="str">
        <f>比较法!D92</f>
        <v>103/103</v>
      </c>
      <c r="F71" s="420" t="str">
        <f>比较法!E92</f>
        <v>103/103</v>
      </c>
      <c r="G71" s="420"/>
      <c r="H71" s="420" t="str">
        <f>比较法!F92</f>
        <v>103/103</v>
      </c>
      <c r="J71" s="340" t="str">
        <f>比较法!D67</f>
        <v>不拖欠税费</v>
      </c>
      <c r="K71" s="340"/>
      <c r="L71" s="340"/>
      <c r="M71" s="340" t="str">
        <f>比较法!E67</f>
        <v>不拖欠税费</v>
      </c>
      <c r="N71" s="340"/>
      <c r="O71" s="340"/>
      <c r="P71" s="340" t="str">
        <f>比较法!F67</f>
        <v>不拖欠税费</v>
      </c>
      <c r="Q71" s="340"/>
      <c r="R71" s="340"/>
      <c r="S71" s="340"/>
      <c r="T71" s="340" t="str">
        <f>比较法!G67</f>
        <v>不拖欠税费</v>
      </c>
    </row>
    <row r="72" spans="1:20">
      <c r="A72" s="615">
        <f>比较法!L46</f>
        <v>100</v>
      </c>
      <c r="B72" s="615">
        <f>比较法!M46</f>
        <v>103</v>
      </c>
      <c r="C72" s="615">
        <f>比较法!N46</f>
        <v>102</v>
      </c>
      <c r="D72" s="615">
        <f>比较法!O46</f>
        <v>102</v>
      </c>
      <c r="E72" s="420" t="str">
        <f>比较法!D93</f>
        <v>100/103</v>
      </c>
      <c r="F72" s="420" t="str">
        <f>比较法!E93</f>
        <v>100/102</v>
      </c>
      <c r="G72" s="420"/>
      <c r="H72" s="420" t="str">
        <f>比较法!F93</f>
        <v>100/102</v>
      </c>
      <c r="J72" s="340" t="str">
        <f>比较法!D68</f>
        <v>无查封</v>
      </c>
      <c r="K72" s="340"/>
      <c r="L72" s="340"/>
      <c r="M72" s="340" t="str">
        <f>比较法!E68</f>
        <v>无查封</v>
      </c>
      <c r="N72" s="340"/>
      <c r="O72" s="340"/>
      <c r="P72" s="340" t="str">
        <f>比较法!F68</f>
        <v>无查封</v>
      </c>
      <c r="Q72" s="340"/>
      <c r="R72" s="340"/>
      <c r="S72" s="340"/>
      <c r="T72" s="340" t="str">
        <f>比较法!G68</f>
        <v>无查封</v>
      </c>
    </row>
    <row r="73" spans="1:20">
      <c r="A73" s="615">
        <f>比较法!L47</f>
        <v>100</v>
      </c>
      <c r="B73" s="615">
        <f>比较法!M47</f>
        <v>101</v>
      </c>
      <c r="C73" s="615">
        <f>比较法!N47</f>
        <v>101</v>
      </c>
      <c r="D73" s="615">
        <f>比较法!O47</f>
        <v>101</v>
      </c>
      <c r="E73" s="420" t="str">
        <f>比较法!D94</f>
        <v>100/101</v>
      </c>
      <c r="F73" s="420" t="str">
        <f>比较法!E94</f>
        <v>100/101</v>
      </c>
      <c r="G73" s="420"/>
      <c r="H73" s="420" t="str">
        <f>比较法!F94</f>
        <v>100/101</v>
      </c>
    </row>
    <row r="74" spans="1:20">
      <c r="A74" s="615">
        <f>比较法!L48</f>
        <v>100</v>
      </c>
      <c r="B74" s="615">
        <f>比较法!M48</f>
        <v>102</v>
      </c>
      <c r="C74" s="615">
        <f>比较法!N48</f>
        <v>102</v>
      </c>
      <c r="D74" s="615">
        <f>比较法!O48</f>
        <v>98</v>
      </c>
      <c r="E74" s="420" t="str">
        <f>比较法!D95</f>
        <v>100/102</v>
      </c>
      <c r="F74" s="420" t="str">
        <f>比较法!E95</f>
        <v>100/102</v>
      </c>
      <c r="G74" s="420"/>
      <c r="H74" s="420" t="str">
        <f>比较法!F95</f>
        <v>100/98</v>
      </c>
    </row>
    <row r="75" spans="1:20">
      <c r="A75" s="615">
        <f>比较法!L49</f>
        <v>100</v>
      </c>
      <c r="B75" s="615">
        <f>比较法!M49</f>
        <v>100</v>
      </c>
      <c r="C75" s="615">
        <f>比较法!N49</f>
        <v>100</v>
      </c>
      <c r="D75" s="615">
        <f>比较法!O49</f>
        <v>100</v>
      </c>
      <c r="E75" s="420" t="str">
        <f>比较法!D96</f>
        <v>100/100</v>
      </c>
      <c r="F75" s="420" t="str">
        <f>比较法!E96</f>
        <v>100/100</v>
      </c>
      <c r="G75" s="420"/>
      <c r="H75" s="420" t="str">
        <f>比较法!F96</f>
        <v>100/100</v>
      </c>
      <c r="I75" t="str">
        <f>比较法!B118</f>
        <v xml:space="preserve">    比准价格A=28957×100/100×130.28/130.28×106/100×102/102×100/100×100/100×101/101×101/101×102/102×103/103×100/103×100/101×100/102×100/100×100/94×101/99×99/99×101/101×101/101×101/101×99/99×100/106×103/104×100/100×100/100×100/100×100/100×100/100×100/100×100/100×100/100×100/100×100/100=29333元/㎡</v>
      </c>
    </row>
    <row r="76" spans="1:20">
      <c r="A76" s="615">
        <f>比较法!L50</f>
        <v>100</v>
      </c>
      <c r="B76" s="615">
        <f>比较法!M50</f>
        <v>94</v>
      </c>
      <c r="C76" s="615">
        <f>比较法!N50</f>
        <v>100</v>
      </c>
      <c r="D76" s="615">
        <f>比较法!O50</f>
        <v>100</v>
      </c>
      <c r="E76" s="420" t="str">
        <f>比较法!D97</f>
        <v>100/94</v>
      </c>
      <c r="F76" s="420" t="str">
        <f>比较法!E97</f>
        <v>100/100</v>
      </c>
      <c r="G76" s="420"/>
      <c r="H76" s="420" t="str">
        <f>比较法!F97</f>
        <v>100/100</v>
      </c>
      <c r="I76" t="str">
        <f>比较法!B119</f>
        <v xml:space="preserve">    比准价格B=29657×100/100×130.28/130.28×106/100×102/102×100/100×100/100×101/101×101/101×102/102×103/103×100/102×100/101×100/102×100/100×100/100×101/101×99/99×101/101×101/101×101/101×99/99×100/97×103/104×100/100×100/100×100/100×100/100×100/100×100/100×100/100×100/100×100/100×100/100=30545元/㎡</v>
      </c>
    </row>
    <row r="77" spans="1:20">
      <c r="A77" s="615">
        <f>比较法!L51</f>
        <v>101</v>
      </c>
      <c r="B77" s="615">
        <f>比较法!M51</f>
        <v>99</v>
      </c>
      <c r="C77" s="615">
        <f>比较法!N51</f>
        <v>101</v>
      </c>
      <c r="D77" s="615">
        <f>比较法!O51</f>
        <v>100</v>
      </c>
      <c r="E77" s="420" t="str">
        <f>比较法!D98</f>
        <v>101/99</v>
      </c>
      <c r="F77" s="420" t="str">
        <f>比较法!E98</f>
        <v>101/101</v>
      </c>
      <c r="G77" s="420"/>
      <c r="H77" s="420" t="str">
        <f>比较法!F98</f>
        <v>101/100</v>
      </c>
      <c r="I77" t="str">
        <f>比较法!B120</f>
        <v xml:space="preserve">    比准价格C=32147×100/100×130.28/130.28×106/100×102/102×100/94×100/98×101/100×101/101×102/102×103/103×100/102×100/101×100/98×100/100×100/100×101/100×99/99×101/101×101/101×101/100×99/101×100/103×103/104×100/100×100/100×100/100×100/100×100/100×100/100×100/100×100/100×100/100×100/100=35579元/㎡</v>
      </c>
    </row>
    <row r="78" spans="1:20">
      <c r="A78" s="615">
        <f>比较法!L52</f>
        <v>99</v>
      </c>
      <c r="B78" s="615">
        <f>比较法!M52</f>
        <v>99</v>
      </c>
      <c r="C78" s="615">
        <f>比较法!N52</f>
        <v>99</v>
      </c>
      <c r="D78" s="615">
        <f>比较法!O52</f>
        <v>99</v>
      </c>
      <c r="E78" s="420" t="str">
        <f>比较法!D99</f>
        <v>99/99</v>
      </c>
      <c r="F78" s="420" t="str">
        <f>比较法!E99</f>
        <v>99/99</v>
      </c>
      <c r="G78" s="420"/>
      <c r="H78" s="420" t="str">
        <f>比较法!F99</f>
        <v>99/99</v>
      </c>
      <c r="I78" t="str">
        <f>比较法!B122</f>
        <v xml:space="preserve">    比准价格=(29333+30545+35579)/3=31819元/㎡</v>
      </c>
    </row>
    <row r="79" spans="1:20">
      <c r="A79" s="615">
        <f>比较法!L53</f>
        <v>101</v>
      </c>
      <c r="B79" s="615">
        <f>比较法!M53</f>
        <v>101</v>
      </c>
      <c r="C79" s="615">
        <f>比较法!N53</f>
        <v>101</v>
      </c>
      <c r="D79" s="615">
        <f>比较法!O53</f>
        <v>101</v>
      </c>
      <c r="E79" s="420" t="str">
        <f>比较法!D100</f>
        <v>101/101</v>
      </c>
      <c r="F79" s="420" t="str">
        <f>比较法!E100</f>
        <v>101/101</v>
      </c>
      <c r="G79" s="420"/>
      <c r="H79" s="420" t="str">
        <f>比较法!F100</f>
        <v>101/101</v>
      </c>
      <c r="I79" t="str">
        <f>查看表!L22</f>
        <v>《国有土地使用证》编号为“/”，土地面积：/㎡</v>
      </c>
    </row>
    <row r="80" spans="1:20">
      <c r="A80" s="615">
        <f>比较法!L54</f>
        <v>101</v>
      </c>
      <c r="B80" s="615">
        <f>比较法!M54</f>
        <v>101</v>
      </c>
      <c r="C80" s="615">
        <f>比较法!N54</f>
        <v>101</v>
      </c>
      <c r="D80" s="615">
        <f>比较法!O54</f>
        <v>101</v>
      </c>
      <c r="E80" s="420" t="str">
        <f>比较法!D101</f>
        <v>101/101</v>
      </c>
      <c r="F80" s="420" t="str">
        <f>比较法!E101</f>
        <v>101/101</v>
      </c>
      <c r="G80" s="420"/>
      <c r="H80" s="420" t="str">
        <f>比较法!F101</f>
        <v>101/101</v>
      </c>
    </row>
    <row r="81" spans="1:8">
      <c r="A81" s="615">
        <f>比较法!L55</f>
        <v>101</v>
      </c>
      <c r="B81" s="615">
        <f>比较法!M55</f>
        <v>101</v>
      </c>
      <c r="C81" s="615">
        <f>比较法!N55</f>
        <v>101</v>
      </c>
      <c r="D81" s="615">
        <f>比较法!O55</f>
        <v>100</v>
      </c>
      <c r="E81" s="420" t="str">
        <f>比较法!D102</f>
        <v>101/101</v>
      </c>
      <c r="F81" s="420" t="str">
        <f>比较法!E102</f>
        <v>101/101</v>
      </c>
      <c r="G81" s="420"/>
      <c r="H81" s="420" t="str">
        <f>比较法!F102</f>
        <v>101/100</v>
      </c>
    </row>
    <row r="82" spans="1:8">
      <c r="A82" s="615">
        <f>比较法!L56</f>
        <v>99</v>
      </c>
      <c r="B82" s="615">
        <f>比较法!M56</f>
        <v>99</v>
      </c>
      <c r="C82" s="615">
        <f>比较法!N56</f>
        <v>99</v>
      </c>
      <c r="D82" s="615">
        <f>比较法!O56</f>
        <v>101</v>
      </c>
      <c r="E82" s="420" t="str">
        <f>比较法!D103</f>
        <v>99/99</v>
      </c>
      <c r="F82" s="420" t="str">
        <f>比较法!E103</f>
        <v>99/99</v>
      </c>
      <c r="G82" s="420"/>
      <c r="H82" s="420" t="str">
        <f>比较法!F103</f>
        <v>99/101</v>
      </c>
    </row>
    <row r="83" spans="1:8">
      <c r="A83" s="615">
        <f>比较法!L57</f>
        <v>100</v>
      </c>
      <c r="B83" s="615">
        <f>比较法!M57</f>
        <v>106</v>
      </c>
      <c r="C83" s="615">
        <f>比较法!N57</f>
        <v>97</v>
      </c>
      <c r="D83" s="615">
        <f>比较法!O57</f>
        <v>103</v>
      </c>
      <c r="E83" s="420" t="str">
        <f>比较法!D104</f>
        <v>100/106</v>
      </c>
      <c r="F83" s="420" t="str">
        <f>比较法!E104</f>
        <v>100/97</v>
      </c>
      <c r="G83" s="420"/>
      <c r="H83" s="420" t="str">
        <f>比较法!F104</f>
        <v>100/103</v>
      </c>
    </row>
    <row r="84" spans="1:8">
      <c r="A84" s="615">
        <f>比较法!L58</f>
        <v>103</v>
      </c>
      <c r="B84" s="615">
        <f>比较法!M58</f>
        <v>104</v>
      </c>
      <c r="C84" s="615">
        <f>比较法!N58</f>
        <v>104</v>
      </c>
      <c r="D84" s="615">
        <f>比较法!O58</f>
        <v>104</v>
      </c>
      <c r="E84" s="420" t="str">
        <f>比较法!D105</f>
        <v>103/104</v>
      </c>
      <c r="F84" s="420" t="str">
        <f>比较法!E105</f>
        <v>103/104</v>
      </c>
      <c r="G84" s="420"/>
      <c r="H84" s="420" t="str">
        <f>比较法!F105</f>
        <v>103/104</v>
      </c>
    </row>
    <row r="85" spans="1:8">
      <c r="A85" s="376">
        <f>比较法!L59</f>
        <v>100</v>
      </c>
      <c r="B85" s="376">
        <f>比较法!M59</f>
        <v>100</v>
      </c>
      <c r="C85" s="376">
        <f>比较法!N59</f>
        <v>100</v>
      </c>
      <c r="D85" s="376">
        <f>比较法!O59</f>
        <v>100</v>
      </c>
      <c r="E85" s="340" t="str">
        <f>比较法!D106</f>
        <v>100/100</v>
      </c>
      <c r="F85" s="340" t="str">
        <f>比较法!E106</f>
        <v>100/100</v>
      </c>
      <c r="G85" s="340"/>
      <c r="H85" s="340" t="str">
        <f>比较法!F106</f>
        <v>100/100</v>
      </c>
    </row>
    <row r="86" spans="1:8">
      <c r="A86" s="376">
        <f>比较法!L60</f>
        <v>100</v>
      </c>
      <c r="B86" s="376">
        <f>比较法!M60</f>
        <v>100</v>
      </c>
      <c r="C86" s="376">
        <f>比较法!N60</f>
        <v>100</v>
      </c>
      <c r="D86" s="376">
        <f>比较法!O60</f>
        <v>100</v>
      </c>
      <c r="E86" s="340" t="str">
        <f>比较法!D107</f>
        <v>100/100</v>
      </c>
      <c r="F86" s="340" t="str">
        <f>比较法!E107</f>
        <v>100/100</v>
      </c>
      <c r="G86" s="340"/>
      <c r="H86" s="340" t="str">
        <f>比较法!F107</f>
        <v>100/100</v>
      </c>
    </row>
    <row r="87" spans="1:8">
      <c r="A87" s="376">
        <f>比较法!L61</f>
        <v>100</v>
      </c>
      <c r="B87" s="376">
        <f>比较法!M61</f>
        <v>100</v>
      </c>
      <c r="C87" s="376">
        <f>比较法!N61</f>
        <v>100</v>
      </c>
      <c r="D87" s="376">
        <f>比较法!O61</f>
        <v>100</v>
      </c>
      <c r="E87" s="340" t="str">
        <f>比较法!D108</f>
        <v>100/100</v>
      </c>
      <c r="F87" s="340" t="str">
        <f>比较法!E108</f>
        <v>100/100</v>
      </c>
      <c r="G87" s="340"/>
      <c r="H87" s="340" t="str">
        <f>比较法!F108</f>
        <v>100/100</v>
      </c>
    </row>
    <row r="88" spans="1:8">
      <c r="A88" s="376">
        <f>比较法!L62</f>
        <v>100</v>
      </c>
      <c r="B88" s="376">
        <f>比较法!M62</f>
        <v>100</v>
      </c>
      <c r="C88" s="376">
        <f>比较法!N62</f>
        <v>100</v>
      </c>
      <c r="D88" s="376">
        <f>比较法!O62</f>
        <v>100</v>
      </c>
      <c r="E88" s="340" t="str">
        <f>比较法!D109</f>
        <v>100/100</v>
      </c>
      <c r="F88" s="340" t="str">
        <f>比较法!E109</f>
        <v>100/100</v>
      </c>
      <c r="G88" s="340"/>
      <c r="H88" s="340" t="str">
        <f>比较法!F109</f>
        <v>100/100</v>
      </c>
    </row>
    <row r="89" spans="1:8">
      <c r="A89" s="376">
        <f>比较法!L63</f>
        <v>100</v>
      </c>
      <c r="B89" s="376">
        <f>比较法!M63</f>
        <v>100</v>
      </c>
      <c r="C89" s="376">
        <f>比较法!N63</f>
        <v>100</v>
      </c>
      <c r="D89" s="376">
        <f>比较法!O63</f>
        <v>100</v>
      </c>
      <c r="E89" s="340" t="str">
        <f>比较法!D110</f>
        <v>100/100</v>
      </c>
      <c r="F89" s="340" t="str">
        <f>比较法!E110</f>
        <v>100/100</v>
      </c>
      <c r="G89" s="340"/>
      <c r="H89" s="340" t="str">
        <f>比较法!F110</f>
        <v>100/100</v>
      </c>
    </row>
    <row r="90" spans="1:8">
      <c r="A90" s="376">
        <f>比较法!L64</f>
        <v>100</v>
      </c>
      <c r="B90" s="376">
        <f>比较法!M64</f>
        <v>100</v>
      </c>
      <c r="C90" s="376">
        <f>比较法!N64</f>
        <v>100</v>
      </c>
      <c r="D90" s="376">
        <f>比较法!O64</f>
        <v>100</v>
      </c>
      <c r="E90" s="340" t="str">
        <f>比较法!D111</f>
        <v>100/100</v>
      </c>
      <c r="F90" s="340" t="str">
        <f>比较法!E111</f>
        <v>100/100</v>
      </c>
      <c r="G90" s="340"/>
      <c r="H90" s="340" t="str">
        <f>比较法!F111</f>
        <v>100/100</v>
      </c>
    </row>
    <row r="91" spans="1:8">
      <c r="A91" s="376">
        <f>比较法!L65</f>
        <v>100</v>
      </c>
      <c r="B91" s="376">
        <f>比较法!M65</f>
        <v>100</v>
      </c>
      <c r="C91" s="376">
        <f>比较法!N65</f>
        <v>100</v>
      </c>
      <c r="D91" s="376">
        <f>比较法!O65</f>
        <v>100</v>
      </c>
      <c r="E91" s="340" t="str">
        <f>比较法!D112</f>
        <v>100/100</v>
      </c>
      <c r="F91" s="340" t="str">
        <f>比较法!E112</f>
        <v>100/100</v>
      </c>
      <c r="G91" s="340"/>
      <c r="H91" s="340" t="str">
        <f>比较法!F112</f>
        <v>100/100</v>
      </c>
    </row>
    <row r="92" spans="1:8">
      <c r="A92" s="376">
        <f>比较法!L66</f>
        <v>100</v>
      </c>
      <c r="B92" s="376">
        <f>比较法!M66</f>
        <v>100</v>
      </c>
      <c r="C92" s="376">
        <f>比较法!N66</f>
        <v>100</v>
      </c>
      <c r="D92" s="376">
        <f>比较法!O66</f>
        <v>100</v>
      </c>
      <c r="E92" s="340" t="str">
        <f>比较法!D113</f>
        <v>100/100</v>
      </c>
      <c r="F92" s="340" t="str">
        <f>比较法!E113</f>
        <v>100/100</v>
      </c>
      <c r="G92" s="340"/>
      <c r="H92" s="340" t="str">
        <f>比较法!F113</f>
        <v>100/100</v>
      </c>
    </row>
    <row r="93" spans="1:8">
      <c r="A93" s="376">
        <f>比较法!L67</f>
        <v>100</v>
      </c>
      <c r="B93" s="376">
        <f>比较法!M67</f>
        <v>100</v>
      </c>
      <c r="C93" s="376">
        <f>比较法!N67</f>
        <v>100</v>
      </c>
      <c r="D93" s="376">
        <f>比较法!O67</f>
        <v>100</v>
      </c>
      <c r="E93" s="340" t="str">
        <f>比较法!D114</f>
        <v>100/100</v>
      </c>
      <c r="F93" s="340" t="str">
        <f>比较法!E114</f>
        <v>100/100</v>
      </c>
      <c r="G93" s="340"/>
      <c r="H93" s="340" t="str">
        <f>比较法!F114</f>
        <v>100/100</v>
      </c>
    </row>
    <row r="94" spans="1:8">
      <c r="A94" s="376">
        <f>比较法!L68</f>
        <v>100</v>
      </c>
      <c r="B94" s="376">
        <f>比较法!M68</f>
        <v>100</v>
      </c>
      <c r="C94" s="376">
        <f>比较法!N68</f>
        <v>100</v>
      </c>
      <c r="D94" s="376">
        <f>比较法!O68</f>
        <v>100</v>
      </c>
      <c r="E94" s="340" t="str">
        <f>比较法!D115</f>
        <v>100/100</v>
      </c>
      <c r="F94" s="340" t="str">
        <f>比较法!E115</f>
        <v>100/100</v>
      </c>
      <c r="G94" s="340"/>
      <c r="H94" s="340" t="str">
        <f>比较法!F115</f>
        <v>100/100</v>
      </c>
    </row>
    <row r="95" spans="1:8">
      <c r="A95" s="609" t="str">
        <f>'基础数据（不动产）'!B3</f>
        <v>苏海估CDQ字［2017］</v>
      </c>
      <c r="B95" s="610"/>
      <c r="C95" s="610" t="str">
        <f>'基础数据（不动产）'!C3</f>
        <v>10001</v>
      </c>
      <c r="D95" s="610" t="str">
        <f>'基础数据（不动产）'!B8</f>
        <v>温健</v>
      </c>
      <c r="E95" s="610" t="str">
        <f>'基础数据（不动产）'!D8</f>
        <v>杨骞</v>
      </c>
      <c r="F95" s="610"/>
      <c r="G95" s="610" t="str">
        <f>'基础数据（不动产）'!D3</f>
        <v>苏海估CDQ技字［2017］</v>
      </c>
    </row>
    <row r="96" spans="1:8">
      <c r="A96" s="609" t="str">
        <f>'基础数据（不动产）'!B5</f>
        <v>成都市成华区御风二路99号1栋1单元25楼7号</v>
      </c>
      <c r="B96" s="610"/>
      <c r="C96" s="610"/>
      <c r="D96" s="610" t="str">
        <f>'基础数据（不动产）'!E13</f>
        <v>住宅</v>
      </c>
      <c r="E96" s="610" t="str">
        <f>'基础数据（不动产）'!B6</f>
        <v>成都市成华区御风二路99号1栋1单元25楼7号</v>
      </c>
      <c r="F96" s="610"/>
      <c r="G96" s="610"/>
    </row>
    <row r="97" spans="1:9">
      <c r="A97" s="609" t="str">
        <f>'基础数据（不动产）'!B42</f>
        <v>陆巍</v>
      </c>
      <c r="B97" s="611">
        <f>'基础数据（不动产）'!C42</f>
        <v>6520130006</v>
      </c>
      <c r="C97" s="610" t="str">
        <f>'基础数据（不动产）'!B44</f>
        <v xml:space="preserve"> 二0一七年十月十七日</v>
      </c>
      <c r="D97" s="610"/>
      <c r="E97" s="1118"/>
      <c r="F97" s="610"/>
      <c r="G97" s="612">
        <f>'基础数据（不动产）'!B28</f>
        <v>41.48</v>
      </c>
    </row>
    <row r="98" spans="1:9">
      <c r="A98" s="610" t="str">
        <f>'基础数据（不动产）'!B43</f>
        <v>高卫国</v>
      </c>
      <c r="B98" s="611">
        <f>'基础数据（不动产）'!C43</f>
        <v>3220090104</v>
      </c>
      <c r="C98" s="613" t="str">
        <f>'基础数据（不动产）'!B7</f>
        <v>川（2017）成都市不动产权第0251900号</v>
      </c>
      <c r="D98" s="610"/>
      <c r="E98" s="610"/>
      <c r="F98" s="610" t="str">
        <f>'基础数据（不动产）'!D16</f>
        <v>框剪</v>
      </c>
      <c r="G98" s="610"/>
    </row>
    <row r="99" spans="1:9">
      <c r="A99" s="610" t="str">
        <f>'基础数据（不动产）'!D13</f>
        <v>住宅用地/住宅</v>
      </c>
      <c r="B99" s="610" t="str">
        <f>'基础数据（不动产）'!D14</f>
        <v>89.12</v>
      </c>
      <c r="C99" s="612">
        <f>'基础数据（不动产）'!B16</f>
        <v>10.57</v>
      </c>
      <c r="D99" s="610"/>
      <c r="E99" s="610"/>
      <c r="F99" s="614">
        <f>'基础数据（不动产）'!D17</f>
        <v>20.230000000000004</v>
      </c>
      <c r="G99" s="610" t="str">
        <f>'基础数据（不动产）'!D19</f>
        <v>6</v>
      </c>
    </row>
    <row r="100" spans="1:9">
      <c r="A100" s="612">
        <f>'基础数据（不动产）'!B17</f>
        <v>68.89</v>
      </c>
      <c r="B100" s="610" t="str">
        <f>'基础数据（不动产）'!B26</f>
        <v>二〇一七年六月二十二日</v>
      </c>
      <c r="C100" s="610" t="str">
        <f>'基础数据（不动产）'!B36</f>
        <v>比较法、成本法</v>
      </c>
      <c r="D100" s="610"/>
      <c r="E100" s="610"/>
      <c r="F100" s="610"/>
      <c r="G100" s="609">
        <f>'基础数据（不动产）'!B19</f>
        <v>7</v>
      </c>
    </row>
    <row r="101" spans="1:9">
      <c r="A101" s="610" t="str">
        <f>'基础数据（不动产）'!B20</f>
        <v>201707288F00018</v>
      </c>
      <c r="B101" s="610" t="str">
        <f>'基础数据（不动产）'!B22:D22</f>
        <v>根据估价委托人提供的《不动产权证》估价对象登记地址为：成都市成华区御风二路99号1栋1单元25楼7号,经估价人员现场查看，估价对象实际查看地址为：成都市成华区御风二路99号1栋1单元25楼7号估价委托人尚未提供《地址变更证明》，本次评估以注册房地产估价师现场查看房地产与《不动产权证》界定房地产为同一标的物为假设前提，提请报告使用人注意。</v>
      </c>
      <c r="C101" s="610"/>
      <c r="D101" s="610"/>
      <c r="E101" s="610"/>
      <c r="F101" s="610"/>
      <c r="G101" s="610"/>
    </row>
    <row r="102" spans="1:9">
      <c r="A102" s="610" t="str">
        <f>'基础数据（不动产）'!A9</f>
        <v>身份证住址</v>
      </c>
      <c r="B102" s="610" t="str">
        <f>'基础数据（不动产）'!B9</f>
        <v>四川省仪陇县朝阳大道12号</v>
      </c>
      <c r="C102" s="610"/>
      <c r="D102" s="610" t="str">
        <f>'基础数据（不动产）'!C9</f>
        <v>统一社会信用代码</v>
      </c>
      <c r="E102" s="610"/>
      <c r="F102" s="610" t="str">
        <f>'基础数据（不动产）'!D9</f>
        <v>91510108MA6DED458T</v>
      </c>
      <c r="G102" s="610"/>
    </row>
    <row r="103" spans="1:9">
      <c r="A103" s="610" t="str">
        <f>'基础数据（不动产）'!B10</f>
        <v>共同共有</v>
      </c>
      <c r="B103" s="610" t="str">
        <f>'基础数据（不动产）'!B11:D11</f>
        <v>510104008001GB00030F00010002</v>
      </c>
      <c r="C103" s="610"/>
      <c r="D103" s="610" t="str">
        <f>'基础数据（不动产）'!B13</f>
        <v>出让/普通</v>
      </c>
      <c r="E103" s="610">
        <f>'基础数据（不动产）'!D20</f>
        <v>42955</v>
      </c>
      <c r="F103" s="610"/>
      <c r="G103" s="610"/>
    </row>
    <row r="104" spans="1:9">
      <c r="A104" s="610" t="str">
        <f>CONCATENATE('基础数据（不动产）'!B15,'基础数据（不动产）'!C15)</f>
        <v>国有建设用地使用权：二零五八年十二月十四日</v>
      </c>
      <c r="B104" s="610"/>
      <c r="C104" s="610"/>
      <c r="D104" s="610"/>
      <c r="E104" s="610" t="str">
        <f>'基础数据（不动产）'!D28</f>
        <v>规则，呈标准四边形</v>
      </c>
      <c r="F104" s="610"/>
      <c r="G104" s="610" t="str">
        <f>'基础数据（不动产）'!B36</f>
        <v>比较法、成本法</v>
      </c>
    </row>
    <row r="105" spans="1:9">
      <c r="A105" s="610" t="str">
        <f>'基础数据（不动产）'!D26</f>
        <v>二〇一七年六月二十二日</v>
      </c>
      <c r="B105" s="610"/>
      <c r="C105" s="610" t="str">
        <f>'基础数据（不动产）'!D41</f>
        <v>邮政银行成都市分行</v>
      </c>
      <c r="D105" s="610"/>
      <c r="E105" s="610" t="str">
        <f>'基础数据（不动产）'!D27</f>
        <v>有一定起伏利于造景</v>
      </c>
      <c r="F105" s="610"/>
      <c r="G105" s="610"/>
    </row>
    <row r="107" spans="1:9">
      <c r="A107" s="340" t="str">
        <f>'收益法（确定毛收益）'!E7</f>
        <v>绵阳商厦</v>
      </c>
      <c r="B107" s="340"/>
      <c r="C107" s="340" t="str">
        <f>'收益法（确定毛收益）'!F7</f>
        <v>绵阳商厦</v>
      </c>
      <c r="D107" s="340"/>
      <c r="E107" s="340"/>
      <c r="F107" s="340" t="str">
        <f>'收益法（确定毛收益）'!G7</f>
        <v>绵阳商厦</v>
      </c>
      <c r="I107" t="str">
        <f>'收益法（确定毛收益）'!D28</f>
        <v>中海城南一号</v>
      </c>
    </row>
    <row r="108" spans="1:9">
      <c r="A108" s="340" t="str">
        <f>'收益法（确定毛收益）'!E8</f>
        <v>市场调查走访</v>
      </c>
      <c r="B108" s="340"/>
      <c r="C108" s="340" t="str">
        <f>'收益法（确定毛收益）'!F8</f>
        <v>市场调查走访</v>
      </c>
      <c r="D108" s="340"/>
      <c r="E108" s="340"/>
      <c r="F108" s="340" t="str">
        <f>'收益法（确定毛收益）'!G8</f>
        <v>市场调查走访</v>
      </c>
      <c r="I108" t="str">
        <f>'收益法（确定毛收益）'!D29</f>
        <v>商业</v>
      </c>
    </row>
    <row r="109" spans="1:9">
      <c r="A109" s="340" t="str">
        <f>'收益法（确定毛收益）'!E9</f>
        <v>与估价对象位于同一项目</v>
      </c>
      <c r="B109" s="340"/>
      <c r="C109" s="340" t="str">
        <f>'收益法（确定毛收益）'!F9</f>
        <v>位于估价对象西侧</v>
      </c>
      <c r="D109" s="340"/>
      <c r="E109" s="340"/>
      <c r="F109" s="340" t="str">
        <f>'收益法（确定毛收益）'!G9</f>
        <v>位于估价对象南侧</v>
      </c>
      <c r="I109" t="str">
        <f>'收益法（确定毛收益）'!D30</f>
        <v>房地产及配套设施、装潢</v>
      </c>
    </row>
    <row r="110" spans="1:9">
      <c r="A110" s="341">
        <f>'收益法（确定毛收益）'!E10</f>
        <v>94</v>
      </c>
      <c r="B110" s="340"/>
      <c r="C110" s="341">
        <f>'收益法（确定毛收益）'!F10</f>
        <v>118</v>
      </c>
      <c r="D110" s="340"/>
      <c r="E110" s="340"/>
      <c r="F110" s="341">
        <f>'收益法（确定毛收益）'!G10</f>
        <v>87</v>
      </c>
      <c r="G110" s="339"/>
      <c r="I110" t="str">
        <f>'收益法（确定毛收益）'!D31</f>
        <v>按年支付、租金已修正为年末一次性支付</v>
      </c>
    </row>
    <row r="111" spans="1:9">
      <c r="A111" s="597">
        <f>'收益法（确定毛收益）'!E11</f>
        <v>1022</v>
      </c>
      <c r="B111" s="340"/>
      <c r="C111" s="597">
        <f>'收益法（确定毛收益）'!F11</f>
        <v>1125</v>
      </c>
      <c r="D111" s="340"/>
      <c r="E111" s="340"/>
      <c r="F111" s="597">
        <f>'收益法（确定毛收益）'!G11</f>
        <v>1085</v>
      </c>
      <c r="G111" s="595"/>
      <c r="I111" t="str">
        <f>'收益法（确定毛收益）'!D32</f>
        <v>名义租金中含增值税</v>
      </c>
    </row>
    <row r="112" spans="1:9">
      <c r="A112" s="341">
        <f>'收益法（确定毛收益）'!E12</f>
        <v>9.61</v>
      </c>
      <c r="B112" s="340"/>
      <c r="C112" s="341">
        <f>'收益法（确定毛收益）'!F12</f>
        <v>13.28</v>
      </c>
      <c r="D112" s="340"/>
      <c r="E112" s="340"/>
      <c r="F112" s="341">
        <f>'收益法（确定毛收益）'!G12</f>
        <v>9.44</v>
      </c>
      <c r="G112" s="339"/>
    </row>
    <row r="113" spans="1:9">
      <c r="A113" s="340" t="str">
        <f>'收益法（确定毛收益）'!E13</f>
        <v>正常交易</v>
      </c>
      <c r="B113" s="340"/>
      <c r="C113" s="340" t="str">
        <f>'收益法（确定毛收益）'!F13</f>
        <v>正常交易</v>
      </c>
      <c r="D113" s="340"/>
      <c r="E113" s="340"/>
      <c r="F113" s="340" t="str">
        <f>'收益法（确定毛收益）'!G13</f>
        <v>正常交易</v>
      </c>
      <c r="I113" t="str">
        <f>'收益法（确定毛收益）'!D34</f>
        <v>待估</v>
      </c>
    </row>
    <row r="114" spans="1:9">
      <c r="A114" s="375">
        <f>'收益法（确定毛收益）'!E14</f>
        <v>42855</v>
      </c>
      <c r="B114" s="375"/>
      <c r="C114" s="375">
        <f>'收益法（确定毛收益）'!F14</f>
        <v>42870</v>
      </c>
      <c r="D114" s="375"/>
      <c r="E114" s="375"/>
      <c r="F114" s="375">
        <f>'收益法（确定毛收益）'!G14</f>
        <v>42864</v>
      </c>
      <c r="I114" t="str">
        <f>'收益法（确定毛收益）'!D35</f>
        <v>正常交易</v>
      </c>
    </row>
    <row r="115" spans="1:9">
      <c r="A115" s="340" t="str">
        <f>'收益法（确定毛收益）'!E15</f>
        <v>商业</v>
      </c>
      <c r="B115" s="340"/>
      <c r="C115" s="340" t="str">
        <f>'收益法（确定毛收益）'!F15</f>
        <v>商业</v>
      </c>
      <c r="D115" s="340"/>
      <c r="E115" s="340"/>
      <c r="F115" s="340" t="str">
        <f>'收益法（确定毛收益）'!G15</f>
        <v>商业</v>
      </c>
      <c r="I115">
        <f>'收益法（确定毛收益）'!D36</f>
        <v>42908</v>
      </c>
    </row>
    <row r="116" spans="1:9">
      <c r="A116" s="340" t="str">
        <f>'收益法（确定毛收益）'!E16</f>
        <v>房地产及配套设施、装潢</v>
      </c>
      <c r="B116" s="340"/>
      <c r="C116" s="340" t="str">
        <f>'收益法（确定毛收益）'!F16</f>
        <v>房地产及配套设施、装潢</v>
      </c>
      <c r="D116" s="340"/>
      <c r="E116" s="340"/>
      <c r="F116" s="340" t="str">
        <f>'收益法（确定毛收益）'!G16</f>
        <v>房地产及配套设施、装潢</v>
      </c>
      <c r="I116" t="str">
        <f>'收益法（确定毛收益）'!D37</f>
        <v>市级商业中心</v>
      </c>
    </row>
    <row r="117" spans="1:9">
      <c r="A117" s="340" t="str">
        <f>'收益法（确定毛收益）'!E17</f>
        <v>按年支付、租金已修正为年末一次性支付</v>
      </c>
      <c r="B117" s="340"/>
      <c r="C117" s="340" t="str">
        <f>'收益法（确定毛收益）'!F17</f>
        <v>按年支付、租金已修正为年末一次性支付</v>
      </c>
      <c r="D117" s="340"/>
      <c r="E117" s="340"/>
      <c r="F117" s="340" t="str">
        <f>'收益法（确定毛收益）'!G17</f>
        <v>按年支付、租金已修正为年末一次性支付</v>
      </c>
      <c r="I117" t="str">
        <f>'收益法（确定毛收益）'!D38</f>
        <v>无特殊管制</v>
      </c>
    </row>
    <row r="118" spans="1:9">
      <c r="A118" s="340" t="str">
        <f>'收益法（确定毛收益）'!E18</f>
        <v>名义租金中含增值税</v>
      </c>
      <c r="B118" s="340"/>
      <c r="C118" s="340" t="str">
        <f>'收益法（确定毛收益）'!F18</f>
        <v>名义租金中含增值税</v>
      </c>
      <c r="D118" s="340"/>
      <c r="E118" s="340"/>
      <c r="F118" s="340" t="str">
        <f>'收益法（确定毛收益）'!G18</f>
        <v>名义租金中含增值税</v>
      </c>
    </row>
    <row r="119" spans="1:9">
      <c r="A119" s="340" t="str">
        <f>'收益法（确定毛收益）'!E19</f>
        <v>出租方承担管理、维修责任及费用，并支付保险费；承租人承担物业管理费、水电费用等其他所有费用</v>
      </c>
      <c r="B119" s="340"/>
      <c r="C119" s="340"/>
      <c r="D119" s="340"/>
      <c r="E119" s="340"/>
      <c r="F119" s="340"/>
      <c r="G119" s="596">
        <f>'基础数据(房地产)'!E26</f>
        <v>43049</v>
      </c>
    </row>
    <row r="120" spans="1:9">
      <c r="A120" s="340" t="str">
        <f>'收益法（确定毛收益）'!E20</f>
        <v>1层</v>
      </c>
      <c r="B120" s="340"/>
      <c r="C120" s="340" t="str">
        <f>'收益法（确定毛收益）'!F20</f>
        <v>1层</v>
      </c>
      <c r="D120" s="340"/>
      <c r="E120" s="340"/>
      <c r="F120" s="340" t="str">
        <f>'收益法（确定毛收益）'!G20</f>
        <v>1层</v>
      </c>
      <c r="G120" t="str">
        <f>'收益法（确定毛收益）'!C46</f>
        <v>临街状况</v>
      </c>
    </row>
    <row r="121" spans="1:9">
      <c r="A121" s="340" t="str">
        <f>'收益法（确定毛收益）'!E21</f>
        <v>南</v>
      </c>
      <c r="B121" s="340"/>
      <c r="C121" s="340" t="str">
        <f>'收益法（确定毛收益）'!F21</f>
        <v>南</v>
      </c>
      <c r="D121" s="340"/>
      <c r="E121" s="340"/>
      <c r="F121" s="340" t="str">
        <f>'收益法（确定毛收益）'!G21</f>
        <v>南</v>
      </c>
    </row>
    <row r="122" spans="1:9">
      <c r="A122" s="340" t="str">
        <f>'收益法（确定毛收益）'!E22</f>
        <v>一般装潢</v>
      </c>
      <c r="B122" s="340"/>
      <c r="C122" s="340" t="str">
        <f>'收益法（确定毛收益）'!F22</f>
        <v>豪华装潢</v>
      </c>
      <c r="D122" s="340"/>
      <c r="E122" s="340"/>
      <c r="F122" s="340" t="str">
        <f>'收益法（确定毛收益）'!G22</f>
        <v>一般装潢</v>
      </c>
      <c r="G122" t="str">
        <f>'基础数据（不动产）'!D44</f>
        <v>二0一七年十月十七日</v>
      </c>
    </row>
    <row r="123" spans="1:9">
      <c r="A123" s="340" t="str">
        <f>'收益法（确定毛收益）'!F19</f>
        <v>出租方承担管理、维修责任及费用，并支付保险费；承租人承担物业管理费、水电费用等其他所有费用</v>
      </c>
      <c r="B123" s="340"/>
      <c r="C123" s="340"/>
      <c r="D123" s="340"/>
      <c r="E123" s="340"/>
      <c r="F123" s="340"/>
    </row>
    <row r="124" spans="1:9">
      <c r="A124" s="340" t="str">
        <f>'收益法（确定毛收益）'!G19</f>
        <v>出租方承担管理、维修责任及费用，并支付保险费；承租人承担物业管理费、水电费用等其他所有费用</v>
      </c>
      <c r="B124" s="340"/>
      <c r="C124" s="340"/>
      <c r="D124" s="340"/>
      <c r="E124" s="340"/>
      <c r="F124" s="340"/>
    </row>
    <row r="125" spans="1:9">
      <c r="A125" s="340"/>
      <c r="B125" s="340"/>
      <c r="C125" s="340"/>
      <c r="D125" s="340"/>
      <c r="E125" s="340"/>
      <c r="F125" s="340"/>
    </row>
    <row r="126" spans="1:9">
      <c r="A126" s="340" t="str">
        <f>'收益法（确定毛收益）'!D37</f>
        <v>市级商业中心</v>
      </c>
      <c r="B126" s="340"/>
      <c r="C126" s="340" t="str">
        <f>'收益法（确定毛收益）'!E37</f>
        <v>市级商业中心</v>
      </c>
      <c r="D126" s="340"/>
      <c r="E126" s="340" t="str">
        <f>'收益法（确定毛收益）'!F37</f>
        <v>市级商业中心</v>
      </c>
      <c r="F126" s="340"/>
      <c r="G126" s="340" t="str">
        <f>'收益法（确定毛收益）'!G37</f>
        <v>市级商业中心</v>
      </c>
    </row>
    <row r="127" spans="1:9">
      <c r="A127" s="340" t="str">
        <f>'收益法（确定毛收益）'!D38</f>
        <v>无特殊管制</v>
      </c>
      <c r="B127" s="340"/>
      <c r="C127" s="340" t="str">
        <f>'收益法（确定毛收益）'!E38</f>
        <v>无特殊管制</v>
      </c>
      <c r="D127" s="340"/>
      <c r="E127" s="340" t="str">
        <f>'收益法（确定毛收益）'!F38</f>
        <v>无特殊管制</v>
      </c>
      <c r="F127" s="340"/>
      <c r="G127" s="340" t="str">
        <f>'收益法（确定毛收益）'!G38</f>
        <v>无特殊管制</v>
      </c>
    </row>
    <row r="128" spans="1:9">
      <c r="A128" s="340" t="str">
        <f>'收益法（确定毛收益）'!D39</f>
        <v>较优</v>
      </c>
      <c r="B128" s="340"/>
      <c r="C128" s="340" t="str">
        <f>'收益法（确定毛收益）'!E39</f>
        <v>较优</v>
      </c>
      <c r="D128" s="340"/>
      <c r="E128" s="340" t="str">
        <f>'收益法（确定毛收益）'!F39</f>
        <v>较优</v>
      </c>
      <c r="F128" s="340"/>
      <c r="G128" s="340" t="str">
        <f>'收益法（确定毛收益）'!G39</f>
        <v>差</v>
      </c>
    </row>
    <row r="129" spans="1:7">
      <c r="A129" s="340" t="str">
        <f>'收益法（确定毛收益）'!D40</f>
        <v>六通一平</v>
      </c>
      <c r="B129" s="340"/>
      <c r="C129" s="340" t="str">
        <f>'收益法（确定毛收益）'!E40</f>
        <v>六通一平</v>
      </c>
      <c r="D129" s="340"/>
      <c r="E129" s="340" t="str">
        <f>'收益法（确定毛收益）'!F40</f>
        <v>六通一平</v>
      </c>
      <c r="F129" s="340"/>
      <c r="G129" s="340" t="str">
        <f>'收益法（确定毛收益）'!G40</f>
        <v>三通一平</v>
      </c>
    </row>
    <row r="130" spans="1:7">
      <c r="A130" s="340" t="str">
        <f>'收益法（确定毛收益）'!D41</f>
        <v>完善</v>
      </c>
      <c r="B130" s="340"/>
      <c r="C130" s="340" t="str">
        <f>'收益法（确定毛收益）'!E41</f>
        <v>完善</v>
      </c>
      <c r="D130" s="340"/>
      <c r="E130" s="340" t="str">
        <f>'收益法（确定毛收益）'!F41</f>
        <v>完善</v>
      </c>
      <c r="F130" s="340"/>
      <c r="G130" s="340" t="str">
        <f>'收益法（确定毛收益）'!G41</f>
        <v>一般</v>
      </c>
    </row>
    <row r="131" spans="1:7">
      <c r="A131" s="340" t="str">
        <f>'收益法（确定毛收益）'!D42</f>
        <v>较优</v>
      </c>
      <c r="B131" s="340"/>
      <c r="C131" s="340" t="str">
        <f>'收益法（确定毛收益）'!E42</f>
        <v>较优</v>
      </c>
      <c r="D131" s="340"/>
      <c r="E131" s="340" t="str">
        <f>'收益法（确定毛收益）'!F42</f>
        <v>较优</v>
      </c>
      <c r="F131" s="340"/>
      <c r="G131" s="340" t="str">
        <f>'收益法（确定毛收益）'!G42</f>
        <v>较优</v>
      </c>
    </row>
    <row r="132" spans="1:7">
      <c r="A132" s="340" t="str">
        <f>'收益法（确定毛收益）'!D43</f>
        <v>充足</v>
      </c>
      <c r="B132" s="340"/>
      <c r="C132" s="340" t="str">
        <f>'收益法（确定毛收益）'!E43</f>
        <v>充足</v>
      </c>
      <c r="D132" s="340"/>
      <c r="E132" s="340" t="str">
        <f>'收益法（确定毛收益）'!F43</f>
        <v>充足</v>
      </c>
      <c r="F132" s="340"/>
      <c r="G132" s="340" t="str">
        <f>'收益法（确定毛收益）'!G43</f>
        <v>充足</v>
      </c>
    </row>
    <row r="133" spans="1:7">
      <c r="A133" s="340" t="str">
        <f>'收益法（确定毛收益）'!D44</f>
        <v>南</v>
      </c>
      <c r="B133" s="340"/>
      <c r="C133" s="340" t="str">
        <f>'收益法（确定毛收益）'!E44</f>
        <v>南</v>
      </c>
      <c r="D133" s="340"/>
      <c r="E133" s="340" t="str">
        <f>'收益法（确定毛收益）'!F44</f>
        <v>南</v>
      </c>
      <c r="F133" s="340"/>
      <c r="G133" s="340" t="str">
        <f>'收益法（确定毛收益）'!G44</f>
        <v>南</v>
      </c>
    </row>
    <row r="134" spans="1:7">
      <c r="A134" s="340" t="str">
        <f>'收益法（确定毛收益）'!D45</f>
        <v>9层</v>
      </c>
      <c r="B134" s="340"/>
      <c r="C134" s="340" t="str">
        <f>'收益法（确定毛收益）'!E45</f>
        <v>1层</v>
      </c>
      <c r="D134" s="340"/>
      <c r="E134" s="340" t="str">
        <f>'收益法（确定毛收益）'!F45</f>
        <v>1层</v>
      </c>
      <c r="F134" s="340"/>
      <c r="G134" s="340" t="str">
        <f>'收益法（确定毛收益）'!G45</f>
        <v>1层</v>
      </c>
    </row>
    <row r="135" spans="1:7">
      <c r="A135" s="340" t="str">
        <f>'收益法（确定毛收益）'!D46</f>
        <v>两面临街</v>
      </c>
      <c r="B135" s="340"/>
      <c r="C135" s="340" t="str">
        <f>'收益法（确定毛收益）'!E46</f>
        <v>超甲级</v>
      </c>
      <c r="D135" s="340"/>
      <c r="E135" s="340" t="str">
        <f>'收益法（确定毛收益）'!F46</f>
        <v>超甲级</v>
      </c>
      <c r="F135" s="340"/>
      <c r="G135" s="340" t="str">
        <f>'收益法（确定毛收益）'!G46</f>
        <v>超甲级</v>
      </c>
    </row>
    <row r="136" spans="1:7">
      <c r="A136" s="340" t="str">
        <f>'收益法（确定毛收益）'!D47</f>
        <v>生活型次干道</v>
      </c>
      <c r="B136" s="340"/>
      <c r="C136" s="340" t="str">
        <f>'收益法（确定毛收益）'!E47</f>
        <v>生活型主干道</v>
      </c>
      <c r="D136" s="340"/>
      <c r="E136" s="340" t="str">
        <f>'收益法（确定毛收益）'!F47</f>
        <v>步行街</v>
      </c>
      <c r="F136" s="340"/>
      <c r="G136" s="340" t="str">
        <f>'收益法（确定毛收益）'!G47</f>
        <v>交通型次干道</v>
      </c>
    </row>
    <row r="137" spans="1:7">
      <c r="A137" s="340" t="str">
        <f>'收益法（确定毛收益）'!D48</f>
        <v>适中</v>
      </c>
      <c r="B137" s="340"/>
      <c r="C137" s="340" t="str">
        <f>'收益法（确定毛收益）'!E48</f>
        <v>适中</v>
      </c>
      <c r="D137" s="340"/>
      <c r="E137" s="340" t="str">
        <f>'收益法（确定毛收益）'!F48</f>
        <v>适中</v>
      </c>
      <c r="F137" s="340"/>
      <c r="G137" s="340" t="str">
        <f>'收益法（确定毛收益）'!G48</f>
        <v>适中</v>
      </c>
    </row>
    <row r="138" spans="1:7">
      <c r="A138" s="340" t="str">
        <f>'收益法（确定毛收益）'!D49</f>
        <v>钢混</v>
      </c>
      <c r="B138" s="340"/>
      <c r="C138" s="340" t="str">
        <f>'收益法（确定毛收益）'!E49</f>
        <v>简易</v>
      </c>
      <c r="D138" s="340"/>
      <c r="E138" s="340" t="str">
        <f>'收益法（确定毛收益）'!F49</f>
        <v>钢混</v>
      </c>
      <c r="F138" s="340"/>
      <c r="G138" s="340" t="str">
        <f>'收益法（确定毛收益）'!G49</f>
        <v>钢混</v>
      </c>
    </row>
    <row r="139" spans="1:7">
      <c r="A139" s="340" t="str">
        <f>'收益法（确定毛收益）'!D50</f>
        <v>美观大方</v>
      </c>
      <c r="B139" s="340"/>
      <c r="C139" s="340" t="str">
        <f>'收益法（确定毛收益）'!E50</f>
        <v>差</v>
      </c>
      <c r="D139" s="340"/>
      <c r="E139" s="340" t="str">
        <f>'收益法（确定毛收益）'!F50</f>
        <v>美观大方</v>
      </c>
      <c r="F139" s="340"/>
      <c r="G139" s="340" t="str">
        <f>'收益法（确定毛收益）'!G50</f>
        <v>一般</v>
      </c>
    </row>
    <row r="140" spans="1:7">
      <c r="A140" s="340" t="str">
        <f>'收益法（确定毛收益）'!D51</f>
        <v>十成新</v>
      </c>
      <c r="B140" s="340"/>
      <c r="C140" s="340" t="str">
        <f>'收益法（确定毛收益）'!E51</f>
        <v>十成新</v>
      </c>
      <c r="D140" s="340"/>
      <c r="E140" s="340" t="str">
        <f>'收益法（确定毛收益）'!F51</f>
        <v>十成新</v>
      </c>
      <c r="F140" s="340"/>
      <c r="G140" s="340" t="str">
        <f>'收益法（确定毛收益）'!G51</f>
        <v>十成新</v>
      </c>
    </row>
    <row r="141" spans="1:7">
      <c r="A141" s="340" t="str">
        <f>'收益法（确定毛收益）'!D52</f>
        <v>优</v>
      </c>
      <c r="B141" s="340"/>
      <c r="C141" s="340" t="str">
        <f>'收益法（确定毛收益）'!E52</f>
        <v>优</v>
      </c>
      <c r="D141" s="340"/>
      <c r="E141" s="340" t="str">
        <f>'收益法（确定毛收益）'!F52</f>
        <v>优</v>
      </c>
      <c r="F141" s="340"/>
      <c r="G141" s="340" t="str">
        <f>'收益法（确定毛收益）'!G52</f>
        <v>优</v>
      </c>
    </row>
    <row r="142" spans="1:7">
      <c r="A142" s="340" t="str">
        <f>'收益法（确定毛收益）'!D53</f>
        <v>合理</v>
      </c>
      <c r="B142" s="340"/>
      <c r="C142" s="340" t="str">
        <f>'收益法（确定毛收益）'!E53</f>
        <v>合理</v>
      </c>
      <c r="D142" s="340"/>
      <c r="E142" s="340" t="str">
        <f>'收益法（确定毛收益）'!F53</f>
        <v>合理</v>
      </c>
      <c r="F142" s="340"/>
      <c r="G142" s="340" t="str">
        <f>'收益法（确定毛收益）'!G53</f>
        <v>合理</v>
      </c>
    </row>
    <row r="143" spans="1:7">
      <c r="A143" s="340" t="str">
        <f>'收益法（确定毛收益）'!D54</f>
        <v>毛坯</v>
      </c>
      <c r="B143" s="340"/>
      <c r="C143" s="340" t="str">
        <f>'收益法（确定毛收益）'!E54</f>
        <v>一般装潢</v>
      </c>
      <c r="D143" s="340"/>
      <c r="E143" s="340" t="str">
        <f>'收益法（确定毛收益）'!F54</f>
        <v>豪华装潢</v>
      </c>
      <c r="F143" s="340"/>
      <c r="G143" s="340" t="str">
        <f>'收益法（确定毛收益）'!G54</f>
        <v>一般装潢</v>
      </c>
    </row>
    <row r="144" spans="1:7">
      <c r="A144" s="340" t="str">
        <f>'收益法（确定毛收益）'!D55</f>
        <v>无设施设备</v>
      </c>
      <c r="B144" s="340"/>
      <c r="C144" s="340" t="str">
        <f>'收益法（确定毛收益）'!E55</f>
        <v>无设施设备</v>
      </c>
      <c r="D144" s="340"/>
      <c r="E144" s="340" t="str">
        <f>'收益法（确定毛收益）'!F55</f>
        <v>无设施设备</v>
      </c>
      <c r="F144" s="340"/>
      <c r="G144" s="340" t="str">
        <f>'收益法（确定毛收益）'!G55</f>
        <v>设施设备齐全</v>
      </c>
    </row>
    <row r="145" spans="1:8">
      <c r="A145" s="340" t="str">
        <f>'收益法（确定毛收益）'!D56</f>
        <v>2.8米至4.7米之间</v>
      </c>
      <c r="B145" s="340"/>
      <c r="C145" s="340" t="str">
        <f>'收益法（确定毛收益）'!E56</f>
        <v>5.5米以上</v>
      </c>
      <c r="D145" s="340"/>
      <c r="E145" s="340" t="str">
        <f>'收益法（确定毛收益）'!F56</f>
        <v>小于2.8米</v>
      </c>
      <c r="F145" s="340"/>
      <c r="G145" s="340" t="str">
        <f>'收益法（确定毛收益）'!G56</f>
        <v>4.7米至5.5米之间</v>
      </c>
    </row>
    <row r="146" spans="1:8">
      <c r="A146" s="340" t="str">
        <f>'收益法（确定毛收益）'!D57</f>
        <v>0.25-0.5</v>
      </c>
      <c r="B146" s="340"/>
      <c r="C146" s="340" t="str">
        <f>'收益法（确定毛收益）'!E57</f>
        <v>好</v>
      </c>
      <c r="D146" s="340"/>
      <c r="E146" s="340" t="str">
        <f>'收益法（确定毛收益）'!F57</f>
        <v>好</v>
      </c>
      <c r="F146" s="340"/>
      <c r="G146" s="340" t="str">
        <f>'收益法（确定毛收益）'!G57</f>
        <v>好</v>
      </c>
      <c r="H146" t="str">
        <f>'收益法（确定毛收益）'!C57</f>
        <v>物业管理</v>
      </c>
    </row>
    <row r="147" spans="1:8">
      <c r="A147" s="340" t="str">
        <f>'收益法（确定毛收益）'!D58</f>
        <v>按规划条件建设</v>
      </c>
      <c r="B147" s="340"/>
      <c r="C147" s="340" t="str">
        <f>'收益法（确定毛收益）'!E58</f>
        <v>按规划条件建设</v>
      </c>
      <c r="D147" s="340"/>
      <c r="E147" s="340" t="str">
        <f>'收益法（确定毛收益）'!F58</f>
        <v>按规划条件建设</v>
      </c>
      <c r="F147" s="340"/>
      <c r="G147" s="340" t="str">
        <f>'收益法（确定毛收益）'!G58</f>
        <v>按规划条件建设</v>
      </c>
    </row>
    <row r="148" spans="1:8">
      <c r="A148" s="340" t="str">
        <f>'收益法（确定毛收益）'!D59</f>
        <v>已登记，权属清晰</v>
      </c>
      <c r="B148" s="340"/>
      <c r="C148" s="340" t="str">
        <f>'收益法（确定毛收益）'!E59</f>
        <v>已登记，权属清晰</v>
      </c>
      <c r="D148" s="340"/>
      <c r="E148" s="340" t="str">
        <f>'收益法（确定毛收益）'!F59</f>
        <v>已登记，权属清晰</v>
      </c>
      <c r="F148" s="340"/>
      <c r="G148" s="340" t="str">
        <f>'收益法（确定毛收益）'!G59</f>
        <v>已登记，权属清晰</v>
      </c>
    </row>
    <row r="149" spans="1:8">
      <c r="A149" s="340" t="str">
        <f>'收益法（确定毛收益）'!D60</f>
        <v>国有出让</v>
      </c>
      <c r="B149" s="340"/>
      <c r="C149" s="340" t="str">
        <f>'收益法（确定毛收益）'!E60</f>
        <v>国有划拨</v>
      </c>
      <c r="D149" s="340"/>
      <c r="E149" s="340" t="str">
        <f>'收益法（确定毛收益）'!F60</f>
        <v>国有出让</v>
      </c>
      <c r="F149" s="340"/>
      <c r="G149" s="340" t="str">
        <f>'收益法（确定毛收益）'!G60</f>
        <v>国有出让</v>
      </c>
    </row>
    <row r="150" spans="1:8">
      <c r="A150" s="340" t="str">
        <f>'收益法（确定毛收益）'!D61</f>
        <v>？年</v>
      </c>
      <c r="B150" s="340"/>
      <c r="C150" s="340" t="str">
        <f>'收益法（确定毛收益）'!E61</f>
        <v>与估价对象相近</v>
      </c>
      <c r="D150" s="340"/>
      <c r="E150" s="340" t="str">
        <f>'收益法（确定毛收益）'!F61</f>
        <v>与估价对象相近</v>
      </c>
      <c r="F150" s="340"/>
      <c r="G150" s="340" t="str">
        <f>'收益法（确定毛收益）'!G61</f>
        <v>与估价对象相近</v>
      </c>
    </row>
    <row r="151" spans="1:8">
      <c r="A151" s="340" t="str">
        <f>'收益法（确定毛收益）'!D62</f>
        <v>无其他共有权人</v>
      </c>
      <c r="B151" s="340"/>
      <c r="C151" s="340" t="str">
        <f>'收益法（确定毛收益）'!E62</f>
        <v>无其他共有权人</v>
      </c>
      <c r="D151" s="340"/>
      <c r="E151" s="340" t="str">
        <f>'收益法（确定毛收益）'!F62</f>
        <v>无其他共有权人</v>
      </c>
      <c r="F151" s="340"/>
      <c r="G151" s="340" t="str">
        <f>'收益法（确定毛收益）'!G62</f>
        <v>有三个及以上共有权人</v>
      </c>
    </row>
    <row r="152" spans="1:8">
      <c r="A152" s="340" t="str">
        <f>'收益法（确定毛收益）'!D63</f>
        <v>无用益物权</v>
      </c>
      <c r="B152" s="340"/>
      <c r="C152" s="340" t="str">
        <f>'收益法（确定毛收益）'!E63</f>
        <v>无用益物权</v>
      </c>
      <c r="D152" s="340"/>
      <c r="E152" s="340" t="str">
        <f>'收益法（确定毛收益）'!F63</f>
        <v>无用益物权</v>
      </c>
      <c r="F152" s="340"/>
      <c r="G152" s="340" t="str">
        <f>'收益法（确定毛收益）'!G63</f>
        <v>无用益物权</v>
      </c>
    </row>
    <row r="153" spans="1:8">
      <c r="A153" s="340" t="str">
        <f>'收益法（确定毛收益）'!D64</f>
        <v>无担保物权</v>
      </c>
      <c r="B153" s="340"/>
      <c r="C153" s="340" t="str">
        <f>'收益法（确定毛收益）'!E64</f>
        <v>无担保物权</v>
      </c>
      <c r="D153" s="340"/>
      <c r="E153" s="340" t="str">
        <f>'收益法（确定毛收益）'!F64</f>
        <v>无担保物权</v>
      </c>
      <c r="F153" s="340"/>
      <c r="G153" s="340" t="str">
        <f>'收益法（确定毛收益）'!G64</f>
        <v>无担保物权</v>
      </c>
    </row>
    <row r="154" spans="1:8">
      <c r="A154" s="340" t="str">
        <f>'收益法（确定毛收益）'!D65</f>
        <v>无租赁或短期租赁、正常租金</v>
      </c>
      <c r="B154" s="340"/>
      <c r="C154" s="340" t="str">
        <f>'收益法（确定毛收益）'!E65</f>
        <v>无租赁或短期租赁、正常租金</v>
      </c>
      <c r="D154" s="340"/>
      <c r="E154" s="340" t="str">
        <f>'收益法（确定毛收益）'!F65</f>
        <v>无租赁或短期租赁、正常租金</v>
      </c>
      <c r="F154" s="340"/>
      <c r="G154" s="340" t="str">
        <f>'收益法（确定毛收益）'!G65</f>
        <v>长期租赁、租金偏低</v>
      </c>
    </row>
    <row r="155" spans="1:8">
      <c r="A155" s="340" t="str">
        <f>'收益法（确定毛收益）'!D66</f>
        <v>不拖欠税费</v>
      </c>
      <c r="B155" s="340"/>
      <c r="C155" s="340" t="str">
        <f>'收益法（确定毛收益）'!E66</f>
        <v>不拖欠税费</v>
      </c>
      <c r="D155" s="340"/>
      <c r="E155" s="340" t="str">
        <f>'收益法（确定毛收益）'!F66</f>
        <v>不拖欠税费</v>
      </c>
      <c r="F155" s="340"/>
      <c r="G155" s="340" t="str">
        <f>'收益法（确定毛收益）'!G66</f>
        <v>不拖欠税费</v>
      </c>
    </row>
    <row r="156" spans="1:8">
      <c r="A156" s="340" t="str">
        <f>'收益法（确定毛收益）'!D67</f>
        <v>无查封</v>
      </c>
      <c r="B156" s="340"/>
      <c r="C156" s="340" t="str">
        <f>'收益法（确定毛收益）'!E67</f>
        <v>有查封</v>
      </c>
      <c r="D156" s="340"/>
      <c r="E156" s="340" t="str">
        <f>'收益法（确定毛收益）'!F67</f>
        <v>无查封</v>
      </c>
      <c r="F156" s="340"/>
      <c r="G156" s="340" t="str">
        <f>'收益法（确定毛收益）'!G67</f>
        <v>无查封</v>
      </c>
    </row>
    <row r="157" spans="1:8">
      <c r="A157" s="375">
        <f>'收益法（确定毛收益）'!L13</f>
        <v>42908</v>
      </c>
      <c r="B157" s="375">
        <f>'收益法（确定毛收益）'!M13</f>
        <v>42855</v>
      </c>
      <c r="C157" s="375">
        <f>'收益法（确定毛收益）'!N13</f>
        <v>42870</v>
      </c>
      <c r="D157" s="375">
        <f>'收益法（确定毛收益）'!O13</f>
        <v>42864</v>
      </c>
      <c r="E157" s="598">
        <f>'基础数据(房地产)'!E15</f>
        <v>6.1108829568788501</v>
      </c>
      <c r="F157" s="600">
        <f>'基础数据(房地产)'!F15</f>
        <v>60</v>
      </c>
    </row>
    <row r="158" spans="1:8">
      <c r="A158" s="341">
        <f>'收益法（确定毛收益）'!L14</f>
        <v>130.28</v>
      </c>
      <c r="B158" s="341">
        <f>'收益法（确定毛收益）'!M14</f>
        <v>130.28</v>
      </c>
      <c r="C158" s="341">
        <f>'收益法（确定毛收益）'!N14</f>
        <v>130.28</v>
      </c>
      <c r="D158" s="341">
        <f>'收益法（确定毛收益）'!O14</f>
        <v>130.28</v>
      </c>
      <c r="E158" t="str">
        <f>'基础数据(房地产)'!D11</f>
        <v>2011-10-1</v>
      </c>
      <c r="F158" s="601">
        <f>'基础数据(房地产)'!G15</f>
        <v>53.889117043121146</v>
      </c>
    </row>
    <row r="159" spans="1:8">
      <c r="A159" s="340" t="str">
        <f>'收益法（确定毛收益）'!L34</f>
        <v>待估</v>
      </c>
      <c r="B159" s="342">
        <f>'收益法（确定毛收益）'!M34</f>
        <v>1022</v>
      </c>
      <c r="C159" s="342">
        <f>'收益法（确定毛收益）'!N34</f>
        <v>1125</v>
      </c>
      <c r="D159" s="342">
        <f>'收益法（确定毛收益）'!O34</f>
        <v>1085</v>
      </c>
      <c r="F159" s="339">
        <f>收益法测算终值!F24</f>
        <v>34.24</v>
      </c>
    </row>
    <row r="160" spans="1:8">
      <c r="A160" s="376">
        <f>'收益法（确定毛收益）'!L35</f>
        <v>100</v>
      </c>
      <c r="B160" s="342">
        <f>'收益法（确定毛收益）'!M35</f>
        <v>100</v>
      </c>
      <c r="C160" s="342">
        <f>'收益法（确定毛收益）'!N35</f>
        <v>100</v>
      </c>
      <c r="D160" s="342">
        <f>'收益法（确定毛收益）'!O35</f>
        <v>100</v>
      </c>
      <c r="E160" s="340" t="str">
        <f>'收益法（确定毛收益）'!D82</f>
        <v>100/100</v>
      </c>
      <c r="F160" s="340" t="str">
        <f>'收益法（确定毛收益）'!E82</f>
        <v>100/100</v>
      </c>
      <c r="G160" s="340" t="str">
        <f>'收益法（确定毛收益）'!F82</f>
        <v>100/100</v>
      </c>
    </row>
    <row r="161" spans="1:7">
      <c r="A161" s="341">
        <f>'收益法（确定毛收益）'!L36</f>
        <v>130.28</v>
      </c>
      <c r="B161" s="341">
        <f>'收益法（确定毛收益）'!M36</f>
        <v>130.28</v>
      </c>
      <c r="C161" s="341">
        <f>'收益法（确定毛收益）'!N36</f>
        <v>130.28</v>
      </c>
      <c r="D161" s="341">
        <f>'收益法（确定毛收益）'!O36</f>
        <v>130.28</v>
      </c>
      <c r="E161" s="340" t="str">
        <f>'收益法（确定毛收益）'!D83</f>
        <v>130.28/130.28</v>
      </c>
      <c r="F161" s="340" t="str">
        <f>'收益法（确定毛收益）'!E83</f>
        <v>130.28/130.28</v>
      </c>
      <c r="G161" s="340" t="str">
        <f>'收益法（确定毛收益）'!F83</f>
        <v>130.28/130.28</v>
      </c>
    </row>
    <row r="162" spans="1:7">
      <c r="A162" s="376">
        <f>'收益法（确定毛收益）'!L37</f>
        <v>106</v>
      </c>
      <c r="B162" s="342">
        <f>'收益法（确定毛收益）'!M37</f>
        <v>106</v>
      </c>
      <c r="C162" s="342">
        <f>'收益法（确定毛收益）'!N37</f>
        <v>106</v>
      </c>
      <c r="D162" s="342">
        <f>'收益法（确定毛收益）'!O37</f>
        <v>106</v>
      </c>
      <c r="E162" s="340" t="str">
        <f>'收益法（确定毛收益）'!D84</f>
        <v>106/106</v>
      </c>
      <c r="F162" s="340" t="str">
        <f>'收益法（确定毛收益）'!E84</f>
        <v>106/106</v>
      </c>
      <c r="G162" s="340" t="str">
        <f>'收益法（确定毛收益）'!F84</f>
        <v>106/106</v>
      </c>
    </row>
    <row r="163" spans="1:7">
      <c r="A163" s="376">
        <f>'收益法（确定毛收益）'!L38</f>
        <v>102</v>
      </c>
      <c r="B163" s="342">
        <f>'收益法（确定毛收益）'!M38</f>
        <v>102</v>
      </c>
      <c r="C163" s="342">
        <f>'收益法（确定毛收益）'!N38</f>
        <v>102</v>
      </c>
      <c r="D163" s="342">
        <f>'收益法（确定毛收益）'!O38</f>
        <v>102</v>
      </c>
      <c r="E163" s="340" t="str">
        <f>'收益法（确定毛收益）'!D85</f>
        <v>102/102</v>
      </c>
      <c r="F163" s="340" t="str">
        <f>'收益法（确定毛收益）'!E85</f>
        <v>102/102</v>
      </c>
      <c r="G163" s="340" t="str">
        <f>'收益法（确定毛收益）'!F85</f>
        <v>102/102</v>
      </c>
    </row>
    <row r="164" spans="1:7">
      <c r="A164" s="376">
        <f>'收益法（确定毛收益）'!L39</f>
        <v>100</v>
      </c>
      <c r="B164" s="342">
        <f>'收益法（确定毛收益）'!M39</f>
        <v>100</v>
      </c>
      <c r="C164" s="342">
        <f>'收益法（确定毛收益）'!N39</f>
        <v>100</v>
      </c>
      <c r="D164" s="342">
        <f>'收益法（确定毛收益）'!O39</f>
        <v>94</v>
      </c>
      <c r="E164" s="340" t="str">
        <f>'收益法（确定毛收益）'!D86</f>
        <v>100/100</v>
      </c>
      <c r="F164" s="340" t="str">
        <f>'收益法（确定毛收益）'!E86</f>
        <v>100/100</v>
      </c>
      <c r="G164" s="340" t="str">
        <f>'收益法（确定毛收益）'!F86</f>
        <v>100/94</v>
      </c>
    </row>
    <row r="165" spans="1:7">
      <c r="A165" s="376">
        <f>'收益法（确定毛收益）'!L40</f>
        <v>100</v>
      </c>
      <c r="B165" s="342">
        <f>'收益法（确定毛收益）'!M40</f>
        <v>100</v>
      </c>
      <c r="C165" s="342">
        <f>'收益法（确定毛收益）'!N40</f>
        <v>100</v>
      </c>
      <c r="D165" s="342">
        <f>'收益法（确定毛收益）'!O40</f>
        <v>98</v>
      </c>
      <c r="E165" s="340" t="str">
        <f>'收益法（确定毛收益）'!D87</f>
        <v>100/100</v>
      </c>
      <c r="F165" s="340" t="str">
        <f>'收益法（确定毛收益）'!E87</f>
        <v>100/100</v>
      </c>
      <c r="G165" s="340" t="str">
        <f>'收益法（确定毛收益）'!F87</f>
        <v>100/98</v>
      </c>
    </row>
    <row r="166" spans="1:7">
      <c r="A166" s="376">
        <f>'收益法（确定毛收益）'!L41</f>
        <v>101</v>
      </c>
      <c r="B166" s="342">
        <f>'收益法（确定毛收益）'!M41</f>
        <v>101</v>
      </c>
      <c r="C166" s="342">
        <f>'收益法（确定毛收益）'!N41</f>
        <v>101</v>
      </c>
      <c r="D166" s="342">
        <f>'收益法（确定毛收益）'!O41</f>
        <v>100</v>
      </c>
      <c r="E166" s="340" t="str">
        <f>'收益法（确定毛收益）'!D88</f>
        <v>101/101</v>
      </c>
      <c r="F166" s="340" t="str">
        <f>'收益法（确定毛收益）'!E88</f>
        <v>101/101</v>
      </c>
      <c r="G166" s="340" t="str">
        <f>'收益法（确定毛收益）'!F88</f>
        <v>101/100</v>
      </c>
    </row>
    <row r="167" spans="1:7">
      <c r="A167" s="376">
        <f>'收益法（确定毛收益）'!L42</f>
        <v>101</v>
      </c>
      <c r="B167" s="342">
        <f>'收益法（确定毛收益）'!M42</f>
        <v>101</v>
      </c>
      <c r="C167" s="342">
        <f>'收益法（确定毛收益）'!N42</f>
        <v>101</v>
      </c>
      <c r="D167" s="342">
        <f>'收益法（确定毛收益）'!O42</f>
        <v>101</v>
      </c>
      <c r="E167" s="340" t="str">
        <f>'收益法（确定毛收益）'!D89</f>
        <v>101/101</v>
      </c>
      <c r="F167" s="340" t="str">
        <f>'收益法（确定毛收益）'!E89</f>
        <v>101/101</v>
      </c>
      <c r="G167" s="340" t="str">
        <f>'收益法（确定毛收益）'!F89</f>
        <v>101/101</v>
      </c>
    </row>
    <row r="168" spans="1:7">
      <c r="A168" s="376">
        <f>'收益法（确定毛收益）'!L43</f>
        <v>102</v>
      </c>
      <c r="B168" s="342">
        <f>'收益法（确定毛收益）'!M43</f>
        <v>102</v>
      </c>
      <c r="C168" s="342">
        <f>'收益法（确定毛收益）'!N43</f>
        <v>102</v>
      </c>
      <c r="D168" s="342">
        <f>'收益法（确定毛收益）'!O43</f>
        <v>102</v>
      </c>
      <c r="E168" s="340" t="str">
        <f>'收益法（确定毛收益）'!D90</f>
        <v>102/102</v>
      </c>
      <c r="F168" s="340" t="str">
        <f>'收益法（确定毛收益）'!E90</f>
        <v>102/102</v>
      </c>
      <c r="G168" s="340" t="str">
        <f>'收益法（确定毛收益）'!F90</f>
        <v>102/102</v>
      </c>
    </row>
    <row r="169" spans="1:7">
      <c r="A169" s="376">
        <f>'收益法（确定毛收益）'!L44</f>
        <v>103</v>
      </c>
      <c r="B169" s="342">
        <f>'收益法（确定毛收益）'!M44</f>
        <v>103</v>
      </c>
      <c r="C169" s="342">
        <f>'收益法（确定毛收益）'!N44</f>
        <v>103</v>
      </c>
      <c r="D169" s="342">
        <f>'收益法（确定毛收益）'!O44</f>
        <v>103</v>
      </c>
      <c r="E169" s="340" t="str">
        <f>'收益法（确定毛收益）'!D91</f>
        <v>103/103</v>
      </c>
      <c r="F169" s="340" t="str">
        <f>'收益法（确定毛收益）'!E91</f>
        <v>103/103</v>
      </c>
      <c r="G169" s="340" t="str">
        <f>'收益法（确定毛收益）'!F91</f>
        <v>103/103</v>
      </c>
    </row>
    <row r="170" spans="1:7">
      <c r="A170" s="376">
        <f>'收益法（确定毛收益）'!L45</f>
        <v>100</v>
      </c>
      <c r="B170" s="342">
        <f>'收益法（确定毛收益）'!M45</f>
        <v>100</v>
      </c>
      <c r="C170" s="342">
        <f>'收益法（确定毛收益）'!N45</f>
        <v>100</v>
      </c>
      <c r="D170" s="342">
        <f>'收益法（确定毛收益）'!O45</f>
        <v>100</v>
      </c>
      <c r="E170" s="340" t="str">
        <f>'收益法（确定毛收益）'!D92</f>
        <v>100/100</v>
      </c>
      <c r="F170" s="340" t="str">
        <f>'收益法（确定毛收益）'!E92</f>
        <v>100/100</v>
      </c>
      <c r="G170" s="340" t="str">
        <f>'收益法（确定毛收益）'!F92</f>
        <v>100/100</v>
      </c>
    </row>
    <row r="171" spans="1:7">
      <c r="A171" s="376">
        <f>'收益法（确定毛收益）'!L46</f>
        <v>103</v>
      </c>
      <c r="B171" s="342">
        <f>'收益法（确定毛收益）'!M46</f>
        <v>104</v>
      </c>
      <c r="C171" s="342">
        <f>'收益法（确定毛收益）'!N46</f>
        <v>104</v>
      </c>
      <c r="D171" s="342">
        <f>'收益法（确定毛收益）'!O46</f>
        <v>104</v>
      </c>
      <c r="E171" s="340" t="str">
        <f>'收益法（确定毛收益）'!D93</f>
        <v>103/104</v>
      </c>
      <c r="F171" s="340" t="str">
        <f>'收益法（确定毛收益）'!E93</f>
        <v>103/104</v>
      </c>
      <c r="G171" s="340" t="str">
        <f>'收益法（确定毛收益）'!F93</f>
        <v>103/104</v>
      </c>
    </row>
    <row r="172" spans="1:7">
      <c r="A172" s="376">
        <f>'收益法（确定毛收益）'!L47</f>
        <v>100</v>
      </c>
      <c r="B172" s="342">
        <f>'收益法（确定毛收益）'!M47</f>
        <v>102</v>
      </c>
      <c r="C172" s="342">
        <f>'收益法（确定毛收益）'!N47</f>
        <v>104</v>
      </c>
      <c r="D172" s="342">
        <f>'收益法（确定毛收益）'!O47</f>
        <v>98</v>
      </c>
      <c r="E172" s="340" t="str">
        <f>'收益法（确定毛收益）'!D94</f>
        <v>100/102</v>
      </c>
      <c r="F172" s="340" t="str">
        <f>'收益法（确定毛收益）'!E94</f>
        <v>100/104</v>
      </c>
      <c r="G172" s="340" t="str">
        <f>'收益法（确定毛收益）'!F94</f>
        <v>100/98</v>
      </c>
    </row>
    <row r="173" spans="1:7">
      <c r="A173" s="376">
        <f>'收益法（确定毛收益）'!L48</f>
        <v>101</v>
      </c>
      <c r="B173" s="342">
        <f>'收益法（确定毛收益）'!M48</f>
        <v>101</v>
      </c>
      <c r="C173" s="342">
        <f>'收益法（确定毛收益）'!N48</f>
        <v>101</v>
      </c>
      <c r="D173" s="342">
        <f>'收益法（确定毛收益）'!O48</f>
        <v>101</v>
      </c>
      <c r="E173" s="340" t="str">
        <f>'收益法（确定毛收益）'!D95</f>
        <v>101/101</v>
      </c>
      <c r="F173" s="340" t="str">
        <f>'收益法（确定毛收益）'!E95</f>
        <v>101/101</v>
      </c>
      <c r="G173" s="340" t="str">
        <f>'收益法（确定毛收益）'!F95</f>
        <v>101/101</v>
      </c>
    </row>
    <row r="174" spans="1:7">
      <c r="A174" s="376">
        <f>'收益法（确定毛收益）'!L49</f>
        <v>100</v>
      </c>
      <c r="B174" s="342">
        <f>'收益法（确定毛收益）'!M49</f>
        <v>94</v>
      </c>
      <c r="C174" s="342">
        <f>'收益法（确定毛收益）'!N49</f>
        <v>100</v>
      </c>
      <c r="D174" s="342">
        <f>'收益法（确定毛收益）'!O49</f>
        <v>100</v>
      </c>
      <c r="E174" s="340" t="str">
        <f>'收益法（确定毛收益）'!D96</f>
        <v>100/94</v>
      </c>
      <c r="F174" s="340" t="str">
        <f>'收益法（确定毛收益）'!E96</f>
        <v>100/100</v>
      </c>
      <c r="G174" s="340" t="str">
        <f>'收益法（确定毛收益）'!F96</f>
        <v>100/100</v>
      </c>
    </row>
    <row r="175" spans="1:7">
      <c r="A175" s="376">
        <f>'收益法（确定毛收益）'!L50</f>
        <v>101</v>
      </c>
      <c r="B175" s="342">
        <f>'收益法（确定毛收益）'!M50</f>
        <v>99</v>
      </c>
      <c r="C175" s="342">
        <f>'收益法（确定毛收益）'!N50</f>
        <v>101</v>
      </c>
      <c r="D175" s="342">
        <f>'收益法（确定毛收益）'!O50</f>
        <v>100</v>
      </c>
      <c r="E175" s="340" t="str">
        <f>'收益法（确定毛收益）'!D97</f>
        <v>101/99</v>
      </c>
      <c r="F175" s="340" t="str">
        <f>'收益法（确定毛收益）'!E97</f>
        <v>101/101</v>
      </c>
      <c r="G175" s="340" t="str">
        <f>'收益法（确定毛收益）'!F97</f>
        <v>101/100</v>
      </c>
    </row>
    <row r="176" spans="1:7">
      <c r="A176" s="376">
        <f>'收益法（确定毛收益）'!L51</f>
        <v>100</v>
      </c>
      <c r="B176" s="342">
        <f>'收益法（确定毛收益）'!M51</f>
        <v>100</v>
      </c>
      <c r="C176" s="342">
        <f>'收益法（确定毛收益）'!N51</f>
        <v>100</v>
      </c>
      <c r="D176" s="342">
        <f>'收益法（确定毛收益）'!O51</f>
        <v>100</v>
      </c>
      <c r="E176" s="340" t="str">
        <f>'收益法（确定毛收益）'!D98</f>
        <v>100/100</v>
      </c>
      <c r="F176" s="340" t="str">
        <f>'收益法（确定毛收益）'!E98</f>
        <v>100/100</v>
      </c>
      <c r="G176" s="340" t="str">
        <f>'收益法（确定毛收益）'!F98</f>
        <v>100/100</v>
      </c>
    </row>
    <row r="177" spans="1:7">
      <c r="A177" s="376">
        <f>'收益法（确定毛收益）'!L52</f>
        <v>101</v>
      </c>
      <c r="B177" s="342">
        <f>'收益法（确定毛收益）'!M52</f>
        <v>101</v>
      </c>
      <c r="C177" s="342">
        <f>'收益法（确定毛收益）'!N52</f>
        <v>101</v>
      </c>
      <c r="D177" s="342">
        <f>'收益法（确定毛收益）'!O52</f>
        <v>101</v>
      </c>
      <c r="E177" s="340" t="str">
        <f>'收益法（确定毛收益）'!D99</f>
        <v>101/101</v>
      </c>
      <c r="F177" s="340" t="str">
        <f>'收益法（确定毛收益）'!E99</f>
        <v>101/101</v>
      </c>
      <c r="G177" s="340" t="str">
        <f>'收益法（确定毛收益）'!F99</f>
        <v>101/101</v>
      </c>
    </row>
    <row r="178" spans="1:7">
      <c r="A178" s="376">
        <f>'收益法（确定毛收益）'!L53</f>
        <v>101</v>
      </c>
      <c r="B178" s="342">
        <f>'收益法（确定毛收益）'!M53</f>
        <v>101</v>
      </c>
      <c r="C178" s="342">
        <f>'收益法（确定毛收益）'!N53</f>
        <v>101</v>
      </c>
      <c r="D178" s="342">
        <f>'收益法（确定毛收益）'!O53</f>
        <v>101</v>
      </c>
      <c r="E178" s="340" t="str">
        <f>'收益法（确定毛收益）'!D100</f>
        <v>101/101</v>
      </c>
      <c r="F178" s="340" t="str">
        <f>'收益法（确定毛收益）'!E100</f>
        <v>101/101</v>
      </c>
      <c r="G178" s="340" t="str">
        <f>'收益法（确定毛收益）'!F100</f>
        <v>101/101</v>
      </c>
    </row>
    <row r="179" spans="1:7">
      <c r="A179" s="376">
        <f>'收益法（确定毛收益）'!L54</f>
        <v>98</v>
      </c>
      <c r="B179" s="342">
        <f>'收益法（确定毛收益）'!M54</f>
        <v>100</v>
      </c>
      <c r="C179" s="342">
        <f>'收益法（确定毛收益）'!N54</f>
        <v>101</v>
      </c>
      <c r="D179" s="342">
        <f>'收益法（确定毛收益）'!O54</f>
        <v>100</v>
      </c>
      <c r="E179" s="340" t="str">
        <f>'收益法（确定毛收益）'!D101</f>
        <v>98/100</v>
      </c>
      <c r="F179" s="340" t="str">
        <f>'收益法（确定毛收益）'!E101</f>
        <v>98/101</v>
      </c>
      <c r="G179" s="340" t="str">
        <f>'收益法（确定毛收益）'!F101</f>
        <v>98/100</v>
      </c>
    </row>
    <row r="180" spans="1:7">
      <c r="A180" s="376">
        <f>'收益法（确定毛收益）'!L55</f>
        <v>99</v>
      </c>
      <c r="B180" s="342">
        <f>'收益法（确定毛收益）'!M55</f>
        <v>99</v>
      </c>
      <c r="C180" s="342">
        <f>'收益法（确定毛收益）'!N55</f>
        <v>99</v>
      </c>
      <c r="D180" s="342">
        <f>'收益法（确定毛收益）'!O55</f>
        <v>101</v>
      </c>
      <c r="E180" s="340" t="str">
        <f>'收益法（确定毛收益）'!D102</f>
        <v>99/99</v>
      </c>
      <c r="F180" s="340" t="str">
        <f>'收益法（确定毛收益）'!E102</f>
        <v>99/99</v>
      </c>
      <c r="G180" s="340" t="str">
        <f>'收益法（确定毛收益）'!F102</f>
        <v>99/101</v>
      </c>
    </row>
    <row r="181" spans="1:7">
      <c r="A181" s="376">
        <f>'收益法（确定毛收益）'!L56</f>
        <v>100</v>
      </c>
      <c r="B181" s="342">
        <f>'收益法（确定毛收益）'!M56</f>
        <v>106</v>
      </c>
      <c r="C181" s="342">
        <f>'收益法（确定毛收益）'!N56</f>
        <v>97</v>
      </c>
      <c r="D181" s="342">
        <f>'收益法（确定毛收益）'!O56</f>
        <v>103</v>
      </c>
      <c r="E181" s="340" t="str">
        <f>'收益法（确定毛收益）'!D103</f>
        <v>100/106</v>
      </c>
      <c r="F181" s="340" t="str">
        <f>'收益法（确定毛收益）'!E103</f>
        <v>100/97</v>
      </c>
      <c r="G181" s="340" t="str">
        <f>'收益法（确定毛收益）'!F103</f>
        <v>100/103</v>
      </c>
    </row>
    <row r="182" spans="1:7">
      <c r="A182" s="376">
        <f>'收益法（确定毛收益）'!L57</f>
        <v>100</v>
      </c>
      <c r="B182" s="342">
        <f>'收益法（确定毛收益）'!M57</f>
        <v>104</v>
      </c>
      <c r="C182" s="342">
        <f>'收益法（确定毛收益）'!N57</f>
        <v>104</v>
      </c>
      <c r="D182" s="342">
        <f>'收益法（确定毛收益）'!O57</f>
        <v>104</v>
      </c>
      <c r="E182" s="340" t="str">
        <f>'收益法（确定毛收益）'!D104</f>
        <v>100/104</v>
      </c>
      <c r="F182" s="340" t="str">
        <f>'收益法（确定毛收益）'!E104</f>
        <v>100/104</v>
      </c>
      <c r="G182" s="340" t="str">
        <f>'收益法（确定毛收益）'!F104</f>
        <v>100/104</v>
      </c>
    </row>
    <row r="183" spans="1:7">
      <c r="A183" s="376">
        <f>'收益法（确定毛收益）'!L58</f>
        <v>100</v>
      </c>
      <c r="B183" s="342">
        <f>'收益法（确定毛收益）'!M58</f>
        <v>100</v>
      </c>
      <c r="C183" s="342">
        <f>'收益法（确定毛收益）'!N58</f>
        <v>100</v>
      </c>
      <c r="D183" s="342">
        <f>'收益法（确定毛收益）'!O58</f>
        <v>100</v>
      </c>
      <c r="E183" s="340" t="str">
        <f>'收益法（确定毛收益）'!D105</f>
        <v>100/100</v>
      </c>
      <c r="F183" s="340" t="str">
        <f>'收益法（确定毛收益）'!E105</f>
        <v>100/100</v>
      </c>
      <c r="G183" s="340" t="str">
        <f>'收益法（确定毛收益）'!F105</f>
        <v>100/100</v>
      </c>
    </row>
    <row r="184" spans="1:7">
      <c r="A184" s="376">
        <f>'收益法（确定毛收益）'!L59</f>
        <v>100</v>
      </c>
      <c r="B184" s="342">
        <f>'收益法（确定毛收益）'!M59</f>
        <v>100</v>
      </c>
      <c r="C184" s="342">
        <f>'收益法（确定毛收益）'!N59</f>
        <v>100</v>
      </c>
      <c r="D184" s="342">
        <f>'收益法（确定毛收益）'!O59</f>
        <v>100</v>
      </c>
      <c r="E184" s="340" t="str">
        <f>'收益法（确定毛收益）'!D106</f>
        <v>100/100</v>
      </c>
      <c r="F184" s="340" t="str">
        <f>'收益法（确定毛收益）'!E106</f>
        <v>100/100</v>
      </c>
      <c r="G184" s="340" t="str">
        <f>'收益法（确定毛收益）'!F106</f>
        <v>100/100</v>
      </c>
    </row>
    <row r="185" spans="1:7">
      <c r="A185" s="376">
        <f>'收益法（确定毛收益）'!L60</f>
        <v>100</v>
      </c>
      <c r="B185" s="342">
        <f>'收益法（确定毛收益）'!M60</f>
        <v>97</v>
      </c>
      <c r="C185" s="342">
        <f>'收益法（确定毛收益）'!N60</f>
        <v>100</v>
      </c>
      <c r="D185" s="342">
        <f>'收益法（确定毛收益）'!O60</f>
        <v>100</v>
      </c>
      <c r="E185" s="340" t="str">
        <f>'收益法（确定毛收益）'!D107</f>
        <v>100/97</v>
      </c>
      <c r="F185" s="340" t="str">
        <f>'收益法（确定毛收益）'!E107</f>
        <v>100/100</v>
      </c>
      <c r="G185" s="340" t="str">
        <f>'收益法（确定毛收益）'!F107</f>
        <v>100/100</v>
      </c>
    </row>
    <row r="186" spans="1:7">
      <c r="A186" s="376">
        <f>'收益法（确定毛收益）'!L61</f>
        <v>100</v>
      </c>
      <c r="B186" s="342">
        <f>'收益法（确定毛收益）'!M61</f>
        <v>100</v>
      </c>
      <c r="C186" s="342">
        <f>'收益法（确定毛收益）'!N61</f>
        <v>100</v>
      </c>
      <c r="D186" s="342">
        <f>'收益法（确定毛收益）'!O61</f>
        <v>100</v>
      </c>
      <c r="E186" s="340" t="str">
        <f>'收益法（确定毛收益）'!D108</f>
        <v>100/100</v>
      </c>
      <c r="F186" s="340" t="str">
        <f>'收益法（确定毛收益）'!E108</f>
        <v>100/100</v>
      </c>
      <c r="G186" s="340" t="str">
        <f>'收益法（确定毛收益）'!F108</f>
        <v>100/100</v>
      </c>
    </row>
    <row r="187" spans="1:7">
      <c r="A187" s="376">
        <f>'收益法（确定毛收益）'!L62</f>
        <v>100</v>
      </c>
      <c r="B187" s="342">
        <f>'收益法（确定毛收益）'!M62</f>
        <v>100</v>
      </c>
      <c r="C187" s="342">
        <f>'收益法（确定毛收益）'!N62</f>
        <v>100</v>
      </c>
      <c r="D187" s="342">
        <f>'收益法（确定毛收益）'!O62</f>
        <v>99</v>
      </c>
      <c r="E187" s="340" t="str">
        <f>'收益法（确定毛收益）'!D109</f>
        <v>100/100</v>
      </c>
      <c r="F187" s="340" t="str">
        <f>'收益法（确定毛收益）'!E109</f>
        <v>100/100</v>
      </c>
      <c r="G187" s="340" t="str">
        <f>'收益法（确定毛收益）'!F109</f>
        <v>100/99</v>
      </c>
    </row>
    <row r="188" spans="1:7">
      <c r="A188" s="376">
        <f>'收益法（确定毛收益）'!L63</f>
        <v>100</v>
      </c>
      <c r="B188" s="342">
        <f>'收益法（确定毛收益）'!M63</f>
        <v>100</v>
      </c>
      <c r="C188" s="342">
        <f>'收益法（确定毛收益）'!N63</f>
        <v>100</v>
      </c>
      <c r="D188" s="342">
        <f>'收益法（确定毛收益）'!O63</f>
        <v>100</v>
      </c>
      <c r="E188" s="340" t="str">
        <f>'收益法（确定毛收益）'!D110</f>
        <v>100/100</v>
      </c>
      <c r="F188" s="340" t="str">
        <f>'收益法（确定毛收益）'!E110</f>
        <v>100/100</v>
      </c>
      <c r="G188" s="340" t="str">
        <f>'收益法（确定毛收益）'!F110</f>
        <v>100/100</v>
      </c>
    </row>
    <row r="189" spans="1:7">
      <c r="A189" s="376">
        <f>'收益法（确定毛收益）'!L64</f>
        <v>100</v>
      </c>
      <c r="B189" s="342">
        <f>'收益法（确定毛收益）'!M64</f>
        <v>100</v>
      </c>
      <c r="C189" s="342">
        <f>'收益法（确定毛收益）'!N64</f>
        <v>100</v>
      </c>
      <c r="D189" s="342">
        <f>'收益法（确定毛收益）'!O64</f>
        <v>100</v>
      </c>
      <c r="E189" s="340" t="str">
        <f>'收益法（确定毛收益）'!D111</f>
        <v>100/100</v>
      </c>
      <c r="F189" s="340" t="str">
        <f>'收益法（确定毛收益）'!E111</f>
        <v>100/100</v>
      </c>
      <c r="G189" s="340" t="str">
        <f>'收益法（确定毛收益）'!F111</f>
        <v>100/100</v>
      </c>
    </row>
    <row r="190" spans="1:7">
      <c r="A190" s="376">
        <f>'收益法（确定毛收益）'!L65</f>
        <v>100</v>
      </c>
      <c r="B190" s="342">
        <f>'收益法（确定毛收益）'!M65</f>
        <v>100</v>
      </c>
      <c r="C190" s="342">
        <f>'收益法（确定毛收益）'!N65</f>
        <v>100</v>
      </c>
      <c r="D190" s="342">
        <f>'收益法（确定毛收益）'!O65</f>
        <v>97</v>
      </c>
      <c r="E190" s="340" t="str">
        <f>'收益法（确定毛收益）'!D112</f>
        <v>100/100</v>
      </c>
      <c r="F190" s="340" t="str">
        <f>'收益法（确定毛收益）'!E112</f>
        <v>100/100</v>
      </c>
      <c r="G190" s="340" t="str">
        <f>'收益法（确定毛收益）'!F112</f>
        <v>100/97</v>
      </c>
    </row>
    <row r="191" spans="1:7">
      <c r="A191" s="376">
        <f>'收益法（确定毛收益）'!L66</f>
        <v>100</v>
      </c>
      <c r="B191" s="342">
        <f>'收益法（确定毛收益）'!M66</f>
        <v>100</v>
      </c>
      <c r="C191" s="342">
        <f>'收益法（确定毛收益）'!N66</f>
        <v>100</v>
      </c>
      <c r="D191" s="342">
        <f>'收益法（确定毛收益）'!O66</f>
        <v>100</v>
      </c>
      <c r="E191" s="340" t="str">
        <f>'收益法（确定毛收益）'!D113</f>
        <v>100/100</v>
      </c>
      <c r="F191" s="340" t="str">
        <f>'收益法（确定毛收益）'!E113</f>
        <v>100/100</v>
      </c>
      <c r="G191" s="340" t="str">
        <f>'收益法（确定毛收益）'!F113</f>
        <v>100/100</v>
      </c>
    </row>
    <row r="192" spans="1:7">
      <c r="A192" s="376">
        <f>'收益法（确定毛收益）'!L67</f>
        <v>100</v>
      </c>
      <c r="B192" s="342">
        <f>'收益法（确定毛收益）'!M67</f>
        <v>95</v>
      </c>
      <c r="C192" s="342">
        <f>'收益法（确定毛收益）'!N67</f>
        <v>100</v>
      </c>
      <c r="D192" s="342">
        <f>'收益法（确定毛收益）'!O67</f>
        <v>100</v>
      </c>
      <c r="E192" s="340" t="str">
        <f>'收益法（确定毛收益）'!D114</f>
        <v>100/95</v>
      </c>
      <c r="F192" s="340" t="str">
        <f>'收益法（确定毛收益）'!E114</f>
        <v>100/100</v>
      </c>
      <c r="G192" s="340" t="str">
        <f>'收益法（确定毛收益）'!F114</f>
        <v>100/100</v>
      </c>
    </row>
    <row r="193" spans="1:8">
      <c r="A193" t="str">
        <f>'收益法（确定毛收益）'!B117</f>
        <v xml:space="preserve">    比准价格D=1022×100/100×130.28/130.28×106/106×102/102×100/100×100/100×101/101×101/101×102/102×103/103×100/100×103/104×100/102×101/101×100/94×101/99×100/100×101/101×101/101×98/100×99/99×100/106×100/104×100/100×100/100×100/97×100/100×100/100×100/100×100/100×100/100×100/100×100/95=1039元/㎡</v>
      </c>
    </row>
    <row r="194" spans="1:8">
      <c r="A194" t="str">
        <f>'收益法（确定毛收益）'!B118</f>
        <v xml:space="preserve">    比准价格E=1125×100/100×130.28/130.28×106/106×102/102×100/100×100/100×101/101×101/101×102/102×103/103×100/100×103/104×100/104×101/101×100/100×101/101×100/100×101/101×101/101×98/101×99/99×100/97×100/104×100/100×100/100×100/100×100/100×100/100×100/100×100/100×100/100×100/100×100/100=1030元/㎡</v>
      </c>
    </row>
    <row r="195" spans="1:8">
      <c r="A195" t="str">
        <f>'收益法（确定毛收益）'!B119</f>
        <v xml:space="preserve">    比准价格F=1085×100/100×130.28/130.28×106/106×102/102×100/94×100/98×101/100×101/101×102/102×103/103×100/100×103/104×100/98×101/101×100/100×101/100×100/100×101/101×101/101×98/100×99/101×100/103×100/104×100/100×100/100×100/100×100/100×100/99×100/100×100/100×100/97×100/100×100/100=1134元/㎡</v>
      </c>
    </row>
    <row r="196" spans="1:8">
      <c r="A196" t="str">
        <f>'收益法（确定毛收益）'!B121</f>
        <v xml:space="preserve">    比准价格=(1039+1030+1134)/3=1068元/㎡</v>
      </c>
    </row>
    <row r="197" spans="1:8">
      <c r="A197" s="602">
        <f>收益法测算终值!C32</f>
        <v>0.04</v>
      </c>
      <c r="B197" s="602">
        <f>收益法测算终值!D32</f>
        <v>0.96</v>
      </c>
      <c r="C197" s="602">
        <f>收益法测算终值!E32</f>
        <v>1</v>
      </c>
      <c r="D197" s="602">
        <f>收益法测算终值!F32</f>
        <v>1.4999999999999999E-2</v>
      </c>
      <c r="E197" s="602">
        <f>收益法测算终值!G32</f>
        <v>0.02</v>
      </c>
      <c r="F197" s="603">
        <f>收益法测算终值!H32</f>
        <v>1700</v>
      </c>
      <c r="G197" s="602">
        <f>收益法测算终值!I32</f>
        <v>1.4999999999999999E-2</v>
      </c>
      <c r="H197" s="602">
        <f>收益法测算终值!J32</f>
        <v>1E-3</v>
      </c>
    </row>
    <row r="198" spans="1:8">
      <c r="A198" s="602">
        <f>收益法测算终值!C36</f>
        <v>0.12</v>
      </c>
      <c r="B198" s="602">
        <f>收益法测算终值!D36</f>
        <v>0.05</v>
      </c>
      <c r="C198" s="602">
        <f>收益法测算终值!E36</f>
        <v>7.0000000000000007E-2</v>
      </c>
      <c r="D198" s="602">
        <f>收益法测算终值!F36</f>
        <v>0.04</v>
      </c>
      <c r="E198" s="602">
        <f>收益法测算终值!G36</f>
        <v>1E-3</v>
      </c>
      <c r="F198" s="602">
        <f>收益法测算终值!H36</f>
        <v>2.5000000000000001E-2</v>
      </c>
      <c r="G198" s="602">
        <f>收益法测算终值!I36</f>
        <v>5.1999999999999998E-2</v>
      </c>
      <c r="H198" s="604">
        <f>收益法测算终值!J36</f>
        <v>34.24</v>
      </c>
    </row>
    <row r="199" spans="1:8">
      <c r="A199" t="str">
        <f>收益法测算终值!I8</f>
        <v>1.1 年毛租金收入=1068×(100-4)%×100%=1025.28元/㎡</v>
      </c>
    </row>
    <row r="200" spans="1:8">
      <c r="A200" t="str">
        <f>收益法测算终值!I9</f>
        <v>1.2 其他（押金）收入=1068/12×3×1.25%=3.34元/㎡</v>
      </c>
    </row>
    <row r="201" spans="1:8">
      <c r="A201" t="str">
        <f>收益法测算终值!I10</f>
        <v>1.2 年有效毛收入合计=1025.28+3.34=1028.62元/㎡</v>
      </c>
      <c r="F201" t="str">
        <f>查看表!A21</f>
        <v>办公聚集度</v>
      </c>
      <c r="G201" t="str">
        <f>查看表!C21</f>
        <v>周边分布有时代八号、ifs国际金融中心、时代1号等中高档写字楼，办公聚集度较高。</v>
      </c>
    </row>
    <row r="202" spans="1:8">
      <c r="A202" t="str">
        <f>收益法测算终值!I11</f>
        <v>2.1 年管理费=1025.28×0.02=20.51元/㎡</v>
      </c>
    </row>
    <row r="203" spans="1:8">
      <c r="A203" t="str">
        <f>收益法测算终值!I12</f>
        <v>2.2 年维修费=1700×0.015=25.5元/㎡</v>
      </c>
      <c r="F203" s="620">
        <f>比较法!L70</f>
        <v>31819</v>
      </c>
    </row>
    <row r="204" spans="1:8">
      <c r="A204" t="str">
        <f>收益法测算终值!I13</f>
        <v>2.3 年保险费=1700×0.001=1.7元/㎡</v>
      </c>
      <c r="F204" s="620">
        <f>收益法测算终值!D23</f>
        <v>24256</v>
      </c>
    </row>
    <row r="205" spans="1:8">
      <c r="A205" t="str">
        <f>收益法测算终值!I14</f>
        <v>3.1 年房产税=1025.28×0.12=123.03元/㎡</v>
      </c>
      <c r="F205" s="620">
        <f>收益法测算终值!I65</f>
        <v>28038</v>
      </c>
    </row>
    <row r="206" spans="1:8">
      <c r="A206" t="str">
        <f>收益法测算终值!I15</f>
        <v>3.2 年增值税=1025.28/（1+0.05）×0.05=48.82元/㎡</v>
      </c>
    </row>
    <row r="207" spans="1:8">
      <c r="A207" t="str">
        <f>收益法测算终值!I16</f>
        <v>3.3 年城市维护建设税=48.82×0.07=3.42元/㎡</v>
      </c>
    </row>
    <row r="208" spans="1:8">
      <c r="A208" t="str">
        <f>收益法测算终值!I17</f>
        <v>3.4 年教育费附加=48.82×0.04=1.95元/㎡</v>
      </c>
    </row>
    <row r="209" spans="1:2">
      <c r="A209" t="str">
        <f>收益法测算终值!I18</f>
        <v>3.5 年印花税=1025.28×0.001=1.03元/㎡</v>
      </c>
    </row>
    <row r="210" spans="1:2">
      <c r="A210" t="str">
        <f>收益法测算终值!I19</f>
        <v>3.6 年税金合计=123.03+48.82+3.42+1.95+1.03=178.25元/㎡</v>
      </c>
    </row>
    <row r="211" spans="1:2">
      <c r="A211" t="str">
        <f>收益法测算终值!I20</f>
        <v>3.7 年总运营费用合计 =20.51+25.5+1.7+178.25=225.96元/㎡</v>
      </c>
    </row>
    <row r="212" spans="1:2">
      <c r="A212" t="str">
        <f>收益法测算终值!I21</f>
        <v>3.8 年净收益=1028.62-225.96=799.32元/㎡</v>
      </c>
    </row>
    <row r="213" spans="1:2">
      <c r="A213" t="str">
        <f>收益法测算终值!I22</f>
        <v>根据估价师经验及对周边类似房地产的调查，我们得出该区域的商业租金年增长率的平均值为0.025</v>
      </c>
    </row>
    <row r="214" spans="1:2">
      <c r="A214" t="str">
        <f>收益法测算终值!I23</f>
        <v>故：收益价格=799.32/（0.052-0.025）×(1-（1+0.025）/(1+0.052)^34.24)=24256元/㎡</v>
      </c>
    </row>
    <row r="215" spans="1:2">
      <c r="A215" s="342">
        <f>'基础数据(房地产)'!B32</f>
        <v>31819</v>
      </c>
      <c r="B215" s="608">
        <f>'基础数据（不动产）'!B33</f>
        <v>31819</v>
      </c>
    </row>
    <row r="216" spans="1:2">
      <c r="A216" s="341">
        <f>'基础数据(房地产)'!D32</f>
        <v>791.97</v>
      </c>
      <c r="B216" s="422">
        <f>'基础数据（不动产）'!D33</f>
        <v>283.57</v>
      </c>
    </row>
    <row r="217" spans="1:2">
      <c r="A217" s="621">
        <f>A216*10000</f>
        <v>7919700</v>
      </c>
      <c r="B217" s="607">
        <f>'基础数据（不动产）'!B34:D34</f>
        <v>2835700</v>
      </c>
    </row>
    <row r="218" spans="1:2">
      <c r="A218" s="1117" t="str">
        <f>'基础数据(房地产)'!B37</f>
        <v>温健</v>
      </c>
      <c r="B218" s="420" t="str">
        <f>'基础数据（不动产）'!B38</f>
        <v>温健</v>
      </c>
    </row>
    <row r="219" spans="1:2">
      <c r="B219" s="420" t="str">
        <f>'基础数据（不动产）'!D41</f>
        <v>邮政银行成都市分行</v>
      </c>
    </row>
    <row r="220" spans="1:2">
      <c r="A220" t="str">
        <f>CONCATENATE('基础数据(房地产)'!B2,'基础数据(房地产)'!C2,"号")</f>
        <v>苏海CD预估字[2017]号</v>
      </c>
      <c r="B220" s="420" t="str">
        <f>CONCATENATE('基础数据（不动产）'!B2,'基础数据（不动产）'!C2,"号")</f>
        <v>苏海CD预估字[2017]号</v>
      </c>
    </row>
    <row r="221" spans="1:2">
      <c r="A221" t="str">
        <f>'基础数据(房地产)'!D37</f>
        <v>抵押</v>
      </c>
      <c r="B221" s="420" t="str">
        <f>'基础数据（不动产）'!D38</f>
        <v>抵押</v>
      </c>
    </row>
    <row r="222" spans="1:2">
      <c r="A222" t="str">
        <f>'基础数据(房地产)'!B38</f>
        <v>袁桃</v>
      </c>
      <c r="B222" t="str">
        <f>'基础数据（不动产）'!B39</f>
        <v>袁桃</v>
      </c>
    </row>
    <row r="223" spans="1:2">
      <c r="A223" t="str">
        <f>'基础数据(房地产)'!D38</f>
        <v>袁桃</v>
      </c>
      <c r="B223" t="str">
        <f>'基础数据（不动产）'!D39</f>
        <v>袁桃</v>
      </c>
    </row>
    <row r="224" spans="1:2">
      <c r="A224" t="str">
        <f>'基础数据(房地产)'!B41</f>
        <v>袁桃</v>
      </c>
      <c r="B224" t="str">
        <f>'基础数据（不动产）'!B42</f>
        <v>陆巍</v>
      </c>
    </row>
    <row r="225" spans="1:2">
      <c r="A225" t="str">
        <f>CONCATENATE('基础数据(房地产)'!B3,'基础数据(房地产)'!C3,"号")</f>
        <v>苏海估CDY字［2017］11001号</v>
      </c>
      <c r="B225" t="str">
        <f>CONCATENATE('基础数据（不动产）'!B3,'基础数据（不动产）'!C3,"号")</f>
        <v>苏海估CDQ字［2017］10001号</v>
      </c>
    </row>
    <row r="226" spans="1:2">
      <c r="A226" t="str">
        <f>'基础数据(房地产)'!D35</f>
        <v>二〇一七年十一月十一日</v>
      </c>
      <c r="B226" t="str">
        <f>'基础数据（不动产）'!D21</f>
        <v>二〇一七年六月二十八日</v>
      </c>
    </row>
    <row r="227" spans="1:2">
      <c r="A227" t="str">
        <f>'基础数据(房地产)'!B39</f>
        <v>袁桃</v>
      </c>
      <c r="B227" t="str">
        <f>'基础数据（不动产）'!B40</f>
        <v>袁桃</v>
      </c>
    </row>
  </sheetData>
  <phoneticPr fontId="2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Sheet24"/>
  <dimension ref="A2:J20"/>
  <sheetViews>
    <sheetView topLeftCell="B1" workbookViewId="0">
      <selection activeCell="I21" sqref="I21"/>
    </sheetView>
  </sheetViews>
  <sheetFormatPr defaultColWidth="9" defaultRowHeight="14.25"/>
  <cols>
    <col min="1" max="1" width="8.375" style="3" customWidth="1"/>
    <col min="2" max="2" width="12" style="4" customWidth="1"/>
    <col min="3" max="3" width="14.625" style="10" customWidth="1"/>
    <col min="4" max="4" width="24.25" style="10" customWidth="1"/>
    <col min="5" max="5" width="13" style="10" customWidth="1"/>
    <col min="6" max="6" width="9.625" style="10" customWidth="1"/>
    <col min="7" max="7" width="11" style="10" customWidth="1"/>
    <col min="8" max="8" width="17.75" style="10" customWidth="1"/>
    <col min="9" max="255" width="9" style="10"/>
    <col min="256" max="256" width="4.125" style="10" customWidth="1"/>
    <col min="257" max="257" width="10.625" style="10" customWidth="1"/>
    <col min="258" max="258" width="36.875" style="10" customWidth="1"/>
    <col min="259" max="259" width="12.375" style="10" customWidth="1"/>
    <col min="260" max="260" width="17.125" style="10" customWidth="1"/>
    <col min="261" max="261" width="6" style="10" customWidth="1"/>
    <col min="262" max="262" width="10.5" style="10" customWidth="1"/>
    <col min="263" max="263" width="11.625" style="10" customWidth="1"/>
    <col min="264" max="511" width="9" style="10"/>
    <col min="512" max="512" width="4.125" style="10" customWidth="1"/>
    <col min="513" max="513" width="10.625" style="10" customWidth="1"/>
    <col min="514" max="514" width="36.875" style="10" customWidth="1"/>
    <col min="515" max="515" width="12.375" style="10" customWidth="1"/>
    <col min="516" max="516" width="17.125" style="10" customWidth="1"/>
    <col min="517" max="517" width="6" style="10" customWidth="1"/>
    <col min="518" max="518" width="10.5" style="10" customWidth="1"/>
    <col min="519" max="519" width="11.625" style="10" customWidth="1"/>
    <col min="520" max="767" width="9" style="10"/>
    <col min="768" max="768" width="4.125" style="10" customWidth="1"/>
    <col min="769" max="769" width="10.625" style="10" customWidth="1"/>
    <col min="770" max="770" width="36.875" style="10" customWidth="1"/>
    <col min="771" max="771" width="12.375" style="10" customWidth="1"/>
    <col min="772" max="772" width="17.125" style="10" customWidth="1"/>
    <col min="773" max="773" width="6" style="10" customWidth="1"/>
    <col min="774" max="774" width="10.5" style="10" customWidth="1"/>
    <col min="775" max="775" width="11.625" style="10" customWidth="1"/>
    <col min="776" max="1023" width="9" style="10"/>
    <col min="1024" max="1024" width="4.125" style="10" customWidth="1"/>
    <col min="1025" max="1025" width="10.625" style="10" customWidth="1"/>
    <col min="1026" max="1026" width="36.875" style="10" customWidth="1"/>
    <col min="1027" max="1027" width="12.375" style="10" customWidth="1"/>
    <col min="1028" max="1028" width="17.125" style="10" customWidth="1"/>
    <col min="1029" max="1029" width="6" style="10" customWidth="1"/>
    <col min="1030" max="1030" width="10.5" style="10" customWidth="1"/>
    <col min="1031" max="1031" width="11.625" style="10" customWidth="1"/>
    <col min="1032" max="1279" width="9" style="10"/>
    <col min="1280" max="1280" width="4.125" style="10" customWidth="1"/>
    <col min="1281" max="1281" width="10.625" style="10" customWidth="1"/>
    <col min="1282" max="1282" width="36.875" style="10" customWidth="1"/>
    <col min="1283" max="1283" width="12.375" style="10" customWidth="1"/>
    <col min="1284" max="1284" width="17.125" style="10" customWidth="1"/>
    <col min="1285" max="1285" width="6" style="10" customWidth="1"/>
    <col min="1286" max="1286" width="10.5" style="10" customWidth="1"/>
    <col min="1287" max="1287" width="11.625" style="10" customWidth="1"/>
    <col min="1288" max="1535" width="9" style="10"/>
    <col min="1536" max="1536" width="4.125" style="10" customWidth="1"/>
    <col min="1537" max="1537" width="10.625" style="10" customWidth="1"/>
    <col min="1538" max="1538" width="36.875" style="10" customWidth="1"/>
    <col min="1539" max="1539" width="12.375" style="10" customWidth="1"/>
    <col min="1540" max="1540" width="17.125" style="10" customWidth="1"/>
    <col min="1541" max="1541" width="6" style="10" customWidth="1"/>
    <col min="1542" max="1542" width="10.5" style="10" customWidth="1"/>
    <col min="1543" max="1543" width="11.625" style="10" customWidth="1"/>
    <col min="1544" max="1791" width="9" style="10"/>
    <col min="1792" max="1792" width="4.125" style="10" customWidth="1"/>
    <col min="1793" max="1793" width="10.625" style="10" customWidth="1"/>
    <col min="1794" max="1794" width="36.875" style="10" customWidth="1"/>
    <col min="1795" max="1795" width="12.375" style="10" customWidth="1"/>
    <col min="1796" max="1796" width="17.125" style="10" customWidth="1"/>
    <col min="1797" max="1797" width="6" style="10" customWidth="1"/>
    <col min="1798" max="1798" width="10.5" style="10" customWidth="1"/>
    <col min="1799" max="1799" width="11.625" style="10" customWidth="1"/>
    <col min="1800" max="2047" width="9" style="10"/>
    <col min="2048" max="2048" width="4.125" style="10" customWidth="1"/>
    <col min="2049" max="2049" width="10.625" style="10" customWidth="1"/>
    <col min="2050" max="2050" width="36.875" style="10" customWidth="1"/>
    <col min="2051" max="2051" width="12.375" style="10" customWidth="1"/>
    <col min="2052" max="2052" width="17.125" style="10" customWidth="1"/>
    <col min="2053" max="2053" width="6" style="10" customWidth="1"/>
    <col min="2054" max="2054" width="10.5" style="10" customWidth="1"/>
    <col min="2055" max="2055" width="11.625" style="10" customWidth="1"/>
    <col min="2056" max="2303" width="9" style="10"/>
    <col min="2304" max="2304" width="4.125" style="10" customWidth="1"/>
    <col min="2305" max="2305" width="10.625" style="10" customWidth="1"/>
    <col min="2306" max="2306" width="36.875" style="10" customWidth="1"/>
    <col min="2307" max="2307" width="12.375" style="10" customWidth="1"/>
    <col min="2308" max="2308" width="17.125" style="10" customWidth="1"/>
    <col min="2309" max="2309" width="6" style="10" customWidth="1"/>
    <col min="2310" max="2310" width="10.5" style="10" customWidth="1"/>
    <col min="2311" max="2311" width="11.625" style="10" customWidth="1"/>
    <col min="2312" max="2559" width="9" style="10"/>
    <col min="2560" max="2560" width="4.125" style="10" customWidth="1"/>
    <col min="2561" max="2561" width="10.625" style="10" customWidth="1"/>
    <col min="2562" max="2562" width="36.875" style="10" customWidth="1"/>
    <col min="2563" max="2563" width="12.375" style="10" customWidth="1"/>
    <col min="2564" max="2564" width="17.125" style="10" customWidth="1"/>
    <col min="2565" max="2565" width="6" style="10" customWidth="1"/>
    <col min="2566" max="2566" width="10.5" style="10" customWidth="1"/>
    <col min="2567" max="2567" width="11.625" style="10" customWidth="1"/>
    <col min="2568" max="2815" width="9" style="10"/>
    <col min="2816" max="2816" width="4.125" style="10" customWidth="1"/>
    <col min="2817" max="2817" width="10.625" style="10" customWidth="1"/>
    <col min="2818" max="2818" width="36.875" style="10" customWidth="1"/>
    <col min="2819" max="2819" width="12.375" style="10" customWidth="1"/>
    <col min="2820" max="2820" width="17.125" style="10" customWidth="1"/>
    <col min="2821" max="2821" width="6" style="10" customWidth="1"/>
    <col min="2822" max="2822" width="10.5" style="10" customWidth="1"/>
    <col min="2823" max="2823" width="11.625" style="10" customWidth="1"/>
    <col min="2824" max="3071" width="9" style="10"/>
    <col min="3072" max="3072" width="4.125" style="10" customWidth="1"/>
    <col min="3073" max="3073" width="10.625" style="10" customWidth="1"/>
    <col min="3074" max="3074" width="36.875" style="10" customWidth="1"/>
    <col min="3075" max="3075" width="12.375" style="10" customWidth="1"/>
    <col min="3076" max="3076" width="17.125" style="10" customWidth="1"/>
    <col min="3077" max="3077" width="6" style="10" customWidth="1"/>
    <col min="3078" max="3078" width="10.5" style="10" customWidth="1"/>
    <col min="3079" max="3079" width="11.625" style="10" customWidth="1"/>
    <col min="3080" max="3327" width="9" style="10"/>
    <col min="3328" max="3328" width="4.125" style="10" customWidth="1"/>
    <col min="3329" max="3329" width="10.625" style="10" customWidth="1"/>
    <col min="3330" max="3330" width="36.875" style="10" customWidth="1"/>
    <col min="3331" max="3331" width="12.375" style="10" customWidth="1"/>
    <col min="3332" max="3332" width="17.125" style="10" customWidth="1"/>
    <col min="3333" max="3333" width="6" style="10" customWidth="1"/>
    <col min="3334" max="3334" width="10.5" style="10" customWidth="1"/>
    <col min="3335" max="3335" width="11.625" style="10" customWidth="1"/>
    <col min="3336" max="3583" width="9" style="10"/>
    <col min="3584" max="3584" width="4.125" style="10" customWidth="1"/>
    <col min="3585" max="3585" width="10.625" style="10" customWidth="1"/>
    <col min="3586" max="3586" width="36.875" style="10" customWidth="1"/>
    <col min="3587" max="3587" width="12.375" style="10" customWidth="1"/>
    <col min="3588" max="3588" width="17.125" style="10" customWidth="1"/>
    <col min="3589" max="3589" width="6" style="10" customWidth="1"/>
    <col min="3590" max="3590" width="10.5" style="10" customWidth="1"/>
    <col min="3591" max="3591" width="11.625" style="10" customWidth="1"/>
    <col min="3592" max="3839" width="9" style="10"/>
    <col min="3840" max="3840" width="4.125" style="10" customWidth="1"/>
    <col min="3841" max="3841" width="10.625" style="10" customWidth="1"/>
    <col min="3842" max="3842" width="36.875" style="10" customWidth="1"/>
    <col min="3843" max="3843" width="12.375" style="10" customWidth="1"/>
    <col min="3844" max="3844" width="17.125" style="10" customWidth="1"/>
    <col min="3845" max="3845" width="6" style="10" customWidth="1"/>
    <col min="3846" max="3846" width="10.5" style="10" customWidth="1"/>
    <col min="3847" max="3847" width="11.625" style="10" customWidth="1"/>
    <col min="3848" max="4095" width="9" style="10"/>
    <col min="4096" max="4096" width="4.125" style="10" customWidth="1"/>
    <col min="4097" max="4097" width="10.625" style="10" customWidth="1"/>
    <col min="4098" max="4098" width="36.875" style="10" customWidth="1"/>
    <col min="4099" max="4099" width="12.375" style="10" customWidth="1"/>
    <col min="4100" max="4100" width="17.125" style="10" customWidth="1"/>
    <col min="4101" max="4101" width="6" style="10" customWidth="1"/>
    <col min="4102" max="4102" width="10.5" style="10" customWidth="1"/>
    <col min="4103" max="4103" width="11.625" style="10" customWidth="1"/>
    <col min="4104" max="4351" width="9" style="10"/>
    <col min="4352" max="4352" width="4.125" style="10" customWidth="1"/>
    <col min="4353" max="4353" width="10.625" style="10" customWidth="1"/>
    <col min="4354" max="4354" width="36.875" style="10" customWidth="1"/>
    <col min="4355" max="4355" width="12.375" style="10" customWidth="1"/>
    <col min="4356" max="4356" width="17.125" style="10" customWidth="1"/>
    <col min="4357" max="4357" width="6" style="10" customWidth="1"/>
    <col min="4358" max="4358" width="10.5" style="10" customWidth="1"/>
    <col min="4359" max="4359" width="11.625" style="10" customWidth="1"/>
    <col min="4360" max="4607" width="9" style="10"/>
    <col min="4608" max="4608" width="4.125" style="10" customWidth="1"/>
    <col min="4609" max="4609" width="10.625" style="10" customWidth="1"/>
    <col min="4610" max="4610" width="36.875" style="10" customWidth="1"/>
    <col min="4611" max="4611" width="12.375" style="10" customWidth="1"/>
    <col min="4612" max="4612" width="17.125" style="10" customWidth="1"/>
    <col min="4613" max="4613" width="6" style="10" customWidth="1"/>
    <col min="4614" max="4614" width="10.5" style="10" customWidth="1"/>
    <col min="4615" max="4615" width="11.625" style="10" customWidth="1"/>
    <col min="4616" max="4863" width="9" style="10"/>
    <col min="4864" max="4864" width="4.125" style="10" customWidth="1"/>
    <col min="4865" max="4865" width="10.625" style="10" customWidth="1"/>
    <col min="4866" max="4866" width="36.875" style="10" customWidth="1"/>
    <col min="4867" max="4867" width="12.375" style="10" customWidth="1"/>
    <col min="4868" max="4868" width="17.125" style="10" customWidth="1"/>
    <col min="4869" max="4869" width="6" style="10" customWidth="1"/>
    <col min="4870" max="4870" width="10.5" style="10" customWidth="1"/>
    <col min="4871" max="4871" width="11.625" style="10" customWidth="1"/>
    <col min="4872" max="5119" width="9" style="10"/>
    <col min="5120" max="5120" width="4.125" style="10" customWidth="1"/>
    <col min="5121" max="5121" width="10.625" style="10" customWidth="1"/>
    <col min="5122" max="5122" width="36.875" style="10" customWidth="1"/>
    <col min="5123" max="5123" width="12.375" style="10" customWidth="1"/>
    <col min="5124" max="5124" width="17.125" style="10" customWidth="1"/>
    <col min="5125" max="5125" width="6" style="10" customWidth="1"/>
    <col min="5126" max="5126" width="10.5" style="10" customWidth="1"/>
    <col min="5127" max="5127" width="11.625" style="10" customWidth="1"/>
    <col min="5128" max="5375" width="9" style="10"/>
    <col min="5376" max="5376" width="4.125" style="10" customWidth="1"/>
    <col min="5377" max="5377" width="10.625" style="10" customWidth="1"/>
    <col min="5378" max="5378" width="36.875" style="10" customWidth="1"/>
    <col min="5379" max="5379" width="12.375" style="10" customWidth="1"/>
    <col min="5380" max="5380" width="17.125" style="10" customWidth="1"/>
    <col min="5381" max="5381" width="6" style="10" customWidth="1"/>
    <col min="5382" max="5382" width="10.5" style="10" customWidth="1"/>
    <col min="5383" max="5383" width="11.625" style="10" customWidth="1"/>
    <col min="5384" max="5631" width="9" style="10"/>
    <col min="5632" max="5632" width="4.125" style="10" customWidth="1"/>
    <col min="5633" max="5633" width="10.625" style="10" customWidth="1"/>
    <col min="5634" max="5634" width="36.875" style="10" customWidth="1"/>
    <col min="5635" max="5635" width="12.375" style="10" customWidth="1"/>
    <col min="5636" max="5636" width="17.125" style="10" customWidth="1"/>
    <col min="5637" max="5637" width="6" style="10" customWidth="1"/>
    <col min="5638" max="5638" width="10.5" style="10" customWidth="1"/>
    <col min="5639" max="5639" width="11.625" style="10" customWidth="1"/>
    <col min="5640" max="5887" width="9" style="10"/>
    <col min="5888" max="5888" width="4.125" style="10" customWidth="1"/>
    <col min="5889" max="5889" width="10.625" style="10" customWidth="1"/>
    <col min="5890" max="5890" width="36.875" style="10" customWidth="1"/>
    <col min="5891" max="5891" width="12.375" style="10" customWidth="1"/>
    <col min="5892" max="5892" width="17.125" style="10" customWidth="1"/>
    <col min="5893" max="5893" width="6" style="10" customWidth="1"/>
    <col min="5894" max="5894" width="10.5" style="10" customWidth="1"/>
    <col min="5895" max="5895" width="11.625" style="10" customWidth="1"/>
    <col min="5896" max="6143" width="9" style="10"/>
    <col min="6144" max="6144" width="4.125" style="10" customWidth="1"/>
    <col min="6145" max="6145" width="10.625" style="10" customWidth="1"/>
    <col min="6146" max="6146" width="36.875" style="10" customWidth="1"/>
    <col min="6147" max="6147" width="12.375" style="10" customWidth="1"/>
    <col min="6148" max="6148" width="17.125" style="10" customWidth="1"/>
    <col min="6149" max="6149" width="6" style="10" customWidth="1"/>
    <col min="6150" max="6150" width="10.5" style="10" customWidth="1"/>
    <col min="6151" max="6151" width="11.625" style="10" customWidth="1"/>
    <col min="6152" max="6399" width="9" style="10"/>
    <col min="6400" max="6400" width="4.125" style="10" customWidth="1"/>
    <col min="6401" max="6401" width="10.625" style="10" customWidth="1"/>
    <col min="6402" max="6402" width="36.875" style="10" customWidth="1"/>
    <col min="6403" max="6403" width="12.375" style="10" customWidth="1"/>
    <col min="6404" max="6404" width="17.125" style="10" customWidth="1"/>
    <col min="6405" max="6405" width="6" style="10" customWidth="1"/>
    <col min="6406" max="6406" width="10.5" style="10" customWidth="1"/>
    <col min="6407" max="6407" width="11.625" style="10" customWidth="1"/>
    <col min="6408" max="6655" width="9" style="10"/>
    <col min="6656" max="6656" width="4.125" style="10" customWidth="1"/>
    <col min="6657" max="6657" width="10.625" style="10" customWidth="1"/>
    <col min="6658" max="6658" width="36.875" style="10" customWidth="1"/>
    <col min="6659" max="6659" width="12.375" style="10" customWidth="1"/>
    <col min="6660" max="6660" width="17.125" style="10" customWidth="1"/>
    <col min="6661" max="6661" width="6" style="10" customWidth="1"/>
    <col min="6662" max="6662" width="10.5" style="10" customWidth="1"/>
    <col min="6663" max="6663" width="11.625" style="10" customWidth="1"/>
    <col min="6664" max="6911" width="9" style="10"/>
    <col min="6912" max="6912" width="4.125" style="10" customWidth="1"/>
    <col min="6913" max="6913" width="10.625" style="10" customWidth="1"/>
    <col min="6914" max="6914" width="36.875" style="10" customWidth="1"/>
    <col min="6915" max="6915" width="12.375" style="10" customWidth="1"/>
    <col min="6916" max="6916" width="17.125" style="10" customWidth="1"/>
    <col min="6917" max="6917" width="6" style="10" customWidth="1"/>
    <col min="6918" max="6918" width="10.5" style="10" customWidth="1"/>
    <col min="6919" max="6919" width="11.625" style="10" customWidth="1"/>
    <col min="6920" max="7167" width="9" style="10"/>
    <col min="7168" max="7168" width="4.125" style="10" customWidth="1"/>
    <col min="7169" max="7169" width="10.625" style="10" customWidth="1"/>
    <col min="7170" max="7170" width="36.875" style="10" customWidth="1"/>
    <col min="7171" max="7171" width="12.375" style="10" customWidth="1"/>
    <col min="7172" max="7172" width="17.125" style="10" customWidth="1"/>
    <col min="7173" max="7173" width="6" style="10" customWidth="1"/>
    <col min="7174" max="7174" width="10.5" style="10" customWidth="1"/>
    <col min="7175" max="7175" width="11.625" style="10" customWidth="1"/>
    <col min="7176" max="7423" width="9" style="10"/>
    <col min="7424" max="7424" width="4.125" style="10" customWidth="1"/>
    <col min="7425" max="7425" width="10.625" style="10" customWidth="1"/>
    <col min="7426" max="7426" width="36.875" style="10" customWidth="1"/>
    <col min="7427" max="7427" width="12.375" style="10" customWidth="1"/>
    <col min="7428" max="7428" width="17.125" style="10" customWidth="1"/>
    <col min="7429" max="7429" width="6" style="10" customWidth="1"/>
    <col min="7430" max="7430" width="10.5" style="10" customWidth="1"/>
    <col min="7431" max="7431" width="11.625" style="10" customWidth="1"/>
    <col min="7432" max="7679" width="9" style="10"/>
    <col min="7680" max="7680" width="4.125" style="10" customWidth="1"/>
    <col min="7681" max="7681" width="10.625" style="10" customWidth="1"/>
    <col min="7682" max="7682" width="36.875" style="10" customWidth="1"/>
    <col min="7683" max="7683" width="12.375" style="10" customWidth="1"/>
    <col min="7684" max="7684" width="17.125" style="10" customWidth="1"/>
    <col min="7685" max="7685" width="6" style="10" customWidth="1"/>
    <col min="7686" max="7686" width="10.5" style="10" customWidth="1"/>
    <col min="7687" max="7687" width="11.625" style="10" customWidth="1"/>
    <col min="7688" max="7935" width="9" style="10"/>
    <col min="7936" max="7936" width="4.125" style="10" customWidth="1"/>
    <col min="7937" max="7937" width="10.625" style="10" customWidth="1"/>
    <col min="7938" max="7938" width="36.875" style="10" customWidth="1"/>
    <col min="7939" max="7939" width="12.375" style="10" customWidth="1"/>
    <col min="7940" max="7940" width="17.125" style="10" customWidth="1"/>
    <col min="7941" max="7941" width="6" style="10" customWidth="1"/>
    <col min="7942" max="7942" width="10.5" style="10" customWidth="1"/>
    <col min="7943" max="7943" width="11.625" style="10" customWidth="1"/>
    <col min="7944" max="8191" width="9" style="10"/>
    <col min="8192" max="8192" width="4.125" style="10" customWidth="1"/>
    <col min="8193" max="8193" width="10.625" style="10" customWidth="1"/>
    <col min="8194" max="8194" width="36.875" style="10" customWidth="1"/>
    <col min="8195" max="8195" width="12.375" style="10" customWidth="1"/>
    <col min="8196" max="8196" width="17.125" style="10" customWidth="1"/>
    <col min="8197" max="8197" width="6" style="10" customWidth="1"/>
    <col min="8198" max="8198" width="10.5" style="10" customWidth="1"/>
    <col min="8199" max="8199" width="11.625" style="10" customWidth="1"/>
    <col min="8200" max="8447" width="9" style="10"/>
    <col min="8448" max="8448" width="4.125" style="10" customWidth="1"/>
    <col min="8449" max="8449" width="10.625" style="10" customWidth="1"/>
    <col min="8450" max="8450" width="36.875" style="10" customWidth="1"/>
    <col min="8451" max="8451" width="12.375" style="10" customWidth="1"/>
    <col min="8452" max="8452" width="17.125" style="10" customWidth="1"/>
    <col min="8453" max="8453" width="6" style="10" customWidth="1"/>
    <col min="8454" max="8454" width="10.5" style="10" customWidth="1"/>
    <col min="8455" max="8455" width="11.625" style="10" customWidth="1"/>
    <col min="8456" max="8703" width="9" style="10"/>
    <col min="8704" max="8704" width="4.125" style="10" customWidth="1"/>
    <col min="8705" max="8705" width="10.625" style="10" customWidth="1"/>
    <col min="8706" max="8706" width="36.875" style="10" customWidth="1"/>
    <col min="8707" max="8707" width="12.375" style="10" customWidth="1"/>
    <col min="8708" max="8708" width="17.125" style="10" customWidth="1"/>
    <col min="8709" max="8709" width="6" style="10" customWidth="1"/>
    <col min="8710" max="8710" width="10.5" style="10" customWidth="1"/>
    <col min="8711" max="8711" width="11.625" style="10" customWidth="1"/>
    <col min="8712" max="8959" width="9" style="10"/>
    <col min="8960" max="8960" width="4.125" style="10" customWidth="1"/>
    <col min="8961" max="8961" width="10.625" style="10" customWidth="1"/>
    <col min="8962" max="8962" width="36.875" style="10" customWidth="1"/>
    <col min="8963" max="8963" width="12.375" style="10" customWidth="1"/>
    <col min="8964" max="8964" width="17.125" style="10" customWidth="1"/>
    <col min="8965" max="8965" width="6" style="10" customWidth="1"/>
    <col min="8966" max="8966" width="10.5" style="10" customWidth="1"/>
    <col min="8967" max="8967" width="11.625" style="10" customWidth="1"/>
    <col min="8968" max="9215" width="9" style="10"/>
    <col min="9216" max="9216" width="4.125" style="10" customWidth="1"/>
    <col min="9217" max="9217" width="10.625" style="10" customWidth="1"/>
    <col min="9218" max="9218" width="36.875" style="10" customWidth="1"/>
    <col min="9219" max="9219" width="12.375" style="10" customWidth="1"/>
    <col min="9220" max="9220" width="17.125" style="10" customWidth="1"/>
    <col min="9221" max="9221" width="6" style="10" customWidth="1"/>
    <col min="9222" max="9222" width="10.5" style="10" customWidth="1"/>
    <col min="9223" max="9223" width="11.625" style="10" customWidth="1"/>
    <col min="9224" max="9471" width="9" style="10"/>
    <col min="9472" max="9472" width="4.125" style="10" customWidth="1"/>
    <col min="9473" max="9473" width="10.625" style="10" customWidth="1"/>
    <col min="9474" max="9474" width="36.875" style="10" customWidth="1"/>
    <col min="9475" max="9475" width="12.375" style="10" customWidth="1"/>
    <col min="9476" max="9476" width="17.125" style="10" customWidth="1"/>
    <col min="9477" max="9477" width="6" style="10" customWidth="1"/>
    <col min="9478" max="9478" width="10.5" style="10" customWidth="1"/>
    <col min="9479" max="9479" width="11.625" style="10" customWidth="1"/>
    <col min="9480" max="9727" width="9" style="10"/>
    <col min="9728" max="9728" width="4.125" style="10" customWidth="1"/>
    <col min="9729" max="9729" width="10.625" style="10" customWidth="1"/>
    <col min="9730" max="9730" width="36.875" style="10" customWidth="1"/>
    <col min="9731" max="9731" width="12.375" style="10" customWidth="1"/>
    <col min="9732" max="9732" width="17.125" style="10" customWidth="1"/>
    <col min="9733" max="9733" width="6" style="10" customWidth="1"/>
    <col min="9734" max="9734" width="10.5" style="10" customWidth="1"/>
    <col min="9735" max="9735" width="11.625" style="10" customWidth="1"/>
    <col min="9736" max="9983" width="9" style="10"/>
    <col min="9984" max="9984" width="4.125" style="10" customWidth="1"/>
    <col min="9985" max="9985" width="10.625" style="10" customWidth="1"/>
    <col min="9986" max="9986" width="36.875" style="10" customWidth="1"/>
    <col min="9987" max="9987" width="12.375" style="10" customWidth="1"/>
    <col min="9988" max="9988" width="17.125" style="10" customWidth="1"/>
    <col min="9989" max="9989" width="6" style="10" customWidth="1"/>
    <col min="9990" max="9990" width="10.5" style="10" customWidth="1"/>
    <col min="9991" max="9991" width="11.625" style="10" customWidth="1"/>
    <col min="9992" max="10239" width="9" style="10"/>
    <col min="10240" max="10240" width="4.125" style="10" customWidth="1"/>
    <col min="10241" max="10241" width="10.625" style="10" customWidth="1"/>
    <col min="10242" max="10242" width="36.875" style="10" customWidth="1"/>
    <col min="10243" max="10243" width="12.375" style="10" customWidth="1"/>
    <col min="10244" max="10244" width="17.125" style="10" customWidth="1"/>
    <col min="10245" max="10245" width="6" style="10" customWidth="1"/>
    <col min="10246" max="10246" width="10.5" style="10" customWidth="1"/>
    <col min="10247" max="10247" width="11.625" style="10" customWidth="1"/>
    <col min="10248" max="10495" width="9" style="10"/>
    <col min="10496" max="10496" width="4.125" style="10" customWidth="1"/>
    <col min="10497" max="10497" width="10.625" style="10" customWidth="1"/>
    <col min="10498" max="10498" width="36.875" style="10" customWidth="1"/>
    <col min="10499" max="10499" width="12.375" style="10" customWidth="1"/>
    <col min="10500" max="10500" width="17.125" style="10" customWidth="1"/>
    <col min="10501" max="10501" width="6" style="10" customWidth="1"/>
    <col min="10502" max="10502" width="10.5" style="10" customWidth="1"/>
    <col min="10503" max="10503" width="11.625" style="10" customWidth="1"/>
    <col min="10504" max="10751" width="9" style="10"/>
    <col min="10752" max="10752" width="4.125" style="10" customWidth="1"/>
    <col min="10753" max="10753" width="10.625" style="10" customWidth="1"/>
    <col min="10754" max="10754" width="36.875" style="10" customWidth="1"/>
    <col min="10755" max="10755" width="12.375" style="10" customWidth="1"/>
    <col min="10756" max="10756" width="17.125" style="10" customWidth="1"/>
    <col min="10757" max="10757" width="6" style="10" customWidth="1"/>
    <col min="10758" max="10758" width="10.5" style="10" customWidth="1"/>
    <col min="10759" max="10759" width="11.625" style="10" customWidth="1"/>
    <col min="10760" max="11007" width="9" style="10"/>
    <col min="11008" max="11008" width="4.125" style="10" customWidth="1"/>
    <col min="11009" max="11009" width="10.625" style="10" customWidth="1"/>
    <col min="11010" max="11010" width="36.875" style="10" customWidth="1"/>
    <col min="11011" max="11011" width="12.375" style="10" customWidth="1"/>
    <col min="11012" max="11012" width="17.125" style="10" customWidth="1"/>
    <col min="11013" max="11013" width="6" style="10" customWidth="1"/>
    <col min="11014" max="11014" width="10.5" style="10" customWidth="1"/>
    <col min="11015" max="11015" width="11.625" style="10" customWidth="1"/>
    <col min="11016" max="11263" width="9" style="10"/>
    <col min="11264" max="11264" width="4.125" style="10" customWidth="1"/>
    <col min="11265" max="11265" width="10.625" style="10" customWidth="1"/>
    <col min="11266" max="11266" width="36.875" style="10" customWidth="1"/>
    <col min="11267" max="11267" width="12.375" style="10" customWidth="1"/>
    <col min="11268" max="11268" width="17.125" style="10" customWidth="1"/>
    <col min="11269" max="11269" width="6" style="10" customWidth="1"/>
    <col min="11270" max="11270" width="10.5" style="10" customWidth="1"/>
    <col min="11271" max="11271" width="11.625" style="10" customWidth="1"/>
    <col min="11272" max="11519" width="9" style="10"/>
    <col min="11520" max="11520" width="4.125" style="10" customWidth="1"/>
    <col min="11521" max="11521" width="10.625" style="10" customWidth="1"/>
    <col min="11522" max="11522" width="36.875" style="10" customWidth="1"/>
    <col min="11523" max="11523" width="12.375" style="10" customWidth="1"/>
    <col min="11524" max="11524" width="17.125" style="10" customWidth="1"/>
    <col min="11525" max="11525" width="6" style="10" customWidth="1"/>
    <col min="11526" max="11526" width="10.5" style="10" customWidth="1"/>
    <col min="11527" max="11527" width="11.625" style="10" customWidth="1"/>
    <col min="11528" max="11775" width="9" style="10"/>
    <col min="11776" max="11776" width="4.125" style="10" customWidth="1"/>
    <col min="11777" max="11777" width="10.625" style="10" customWidth="1"/>
    <col min="11778" max="11778" width="36.875" style="10" customWidth="1"/>
    <col min="11779" max="11779" width="12.375" style="10" customWidth="1"/>
    <col min="11780" max="11780" width="17.125" style="10" customWidth="1"/>
    <col min="11781" max="11781" width="6" style="10" customWidth="1"/>
    <col min="11782" max="11782" width="10.5" style="10" customWidth="1"/>
    <col min="11783" max="11783" width="11.625" style="10" customWidth="1"/>
    <col min="11784" max="12031" width="9" style="10"/>
    <col min="12032" max="12032" width="4.125" style="10" customWidth="1"/>
    <col min="12033" max="12033" width="10.625" style="10" customWidth="1"/>
    <col min="12034" max="12034" width="36.875" style="10" customWidth="1"/>
    <col min="12035" max="12035" width="12.375" style="10" customWidth="1"/>
    <col min="12036" max="12036" width="17.125" style="10" customWidth="1"/>
    <col min="12037" max="12037" width="6" style="10" customWidth="1"/>
    <col min="12038" max="12038" width="10.5" style="10" customWidth="1"/>
    <col min="12039" max="12039" width="11.625" style="10" customWidth="1"/>
    <col min="12040" max="12287" width="9" style="10"/>
    <col min="12288" max="12288" width="4.125" style="10" customWidth="1"/>
    <col min="12289" max="12289" width="10.625" style="10" customWidth="1"/>
    <col min="12290" max="12290" width="36.875" style="10" customWidth="1"/>
    <col min="12291" max="12291" width="12.375" style="10" customWidth="1"/>
    <col min="12292" max="12292" width="17.125" style="10" customWidth="1"/>
    <col min="12293" max="12293" width="6" style="10" customWidth="1"/>
    <col min="12294" max="12294" width="10.5" style="10" customWidth="1"/>
    <col min="12295" max="12295" width="11.625" style="10" customWidth="1"/>
    <col min="12296" max="12543" width="9" style="10"/>
    <col min="12544" max="12544" width="4.125" style="10" customWidth="1"/>
    <col min="12545" max="12545" width="10.625" style="10" customWidth="1"/>
    <col min="12546" max="12546" width="36.875" style="10" customWidth="1"/>
    <col min="12547" max="12547" width="12.375" style="10" customWidth="1"/>
    <col min="12548" max="12548" width="17.125" style="10" customWidth="1"/>
    <col min="12549" max="12549" width="6" style="10" customWidth="1"/>
    <col min="12550" max="12550" width="10.5" style="10" customWidth="1"/>
    <col min="12551" max="12551" width="11.625" style="10" customWidth="1"/>
    <col min="12552" max="12799" width="9" style="10"/>
    <col min="12800" max="12800" width="4.125" style="10" customWidth="1"/>
    <col min="12801" max="12801" width="10.625" style="10" customWidth="1"/>
    <col min="12802" max="12802" width="36.875" style="10" customWidth="1"/>
    <col min="12803" max="12803" width="12.375" style="10" customWidth="1"/>
    <col min="12804" max="12804" width="17.125" style="10" customWidth="1"/>
    <col min="12805" max="12805" width="6" style="10" customWidth="1"/>
    <col min="12806" max="12806" width="10.5" style="10" customWidth="1"/>
    <col min="12807" max="12807" width="11.625" style="10" customWidth="1"/>
    <col min="12808" max="13055" width="9" style="10"/>
    <col min="13056" max="13056" width="4.125" style="10" customWidth="1"/>
    <col min="13057" max="13057" width="10.625" style="10" customWidth="1"/>
    <col min="13058" max="13058" width="36.875" style="10" customWidth="1"/>
    <col min="13059" max="13059" width="12.375" style="10" customWidth="1"/>
    <col min="13060" max="13060" width="17.125" style="10" customWidth="1"/>
    <col min="13061" max="13061" width="6" style="10" customWidth="1"/>
    <col min="13062" max="13062" width="10.5" style="10" customWidth="1"/>
    <col min="13063" max="13063" width="11.625" style="10" customWidth="1"/>
    <col min="13064" max="13311" width="9" style="10"/>
    <col min="13312" max="13312" width="4.125" style="10" customWidth="1"/>
    <col min="13313" max="13313" width="10.625" style="10" customWidth="1"/>
    <col min="13314" max="13314" width="36.875" style="10" customWidth="1"/>
    <col min="13315" max="13315" width="12.375" style="10" customWidth="1"/>
    <col min="13316" max="13316" width="17.125" style="10" customWidth="1"/>
    <col min="13317" max="13317" width="6" style="10" customWidth="1"/>
    <col min="13318" max="13318" width="10.5" style="10" customWidth="1"/>
    <col min="13319" max="13319" width="11.625" style="10" customWidth="1"/>
    <col min="13320" max="13567" width="9" style="10"/>
    <col min="13568" max="13568" width="4.125" style="10" customWidth="1"/>
    <col min="13569" max="13569" width="10.625" style="10" customWidth="1"/>
    <col min="13570" max="13570" width="36.875" style="10" customWidth="1"/>
    <col min="13571" max="13571" width="12.375" style="10" customWidth="1"/>
    <col min="13572" max="13572" width="17.125" style="10" customWidth="1"/>
    <col min="13573" max="13573" width="6" style="10" customWidth="1"/>
    <col min="13574" max="13574" width="10.5" style="10" customWidth="1"/>
    <col min="13575" max="13575" width="11.625" style="10" customWidth="1"/>
    <col min="13576" max="13823" width="9" style="10"/>
    <col min="13824" max="13824" width="4.125" style="10" customWidth="1"/>
    <col min="13825" max="13825" width="10.625" style="10" customWidth="1"/>
    <col min="13826" max="13826" width="36.875" style="10" customWidth="1"/>
    <col min="13827" max="13827" width="12.375" style="10" customWidth="1"/>
    <col min="13828" max="13828" width="17.125" style="10" customWidth="1"/>
    <col min="13829" max="13829" width="6" style="10" customWidth="1"/>
    <col min="13830" max="13830" width="10.5" style="10" customWidth="1"/>
    <col min="13831" max="13831" width="11.625" style="10" customWidth="1"/>
    <col min="13832" max="14079" width="9" style="10"/>
    <col min="14080" max="14080" width="4.125" style="10" customWidth="1"/>
    <col min="14081" max="14081" width="10.625" style="10" customWidth="1"/>
    <col min="14082" max="14082" width="36.875" style="10" customWidth="1"/>
    <col min="14083" max="14083" width="12.375" style="10" customWidth="1"/>
    <col min="14084" max="14084" width="17.125" style="10" customWidth="1"/>
    <col min="14085" max="14085" width="6" style="10" customWidth="1"/>
    <col min="14086" max="14086" width="10.5" style="10" customWidth="1"/>
    <col min="14087" max="14087" width="11.625" style="10" customWidth="1"/>
    <col min="14088" max="14335" width="9" style="10"/>
    <col min="14336" max="14336" width="4.125" style="10" customWidth="1"/>
    <col min="14337" max="14337" width="10.625" style="10" customWidth="1"/>
    <col min="14338" max="14338" width="36.875" style="10" customWidth="1"/>
    <col min="14339" max="14339" width="12.375" style="10" customWidth="1"/>
    <col min="14340" max="14340" width="17.125" style="10" customWidth="1"/>
    <col min="14341" max="14341" width="6" style="10" customWidth="1"/>
    <col min="14342" max="14342" width="10.5" style="10" customWidth="1"/>
    <col min="14343" max="14343" width="11.625" style="10" customWidth="1"/>
    <col min="14344" max="14591" width="9" style="10"/>
    <col min="14592" max="14592" width="4.125" style="10" customWidth="1"/>
    <col min="14593" max="14593" width="10.625" style="10" customWidth="1"/>
    <col min="14594" max="14594" width="36.875" style="10" customWidth="1"/>
    <col min="14595" max="14595" width="12.375" style="10" customWidth="1"/>
    <col min="14596" max="14596" width="17.125" style="10" customWidth="1"/>
    <col min="14597" max="14597" width="6" style="10" customWidth="1"/>
    <col min="14598" max="14598" width="10.5" style="10" customWidth="1"/>
    <col min="14599" max="14599" width="11.625" style="10" customWidth="1"/>
    <col min="14600" max="14847" width="9" style="10"/>
    <col min="14848" max="14848" width="4.125" style="10" customWidth="1"/>
    <col min="14849" max="14849" width="10.625" style="10" customWidth="1"/>
    <col min="14850" max="14850" width="36.875" style="10" customWidth="1"/>
    <col min="14851" max="14851" width="12.375" style="10" customWidth="1"/>
    <col min="14852" max="14852" width="17.125" style="10" customWidth="1"/>
    <col min="14853" max="14853" width="6" style="10" customWidth="1"/>
    <col min="14854" max="14854" width="10.5" style="10" customWidth="1"/>
    <col min="14855" max="14855" width="11.625" style="10" customWidth="1"/>
    <col min="14856" max="15103" width="9" style="10"/>
    <col min="15104" max="15104" width="4.125" style="10" customWidth="1"/>
    <col min="15105" max="15105" width="10.625" style="10" customWidth="1"/>
    <col min="15106" max="15106" width="36.875" style="10" customWidth="1"/>
    <col min="15107" max="15107" width="12.375" style="10" customWidth="1"/>
    <col min="15108" max="15108" width="17.125" style="10" customWidth="1"/>
    <col min="15109" max="15109" width="6" style="10" customWidth="1"/>
    <col min="15110" max="15110" width="10.5" style="10" customWidth="1"/>
    <col min="15111" max="15111" width="11.625" style="10" customWidth="1"/>
    <col min="15112" max="15359" width="9" style="10"/>
    <col min="15360" max="15360" width="4.125" style="10" customWidth="1"/>
    <col min="15361" max="15361" width="10.625" style="10" customWidth="1"/>
    <col min="15362" max="15362" width="36.875" style="10" customWidth="1"/>
    <col min="15363" max="15363" width="12.375" style="10" customWidth="1"/>
    <col min="15364" max="15364" width="17.125" style="10" customWidth="1"/>
    <col min="15365" max="15365" width="6" style="10" customWidth="1"/>
    <col min="15366" max="15366" width="10.5" style="10" customWidth="1"/>
    <col min="15367" max="15367" width="11.625" style="10" customWidth="1"/>
    <col min="15368" max="15615" width="9" style="10"/>
    <col min="15616" max="15616" width="4.125" style="10" customWidth="1"/>
    <col min="15617" max="15617" width="10.625" style="10" customWidth="1"/>
    <col min="15618" max="15618" width="36.875" style="10" customWidth="1"/>
    <col min="15619" max="15619" width="12.375" style="10" customWidth="1"/>
    <col min="15620" max="15620" width="17.125" style="10" customWidth="1"/>
    <col min="15621" max="15621" width="6" style="10" customWidth="1"/>
    <col min="15622" max="15622" width="10.5" style="10" customWidth="1"/>
    <col min="15623" max="15623" width="11.625" style="10" customWidth="1"/>
    <col min="15624" max="15871" width="9" style="10"/>
    <col min="15872" max="15872" width="4.125" style="10" customWidth="1"/>
    <col min="15873" max="15873" width="10.625" style="10" customWidth="1"/>
    <col min="15874" max="15874" width="36.875" style="10" customWidth="1"/>
    <col min="15875" max="15875" width="12.375" style="10" customWidth="1"/>
    <col min="15876" max="15876" width="17.125" style="10" customWidth="1"/>
    <col min="15877" max="15877" width="6" style="10" customWidth="1"/>
    <col min="15878" max="15878" width="10.5" style="10" customWidth="1"/>
    <col min="15879" max="15879" width="11.625" style="10" customWidth="1"/>
    <col min="15880" max="16127" width="9" style="10"/>
    <col min="16128" max="16128" width="4.125" style="10" customWidth="1"/>
    <col min="16129" max="16129" width="10.625" style="10" customWidth="1"/>
    <col min="16130" max="16130" width="36.875" style="10" customWidth="1"/>
    <col min="16131" max="16131" width="12.375" style="10" customWidth="1"/>
    <col min="16132" max="16132" width="17.125" style="10" customWidth="1"/>
    <col min="16133" max="16133" width="6" style="10" customWidth="1"/>
    <col min="16134" max="16134" width="10.5" style="10" customWidth="1"/>
    <col min="16135" max="16135" width="11.625" style="10" customWidth="1"/>
    <col min="16136" max="16384" width="9" style="10"/>
  </cols>
  <sheetData>
    <row r="2" spans="1:9" s="5" customFormat="1" ht="23.25" customHeight="1">
      <c r="A2" s="11" t="s">
        <v>514</v>
      </c>
      <c r="B2" s="11"/>
      <c r="C2" s="11"/>
      <c r="D2" s="11"/>
      <c r="E2" s="11"/>
      <c r="F2" s="11"/>
      <c r="G2" s="12"/>
    </row>
    <row r="3" spans="1:9" s="6" customFormat="1" ht="39" customHeight="1">
      <c r="A3" s="1105" t="s">
        <v>515</v>
      </c>
      <c r="B3" s="1105"/>
      <c r="C3" s="1105"/>
      <c r="D3" s="1105"/>
      <c r="E3" s="1105"/>
      <c r="F3" s="1105"/>
      <c r="G3" s="13"/>
      <c r="H3" s="14"/>
    </row>
    <row r="4" spans="1:9" s="7" customFormat="1" ht="9" customHeight="1">
      <c r="A4" s="1111" t="s">
        <v>443</v>
      </c>
      <c r="B4" s="1112"/>
      <c r="C4" s="1112"/>
      <c r="D4" s="1112"/>
      <c r="E4" s="1112"/>
      <c r="F4" s="1112"/>
      <c r="G4" s="16"/>
    </row>
    <row r="5" spans="1:9" ht="15" customHeight="1">
      <c r="A5" s="1112"/>
      <c r="B5" s="1112"/>
      <c r="C5" s="1112"/>
      <c r="D5" s="1112"/>
      <c r="E5" s="1112"/>
      <c r="F5" s="1112"/>
      <c r="G5" s="15"/>
    </row>
    <row r="6" spans="1:9" ht="23.25" customHeight="1">
      <c r="A6" s="17"/>
      <c r="B6" s="18"/>
      <c r="C6" s="18"/>
      <c r="D6" s="18"/>
      <c r="F6" s="19" t="s">
        <v>516</v>
      </c>
      <c r="G6" s="19"/>
    </row>
    <row r="7" spans="1:9" s="8" customFormat="1" ht="38.25" customHeight="1">
      <c r="A7" s="20" t="s">
        <v>508</v>
      </c>
      <c r="B7" s="21" t="s">
        <v>517</v>
      </c>
      <c r="C7" s="21" t="s">
        <v>518</v>
      </c>
      <c r="D7" s="1106" t="str">
        <f>'基础数据(房地产)'!B5</f>
        <v>成都市高新区交子大道199号16栋1单元9层902号</v>
      </c>
      <c r="E7" s="1107"/>
      <c r="F7" s="1108"/>
      <c r="G7" s="22"/>
      <c r="H7" s="8">
        <f>138.14*6000</f>
        <v>828840</v>
      </c>
      <c r="I7" s="8">
        <v>82.88</v>
      </c>
    </row>
    <row r="8" spans="1:9" s="8" customFormat="1" ht="21" customHeight="1">
      <c r="A8" s="23"/>
      <c r="B8" s="24"/>
      <c r="C8" s="24"/>
      <c r="D8" s="25" t="s">
        <v>519</v>
      </c>
      <c r="E8" s="26" t="s">
        <v>520</v>
      </c>
      <c r="F8" s="27">
        <f>'基础数据(房地产)'!B12</f>
        <v>248.9</v>
      </c>
      <c r="G8" s="28"/>
      <c r="H8" s="8">
        <f>128.68*6000</f>
        <v>772080</v>
      </c>
      <c r="I8" s="8">
        <v>77.2</v>
      </c>
    </row>
    <row r="9" spans="1:9" s="8" customFormat="1" ht="21" customHeight="1">
      <c r="A9" s="23"/>
      <c r="B9" s="24"/>
      <c r="C9" s="24"/>
      <c r="D9" s="24"/>
      <c r="E9" s="26" t="s">
        <v>397</v>
      </c>
      <c r="F9" s="29" t="e">
        <f>#REF!</f>
        <v>#REF!</v>
      </c>
      <c r="G9" s="30"/>
      <c r="H9" s="8">
        <f>121.41*6000</f>
        <v>728460</v>
      </c>
      <c r="I9" s="8">
        <v>72.84</v>
      </c>
    </row>
    <row r="10" spans="1:9" s="8" customFormat="1" ht="21" customHeight="1">
      <c r="A10" s="31"/>
      <c r="B10" s="32"/>
      <c r="C10" s="32"/>
      <c r="D10" s="32"/>
      <c r="E10" s="26" t="s">
        <v>521</v>
      </c>
      <c r="F10" s="33" t="s">
        <v>11</v>
      </c>
      <c r="G10" s="30"/>
    </row>
    <row r="11" spans="1:9" s="8" customFormat="1" ht="100.5" customHeight="1">
      <c r="A11" s="34" t="s">
        <v>509</v>
      </c>
      <c r="B11" s="35" t="s">
        <v>522</v>
      </c>
      <c r="C11" s="36" t="s">
        <v>523</v>
      </c>
      <c r="D11" s="37" t="s">
        <v>524</v>
      </c>
      <c r="E11" s="1109">
        <v>0</v>
      </c>
      <c r="F11" s="1110"/>
      <c r="G11" s="38" t="e">
        <f>ROUND(F9*5.6%,0)</f>
        <v>#REF!</v>
      </c>
      <c r="H11" s="39"/>
    </row>
    <row r="12" spans="1:9" s="8" customFormat="1" ht="36" customHeight="1">
      <c r="A12" s="34" t="s">
        <v>525</v>
      </c>
      <c r="B12" s="35" t="s">
        <v>526</v>
      </c>
      <c r="C12" s="36" t="s">
        <v>527</v>
      </c>
      <c r="D12" s="40" t="s">
        <v>11</v>
      </c>
      <c r="E12" s="1109" t="e">
        <f>ROUND(F9*1%,0)</f>
        <v>#REF!</v>
      </c>
      <c r="F12" s="1110"/>
      <c r="G12" s="38"/>
    </row>
    <row r="13" spans="1:9" s="8" customFormat="1" ht="48.75" customHeight="1">
      <c r="A13" s="41" t="s">
        <v>528</v>
      </c>
      <c r="B13" s="42" t="s">
        <v>466</v>
      </c>
      <c r="C13" s="36" t="s">
        <v>529</v>
      </c>
      <c r="D13" s="43" t="s">
        <v>530</v>
      </c>
      <c r="E13" s="1109">
        <v>0</v>
      </c>
      <c r="F13" s="1110"/>
      <c r="G13" s="38"/>
    </row>
    <row r="14" spans="1:9" s="8" customFormat="1" ht="34.5" customHeight="1">
      <c r="A14" s="34" t="s">
        <v>162</v>
      </c>
      <c r="B14" s="35" t="s">
        <v>531</v>
      </c>
      <c r="C14" s="36" t="s">
        <v>523</v>
      </c>
      <c r="D14" s="35" t="s">
        <v>532</v>
      </c>
      <c r="E14" s="1109">
        <f>ROUND(F8*3,0)</f>
        <v>747</v>
      </c>
      <c r="F14" s="1110"/>
      <c r="G14" s="38"/>
      <c r="H14" s="44"/>
    </row>
    <row r="15" spans="1:9" s="8" customFormat="1" ht="58.5" customHeight="1">
      <c r="A15" s="34" t="s">
        <v>510</v>
      </c>
      <c r="B15" s="35" t="s">
        <v>533</v>
      </c>
      <c r="C15" s="36" t="s">
        <v>534</v>
      </c>
      <c r="D15" s="45" t="s">
        <v>535</v>
      </c>
      <c r="E15" s="1109" t="e">
        <f>ROUND(F9*3%,0)</f>
        <v>#REF!</v>
      </c>
      <c r="F15" s="1110"/>
      <c r="G15" s="38"/>
      <c r="H15" s="44" t="s">
        <v>536</v>
      </c>
    </row>
    <row r="16" spans="1:9" s="8" customFormat="1" ht="21" customHeight="1">
      <c r="A16" s="46" t="s">
        <v>511</v>
      </c>
      <c r="B16" s="47" t="s">
        <v>489</v>
      </c>
      <c r="C16" s="48" t="s">
        <v>537</v>
      </c>
      <c r="D16" s="49" t="s">
        <v>11</v>
      </c>
      <c r="E16" s="1113" t="e">
        <f>SUM(E11:F15)</f>
        <v>#REF!</v>
      </c>
      <c r="F16" s="1114"/>
      <c r="G16" s="50" t="e">
        <f>TEXT(E16,"#,##0")</f>
        <v>#REF!</v>
      </c>
      <c r="H16" s="51" t="e">
        <f>F9-E16</f>
        <v>#REF!</v>
      </c>
    </row>
    <row r="17" spans="1:10" s="8" customFormat="1" ht="24.75" customHeight="1">
      <c r="A17" s="52"/>
      <c r="B17" s="53"/>
      <c r="C17" s="54"/>
      <c r="D17" s="54"/>
      <c r="E17" s="55"/>
      <c r="F17" s="55"/>
      <c r="G17" s="55"/>
      <c r="H17" s="51" t="e">
        <f>ROUND(H16,-2)</f>
        <v>#REF!</v>
      </c>
      <c r="I17" s="8" t="e">
        <f>TEXT(H17,"##,0#")</f>
        <v>#REF!</v>
      </c>
    </row>
    <row r="18" spans="1:10" s="1" customFormat="1" ht="21" customHeight="1">
      <c r="A18" s="2" t="s">
        <v>494</v>
      </c>
      <c r="B18" s="2"/>
      <c r="C18" s="2"/>
      <c r="D18" s="2"/>
      <c r="E18" s="2"/>
      <c r="F18" s="2"/>
      <c r="G18" s="2"/>
      <c r="H18" s="1" t="e">
        <f>ROUND(H17/10000,2)</f>
        <v>#REF!</v>
      </c>
    </row>
    <row r="19" spans="1:10" s="9" customFormat="1" ht="44.25" customHeight="1">
      <c r="A19" s="1115" t="s">
        <v>538</v>
      </c>
      <c r="B19" s="1115"/>
      <c r="C19" s="1115"/>
      <c r="D19" s="1115"/>
      <c r="E19" s="1115"/>
      <c r="F19" s="1115"/>
      <c r="G19" s="56"/>
      <c r="H19" s="9" t="s">
        <v>539</v>
      </c>
      <c r="I19" s="1116" t="e">
        <f>TEXT(I17,"[DBNum2][$-804]G/通用格式")</f>
        <v>#REF!</v>
      </c>
      <c r="J19" s="1116"/>
    </row>
    <row r="20" spans="1:10">
      <c r="H20" s="10" t="s">
        <v>540</v>
      </c>
      <c r="I20" s="10" t="e">
        <f>TEXT(G16,"[DBNum2][$-804]G/通用格式")</f>
        <v>#REF!</v>
      </c>
    </row>
  </sheetData>
  <mergeCells count="11">
    <mergeCell ref="E14:F14"/>
    <mergeCell ref="E15:F15"/>
    <mergeCell ref="E16:F16"/>
    <mergeCell ref="A19:F19"/>
    <mergeCell ref="I19:J19"/>
    <mergeCell ref="A3:F3"/>
    <mergeCell ref="D7:F7"/>
    <mergeCell ref="E11:F11"/>
    <mergeCell ref="E12:F12"/>
    <mergeCell ref="E13:F13"/>
    <mergeCell ref="A4:F5"/>
  </mergeCells>
  <phoneticPr fontId="23"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1">
    <tabColor rgb="FF0000FF"/>
  </sheetPr>
  <dimension ref="A1:P57"/>
  <sheetViews>
    <sheetView view="pageBreakPreview" topLeftCell="A25" zoomScale="115" zoomScaleSheetLayoutView="115" workbookViewId="0">
      <selection activeCell="E33" sqref="E33"/>
    </sheetView>
  </sheetViews>
  <sheetFormatPr defaultColWidth="9" defaultRowHeight="14.25"/>
  <cols>
    <col min="1" max="1" width="18.375" style="150" customWidth="1"/>
    <col min="2" max="2" width="25.5" style="150" customWidth="1"/>
    <col min="3" max="3" width="18.5" style="150" customWidth="1"/>
    <col min="4" max="4" width="18.625" style="150" customWidth="1"/>
    <col min="5" max="5" width="19.375" style="150" customWidth="1"/>
    <col min="6" max="6" width="8.875" style="150" customWidth="1"/>
    <col min="7" max="7" width="7.75" style="150" customWidth="1"/>
    <col min="8" max="8" width="7.25" style="150" customWidth="1"/>
    <col min="9" max="9" width="7.125" style="150" customWidth="1"/>
    <col min="10" max="10" width="6.875" style="150" customWidth="1"/>
    <col min="11" max="12" width="9" style="150"/>
    <col min="13" max="13" width="14.125" style="150" customWidth="1"/>
    <col min="14" max="16384" width="9" style="150"/>
  </cols>
  <sheetData>
    <row r="1" spans="1:9" ht="21" customHeight="1" thickBot="1">
      <c r="A1" s="679" t="s">
        <v>0</v>
      </c>
      <c r="B1" s="679"/>
      <c r="C1" s="679"/>
      <c r="D1" s="679"/>
    </row>
    <row r="2" spans="1:9" ht="15.75" customHeight="1">
      <c r="A2" s="536" t="s">
        <v>1</v>
      </c>
      <c r="B2" s="537" t="s">
        <v>553</v>
      </c>
      <c r="C2" s="538"/>
      <c r="D2" s="537" t="s">
        <v>588</v>
      </c>
      <c r="E2" s="671" t="s">
        <v>572</v>
      </c>
      <c r="F2" s="672"/>
      <c r="G2" s="672"/>
      <c r="H2" s="672"/>
      <c r="I2" s="673"/>
    </row>
    <row r="3" spans="1:9" ht="15.75" customHeight="1">
      <c r="A3" s="539" t="s">
        <v>2</v>
      </c>
      <c r="B3" s="364" t="s">
        <v>761</v>
      </c>
      <c r="C3" s="557" t="s">
        <v>760</v>
      </c>
      <c r="D3" s="540" t="s">
        <v>762</v>
      </c>
      <c r="E3" s="674"/>
      <c r="F3" s="675"/>
      <c r="G3" s="675"/>
      <c r="H3" s="675"/>
      <c r="I3" s="676"/>
    </row>
    <row r="4" spans="1:9" ht="15.75" customHeight="1">
      <c r="A4" s="539" t="s">
        <v>5</v>
      </c>
      <c r="B4" s="680" t="s">
        <v>763</v>
      </c>
      <c r="C4" s="681"/>
      <c r="D4" s="682"/>
      <c r="E4" s="674"/>
      <c r="F4" s="675"/>
      <c r="G4" s="675"/>
      <c r="H4" s="675"/>
      <c r="I4" s="676"/>
    </row>
    <row r="5" spans="1:9" ht="15.75" customHeight="1" thickBot="1">
      <c r="A5" s="541" t="s">
        <v>548</v>
      </c>
      <c r="B5" s="680" t="s">
        <v>764</v>
      </c>
      <c r="C5" s="681"/>
      <c r="D5" s="682"/>
      <c r="E5" s="674"/>
      <c r="F5" s="675"/>
      <c r="G5" s="677"/>
      <c r="H5" s="677"/>
      <c r="I5" s="678"/>
    </row>
    <row r="6" spans="1:9" ht="15.75" customHeight="1">
      <c r="A6" s="539" t="s">
        <v>6</v>
      </c>
      <c r="B6" s="680" t="s">
        <v>765</v>
      </c>
      <c r="C6" s="681"/>
      <c r="D6" s="682"/>
      <c r="E6" s="356"/>
      <c r="F6" s="356"/>
      <c r="G6" s="153"/>
      <c r="H6" s="153"/>
      <c r="I6" s="153"/>
    </row>
    <row r="7" spans="1:9" ht="15.75" customHeight="1">
      <c r="A7" s="542" t="s">
        <v>7</v>
      </c>
      <c r="B7" s="543" t="s">
        <v>766</v>
      </c>
      <c r="C7" s="544" t="s">
        <v>543</v>
      </c>
      <c r="D7" s="355" t="s">
        <v>766</v>
      </c>
      <c r="E7" s="175"/>
      <c r="F7" s="175"/>
    </row>
    <row r="8" spans="1:9" ht="15.75" customHeight="1">
      <c r="A8" s="189" t="s">
        <v>9</v>
      </c>
      <c r="B8" s="543" t="s">
        <v>767</v>
      </c>
      <c r="C8" s="545" t="s">
        <v>10</v>
      </c>
      <c r="D8" s="546" t="s">
        <v>11</v>
      </c>
      <c r="E8" s="154">
        <f>ROUND(70-(2016-D11)-1,0)</f>
        <v>38870</v>
      </c>
      <c r="F8" s="154">
        <f>E8</f>
        <v>38870</v>
      </c>
    </row>
    <row r="9" spans="1:9" ht="15.75" customHeight="1">
      <c r="A9" s="189" t="s">
        <v>574</v>
      </c>
      <c r="B9" s="543" t="s">
        <v>768</v>
      </c>
      <c r="C9" s="545" t="s">
        <v>722</v>
      </c>
      <c r="D9" s="547" t="s">
        <v>769</v>
      </c>
      <c r="E9" s="154"/>
      <c r="F9" s="154"/>
    </row>
    <row r="10" spans="1:9" ht="15.75" customHeight="1">
      <c r="A10" s="187" t="s">
        <v>12</v>
      </c>
      <c r="B10" s="548" t="s">
        <v>13</v>
      </c>
      <c r="C10" s="182" t="s">
        <v>14</v>
      </c>
      <c r="D10" s="549" t="s">
        <v>15</v>
      </c>
    </row>
    <row r="11" spans="1:9" ht="15.75" customHeight="1">
      <c r="A11" s="188" t="s">
        <v>16</v>
      </c>
      <c r="B11" s="550" t="s">
        <v>245</v>
      </c>
      <c r="C11" s="182" t="s">
        <v>544</v>
      </c>
      <c r="D11" s="384" t="s">
        <v>770</v>
      </c>
      <c r="E11" s="150" t="s">
        <v>19</v>
      </c>
      <c r="F11" s="154">
        <f>ROUND(70-(2017-D11)-1,0)</f>
        <v>38869</v>
      </c>
    </row>
    <row r="12" spans="1:9" ht="15.75" customHeight="1">
      <c r="A12" s="539" t="s">
        <v>20</v>
      </c>
      <c r="B12" s="551">
        <v>248.9</v>
      </c>
      <c r="C12" s="552" t="s">
        <v>21</v>
      </c>
      <c r="D12" s="553">
        <v>214.82</v>
      </c>
      <c r="E12" s="150" t="s">
        <v>22</v>
      </c>
      <c r="F12" s="156">
        <f>D12/B12</f>
        <v>0.86307754118119717</v>
      </c>
    </row>
    <row r="13" spans="1:9" ht="15.75" customHeight="1">
      <c r="A13" s="554" t="s">
        <v>23</v>
      </c>
      <c r="B13" s="555">
        <v>41593</v>
      </c>
      <c r="C13" s="183" t="s">
        <v>723</v>
      </c>
      <c r="D13" s="384" t="s">
        <v>771</v>
      </c>
      <c r="E13" s="157">
        <v>2</v>
      </c>
    </row>
    <row r="14" spans="1:9" ht="15.75" customHeight="1">
      <c r="A14" s="554" t="s">
        <v>24</v>
      </c>
      <c r="B14" s="158">
        <v>6</v>
      </c>
      <c r="C14" s="556" t="s">
        <v>545</v>
      </c>
      <c r="D14" s="384" t="s">
        <v>772</v>
      </c>
    </row>
    <row r="15" spans="1:9" ht="15.75" customHeight="1">
      <c r="A15" s="189" t="s">
        <v>26</v>
      </c>
      <c r="B15" s="557" t="s">
        <v>773</v>
      </c>
      <c r="C15" s="556" t="s">
        <v>546</v>
      </c>
      <c r="D15" s="159">
        <v>0</v>
      </c>
      <c r="E15" s="167">
        <f>(E26-D11)/365.25</f>
        <v>6.1108829568788501</v>
      </c>
      <c r="F15" s="599">
        <v>60</v>
      </c>
      <c r="G15" s="167">
        <f>F15-E15</f>
        <v>53.889117043121146</v>
      </c>
    </row>
    <row r="16" spans="1:9" ht="90.95" customHeight="1">
      <c r="A16" s="539" t="s">
        <v>27</v>
      </c>
      <c r="B16" s="683" t="str">
        <f>B48</f>
        <v>根据估价委托人提供的《房屋所有权证》估价对象登记地址为：成都市高新区交子大道199号16栋1单元9层902号,经估价人员现场查看，估价对象实际查看地址为：成都市高新区交子大道中海城南一号16栋1单元9层，未见街道门牌号及房号估价委托人尚未提供《地址变更证明》，本次评估以注册房地产估价师现场查看房地产与《房屋所有权证》界定房地产为同一标的物为假设前提，提请报告使用人注意。</v>
      </c>
      <c r="C16" s="683"/>
      <c r="D16" s="684"/>
    </row>
    <row r="17" spans="1:16" ht="30" customHeight="1">
      <c r="A17" s="539" t="s">
        <v>28</v>
      </c>
      <c r="B17" s="683" t="s">
        <v>29</v>
      </c>
      <c r="C17" s="683"/>
      <c r="D17" s="684"/>
      <c r="I17" s="160"/>
      <c r="J17" s="661"/>
      <c r="K17" s="661"/>
      <c r="L17" s="661"/>
    </row>
    <row r="18" spans="1:16" ht="39" customHeight="1">
      <c r="A18" s="539" t="s">
        <v>30</v>
      </c>
      <c r="B18" s="558" t="s">
        <v>29</v>
      </c>
      <c r="C18" s="552" t="s">
        <v>31</v>
      </c>
      <c r="D18" s="559" t="s">
        <v>29</v>
      </c>
      <c r="F18" s="166" t="s">
        <v>32</v>
      </c>
      <c r="G18" s="166"/>
      <c r="H18" s="344"/>
      <c r="I18" s="368" t="s">
        <v>33</v>
      </c>
      <c r="J18" s="368"/>
      <c r="K18" s="368"/>
      <c r="L18" s="368"/>
    </row>
    <row r="19" spans="1:16" ht="29.25" customHeight="1" thickBot="1">
      <c r="A19" s="560" t="s">
        <v>34</v>
      </c>
      <c r="B19" s="561" t="s">
        <v>29</v>
      </c>
      <c r="C19" s="562" t="s">
        <v>35</v>
      </c>
      <c r="D19" s="563" t="s">
        <v>29</v>
      </c>
      <c r="E19" s="150" t="str">
        <f>TEXT(B19,"#,##0")</f>
        <v>无</v>
      </c>
      <c r="F19" s="166"/>
      <c r="G19" s="166"/>
      <c r="H19" s="344"/>
      <c r="I19" s="368"/>
      <c r="J19" s="368"/>
      <c r="K19" s="368"/>
      <c r="L19" s="368"/>
    </row>
    <row r="20" spans="1:16" ht="9.75" customHeight="1" thickBot="1">
      <c r="A20" s="685"/>
      <c r="B20" s="686"/>
      <c r="C20" s="686"/>
      <c r="D20" s="687"/>
      <c r="F20" s="166"/>
      <c r="G20" s="166"/>
      <c r="H20" s="344"/>
      <c r="I20" s="368"/>
      <c r="J20" s="368"/>
      <c r="K20" s="368"/>
      <c r="L20" s="368"/>
    </row>
    <row r="21" spans="1:16" s="164" customFormat="1" ht="15.75" customHeight="1" thickBot="1">
      <c r="A21" s="564" t="s">
        <v>541</v>
      </c>
      <c r="B21" s="522" t="s">
        <v>774</v>
      </c>
      <c r="C21" s="565" t="s">
        <v>36</v>
      </c>
      <c r="D21" s="522" t="s">
        <v>775</v>
      </c>
      <c r="F21" s="166"/>
      <c r="G21" s="166"/>
      <c r="H21" s="344"/>
      <c r="I21" s="368"/>
      <c r="J21" s="368"/>
      <c r="K21" s="368"/>
      <c r="L21" s="368"/>
      <c r="M21" s="150"/>
      <c r="N21" s="150"/>
      <c r="O21" s="150"/>
      <c r="P21" s="150"/>
    </row>
    <row r="22" spans="1:16" ht="15.75" customHeight="1">
      <c r="A22" s="539" t="s">
        <v>37</v>
      </c>
      <c r="B22" s="566" t="str">
        <f>B7</f>
        <v>杜沛鸿</v>
      </c>
      <c r="C22" s="567" t="s">
        <v>38</v>
      </c>
      <c r="D22" s="522" t="s">
        <v>724</v>
      </c>
      <c r="F22" s="166"/>
      <c r="G22" s="166"/>
      <c r="H22" s="344"/>
      <c r="I22" s="368"/>
      <c r="J22" s="368"/>
      <c r="K22" s="368"/>
      <c r="L22" s="368"/>
    </row>
    <row r="23" spans="1:16" ht="15.75" customHeight="1" thickBot="1">
      <c r="A23" s="539" t="s">
        <v>39</v>
      </c>
      <c r="B23" s="688" t="s">
        <v>764</v>
      </c>
      <c r="C23" s="689"/>
      <c r="D23" s="690"/>
      <c r="F23" s="369" t="s">
        <v>589</v>
      </c>
      <c r="G23" s="369" t="s">
        <v>590</v>
      </c>
      <c r="H23" s="370" t="s">
        <v>591</v>
      </c>
      <c r="I23" s="369" t="s">
        <v>592</v>
      </c>
      <c r="J23" s="369" t="s">
        <v>593</v>
      </c>
      <c r="K23" s="368"/>
      <c r="L23" s="368"/>
    </row>
    <row r="24" spans="1:16" ht="15.75" customHeight="1" thickBot="1">
      <c r="A24" s="539" t="s">
        <v>40</v>
      </c>
      <c r="B24" s="548" t="s">
        <v>776</v>
      </c>
      <c r="C24" s="567" t="s">
        <v>41</v>
      </c>
      <c r="D24" s="522" t="s">
        <v>774</v>
      </c>
      <c r="F24" s="371" t="s">
        <v>29</v>
      </c>
      <c r="G24" s="371" t="s">
        <v>29</v>
      </c>
      <c r="H24" s="371" t="s">
        <v>29</v>
      </c>
      <c r="I24" s="372" t="s">
        <v>29</v>
      </c>
      <c r="J24" s="372" t="s">
        <v>513</v>
      </c>
      <c r="K24" s="368"/>
      <c r="L24" s="368"/>
    </row>
    <row r="25" spans="1:16" ht="15.75" customHeight="1" thickBot="1">
      <c r="A25" s="539" t="s">
        <v>42</v>
      </c>
      <c r="B25" s="568" t="s">
        <v>725</v>
      </c>
      <c r="C25" s="569" t="s">
        <v>43</v>
      </c>
      <c r="D25" s="522" t="s">
        <v>774</v>
      </c>
      <c r="E25" s="165"/>
      <c r="F25" s="647" t="s">
        <v>594</v>
      </c>
      <c r="G25" s="647"/>
      <c r="H25" s="647"/>
      <c r="I25" s="647"/>
      <c r="J25" s="647"/>
      <c r="K25" s="368"/>
      <c r="L25" s="368"/>
      <c r="M25" s="368"/>
    </row>
    <row r="26" spans="1:16" ht="15.75" customHeight="1" thickBot="1">
      <c r="A26" s="539" t="s">
        <v>44</v>
      </c>
      <c r="B26" s="163" t="s">
        <v>774</v>
      </c>
      <c r="C26" s="569" t="s">
        <v>45</v>
      </c>
      <c r="D26" s="522" t="s">
        <v>774</v>
      </c>
      <c r="E26" s="523">
        <v>43049</v>
      </c>
      <c r="F26" s="656" t="s">
        <v>595</v>
      </c>
      <c r="G26" s="656"/>
      <c r="H26" s="656"/>
      <c r="I26" s="656"/>
      <c r="J26" s="656"/>
      <c r="K26" s="368"/>
      <c r="L26" s="368"/>
      <c r="M26" s="368"/>
    </row>
    <row r="27" spans="1:16" ht="15.75" customHeight="1">
      <c r="A27" s="554" t="s">
        <v>46</v>
      </c>
      <c r="B27" s="163" t="s">
        <v>774</v>
      </c>
      <c r="C27" s="545"/>
      <c r="D27" s="184"/>
      <c r="E27" s="167" t="e">
        <f>ROUND((D24-E26)/365.25,2)</f>
        <v>#VALUE!</v>
      </c>
      <c r="F27" s="369" t="s">
        <v>596</v>
      </c>
      <c r="G27" s="656" t="s">
        <v>29</v>
      </c>
      <c r="H27" s="656"/>
      <c r="I27" s="656"/>
      <c r="J27" s="656"/>
      <c r="K27" s="368"/>
      <c r="L27" s="368"/>
      <c r="M27" s="368"/>
    </row>
    <row r="28" spans="1:16" ht="15.75" customHeight="1">
      <c r="A28" s="539" t="s">
        <v>47</v>
      </c>
      <c r="B28" s="570" t="s">
        <v>726</v>
      </c>
      <c r="C28" s="571" t="s">
        <v>569</v>
      </c>
      <c r="D28" s="572" t="s">
        <v>570</v>
      </c>
      <c r="E28" s="157"/>
      <c r="F28" s="357"/>
      <c r="G28" s="357"/>
      <c r="H28" s="357"/>
      <c r="I28" s="357"/>
      <c r="J28" s="357"/>
    </row>
    <row r="29" spans="1:16" ht="15.75" customHeight="1">
      <c r="A29" s="573" t="s">
        <v>631</v>
      </c>
      <c r="B29" s="574" t="s">
        <v>726</v>
      </c>
      <c r="C29" s="575" t="s">
        <v>578</v>
      </c>
      <c r="D29" s="576" t="s">
        <v>580</v>
      </c>
      <c r="G29" s="667" t="s">
        <v>48</v>
      </c>
      <c r="H29" s="667"/>
      <c r="I29" s="667"/>
      <c r="J29" s="667"/>
    </row>
    <row r="30" spans="1:16" ht="48" customHeight="1" thickBot="1">
      <c r="A30" s="560" t="s">
        <v>27</v>
      </c>
      <c r="B30" s="691" t="s">
        <v>778</v>
      </c>
      <c r="C30" s="692"/>
      <c r="D30" s="693"/>
      <c r="E30" s="166"/>
      <c r="G30" s="667"/>
      <c r="H30" s="667"/>
      <c r="I30" s="667"/>
      <c r="J30" s="667"/>
      <c r="L30" s="661"/>
      <c r="M30" s="661"/>
      <c r="N30" s="661"/>
      <c r="O30" s="661"/>
      <c r="P30" s="661"/>
    </row>
    <row r="31" spans="1:16" ht="15.75" customHeight="1">
      <c r="A31" s="694" t="s">
        <v>49</v>
      </c>
      <c r="B31" s="679"/>
      <c r="C31" s="679"/>
      <c r="D31" s="695"/>
      <c r="F31" s="167"/>
      <c r="G31" s="667"/>
      <c r="H31" s="667"/>
      <c r="I31" s="667"/>
      <c r="J31" s="667"/>
      <c r="L31" s="661"/>
      <c r="M31" s="661"/>
      <c r="N31" s="661"/>
      <c r="O31" s="661"/>
      <c r="P31" s="661"/>
    </row>
    <row r="32" spans="1:16" ht="15.75" customHeight="1">
      <c r="A32" s="577" t="s">
        <v>50</v>
      </c>
      <c r="B32" s="578">
        <f>比较法!L70</f>
        <v>31819</v>
      </c>
      <c r="C32" s="579" t="s">
        <v>51</v>
      </c>
      <c r="D32" s="580">
        <f>ROUND(B32*B12/10000,2)</f>
        <v>791.97</v>
      </c>
      <c r="E32" s="168"/>
      <c r="G32" s="667"/>
      <c r="H32" s="667"/>
      <c r="I32" s="667"/>
      <c r="J32" s="667"/>
      <c r="L32" s="661"/>
      <c r="M32" s="661"/>
      <c r="N32" s="661"/>
      <c r="O32" s="661"/>
      <c r="P32" s="661"/>
    </row>
    <row r="33" spans="1:16" ht="15.75" customHeight="1">
      <c r="A33" s="581" t="s">
        <v>52</v>
      </c>
      <c r="B33" s="696">
        <f>B34*10000</f>
        <v>7919700</v>
      </c>
      <c r="C33" s="696"/>
      <c r="D33" s="697"/>
      <c r="E33" s="168"/>
      <c r="G33" s="667"/>
      <c r="H33" s="667"/>
      <c r="I33" s="667"/>
      <c r="J33" s="667"/>
      <c r="L33" s="661"/>
      <c r="M33" s="661"/>
      <c r="N33" s="661"/>
      <c r="O33" s="661"/>
      <c r="P33" s="661"/>
    </row>
    <row r="34" spans="1:16" ht="15.75" customHeight="1">
      <c r="A34" s="591" t="s">
        <v>53</v>
      </c>
      <c r="B34" s="698">
        <f>D32-D15</f>
        <v>791.97</v>
      </c>
      <c r="C34" s="699"/>
      <c r="D34" s="700"/>
      <c r="E34" s="168"/>
      <c r="G34" s="667"/>
      <c r="H34" s="667"/>
      <c r="I34" s="667"/>
      <c r="J34" s="667"/>
      <c r="L34" s="661"/>
      <c r="M34" s="661"/>
      <c r="N34" s="661"/>
      <c r="O34" s="661"/>
      <c r="P34" s="661"/>
    </row>
    <row r="35" spans="1:16" s="171" customFormat="1" ht="15.75" customHeight="1">
      <c r="A35" s="582" t="s">
        <v>54</v>
      </c>
      <c r="B35" s="592" t="s">
        <v>89</v>
      </c>
      <c r="C35" s="593" t="s">
        <v>823</v>
      </c>
      <c r="D35" s="593" t="s">
        <v>832</v>
      </c>
      <c r="E35" s="338"/>
      <c r="G35" s="667"/>
      <c r="H35" s="667"/>
      <c r="I35" s="667"/>
      <c r="J35" s="667"/>
      <c r="L35" s="661"/>
      <c r="M35" s="661"/>
      <c r="N35" s="661"/>
      <c r="O35" s="661"/>
      <c r="P35" s="661"/>
    </row>
    <row r="36" spans="1:16" ht="15.75" customHeight="1">
      <c r="A36" s="694" t="s">
        <v>55</v>
      </c>
      <c r="B36" s="679"/>
      <c r="C36" s="679"/>
      <c r="D36" s="695"/>
      <c r="E36" s="646"/>
      <c r="F36" s="646"/>
      <c r="G36" s="667"/>
      <c r="H36" s="667"/>
      <c r="I36" s="667"/>
      <c r="J36" s="667"/>
      <c r="L36" s="661"/>
      <c r="M36" s="661"/>
      <c r="N36" s="661"/>
      <c r="O36" s="661"/>
      <c r="P36" s="661"/>
    </row>
    <row r="37" spans="1:16" ht="15.75" customHeight="1">
      <c r="A37" s="582" t="s">
        <v>827</v>
      </c>
      <c r="B37" s="583" t="s">
        <v>56</v>
      </c>
      <c r="C37" s="584" t="s">
        <v>57</v>
      </c>
      <c r="D37" s="583" t="s">
        <v>347</v>
      </c>
      <c r="E37" s="172"/>
      <c r="F37" s="172"/>
      <c r="G37" s="667"/>
      <c r="H37" s="667"/>
      <c r="I37" s="667"/>
      <c r="J37" s="667"/>
    </row>
    <row r="38" spans="1:16" ht="15.75" customHeight="1">
      <c r="A38" s="582" t="s">
        <v>59</v>
      </c>
      <c r="B38" s="583" t="s">
        <v>8</v>
      </c>
      <c r="C38" s="582" t="s">
        <v>60</v>
      </c>
      <c r="D38" s="583" t="s">
        <v>8</v>
      </c>
      <c r="E38" s="172"/>
      <c r="F38" s="172"/>
      <c r="G38" s="667"/>
      <c r="H38" s="667"/>
      <c r="I38" s="667"/>
      <c r="J38" s="667"/>
    </row>
    <row r="39" spans="1:16" ht="15.75" customHeight="1">
      <c r="A39" s="582" t="s">
        <v>61</v>
      </c>
      <c r="B39" s="583" t="s">
        <v>8</v>
      </c>
      <c r="C39" s="582" t="s">
        <v>62</v>
      </c>
      <c r="D39" s="585" t="str">
        <f>B28</f>
        <v>二〇一七年十一月十日</v>
      </c>
      <c r="E39" s="172"/>
      <c r="F39" s="172"/>
      <c r="G39" s="667"/>
      <c r="H39" s="667"/>
      <c r="I39" s="667"/>
      <c r="J39" s="667"/>
    </row>
    <row r="40" spans="1:16" ht="15.75" customHeight="1">
      <c r="A40" s="582" t="s">
        <v>64</v>
      </c>
      <c r="B40" s="586">
        <v>1</v>
      </c>
      <c r="C40" s="582" t="s">
        <v>65</v>
      </c>
      <c r="D40" s="587" t="s">
        <v>66</v>
      </c>
      <c r="E40" s="172"/>
      <c r="F40" s="172"/>
    </row>
    <row r="41" spans="1:16" ht="15.75" customHeight="1">
      <c r="A41" s="582" t="s">
        <v>67</v>
      </c>
      <c r="B41" s="586" t="s">
        <v>8</v>
      </c>
      <c r="C41" s="588">
        <f>IF(B41="袁桃",3220140149,IF(B41="纪建",3220060079,IF(B41="陆巍",6520130006,IF(B41="尹薇",5120160025,IF(B41="高卫国",3220090104)))))</f>
        <v>3220140149</v>
      </c>
      <c r="D41" s="589"/>
      <c r="E41" s="172"/>
      <c r="F41" s="172"/>
    </row>
    <row r="42" spans="1:16" ht="15.75" customHeight="1">
      <c r="A42" s="582" t="s">
        <v>68</v>
      </c>
      <c r="B42" s="586" t="s">
        <v>551</v>
      </c>
      <c r="C42" s="588">
        <f>IF(B42="袁桃",3220140149,IF(B42="纪建",3220060079,IF(B42="陆巍",6520130006,IF(B42="尹薇",5120160025,IF(B42="高卫国",3220090104)))))</f>
        <v>3220090104</v>
      </c>
      <c r="D42" s="589"/>
      <c r="E42" s="172"/>
      <c r="F42" s="172"/>
    </row>
    <row r="43" spans="1:16" ht="21" customHeight="1">
      <c r="A43" s="582" t="s">
        <v>69</v>
      </c>
      <c r="B43" s="622" t="s">
        <v>824</v>
      </c>
      <c r="C43" s="590" t="s">
        <v>823</v>
      </c>
      <c r="D43" s="623" t="s">
        <v>825</v>
      </c>
      <c r="E43" s="172"/>
      <c r="F43" s="172"/>
    </row>
    <row r="44" spans="1:16">
      <c r="A44" s="176" t="s">
        <v>70</v>
      </c>
      <c r="E44" s="172"/>
      <c r="F44" s="172"/>
    </row>
    <row r="45" spans="1:16" ht="138.94999999999999" customHeight="1">
      <c r="A45" s="177" t="s">
        <v>71</v>
      </c>
      <c r="B45" s="177" t="s">
        <v>777</v>
      </c>
      <c r="C45" s="177" t="s">
        <v>72</v>
      </c>
      <c r="D45" s="178" t="s">
        <v>73</v>
      </c>
      <c r="E45" s="177" t="s">
        <v>74</v>
      </c>
      <c r="F45" s="172"/>
    </row>
    <row r="46" spans="1:16" ht="141" customHeight="1">
      <c r="A46" s="177" t="s">
        <v>779</v>
      </c>
      <c r="B46" s="177" t="s">
        <v>76</v>
      </c>
      <c r="C46" s="177" t="s">
        <v>77</v>
      </c>
      <c r="D46" s="177" t="s">
        <v>78</v>
      </c>
      <c r="E46" s="172"/>
      <c r="F46" s="172"/>
    </row>
    <row r="47" spans="1:16" ht="86.1" customHeight="1">
      <c r="A47" s="177" t="s">
        <v>79</v>
      </c>
      <c r="B47" s="177" t="str">
        <f>CONCATENATE("估价对象《房屋所有权证》未记载估价对象房屋的建成年份，经注册房地产估价师实地调查，房屋建成年份为",'基础数据(房地产)'!D11,"年，本次估价房屋建成年份以实际调查为准。")</f>
        <v>估价对象《房屋所有权证》未记载估价对象房屋的建成年份，经注册房地产估价师实地调查，房屋建成年份为2011-10-1年，本次估价房屋建成年份以实际调查为准。</v>
      </c>
      <c r="C47" s="177" t="str">
        <f>CONCATENATE("估价对象《房屋所有权证》未记载估价对象房屋的建成年份，但根据本公司以往对该物业的其他部分评估所收集的资料显示，房屋建成年代为",D11,"年，本次估价房屋建成年代以同一小区的其他物业资料登记为准。")</f>
        <v>估价对象《房屋所有权证》未记载估价对象房屋的建成年份，但根据本公司以往对该物业的其他部分评估所收集的资料显示，房屋建成年代为2011-10-1年，本次估价房屋建成年代以同一小区的其他物业资料登记为准。</v>
      </c>
      <c r="D47" s="175"/>
      <c r="E47" s="172"/>
      <c r="F47" s="172"/>
    </row>
    <row r="48" spans="1:16" ht="119.1" customHeight="1">
      <c r="A48" s="177" t="s">
        <v>80</v>
      </c>
      <c r="B48" s="177" t="str">
        <f>CONCATENATE("根据估价委托人提供的《房屋所有权证》估价对象登记地址为：",'基础数据(房地产)'!B5,",经估价人员现场查看，估价对象实际查看地址为：",'基础数据(房地产)'!B6,"估价委托人尚未提供《地址变更证明》，本次评估以注册房地产估价师现场查看房地产与《房屋所有权证》界定房地产为同一标的物为假设前提，提请报告使用人注意。")</f>
        <v>根据估价委托人提供的《房屋所有权证》估价对象登记地址为：成都市高新区交子大道199号16栋1单元9层902号,经估价人员现场查看，估价对象实际查看地址为：成都市高新区交子大道中海城南一号16栋1单元9层，未见街道门牌号及房号估价委托人尚未提供《地址变更证明》，本次评估以注册房地产估价师现场查看房地产与《房屋所有权证》界定房地产为同一标的物为假设前提，提请报告使用人注意。</v>
      </c>
      <c r="C48" s="177" t="str">
        <f>CONCATENATE("根据估价委托人提供的《房屋所有权证》估价对象登记地址为：",'基础数据(房地产)'!B5,",经估价人员现场查看，估价对象实际查看地址为：",'基础数据(房地产)'!B6,"估价委托人尚未提供《地址证明》，本次评估以注册房地产估价师现场查看房地产与《房屋所有权证》界定房地产为同一标的物为假设前提，提请报告使用人注意。")</f>
        <v>根据估价委托人提供的《房屋所有权证》估价对象登记地址为：成都市高新区交子大道199号16栋1单元9层902号,经估价人员现场查看，估价对象实际查看地址为：成都市高新区交子大道中海城南一号16栋1单元9层，未见街道门牌号及房号估价委托人尚未提供《地址证明》，本次评估以注册房地产估价师现场查看房地产与《房屋所有权证》界定房地产为同一标的物为假设前提，提请报告使用人注意。</v>
      </c>
      <c r="D48" s="177" t="str">
        <f>CONCATENATE("根据估价委托人提供的《房屋所有权证》估价对象登记地址为：",'基础数据(房地产)'!B5,",经估价人员现场查看，估价对象实际查看地址为：",'基础数据(房地产)'!B6,"根据估价委托人提供的《地址变更证明》，本次评估注册房地产估价师现场查看房地产与《房屋所有权证》界定房地产为同一标的物。")</f>
        <v>根据估价委托人提供的《房屋所有权证》估价对象登记地址为：成都市高新区交子大道199号16栋1单元9层902号,经估价人员现场查看，估价对象实际查看地址为：成都市高新区交子大道中海城南一号16栋1单元9层，未见街道门牌号及房号根据估价委托人提供的《地址变更证明》，本次评估注册房地产估价师现场查看房地产与《房屋所有权证》界定房地产为同一标的物。</v>
      </c>
      <c r="E48" s="177" t="str">
        <f>CONCATENATE("根据估价委托人提供的《房屋所有权证》估价对象登记地址为：",'基础数据(房地产)'!B5,",经估价人员现场查看，估价对象实际查看地址为：",'基础数据(房地产)'!B6,"根据估价委托人提供的《地址证明》，本次评估注册房地产估价师现场查看房地产与《房屋所有权证》界定房地产为同一标的物。")</f>
        <v>根据估价委托人提供的《房屋所有权证》估价对象登记地址为：成都市高新区交子大道199号16栋1单元9层902号,经估价人员现场查看，估价对象实际查看地址为：成都市高新区交子大道中海城南一号16栋1单元9层，未见街道门牌号及房号根据估价委托人提供的《地址证明》，本次评估注册房地产估价师现场查看房地产与《房屋所有权证》界定房地产为同一标的物。</v>
      </c>
      <c r="F48" s="172"/>
    </row>
    <row r="49" spans="1:6" ht="138" customHeight="1">
      <c r="A49" s="177" t="s">
        <v>81</v>
      </c>
      <c r="B49" s="177" t="s">
        <v>82</v>
      </c>
      <c r="C49" s="177" t="s">
        <v>83</v>
      </c>
      <c r="D49" s="177" t="s">
        <v>84</v>
      </c>
      <c r="E49" s="177" t="s">
        <v>85</v>
      </c>
      <c r="F49" s="172"/>
    </row>
    <row r="50" spans="1:6" ht="138.94999999999999" customHeight="1">
      <c r="A50" s="177" t="s">
        <v>86</v>
      </c>
      <c r="B50" s="177" t="str">
        <f>CONCATENATE("此次评估现场查看时间为",B29,"，价值时点为",B28,"，此价值时点非估价对象实地查勘之日，本报告假设估价对象在价值时点的状况与在完成实地查勘之日的状况一致。")</f>
        <v>此次评估现场查看时间为二〇一七年十一月十日，价值时点为二〇一七年十一月十日，此价值时点非估价对象实地查勘之日，本报告假设估价对象在价值时点的状况与在完成实地查勘之日的状况一致。</v>
      </c>
      <c r="C50" s="177" t="str">
        <f>CONCATENATE("此次评估现场查看时间为",B29,"，估价委托人提供的《房屋所有权证》登记时间为",B28,"根据合法原则：遵循合法原则，应以估价对象的合法使用、合法处分为股价前提，故此次估价价值时点为",B28,"，此价值时点非估价对象实地查勘之日，本报告假设估价对象在价值时点的状况与在完成实地查勘之日的状况一致。")</f>
        <v>此次评估现场查看时间为二〇一七年十一月十日，估价委托人提供的《房屋所有权证》登记时间为二〇一七年十一月十日根据合法原则：遵循合法原则，应以估价对象的合法使用、合法处分为股价前提，故此次估价价值时点为二〇一七年十一月十日，此价值时点非估价对象实地查勘之日，本报告假设估价对象在价值时点的状况与在完成实地查勘之日的状况一致。</v>
      </c>
      <c r="D50" s="179" t="s">
        <v>87</v>
      </c>
    </row>
    <row r="51" spans="1:6" ht="65.099999999999994" customHeight="1">
      <c r="A51" s="177" t="s">
        <v>88</v>
      </c>
      <c r="B51" s="177"/>
      <c r="C51" s="180"/>
      <c r="D51" s="181"/>
    </row>
    <row r="52" spans="1:6" ht="42.95" customHeight="1">
      <c r="A52" s="175" t="s">
        <v>89</v>
      </c>
      <c r="B52" s="177" t="s">
        <v>90</v>
      </c>
      <c r="C52" s="180"/>
    </row>
    <row r="53" spans="1:6" ht="38.1" customHeight="1">
      <c r="A53" s="175" t="s">
        <v>91</v>
      </c>
      <c r="B53" s="177" t="s">
        <v>554</v>
      </c>
    </row>
    <row r="54" spans="1:6" ht="44.1" customHeight="1">
      <c r="A54" s="175" t="s">
        <v>92</v>
      </c>
      <c r="B54" s="177" t="s">
        <v>93</v>
      </c>
    </row>
    <row r="55" spans="1:6" ht="73.5">
      <c r="A55" s="175" t="s">
        <v>94</v>
      </c>
      <c r="B55" s="177" t="s">
        <v>95</v>
      </c>
    </row>
    <row r="56" spans="1:6">
      <c r="A56" s="175"/>
      <c r="B56" s="175"/>
    </row>
    <row r="57" spans="1:6">
      <c r="A57" s="175"/>
      <c r="B57" s="175"/>
    </row>
  </sheetData>
  <autoFilter ref="A1:P55"/>
  <mergeCells count="21">
    <mergeCell ref="G29:J39"/>
    <mergeCell ref="L30:P36"/>
    <mergeCell ref="B30:D30"/>
    <mergeCell ref="A31:D31"/>
    <mergeCell ref="B33:D33"/>
    <mergeCell ref="B34:D34"/>
    <mergeCell ref="A36:D36"/>
    <mergeCell ref="E36:F36"/>
    <mergeCell ref="F25:J25"/>
    <mergeCell ref="F26:J26"/>
    <mergeCell ref="G27:J27"/>
    <mergeCell ref="B16:D16"/>
    <mergeCell ref="B17:D17"/>
    <mergeCell ref="J17:L17"/>
    <mergeCell ref="A20:D20"/>
    <mergeCell ref="B23:D23"/>
    <mergeCell ref="E2:I5"/>
    <mergeCell ref="A1:D1"/>
    <mergeCell ref="B4:D4"/>
    <mergeCell ref="B5:D5"/>
    <mergeCell ref="B6:D6"/>
  </mergeCells>
  <phoneticPr fontId="23" type="noConversion"/>
  <dataValidations count="28">
    <dataValidation type="list" allowBlank="1" showInputMessage="1" showErrorMessage="1" sqref="A10">
      <formula1>"规划用途,设计用途"</formula1>
    </dataValidation>
    <dataValidation type="list" allowBlank="1" showInputMessage="1" showErrorMessage="1" sqref="B11">
      <formula1>"框剪,框架,钢混,砖混,砖木,混合"</formula1>
    </dataValidation>
    <dataValidation type="list" allowBlank="1" showInputMessage="1" showErrorMessage="1" sqref="B41:B42">
      <formula1>"袁桃,纪建,尹薇,高卫国,陆巍"</formula1>
    </dataValidation>
    <dataValidation type="list" allowBlank="1" showInputMessage="1" showErrorMessage="1" sqref="A11">
      <formula1>"结构,结构（现场查勘）"</formula1>
    </dataValidation>
    <dataValidation type="list" allowBlank="1" showInputMessage="1" showErrorMessage="1" sqref="A8">
      <formula1>"《房屋所有权证》编号,《不动产权证》编号"</formula1>
    </dataValidation>
    <dataValidation type="list" allowBlank="1" showInputMessage="1" showErrorMessage="1" sqref="B10">
      <formula1>"住宅,公寓,商业,办公,写字楼,科研用房"</formula1>
    </dataValidation>
    <dataValidation type="list" allowBlank="1" showInputMessage="1" showErrorMessage="1" sqref="C11">
      <formula1>"房龄,建成年代"</formula1>
    </dataValidation>
    <dataValidation type="list" allowBlank="1" showInputMessage="1" showErrorMessage="1" sqref="C10">
      <formula1>"共有情况,产别"</formula1>
    </dataValidation>
    <dataValidation type="list" allowBlank="1" showInputMessage="1" showErrorMessage="1" sqref="D10">
      <formula1>"单独所有,共同共有,私产,私人所有房产,按份共有"</formula1>
    </dataValidation>
    <dataValidation type="list" allowBlank="1" showInputMessage="1" showErrorMessage="1" sqref="C13">
      <formula1>"档案保管号,业务件号,丘（地）号"</formula1>
    </dataValidation>
    <dataValidation type="list" allowBlank="1" showInputMessage="1" showErrorMessage="1" sqref="A15">
      <formula1>"总层数,房屋总层数"</formula1>
    </dataValidation>
    <dataValidation type="list" allowBlank="1" showInputMessage="1" showErrorMessage="1" sqref="B24">
      <formula1>"住宅用地,假设住宅,住宅,商业"</formula1>
    </dataValidation>
    <dataValidation type="list" allowBlank="1" showInputMessage="1" showErrorMessage="1" sqref="B25">
      <formula1>"出让,划拨,假设出让,出让（《房屋所有权证》记载）"</formula1>
    </dataValidation>
    <dataValidation type="list" allowBlank="1" showInputMessage="1" showErrorMessage="1" promptTitle="比较法，比较法、收益法，比较法、成本法" sqref="B35">
      <formula1>"比较法,比较法、收益法,比较法、成本法,比较法、假设开发法,收益法、成本法,收益法、假设开发法,成本法、假设开发法"</formula1>
    </dataValidation>
    <dataValidation type="list" allowBlank="1" showInputMessage="1" showErrorMessage="1" sqref="D38 B37:B39">
      <formula1>"袁桃,杨骞,唐文治,陈也,温健"</formula1>
    </dataValidation>
    <dataValidation type="list" allowBlank="1" showInputMessage="1" showErrorMessage="1" sqref="D37">
      <formula1>"抵押,公开市场价值,其它"</formula1>
    </dataValidation>
    <dataValidation type="list" allowBlank="1" showInputMessage="1" showErrorMessage="1" sqref="B40">
      <formula1>"1,2,3,4,5,6"</formula1>
    </dataValidation>
    <dataValidation showInputMessage="1" showErrorMessage="1" sqref="D43"/>
    <dataValidation type="list" allowBlank="1" showInputMessage="1" showErrorMessage="1" sqref="B3">
      <formula1>"苏海估CDQ字［2017］,苏海估CDY字［2017］"</formula1>
    </dataValidation>
    <dataValidation type="list" allowBlank="1" showInputMessage="1" showErrorMessage="1" sqref="D28">
      <formula1>"规则，呈标准四边形,规则，呈标准多边形,较规则，呈较规折四边形,较规折，呈较规则多边形,不规则，影响正常利用"</formula1>
    </dataValidation>
    <dataValidation type="list" allowBlank="1" showInputMessage="1" showErrorMessage="1" sqref="A9">
      <formula1>"身份证住址,住所"</formula1>
    </dataValidation>
    <dataValidation type="list" allowBlank="1" showInputMessage="1" showErrorMessage="1" sqref="C9">
      <formula1>"身份证号,统一社会信用代码,营业执照编号"</formula1>
    </dataValidation>
    <dataValidation type="list" allowBlank="1" showInputMessage="1" showErrorMessage="1" sqref="D3">
      <formula1>"苏海估CDQ技字［2017］,苏海估CDY技字［2017］"</formula1>
    </dataValidation>
    <dataValidation type="list" allowBlank="1" showInputMessage="1" showErrorMessage="1" sqref="F24 G24 H24 I24">
      <formula1>"已设立,无"</formula1>
    </dataValidation>
    <dataValidation type="list" allowBlank="1" showInputMessage="1" showErrorMessage="1" sqref="J24">
      <formula1>"清晰,不清晰"</formula1>
    </dataValidation>
    <dataValidation type="list" allowBlank="1" showInputMessage="1" showErrorMessage="1" sqref="F26:J26">
      <formula1>"土地未对外出租，未设定抵押，不存在抵押等他项权利,土地已对外出租，未设定抵押，已设定租赁权，不存在租赁权以外的他项权利,土地未对外出租，已设定抵押，已设定抵押权，不存在除抵押权以外的他项权利,土地已对外出租，已设定抵押，已设定租赁权，不存在除抵押权和租赁权以外的他项权利"</formula1>
    </dataValidation>
    <dataValidation type="list" allowBlank="1" showInputMessage="1" showErrorMessage="1" sqref="G27:J27">
      <formula1>"无,根据估价委托人提供的资料和相关调查，估价对象已补查封限制"</formula1>
    </dataValidation>
    <dataValidation type="list" allowBlank="1" showInputMessage="1" showErrorMessage="1" sqref="D29">
      <formula1>"平坦,有一定起伏利于造景,高低差较大,不平坦"</formula1>
    </dataValidation>
  </dataValidations>
  <printOptions horizontalCentered="1"/>
  <pageMargins left="0.74791666666666701" right="0.74791666666666701" top="0.78680555555555598" bottom="0.78680555555555598" header="0.51180555555555596" footer="0.51180555555555596"/>
  <pageSetup paperSize="9" orientation="portrait" r:id="rId1"/>
  <headerFooter alignWithMargins="0"/>
  <legacyDrawing r:id="rId2"/>
  <picture r:id="rId3"/>
</worksheet>
</file>

<file path=xl/worksheets/sheet3.xml><?xml version="1.0" encoding="utf-8"?>
<worksheet xmlns="http://schemas.openxmlformats.org/spreadsheetml/2006/main" xmlns:r="http://schemas.openxmlformats.org/officeDocument/2006/relationships">
  <sheetPr codeName="Sheet2">
    <tabColor rgb="FF0000FF"/>
  </sheetPr>
  <dimension ref="A1:V49"/>
  <sheetViews>
    <sheetView workbookViewId="0">
      <selection activeCell="K6" sqref="K6"/>
    </sheetView>
  </sheetViews>
  <sheetFormatPr defaultColWidth="9" defaultRowHeight="14.25"/>
  <cols>
    <col min="1" max="4" width="9" style="171"/>
    <col min="5" max="5" width="14.875" style="171"/>
    <col min="6" max="10" width="9" style="171"/>
    <col min="11" max="11" width="12.5" style="171" customWidth="1"/>
    <col min="12" max="16384" width="9" style="171"/>
  </cols>
  <sheetData>
    <row r="1" spans="1:18" ht="8.25" customHeight="1">
      <c r="C1" s="744" t="s">
        <v>96</v>
      </c>
      <c r="D1" s="744"/>
      <c r="E1" s="744"/>
      <c r="F1" s="744"/>
    </row>
    <row r="2" spans="1:18">
      <c r="C2" s="744"/>
      <c r="D2" s="744"/>
      <c r="E2" s="744"/>
      <c r="F2" s="744"/>
      <c r="H2" s="346" t="s">
        <v>555</v>
      </c>
      <c r="I2" s="345" t="s">
        <v>781</v>
      </c>
      <c r="J2" s="347" t="s">
        <v>565</v>
      </c>
      <c r="K2" s="347" t="s">
        <v>783</v>
      </c>
      <c r="L2" s="528" t="s">
        <v>740</v>
      </c>
      <c r="M2" s="529">
        <v>89.12</v>
      </c>
    </row>
    <row r="3" spans="1:18">
      <c r="A3" s="745" t="s">
        <v>97</v>
      </c>
      <c r="B3" s="745"/>
      <c r="C3" s="745"/>
      <c r="D3" s="745"/>
      <c r="E3" s="745"/>
      <c r="F3" s="745"/>
      <c r="G3" s="745"/>
      <c r="H3" s="346" t="s">
        <v>563</v>
      </c>
      <c r="I3" s="345" t="s">
        <v>257</v>
      </c>
      <c r="J3" s="347" t="s">
        <v>566</v>
      </c>
      <c r="K3" s="348" t="s">
        <v>568</v>
      </c>
      <c r="L3" s="742" t="s">
        <v>98</v>
      </c>
      <c r="M3" s="742"/>
      <c r="N3" s="742"/>
      <c r="O3" s="742"/>
    </row>
    <row r="4" spans="1:18">
      <c r="A4" s="746"/>
      <c r="B4" s="746"/>
      <c r="C4" s="746"/>
      <c r="D4" s="746"/>
      <c r="E4" s="746"/>
      <c r="F4" s="746"/>
      <c r="G4" s="746"/>
      <c r="H4" s="346" t="s">
        <v>564</v>
      </c>
      <c r="I4" s="345" t="s">
        <v>557</v>
      </c>
      <c r="J4" s="347" t="s">
        <v>567</v>
      </c>
      <c r="K4" s="348" t="s">
        <v>235</v>
      </c>
      <c r="L4" s="742"/>
      <c r="M4" s="742"/>
      <c r="N4" s="742"/>
      <c r="O4" s="742"/>
    </row>
    <row r="5" spans="1:18" ht="15.75">
      <c r="A5" s="706" t="s">
        <v>99</v>
      </c>
      <c r="B5" s="708"/>
      <c r="C5" s="708"/>
      <c r="D5" s="709" t="str">
        <f>'基础数据(房地产)'!B4</f>
        <v>中海城南一号</v>
      </c>
      <c r="E5" s="710"/>
      <c r="F5" s="214" t="s">
        <v>18</v>
      </c>
      <c r="G5" s="192" t="str">
        <f>'基础数据(房地产)'!D11</f>
        <v>2011-10-1</v>
      </c>
      <c r="H5" s="214" t="s">
        <v>100</v>
      </c>
      <c r="I5" s="711" t="str">
        <f>'基础数据(房地产)'!B11</f>
        <v>钢混</v>
      </c>
      <c r="J5" s="712"/>
      <c r="K5" s="624" t="s">
        <v>831</v>
      </c>
      <c r="L5" s="215" t="s">
        <v>101</v>
      </c>
      <c r="M5" s="193" t="s">
        <v>784</v>
      </c>
      <c r="N5" s="215" t="s">
        <v>102</v>
      </c>
      <c r="O5" s="194" t="s">
        <v>103</v>
      </c>
    </row>
    <row r="6" spans="1:18" ht="15.75">
      <c r="A6" s="713" t="s">
        <v>780</v>
      </c>
      <c r="B6" s="714"/>
      <c r="C6" s="714"/>
      <c r="D6" s="715" t="str">
        <f>I2</f>
        <v>4室2厅1厨3卫</v>
      </c>
      <c r="E6" s="716"/>
      <c r="F6" s="214" t="s">
        <v>104</v>
      </c>
      <c r="G6" s="605" t="s">
        <v>203</v>
      </c>
      <c r="H6" s="214" t="s">
        <v>105</v>
      </c>
      <c r="I6" s="711" t="s">
        <v>161</v>
      </c>
      <c r="J6" s="717"/>
      <c r="L6" s="215" t="s">
        <v>106</v>
      </c>
      <c r="M6" s="194" t="s">
        <v>107</v>
      </c>
      <c r="N6" s="215" t="s">
        <v>108</v>
      </c>
      <c r="O6" s="194" t="s">
        <v>789</v>
      </c>
    </row>
    <row r="7" spans="1:18" ht="15.75">
      <c r="A7" s="718" t="s">
        <v>109</v>
      </c>
      <c r="B7" s="708"/>
      <c r="C7" s="708"/>
      <c r="D7" s="719" t="s">
        <v>110</v>
      </c>
      <c r="E7" s="720"/>
      <c r="F7" s="214" t="s">
        <v>111</v>
      </c>
      <c r="G7" s="195" t="s">
        <v>112</v>
      </c>
      <c r="H7" s="214" t="s">
        <v>113</v>
      </c>
      <c r="I7" s="719" t="s">
        <v>114</v>
      </c>
      <c r="J7" s="719"/>
      <c r="L7" s="215" t="s">
        <v>115</v>
      </c>
      <c r="M7" s="194" t="s">
        <v>785</v>
      </c>
      <c r="N7" s="215" t="s">
        <v>116</v>
      </c>
      <c r="O7" s="194" t="s">
        <v>117</v>
      </c>
    </row>
    <row r="8" spans="1:18" ht="15.75">
      <c r="A8" s="706" t="s">
        <v>118</v>
      </c>
      <c r="B8" s="708"/>
      <c r="C8" s="708"/>
      <c r="D8" s="721" t="str">
        <f>'基础数据(房地产)'!B15</f>
        <v>28</v>
      </c>
      <c r="E8" s="722"/>
      <c r="F8" s="214" t="s">
        <v>119</v>
      </c>
      <c r="G8" s="192" t="str">
        <f>'基础数据(房地产)'!D14</f>
        <v>9</v>
      </c>
      <c r="H8" s="214" t="s">
        <v>120</v>
      </c>
      <c r="I8" s="723" t="s">
        <v>13</v>
      </c>
      <c r="J8" s="724"/>
      <c r="L8" s="215" t="s">
        <v>121</v>
      </c>
      <c r="M8" s="194" t="s">
        <v>786</v>
      </c>
      <c r="N8" s="215"/>
      <c r="O8" s="194"/>
    </row>
    <row r="9" spans="1:18" ht="15.75">
      <c r="A9" s="728" t="s">
        <v>782</v>
      </c>
      <c r="B9" s="729"/>
      <c r="C9" s="730"/>
      <c r="D9" s="731" t="str">
        <f>K2</f>
        <v>两梯四户</v>
      </c>
      <c r="E9" s="732"/>
      <c r="F9" s="214" t="s">
        <v>122</v>
      </c>
      <c r="G9" s="192" t="s">
        <v>123</v>
      </c>
      <c r="H9" s="214" t="s">
        <v>124</v>
      </c>
      <c r="I9" s="733" t="s">
        <v>125</v>
      </c>
      <c r="J9" s="734"/>
      <c r="L9" s="215" t="s">
        <v>126</v>
      </c>
      <c r="M9" s="194" t="s">
        <v>787</v>
      </c>
      <c r="N9" s="215"/>
      <c r="O9" s="194"/>
    </row>
    <row r="10" spans="1:18" ht="15.75" customHeight="1">
      <c r="A10" s="706" t="s">
        <v>127</v>
      </c>
      <c r="B10" s="708"/>
      <c r="C10" s="708"/>
      <c r="D10" s="709" t="s">
        <v>128</v>
      </c>
      <c r="E10" s="709"/>
      <c r="F10" s="709"/>
      <c r="G10" s="710"/>
      <c r="H10" s="710"/>
      <c r="I10" s="710"/>
      <c r="J10" s="710"/>
      <c r="K10" s="196"/>
      <c r="L10" s="216" t="s">
        <v>129</v>
      </c>
      <c r="M10" s="197" t="s">
        <v>788</v>
      </c>
      <c r="N10" s="216"/>
      <c r="O10" s="197"/>
      <c r="P10" s="198"/>
    </row>
    <row r="11" spans="1:18" ht="14.25" customHeight="1">
      <c r="A11" s="704" t="s">
        <v>130</v>
      </c>
      <c r="B11" s="747"/>
      <c r="C11" s="749" t="str">
        <f>K12</f>
        <v>估价对象所在建筑物外墙为条形砖，估价对象入户为防盗门，室内安装实木门分户，安装塑钢窗；室内客厅地面铺花岗石，墙面刷墙纸，顶棚为墙纸；卧室地面铺花岗石，墙面为墙纸,顶棚为墙纸；厨房及卫生间地面铺设防滑地砖、墙面为瓷砖满贴，顶棚采用塑料扣板吊顶。</v>
      </c>
      <c r="D11" s="750"/>
      <c r="E11" s="751"/>
      <c r="F11" s="751"/>
      <c r="G11" s="751"/>
      <c r="H11" s="751"/>
      <c r="I11" s="751"/>
      <c r="J11" s="752"/>
      <c r="K11" s="349" t="s">
        <v>131</v>
      </c>
      <c r="L11" s="217" t="s">
        <v>132</v>
      </c>
      <c r="M11" s="199" t="s">
        <v>788</v>
      </c>
      <c r="N11" s="217"/>
      <c r="O11" s="197"/>
      <c r="P11" s="739" t="s">
        <v>133</v>
      </c>
      <c r="Q11" s="739"/>
    </row>
    <row r="12" spans="1:18" ht="76.5" customHeight="1">
      <c r="A12" s="748"/>
      <c r="B12" s="747"/>
      <c r="C12" s="753"/>
      <c r="D12" s="751"/>
      <c r="E12" s="751"/>
      <c r="F12" s="751"/>
      <c r="G12" s="751"/>
      <c r="H12" s="751"/>
      <c r="I12" s="751"/>
      <c r="J12" s="752"/>
      <c r="K12" s="740" t="str">
        <f>CONCATENATE("估价对象所在建筑物外墙为",M5,"，估价对象入户为",M6,"，室内安装",M7,"分户，安装",M8,"；室内客厅地面铺",M9,"，墙面刷",M10,"，顶棚为",M11,"；卧室地面铺",M9,"，墙面为",M10,",顶棚为",M11,"；厨房及卫生间地面铺设",O5,"、墙面为",O6,"，顶棚采用",O7,"吊顶。")</f>
        <v>估价对象所在建筑物外墙为条形砖，估价对象入户为防盗门，室内安装实木门分户，安装塑钢窗；室内客厅地面铺花岗石，墙面刷墙纸，顶棚为墙纸；卧室地面铺花岗石，墙面为墙纸,顶棚为墙纸；厨房及卫生间地面铺设防滑地砖、墙面为瓷砖满贴，顶棚采用塑料扣板吊顶。</v>
      </c>
      <c r="L12" s="740"/>
      <c r="M12" s="740"/>
      <c r="N12" s="740"/>
      <c r="O12" s="740" t="str">
        <f>CONCATENATE("估价对象所在建筑物外墙为",M5,"，估价对象入户为",M6,"，安装",M8,"；室内地面铺",M9,"，墙面刷",M10,"，顶棚为",M11,"；卫生间地面铺设",O5,"、墙面为",O6,"，顶棚采用",O7,"吊顶。")</f>
        <v>估价对象所在建筑物外墙为条形砖，估价对象入户为防盗门，安装塑钢窗；室内地面铺花岗石，墙面刷墙纸，顶棚为墙纸；卫生间地面铺设防滑地砖、墙面为瓷砖满贴，顶棚采用塑料扣板吊顶。</v>
      </c>
      <c r="P12" s="740"/>
      <c r="Q12" s="740"/>
      <c r="R12" s="740"/>
    </row>
    <row r="13" spans="1:18">
      <c r="A13" s="725" t="s">
        <v>134</v>
      </c>
      <c r="B13" s="725"/>
      <c r="C13" s="726" t="s">
        <v>135</v>
      </c>
      <c r="D13" s="727"/>
      <c r="E13" s="727"/>
      <c r="F13" s="727"/>
      <c r="G13" s="727"/>
      <c r="H13" s="727"/>
      <c r="I13" s="727"/>
      <c r="J13" s="727"/>
    </row>
    <row r="14" spans="1:18">
      <c r="A14" s="761" t="s">
        <v>109</v>
      </c>
      <c r="B14" s="756"/>
      <c r="C14" s="754" t="str">
        <f>CONCATENATE("估价对象位于“",'基础数据(房地产)'!B4,"”小区，该小区位于",K15,"，",M14,"",M15,"，",N14,"",N15,"，",O14,"",O15,"，",P14,"",P15,"，区位条件",U17,"。")</f>
        <v>估价对象位于“中海城南一号”小区，该小区位于成都市南面，三环路外，东临益州大道，南临锦悦西二街，西临成汉南路，北临交子大道，区位条件较好。</v>
      </c>
      <c r="D14" s="755"/>
      <c r="E14" s="755"/>
      <c r="F14" s="755"/>
      <c r="G14" s="755"/>
      <c r="H14" s="755"/>
      <c r="I14" s="755"/>
      <c r="J14" s="756"/>
      <c r="K14" s="763" t="s">
        <v>136</v>
      </c>
      <c r="L14" s="764"/>
      <c r="M14" s="200" t="s">
        <v>137</v>
      </c>
      <c r="N14" s="201" t="s">
        <v>138</v>
      </c>
      <c r="O14" s="200" t="s">
        <v>139</v>
      </c>
      <c r="P14" s="202" t="s">
        <v>140</v>
      </c>
      <c r="Q14" s="203" t="s">
        <v>141</v>
      </c>
    </row>
    <row r="15" spans="1:18" ht="40.5" customHeight="1">
      <c r="A15" s="757"/>
      <c r="B15" s="759"/>
      <c r="C15" s="757"/>
      <c r="D15" s="758"/>
      <c r="E15" s="758"/>
      <c r="F15" s="758"/>
      <c r="G15" s="758"/>
      <c r="H15" s="758"/>
      <c r="I15" s="758"/>
      <c r="J15" s="759"/>
      <c r="K15" s="765" t="s">
        <v>790</v>
      </c>
      <c r="L15" s="766"/>
      <c r="M15" s="616" t="s">
        <v>794</v>
      </c>
      <c r="N15" s="616" t="s">
        <v>793</v>
      </c>
      <c r="O15" s="616" t="s">
        <v>791</v>
      </c>
      <c r="P15" s="617" t="s">
        <v>792</v>
      </c>
      <c r="Q15" s="617" t="s">
        <v>795</v>
      </c>
    </row>
    <row r="16" spans="1:18">
      <c r="A16" s="762" t="s">
        <v>142</v>
      </c>
      <c r="B16" s="756"/>
      <c r="C16" s="754" t="str">
        <f>CONCATENATE("区域内分布有",P15,"，",N15,"，",M15,"，",O15,"等多条道路，并通过以上道路与城市主要干道相连，形成较为发达的交通网络，区域内道路通达度较好，附近有",Q15,"等多条公交线路途经并就近设有公交站点，估价对象所在小区出入口无交通限制，公交便捷度",V17,"。")</f>
        <v>区域内分布有交子大道，锦悦西二街，益州大道，成汉南路等多条道路，并通过以上道路与城市主要干道相连，形成较为发达的交通网络，区域内道路通达度较好，附近有84、115、188、236、505路等多条公交线路途经并就近设有公交站点，估价对象所在小区出入口无交通限制，公交便捷度较高。</v>
      </c>
      <c r="D16" s="755"/>
      <c r="E16" s="755"/>
      <c r="F16" s="755"/>
      <c r="G16" s="755"/>
      <c r="H16" s="755"/>
      <c r="I16" s="755"/>
      <c r="J16" s="756"/>
      <c r="M16" s="171" t="s">
        <v>143</v>
      </c>
      <c r="N16" s="171" t="s">
        <v>144</v>
      </c>
      <c r="O16" s="171" t="s">
        <v>145</v>
      </c>
      <c r="P16" s="204" t="s">
        <v>146</v>
      </c>
    </row>
    <row r="17" spans="1:22" ht="74.25" customHeight="1">
      <c r="A17" s="757"/>
      <c r="B17" s="759"/>
      <c r="C17" s="757"/>
      <c r="D17" s="758"/>
      <c r="E17" s="758"/>
      <c r="F17" s="758"/>
      <c r="G17" s="758"/>
      <c r="H17" s="758"/>
      <c r="I17" s="758"/>
      <c r="J17" s="759"/>
      <c r="K17" s="185"/>
      <c r="L17" s="741" t="str">
        <f>CONCATENATE("附近有",Q15,"等多条公交线路途经并就近设有公交站点")</f>
        <v>附近有84、115、188、236、505路等多条公交线路途经并就近设有公交站点</v>
      </c>
      <c r="M17" s="741"/>
      <c r="N17" s="741"/>
      <c r="O17" s="527"/>
      <c r="P17" s="527"/>
      <c r="Q17" s="527"/>
      <c r="R17" s="527"/>
      <c r="S17" s="527"/>
      <c r="T17" s="527"/>
      <c r="U17" s="205" t="s">
        <v>147</v>
      </c>
      <c r="V17" s="205" t="s">
        <v>148</v>
      </c>
    </row>
    <row r="18" spans="1:22" ht="52.5" customHeight="1">
      <c r="A18" s="704" t="s">
        <v>149</v>
      </c>
      <c r="B18" s="767"/>
      <c r="C18" s="735" t="str">
        <f>CONCATENATE("该区域内分布有",C23,"、",D23,"、",E23,"、",C24,"、",D24,"、",E24,"、",C25,"、",D25,"、",E25,"、",C26,"、",D26,"、",E26,"等，该区域内生活配套设施齐全。")</f>
        <v>该区域内分布有红旗超市、二十四时便利店、七十一便利店、宋庆龄国际幼稚园、泡桐树小学天府校区、成都市石室天府中学、乐山商业银行、农业银行、成都农商银行、成都市第一人民医院、成都高薪民爱医院、成都市中西医结合医院等，该区域内生活配套设施齐全。</v>
      </c>
      <c r="D18" s="736"/>
      <c r="E18" s="736"/>
      <c r="F18" s="736"/>
      <c r="G18" s="736"/>
      <c r="H18" s="736"/>
      <c r="I18" s="736"/>
      <c r="J18" s="737"/>
      <c r="L18" s="206" t="s">
        <v>148</v>
      </c>
      <c r="M18" s="207" t="s">
        <v>148</v>
      </c>
      <c r="N18" s="738" t="str">
        <f>CONCATENATE("东至：",M15,"，西至：",O15,"，南至：",N15,"，北至：",P15)</f>
        <v>东至：益州大道，西至：成汉南路，南至：锦悦西二街，北至：交子大道</v>
      </c>
      <c r="O18" s="738"/>
      <c r="P18" s="738"/>
      <c r="Q18" s="208"/>
    </row>
    <row r="19" spans="1:22" ht="50.25" customHeight="1">
      <c r="A19" s="760" t="s">
        <v>150</v>
      </c>
      <c r="B19" s="737"/>
      <c r="C19" s="735" t="str">
        <f>CONCATENATE("周边分布有",C27,"、",D27,"、",E27,"等住宅小区，常住人口众多，居住氛围浓厚。")</f>
        <v>周边分布有誉峰、仁和春天国际公寓、天府新谷等住宅小区，常住人口众多，居住氛围浓厚。</v>
      </c>
      <c r="D19" s="736"/>
      <c r="E19" s="736"/>
      <c r="F19" s="736"/>
      <c r="G19" s="736"/>
      <c r="H19" s="736"/>
      <c r="I19" s="736"/>
      <c r="J19" s="737"/>
      <c r="K19" s="367" t="s">
        <v>577</v>
      </c>
      <c r="L19" s="769" t="s">
        <v>796</v>
      </c>
      <c r="M19" s="769"/>
      <c r="N19" s="769"/>
      <c r="O19" s="769"/>
      <c r="P19" s="366" t="s">
        <v>225</v>
      </c>
      <c r="Q19" s="209"/>
    </row>
    <row r="20" spans="1:22" ht="50.25" customHeight="1">
      <c r="A20" s="704" t="s">
        <v>558</v>
      </c>
      <c r="B20" s="705"/>
      <c r="C20" s="701" t="str">
        <f>CONCATENATE("周边分布有",C27,"、",D27,"、",E27,"等住宅小区，常住人口及流动人口众多，商业氛围浓厚。")</f>
        <v>周边分布有誉峰、仁和春天国际公寓、天府新谷等住宅小区，常住人口及流动人口众多，商业氛围浓厚。</v>
      </c>
      <c r="D20" s="702"/>
      <c r="E20" s="702"/>
      <c r="F20" s="702"/>
      <c r="G20" s="702"/>
      <c r="H20" s="702"/>
      <c r="I20" s="702"/>
      <c r="J20" s="703"/>
      <c r="K20" s="367" t="s">
        <v>579</v>
      </c>
      <c r="L20" s="770" t="s">
        <v>642</v>
      </c>
      <c r="M20" s="770"/>
      <c r="N20" s="770"/>
      <c r="O20" s="770"/>
      <c r="P20" s="366"/>
      <c r="Q20" s="209"/>
    </row>
    <row r="21" spans="1:22" ht="50.25" customHeight="1">
      <c r="A21" s="706" t="s">
        <v>559</v>
      </c>
      <c r="B21" s="706"/>
      <c r="C21" s="707" t="str">
        <f>CONCATENATE("周边分布有",C28,"、",D28,"、",E28,"等中高档写字楼，办公聚集度较高。")</f>
        <v>周边分布有时代八号、ifs国际金融中心、时代1号等中高档写字楼，办公聚集度较高。</v>
      </c>
      <c r="D21" s="707"/>
      <c r="E21" s="707"/>
      <c r="F21" s="707"/>
      <c r="G21" s="707"/>
      <c r="H21" s="707"/>
      <c r="I21" s="707"/>
      <c r="J21" s="707"/>
      <c r="K21" s="367" t="s">
        <v>578</v>
      </c>
      <c r="L21" s="770" t="s">
        <v>580</v>
      </c>
      <c r="M21" s="770"/>
      <c r="N21" s="770"/>
      <c r="O21" s="770"/>
      <c r="P21" s="366"/>
      <c r="Q21" s="209"/>
    </row>
    <row r="22" spans="1:22">
      <c r="K22" s="377" t="s">
        <v>598</v>
      </c>
      <c r="L22" s="771" t="str">
        <f>L23</f>
        <v>《国有土地使用证》编号为“/”，土地面积：/㎡</v>
      </c>
      <c r="M22" s="771"/>
      <c r="N22" s="771"/>
      <c r="O22" s="771"/>
      <c r="P22" s="771"/>
      <c r="Q22" s="208"/>
    </row>
    <row r="23" spans="1:22" ht="15.75" customHeight="1">
      <c r="A23" s="210"/>
      <c r="B23" s="218" t="s">
        <v>151</v>
      </c>
      <c r="C23" s="211" t="s">
        <v>797</v>
      </c>
      <c r="D23" s="211" t="s">
        <v>798</v>
      </c>
      <c r="E23" s="211" t="s">
        <v>799</v>
      </c>
      <c r="F23" s="743" t="s">
        <v>152</v>
      </c>
      <c r="G23" s="743"/>
      <c r="H23" s="743"/>
      <c r="I23" s="743"/>
      <c r="K23" s="205"/>
      <c r="L23" s="768" t="str">
        <f>CONCATENATE("《国有土地使用证》编号为“/”，土地面积：/㎡")</f>
        <v>《国有土地使用证》编号为“/”，土地面积：/㎡</v>
      </c>
      <c r="M23" s="768"/>
      <c r="N23" s="768"/>
      <c r="O23" s="768"/>
      <c r="P23" s="768"/>
      <c r="Q23" s="208"/>
    </row>
    <row r="24" spans="1:22" ht="23.1" customHeight="1">
      <c r="A24" s="210"/>
      <c r="B24" s="218" t="s">
        <v>153</v>
      </c>
      <c r="C24" s="211" t="s">
        <v>800</v>
      </c>
      <c r="D24" s="211" t="s">
        <v>801</v>
      </c>
      <c r="E24" s="211" t="s">
        <v>802</v>
      </c>
      <c r="F24" s="743"/>
      <c r="G24" s="743"/>
      <c r="H24" s="743"/>
      <c r="I24" s="743"/>
      <c r="K24" s="212"/>
      <c r="L24" s="768" t="str">
        <f>CONCATENATE("《国有土地使用证》编号为“",'基础数据(房地产)'!B21,"”，土地面积：",'基础数据(房地产)'!D25,"㎡")</f>
        <v>《国有土地使用证》编号为“-”，土地面积：-㎡</v>
      </c>
      <c r="M24" s="768"/>
      <c r="N24" s="768"/>
      <c r="O24" s="768"/>
      <c r="P24" s="768"/>
      <c r="Q24" s="208"/>
    </row>
    <row r="25" spans="1:22" ht="15.75" customHeight="1">
      <c r="A25" s="210"/>
      <c r="B25" s="218" t="s">
        <v>154</v>
      </c>
      <c r="C25" s="211" t="s">
        <v>803</v>
      </c>
      <c r="D25" s="211" t="s">
        <v>155</v>
      </c>
      <c r="E25" s="211" t="s">
        <v>804</v>
      </c>
      <c r="K25" s="212"/>
      <c r="L25" s="212"/>
      <c r="M25" s="212"/>
      <c r="N25" s="212"/>
      <c r="O25" s="212"/>
      <c r="P25" s="212"/>
      <c r="Q25" s="208"/>
    </row>
    <row r="26" spans="1:22" ht="22.5">
      <c r="A26" s="210"/>
      <c r="B26" s="218" t="s">
        <v>156</v>
      </c>
      <c r="C26" s="211" t="s">
        <v>805</v>
      </c>
      <c r="D26" s="211" t="s">
        <v>806</v>
      </c>
      <c r="E26" s="211" t="s">
        <v>807</v>
      </c>
    </row>
    <row r="27" spans="1:22" ht="22.5">
      <c r="A27" s="210"/>
      <c r="B27" s="218" t="s">
        <v>157</v>
      </c>
      <c r="C27" s="211" t="s">
        <v>808</v>
      </c>
      <c r="D27" s="211" t="s">
        <v>809</v>
      </c>
      <c r="E27" s="211" t="s">
        <v>810</v>
      </c>
    </row>
    <row r="28" spans="1:22" ht="22.5">
      <c r="B28" s="218" t="s">
        <v>556</v>
      </c>
      <c r="C28" s="211" t="s">
        <v>560</v>
      </c>
      <c r="D28" s="211" t="s">
        <v>561</v>
      </c>
      <c r="E28" s="211" t="s">
        <v>562</v>
      </c>
    </row>
    <row r="49" spans="5:5">
      <c r="E49" s="213"/>
    </row>
  </sheetData>
  <mergeCells count="50">
    <mergeCell ref="L19:O19"/>
    <mergeCell ref="L20:O20"/>
    <mergeCell ref="L21:O21"/>
    <mergeCell ref="L22:P22"/>
    <mergeCell ref="L23:P23"/>
    <mergeCell ref="L3:O4"/>
    <mergeCell ref="F23:I24"/>
    <mergeCell ref="C1:F2"/>
    <mergeCell ref="A3:G4"/>
    <mergeCell ref="A11:B12"/>
    <mergeCell ref="C11:J12"/>
    <mergeCell ref="C14:J15"/>
    <mergeCell ref="A19:B19"/>
    <mergeCell ref="C19:J19"/>
    <mergeCell ref="A14:B15"/>
    <mergeCell ref="A16:B17"/>
    <mergeCell ref="C16:J17"/>
    <mergeCell ref="K14:L14"/>
    <mergeCell ref="K15:L15"/>
    <mergeCell ref="A18:B18"/>
    <mergeCell ref="L24:P24"/>
    <mergeCell ref="C18:J18"/>
    <mergeCell ref="N18:P18"/>
    <mergeCell ref="P11:Q11"/>
    <mergeCell ref="K12:N12"/>
    <mergeCell ref="O12:R12"/>
    <mergeCell ref="L17:N17"/>
    <mergeCell ref="A13:B13"/>
    <mergeCell ref="C13:J13"/>
    <mergeCell ref="A9:C9"/>
    <mergeCell ref="D9:E9"/>
    <mergeCell ref="I9:J9"/>
    <mergeCell ref="A10:C10"/>
    <mergeCell ref="D10:J10"/>
    <mergeCell ref="C20:J20"/>
    <mergeCell ref="A20:B20"/>
    <mergeCell ref="A21:B21"/>
    <mergeCell ref="C21:J21"/>
    <mergeCell ref="A5:C5"/>
    <mergeCell ref="D5:E5"/>
    <mergeCell ref="I5:J5"/>
    <mergeCell ref="A6:C6"/>
    <mergeCell ref="D6:E6"/>
    <mergeCell ref="I6:J6"/>
    <mergeCell ref="A7:C7"/>
    <mergeCell ref="D7:E7"/>
    <mergeCell ref="I7:J7"/>
    <mergeCell ref="A8:C8"/>
    <mergeCell ref="D8:E8"/>
    <mergeCell ref="I8:J8"/>
  </mergeCells>
  <phoneticPr fontId="23" type="noConversion"/>
  <dataValidations count="28">
    <dataValidation type="list" allowBlank="1" showInputMessage="1" showErrorMessage="1" sqref="I5:J5">
      <formula1>"框剪,框架,钢混,砖混,砖木"</formula1>
    </dataValidation>
    <dataValidation type="list" allowBlank="1" showInputMessage="1" showErrorMessage="1" sqref="I6:J6">
      <formula1>"平层,错层,跃层"</formula1>
    </dataValidation>
    <dataValidation type="list" allowBlank="1" showInputMessage="1" showErrorMessage="1" sqref="M5">
      <formula1>"涂料,条形砖,水泥找平,红砖,玻璃幕墙,铝扣板,涂料局部面砖,铝扣板局部玻璃幕墙"</formula1>
    </dataValidation>
    <dataValidation type="list" allowBlank="1" showInputMessage="1" showErrorMessage="1" sqref="O6">
      <formula1>"瓷砖满贴,涂料,下部瓷砖上部涂料,白色腻子刮平,水泥砂浆抹平"</formula1>
    </dataValidation>
    <dataValidation type="list" allowBlank="1" showInputMessage="1" showErrorMessage="1" sqref="G6">
      <formula1>"东,南,西,北,东南,东北,西南,西北,南北"</formula1>
    </dataValidation>
    <dataValidation type="list" allowBlank="1" showInputMessage="1" showErrorMessage="1" sqref="O5">
      <formula1>"水泥地坪,防滑地砖"</formula1>
    </dataValidation>
    <dataValidation type="list" allowBlank="1" showInputMessage="1" showErrorMessage="1" sqref="O8 M9">
      <formula1>"水泥地坪,普通地砖,玻化地砖,大理石,花岗石,强化木地板,实木地板"</formula1>
    </dataValidation>
    <dataValidation type="list" allowBlank="1" showInputMessage="1" showErrorMessage="1" sqref="I2">
      <formula1>"1室0厅1厨1卫,1室1厅1厨1卫,2室1厅1厨1卫,2室2厅1厨1卫,2室2厅1厨2卫,3室1厅1厨1卫,3室2厅1厨1卫,3室2厅1厨2卫,3室2厅1厨3卫,4室1厅1厨1卫,4室2厅1厨1卫,4室2厅1厨2卫,4室2厅1厨3卫,4室3厅1厨3卫,5室3厅1厨3卫,5室3厅1厨4卫"</formula1>
    </dataValidation>
    <dataValidation type="list" allowBlank="1" showInputMessage="1" showErrorMessage="1" sqref="M6">
      <formula1>"防盗门,实木门,铁门,玻璃地弹门,铝合金卷帘门,外铝合金卷帘门内玻璃门"</formula1>
    </dataValidation>
    <dataValidation type="list" allowBlank="1" showInputMessage="1" showErrorMessage="1" sqref="D7:E7">
      <formula1>"临街,不临街,一面临街,两面临街,三面临街,四面临街"</formula1>
    </dataValidation>
    <dataValidation type="list" allowBlank="1" showInputMessage="1" showErrorMessage="1" sqref="I7:J7">
      <formula1>"自用,空置,出租"</formula1>
    </dataValidation>
    <dataValidation type="list" allowBlank="1" showInputMessage="1" showErrorMessage="1" sqref="M7">
      <formula1>"木门,实木门,玻璃门"</formula1>
    </dataValidation>
    <dataValidation type="list" allowBlank="1" showInputMessage="1" showErrorMessage="1" sqref="O7">
      <formula1>"塑料扣板,铝合金扣板,矿棉板吊顶,涂料,白色腻子刮平,水泥砂浆抹平"</formula1>
    </dataValidation>
    <dataValidation type="list" allowBlank="1" showInputMessage="1" showErrorMessage="1" sqref="I8:J8">
      <formula1>"住宅,商业,办公,厂房,学校,医院,公共服务"</formula1>
    </dataValidation>
    <dataValidation type="list" allowBlank="1" showInputMessage="1" showErrorMessage="1" sqref="M8">
      <formula1>"木窗,钢窗,塑钢窗,铝合金窗"</formula1>
    </dataValidation>
    <dataValidation type="list" allowBlank="1" showInputMessage="1" showErrorMessage="1" sqref="I9:J9">
      <formula1>"完好房,基本完好房,一般损坏房,严重损坏房"</formula1>
    </dataValidation>
    <dataValidation type="list" allowBlank="1" showInputMessage="1" showErrorMessage="1" sqref="M10">
      <formula1>"白色腻子刮平,水泥砂浆抹平,涂料,乳胶漆,墙纸,软包,木扣板,玻璃装饰"</formula1>
    </dataValidation>
    <dataValidation type="list" allowBlank="1" showInputMessage="1" showErrorMessage="1" sqref="M11">
      <formula1>"白色腻子刮平,水泥砂浆抹平,涂料,乳胶漆,墙纸,铝合金扣板吊顶,木扣板吊顶,层板吊顶,塑料扣板吊顶"</formula1>
    </dataValidation>
    <dataValidation type="list" allowBlank="1" showInputMessage="1" showErrorMessage="1" sqref="I4">
      <formula1>"超甲级写字楼,甲级写字楼,乙级写字楼,普通办公楼"</formula1>
    </dataValidation>
    <dataValidation type="list" allowBlank="1" showInputMessage="1" showErrorMessage="1" sqref="I3">
      <formula1>"合理,较大,较小"</formula1>
    </dataValidation>
    <dataValidation type="list" allowBlank="1" showInputMessage="1" showErrorMessage="1" sqref="A6:C6">
      <formula1>"写字楼级别,户型,深宽比"</formula1>
    </dataValidation>
    <dataValidation type="list" allowBlank="1" showInputMessage="1" showErrorMessage="1" sqref="A9:C9">
      <formula1>"单元户数,临街类型,车位配比"</formula1>
    </dataValidation>
    <dataValidation type="list" allowBlank="1" showInputMessage="1" showErrorMessage="1" sqref="K3">
      <formula1>"步行街,交通型主干道,交通型次干道,生活型主干道,生活型次干道,支路,混合型主干道"</formula1>
    </dataValidation>
    <dataValidation type="list" allowBlank="1" showInputMessage="1" showErrorMessage="1" sqref="K4">
      <formula1>"充足,不充足"</formula1>
    </dataValidation>
    <dataValidation type="list" allowBlank="1" showInputMessage="1" showErrorMessage="1" sqref="L19:O19">
      <formula1>"宗地红线内达到“五通”（通路、通上水、通下水、通电、通讯）的开发水平，宗地红线外达到“六通”（通上水、通下水、通电、通讯、通气、通路）的开发水平,宗地红线内外均达到“六通”（通路、通上水、通下水、通电、通气、通讯）的开发水平"</formula1>
    </dataValidation>
    <dataValidation type="list" allowBlank="1" showInputMessage="1" showErrorMessage="1" sqref="L20:O20">
      <formula1>"地质承载力强，利于建设,地质承载力较强，利于建设,地质承载力一般，对建设无影响,地质承载力较差，但无需特殊处理,地质承载力差，并需特殊处理"</formula1>
    </dataValidation>
    <dataValidation type="list" allowBlank="1" showInputMessage="1" showErrorMessage="1" sqref="L21:O21">
      <formula1>"有一定起伏利于造景,平坦,地形起伏过大,地形起伏较小"</formula1>
    </dataValidation>
    <dataValidation type="list" allowBlank="1" showInputMessage="1" showErrorMessage="1" sqref="P19">
      <formula1>"五通一平,六通一平"</formula1>
    </dataValidation>
  </dataValidations>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sheetPr>
    <tabColor rgb="FFFFFF00"/>
  </sheetPr>
  <dimension ref="B2:U342"/>
  <sheetViews>
    <sheetView topLeftCell="A65" workbookViewId="0">
      <selection activeCell="C346" sqref="C346"/>
    </sheetView>
  </sheetViews>
  <sheetFormatPr defaultRowHeight="12.75"/>
  <cols>
    <col min="1" max="6" width="9" style="443"/>
    <col min="7" max="8" width="9" style="446"/>
    <col min="9" max="16384" width="9" style="443"/>
  </cols>
  <sheetData>
    <row r="2" spans="2:21" ht="14.25">
      <c r="D2" s="786" t="s">
        <v>649</v>
      </c>
      <c r="E2" s="786"/>
      <c r="F2" s="786"/>
      <c r="G2" s="786"/>
      <c r="H2" s="786"/>
      <c r="I2" s="786"/>
      <c r="J2" s="786"/>
      <c r="L2" s="444"/>
      <c r="M2" s="444"/>
      <c r="O2" s="445" t="s">
        <v>650</v>
      </c>
      <c r="P2" s="428" t="s">
        <v>646</v>
      </c>
    </row>
    <row r="4" spans="2:21">
      <c r="D4" s="447" t="s">
        <v>651</v>
      </c>
      <c r="E4" s="448"/>
      <c r="K4" s="449" t="s">
        <v>652</v>
      </c>
      <c r="L4" s="450"/>
      <c r="M4" s="450"/>
      <c r="N4" s="451"/>
      <c r="O4" s="452"/>
      <c r="P4" s="452"/>
      <c r="Q4" s="452"/>
      <c r="R4" s="452"/>
      <c r="S4" s="452"/>
      <c r="T4" s="452"/>
      <c r="U4" s="453"/>
    </row>
    <row r="6" spans="2:21" ht="14.25">
      <c r="B6" s="787" t="s">
        <v>653</v>
      </c>
      <c r="C6" s="787"/>
      <c r="D6" s="787"/>
      <c r="E6" s="787"/>
      <c r="F6" s="787"/>
      <c r="G6" s="787"/>
      <c r="H6" s="787"/>
      <c r="I6" s="787"/>
      <c r="J6" s="787"/>
      <c r="K6" s="787"/>
      <c r="L6" s="787"/>
      <c r="M6" s="787"/>
      <c r="N6" s="787"/>
    </row>
    <row r="7" spans="2:21" ht="20.25">
      <c r="B7" s="454">
        <v>1</v>
      </c>
      <c r="C7" s="455" t="s">
        <v>654</v>
      </c>
      <c r="D7" s="456">
        <f>'收益法（确定毛收益）'!L69</f>
        <v>1068</v>
      </c>
      <c r="E7" s="457"/>
      <c r="F7" s="458"/>
      <c r="G7" s="459"/>
      <c r="H7" s="459"/>
      <c r="I7" s="788" t="s">
        <v>655</v>
      </c>
      <c r="J7" s="788"/>
      <c r="K7" s="788"/>
      <c r="L7" s="788"/>
      <c r="M7" s="788"/>
      <c r="N7" s="788"/>
    </row>
    <row r="8" spans="2:21" ht="24">
      <c r="B8" s="454">
        <v>2</v>
      </c>
      <c r="C8" s="455" t="s">
        <v>656</v>
      </c>
      <c r="D8" s="460">
        <f>ROUND(D7*(1-E8)*F8,2)</f>
        <v>1025.28</v>
      </c>
      <c r="E8" s="461">
        <v>0.04</v>
      </c>
      <c r="F8" s="462">
        <v>1</v>
      </c>
      <c r="G8" s="463">
        <f>E8*100</f>
        <v>4</v>
      </c>
      <c r="H8" s="463">
        <f>F8*100</f>
        <v>100</v>
      </c>
      <c r="I8" s="776" t="str">
        <f>"1.1 年毛租金收入="&amp;D7&amp;"×"&amp;"(100-"&amp;G8&amp;")%×"&amp;H8&amp;"%="&amp;D8&amp;"元/㎡"</f>
        <v>1.1 年毛租金收入=1068×(100-4)%×100%=1025.28元/㎡</v>
      </c>
      <c r="J8" s="777"/>
      <c r="K8" s="777"/>
      <c r="L8" s="777"/>
      <c r="M8" s="777"/>
      <c r="N8" s="777"/>
      <c r="O8" s="777"/>
    </row>
    <row r="9" spans="2:21" ht="24">
      <c r="B9" s="454"/>
      <c r="C9" s="455" t="s">
        <v>657</v>
      </c>
      <c r="D9" s="460">
        <f>ROUND(D7/12*3*E9,2)</f>
        <v>3.34</v>
      </c>
      <c r="E9" s="461">
        <v>1.2500000000000001E-2</v>
      </c>
      <c r="F9" s="462"/>
      <c r="G9" s="463">
        <f>E9*100</f>
        <v>1.25</v>
      </c>
      <c r="H9" s="464"/>
      <c r="I9" s="776" t="str">
        <f>"1.2 其他（押金）收入="&amp;D7&amp;"/12×3"&amp;"×"&amp;G9&amp;"%="&amp;D9&amp;"元/㎡"</f>
        <v>1.2 其他（押金）收入=1068/12×3×1.25%=3.34元/㎡</v>
      </c>
      <c r="J9" s="777"/>
      <c r="K9" s="777"/>
      <c r="L9" s="777"/>
      <c r="M9" s="777"/>
      <c r="N9" s="777"/>
      <c r="O9" s="777"/>
    </row>
    <row r="10" spans="2:21" ht="24">
      <c r="B10" s="454"/>
      <c r="C10" s="465" t="s">
        <v>658</v>
      </c>
      <c r="D10" s="460">
        <f>D8+D9</f>
        <v>1028.6199999999999</v>
      </c>
      <c r="E10" s="461"/>
      <c r="F10" s="462"/>
      <c r="G10" s="464"/>
      <c r="H10" s="464"/>
      <c r="I10" s="778" t="str">
        <f>"1.2 年有效毛收入合计="&amp;D8&amp;"+"&amp;D9&amp;"="&amp;D10&amp;"元/㎡"</f>
        <v>1.2 年有效毛收入合计=1025.28+3.34=1028.62元/㎡</v>
      </c>
      <c r="J10" s="779"/>
      <c r="K10" s="779"/>
      <c r="L10" s="779"/>
      <c r="M10" s="779"/>
      <c r="N10" s="779"/>
      <c r="O10" s="779"/>
    </row>
    <row r="11" spans="2:21" ht="18.75">
      <c r="B11" s="454">
        <v>3.1</v>
      </c>
      <c r="C11" s="455" t="s">
        <v>659</v>
      </c>
      <c r="D11" s="466">
        <f>ROUND(D8*E11,2)</f>
        <v>20.51</v>
      </c>
      <c r="E11" s="461">
        <v>0.02</v>
      </c>
      <c r="G11" s="467"/>
      <c r="H11" s="467"/>
      <c r="I11" s="776" t="str">
        <f>"2.1 年管理费="&amp;D8&amp;"×"&amp;E11&amp;"="&amp;D11&amp;"元/㎡"</f>
        <v>2.1 年管理费=1025.28×0.02=20.51元/㎡</v>
      </c>
      <c r="J11" s="777"/>
      <c r="K11" s="777"/>
      <c r="L11" s="777"/>
      <c r="M11" s="777"/>
      <c r="N11" s="777"/>
      <c r="O11" s="777"/>
    </row>
    <row r="12" spans="2:21" ht="18.75">
      <c r="B12" s="454">
        <v>3.2</v>
      </c>
      <c r="C12" s="455" t="s">
        <v>660</v>
      </c>
      <c r="D12" s="466">
        <f>F12*E12</f>
        <v>25.5</v>
      </c>
      <c r="E12" s="468">
        <v>1.4999999999999999E-2</v>
      </c>
      <c r="F12" s="469">
        <v>1700</v>
      </c>
      <c r="G12" s="470"/>
      <c r="H12" s="470"/>
      <c r="I12" s="776" t="str">
        <f>"2.2 年维修费="&amp;F12&amp;"×"&amp;E12&amp;"="&amp;D12&amp;"元/㎡"</f>
        <v>2.2 年维修费=1700×0.015=25.5元/㎡</v>
      </c>
      <c r="J12" s="777"/>
      <c r="K12" s="777"/>
      <c r="L12" s="777"/>
      <c r="M12" s="777"/>
      <c r="N12" s="777"/>
      <c r="O12" s="777"/>
    </row>
    <row r="13" spans="2:21" ht="18.75">
      <c r="B13" s="454">
        <v>3.3</v>
      </c>
      <c r="C13" s="455" t="s">
        <v>661</v>
      </c>
      <c r="D13" s="466">
        <f>F12*E13</f>
        <v>1.7</v>
      </c>
      <c r="E13" s="468">
        <v>1E-3</v>
      </c>
      <c r="F13" s="471"/>
      <c r="G13" s="472"/>
      <c r="H13" s="472"/>
      <c r="I13" s="776" t="str">
        <f>"2.3 年保险费="&amp;F12&amp;"×"&amp;E13&amp;"="&amp;D13&amp;"元/㎡"</f>
        <v>2.3 年保险费=1700×0.001=1.7元/㎡</v>
      </c>
      <c r="J13" s="777"/>
      <c r="K13" s="777"/>
      <c r="L13" s="777"/>
      <c r="M13" s="777"/>
      <c r="N13" s="777"/>
      <c r="O13" s="777"/>
    </row>
    <row r="14" spans="2:21" ht="18.75">
      <c r="B14" s="454">
        <v>3.41</v>
      </c>
      <c r="C14" s="455" t="s">
        <v>662</v>
      </c>
      <c r="D14" s="466">
        <f>ROUND(D8*E14,2)</f>
        <v>123.03</v>
      </c>
      <c r="E14" s="473">
        <v>0.12</v>
      </c>
      <c r="F14" s="471"/>
      <c r="G14" s="472"/>
      <c r="H14" s="472"/>
      <c r="I14" s="776" t="str">
        <f>"3.1 年房产税="&amp;D8&amp;"×"&amp;E14&amp;"="&amp;D14&amp;"元/㎡"</f>
        <v>3.1 年房产税=1025.28×0.12=123.03元/㎡</v>
      </c>
      <c r="J14" s="777"/>
      <c r="K14" s="777"/>
      <c r="L14" s="777"/>
      <c r="M14" s="777"/>
      <c r="N14" s="777"/>
      <c r="O14" s="777"/>
    </row>
    <row r="15" spans="2:21" ht="18.75">
      <c r="B15" s="454">
        <v>3.42</v>
      </c>
      <c r="C15" s="474" t="s">
        <v>663</v>
      </c>
      <c r="D15" s="466">
        <f>ROUND(D8/(1+E15)*E15,2)</f>
        <v>48.82</v>
      </c>
      <c r="E15" s="475">
        <v>0.05</v>
      </c>
      <c r="F15" s="471"/>
      <c r="G15" s="472"/>
      <c r="H15" s="472"/>
      <c r="I15" s="776" t="str">
        <f>"3.2 年增值税="&amp;D8&amp;"/（1+"&amp;E15&amp;"）×"&amp;E15&amp;"="&amp;D15&amp;"元/㎡"</f>
        <v>3.2 年增值税=1025.28/（1+0.05）×0.05=48.82元/㎡</v>
      </c>
      <c r="J15" s="777"/>
      <c r="K15" s="777"/>
      <c r="L15" s="777"/>
      <c r="M15" s="777"/>
      <c r="N15" s="777"/>
      <c r="O15" s="777"/>
      <c r="P15" s="476" t="s">
        <v>664</v>
      </c>
    </row>
    <row r="16" spans="2:21" ht="24">
      <c r="B16" s="454">
        <v>3.43</v>
      </c>
      <c r="C16" s="455" t="s">
        <v>665</v>
      </c>
      <c r="D16" s="466">
        <f>ROUND(D15*E16,2)</f>
        <v>3.42</v>
      </c>
      <c r="E16" s="473">
        <v>7.0000000000000007E-2</v>
      </c>
      <c r="F16" s="471"/>
      <c r="G16" s="472"/>
      <c r="H16" s="472"/>
      <c r="I16" s="776" t="str">
        <f>"3.3 年城市维护建设税="&amp;D15&amp;"×"&amp;E16&amp;"="&amp;D16&amp;"元/㎡"</f>
        <v>3.3 年城市维护建设税=48.82×0.07=3.42元/㎡</v>
      </c>
      <c r="J16" s="777"/>
      <c r="K16" s="777"/>
      <c r="L16" s="777"/>
      <c r="M16" s="777"/>
      <c r="N16" s="777"/>
      <c r="O16" s="777"/>
    </row>
    <row r="17" spans="2:15" ht="18.75">
      <c r="B17" s="454">
        <v>3.44</v>
      </c>
      <c r="C17" s="455" t="s">
        <v>666</v>
      </c>
      <c r="D17" s="466">
        <f>ROUND(D15*E17,2)</f>
        <v>1.95</v>
      </c>
      <c r="E17" s="473">
        <v>0.04</v>
      </c>
      <c r="F17" s="471"/>
      <c r="G17" s="472"/>
      <c r="H17" s="472"/>
      <c r="I17" s="776" t="str">
        <f>"3.4 年教育费附加="&amp;D15&amp;"×"&amp;E17&amp;"="&amp;D17&amp;"元/㎡"</f>
        <v>3.4 年教育费附加=48.82×0.04=1.95元/㎡</v>
      </c>
      <c r="J17" s="777"/>
      <c r="K17" s="777"/>
      <c r="L17" s="777"/>
      <c r="M17" s="777"/>
      <c r="N17" s="777"/>
      <c r="O17" s="777"/>
    </row>
    <row r="18" spans="2:15" ht="18.75">
      <c r="B18" s="454">
        <v>3.45</v>
      </c>
      <c r="C18" s="455" t="s">
        <v>667</v>
      </c>
      <c r="D18" s="466">
        <f xml:space="preserve"> ROUND(D8*E18,2)</f>
        <v>1.03</v>
      </c>
      <c r="E18" s="473">
        <v>1E-3</v>
      </c>
      <c r="F18" s="471"/>
      <c r="G18" s="472"/>
      <c r="H18" s="472"/>
      <c r="I18" s="776" t="str">
        <f>"3.5 年印花税="&amp;D8&amp;"×"&amp;E18&amp;"="&amp;D18&amp;"元/㎡"</f>
        <v>3.5 年印花税=1025.28×0.001=1.03元/㎡</v>
      </c>
      <c r="J18" s="777"/>
      <c r="K18" s="777"/>
      <c r="L18" s="777"/>
      <c r="M18" s="777"/>
      <c r="N18" s="777"/>
      <c r="O18" s="777"/>
    </row>
    <row r="19" spans="2:15" ht="18.75">
      <c r="B19" s="454">
        <v>3.4</v>
      </c>
      <c r="C19" s="465" t="s">
        <v>668</v>
      </c>
      <c r="D19" s="466">
        <f>ROUND(D14+D15+D16+D17+D18,2)</f>
        <v>178.25</v>
      </c>
      <c r="E19" s="473"/>
      <c r="F19" s="471"/>
      <c r="G19" s="472"/>
      <c r="H19" s="472"/>
      <c r="I19" s="778" t="str">
        <f>"3.6 年税金合计="&amp;D14&amp;"+"&amp;D15&amp;"+"&amp;D16&amp;"+"&amp;D17&amp;"+"&amp;D18&amp;"="&amp;D19&amp;"元/㎡"</f>
        <v>3.6 年税金合计=123.03+48.82+3.42+1.95+1.03=178.25元/㎡</v>
      </c>
      <c r="J19" s="779"/>
      <c r="K19" s="779"/>
      <c r="L19" s="779"/>
      <c r="M19" s="779"/>
      <c r="N19" s="779"/>
      <c r="O19" s="779"/>
    </row>
    <row r="20" spans="2:15" ht="24">
      <c r="B20" s="454">
        <v>3</v>
      </c>
      <c r="C20" s="465" t="s">
        <v>669</v>
      </c>
      <c r="D20" s="466">
        <f>D11+D12+D13+D19</f>
        <v>225.96</v>
      </c>
      <c r="E20" s="468"/>
      <c r="F20" s="471"/>
      <c r="G20" s="472"/>
      <c r="H20" s="472"/>
      <c r="I20" s="778" t="str">
        <f>"3.7 年总运营费用合计 ="&amp;D11&amp;"+"&amp;D12&amp;"+"&amp;D13&amp;"+"&amp;D19&amp;"="&amp;D20&amp;"元/㎡"</f>
        <v>3.7 年总运营费用合计 =20.51+25.5+1.7+178.25=225.96元/㎡</v>
      </c>
      <c r="J20" s="779"/>
      <c r="K20" s="779"/>
      <c r="L20" s="779"/>
      <c r="M20" s="779"/>
      <c r="N20" s="779"/>
      <c r="O20" s="779"/>
    </row>
    <row r="21" spans="2:15" ht="18.75">
      <c r="B21" s="454">
        <v>5</v>
      </c>
      <c r="C21" s="465" t="s">
        <v>670</v>
      </c>
      <c r="D21" s="477">
        <f>ROUND(D8-D20,2)</f>
        <v>799.32</v>
      </c>
      <c r="E21" s="457"/>
      <c r="F21" s="471"/>
      <c r="G21" s="472"/>
      <c r="H21" s="472"/>
      <c r="I21" s="778" t="str">
        <f>"3.8 年净收益="&amp;D10&amp;"-"&amp;D20&amp;"="&amp;D21&amp;"元/㎡"</f>
        <v>3.8 年净收益=1028.62-225.96=799.32元/㎡</v>
      </c>
      <c r="J21" s="779"/>
      <c r="K21" s="779"/>
      <c r="L21" s="779"/>
      <c r="M21" s="779"/>
      <c r="N21" s="779"/>
      <c r="O21" s="779"/>
    </row>
    <row r="22" spans="2:15" ht="18.75">
      <c r="B22" s="454">
        <v>4</v>
      </c>
      <c r="C22" s="455" t="s">
        <v>671</v>
      </c>
      <c r="E22" s="468">
        <v>2.5000000000000001E-2</v>
      </c>
      <c r="F22" s="471"/>
      <c r="G22" s="472"/>
      <c r="H22" s="472"/>
      <c r="I22" s="776" t="str">
        <f>"根据估价师经验及对周边类似房地产的调查，我们得出该区域的商业租金年增长率的平均值为"&amp;E22&amp;""</f>
        <v>根据估价师经验及对周边类似房地产的调查，我们得出该区域的商业租金年增长率的平均值为0.025</v>
      </c>
      <c r="J22" s="777"/>
      <c r="K22" s="777"/>
      <c r="L22" s="777"/>
      <c r="M22" s="777"/>
      <c r="N22" s="777"/>
      <c r="O22" s="777"/>
    </row>
    <row r="23" spans="2:15" ht="24">
      <c r="B23" s="454">
        <v>6</v>
      </c>
      <c r="C23" s="465" t="s">
        <v>672</v>
      </c>
      <c r="D23" s="478">
        <f>ROUND(D21/(E24-E22)*(1-(1+E22)/(1+E24)^F24),0)</f>
        <v>24256</v>
      </c>
      <c r="E23" s="479"/>
      <c r="F23" s="458"/>
      <c r="G23" s="459"/>
      <c r="H23" s="459"/>
      <c r="I23" s="778" t="str">
        <f>"故：收益价格="&amp;D21&amp;"/（"&amp;E24&amp;"-"&amp;E22&amp;"）×"&amp;"(1-（1+"&amp;E22&amp;"）/(1+"&amp;E24&amp;")^"&amp;F24&amp;")="&amp;D23&amp;"元/㎡"</f>
        <v>故：收益价格=799.32/（0.052-0.025）×(1-（1+0.025）/(1+0.052)^34.24)=24256元/㎡</v>
      </c>
      <c r="J23" s="779"/>
      <c r="K23" s="779"/>
      <c r="L23" s="779"/>
      <c r="M23" s="779"/>
      <c r="N23" s="779"/>
      <c r="O23" s="779"/>
    </row>
    <row r="24" spans="2:15" ht="18.75">
      <c r="B24" s="454"/>
      <c r="C24" s="455" t="s">
        <v>673</v>
      </c>
      <c r="D24" s="480">
        <f>(1-1/(1+E24)^F24)</f>
        <v>0.82372891868829878</v>
      </c>
      <c r="E24" s="468">
        <v>5.1999999999999998E-2</v>
      </c>
      <c r="F24" s="481">
        <f>R43</f>
        <v>34.24</v>
      </c>
      <c r="G24" s="464"/>
      <c r="H24" s="464"/>
      <c r="I24" s="776"/>
      <c r="J24" s="777"/>
      <c r="K24" s="777"/>
      <c r="L24" s="777"/>
      <c r="M24" s="777"/>
      <c r="N24" s="777"/>
      <c r="O24" s="777"/>
    </row>
    <row r="26" spans="2:15">
      <c r="I26" s="445"/>
      <c r="J26" s="445"/>
      <c r="K26" s="445"/>
      <c r="L26" s="445"/>
      <c r="M26" s="445"/>
      <c r="N26" s="445"/>
      <c r="O26" s="445"/>
    </row>
    <row r="28" spans="2:15" ht="18.75">
      <c r="D28" s="780" t="s">
        <v>674</v>
      </c>
      <c r="E28" s="781"/>
      <c r="F28" s="781"/>
      <c r="G28" s="781"/>
      <c r="H28" s="781"/>
    </row>
    <row r="30" spans="2:15" s="482" customFormat="1">
      <c r="C30" s="483">
        <v>1</v>
      </c>
      <c r="D30" s="483">
        <v>2</v>
      </c>
      <c r="E30" s="483">
        <v>3</v>
      </c>
      <c r="F30" s="483">
        <v>4</v>
      </c>
      <c r="G30" s="483">
        <v>5</v>
      </c>
      <c r="H30" s="483">
        <v>6</v>
      </c>
      <c r="I30" s="483">
        <v>7</v>
      </c>
      <c r="J30" s="483">
        <v>8</v>
      </c>
    </row>
    <row r="31" spans="2:15" s="484" customFormat="1" ht="24">
      <c r="C31" s="485" t="s">
        <v>675</v>
      </c>
      <c r="D31" s="485" t="s">
        <v>676</v>
      </c>
      <c r="E31" s="485" t="s">
        <v>677</v>
      </c>
      <c r="F31" s="485" t="s">
        <v>678</v>
      </c>
      <c r="G31" s="486" t="s">
        <v>679</v>
      </c>
      <c r="H31" s="486" t="s">
        <v>680</v>
      </c>
      <c r="I31" s="485" t="s">
        <v>681</v>
      </c>
      <c r="J31" s="485" t="s">
        <v>682</v>
      </c>
      <c r="L31" s="487" t="s">
        <v>683</v>
      </c>
    </row>
    <row r="32" spans="2:15" s="482" customFormat="1">
      <c r="C32" s="488">
        <f>E8</f>
        <v>0.04</v>
      </c>
      <c r="D32" s="488">
        <f>1-C32</f>
        <v>0.96</v>
      </c>
      <c r="E32" s="489">
        <f>F8</f>
        <v>1</v>
      </c>
      <c r="F32" s="488">
        <v>1.4999999999999999E-2</v>
      </c>
      <c r="G32" s="488">
        <f>E11</f>
        <v>0.02</v>
      </c>
      <c r="H32" s="490">
        <f>F12</f>
        <v>1700</v>
      </c>
      <c r="I32" s="488">
        <f>E12</f>
        <v>1.4999999999999999E-2</v>
      </c>
      <c r="J32" s="488">
        <f>E13</f>
        <v>1E-3</v>
      </c>
      <c r="L32" s="491">
        <v>0.05</v>
      </c>
    </row>
    <row r="33" spans="2:18">
      <c r="C33" s="782"/>
      <c r="D33" s="783"/>
      <c r="E33" s="783"/>
      <c r="F33" s="783"/>
      <c r="G33" s="783"/>
      <c r="H33" s="783"/>
      <c r="I33" s="783"/>
      <c r="J33" s="784"/>
    </row>
    <row r="34" spans="2:18">
      <c r="C34" s="483">
        <v>9</v>
      </c>
      <c r="D34" s="483">
        <v>10</v>
      </c>
      <c r="E34" s="483">
        <v>11</v>
      </c>
      <c r="F34" s="483">
        <v>12</v>
      </c>
      <c r="G34" s="483">
        <v>13</v>
      </c>
      <c r="H34" s="483">
        <v>14</v>
      </c>
      <c r="I34" s="483">
        <v>15</v>
      </c>
      <c r="J34" s="483">
        <v>16</v>
      </c>
    </row>
    <row r="35" spans="2:18" s="484" customFormat="1" ht="24">
      <c r="C35" s="485" t="s">
        <v>684</v>
      </c>
      <c r="D35" s="485" t="s">
        <v>685</v>
      </c>
      <c r="E35" s="485" t="s">
        <v>686</v>
      </c>
      <c r="F35" s="485" t="s">
        <v>666</v>
      </c>
      <c r="G35" s="486" t="s">
        <v>687</v>
      </c>
      <c r="H35" s="486" t="s">
        <v>671</v>
      </c>
      <c r="I35" s="485" t="s">
        <v>688</v>
      </c>
      <c r="J35" s="485" t="s">
        <v>689</v>
      </c>
      <c r="O35" s="492" t="s">
        <v>690</v>
      </c>
      <c r="P35" s="429" t="s">
        <v>691</v>
      </c>
      <c r="Q35" s="430" t="s">
        <v>692</v>
      </c>
      <c r="R35" s="431" t="s">
        <v>693</v>
      </c>
    </row>
    <row r="36" spans="2:18" s="482" customFormat="1" ht="14.25">
      <c r="C36" s="488">
        <f>E14</f>
        <v>0.12</v>
      </c>
      <c r="D36" s="488">
        <f>E15</f>
        <v>0.05</v>
      </c>
      <c r="E36" s="489">
        <f>E16</f>
        <v>7.0000000000000007E-2</v>
      </c>
      <c r="F36" s="488">
        <f>E17</f>
        <v>0.04</v>
      </c>
      <c r="G36" s="488">
        <f>E18</f>
        <v>1E-3</v>
      </c>
      <c r="H36" s="488">
        <f>E22</f>
        <v>2.5000000000000001E-2</v>
      </c>
      <c r="I36" s="488">
        <f>E24</f>
        <v>5.1999999999999998E-2</v>
      </c>
      <c r="J36" s="490">
        <f>F24</f>
        <v>34.24</v>
      </c>
      <c r="O36" s="432" t="s">
        <v>694</v>
      </c>
      <c r="P36" s="429">
        <v>2016</v>
      </c>
      <c r="Q36" s="430">
        <v>2050</v>
      </c>
      <c r="R36" s="433">
        <f>Q36-P36</f>
        <v>34</v>
      </c>
    </row>
    <row r="37" spans="2:18" ht="14.25">
      <c r="O37" s="432" t="s">
        <v>695</v>
      </c>
      <c r="P37" s="429">
        <v>8</v>
      </c>
      <c r="Q37" s="430">
        <v>11</v>
      </c>
      <c r="R37" s="433">
        <f>Q37*30-P37*30</f>
        <v>90</v>
      </c>
    </row>
    <row r="38" spans="2:18" ht="14.25">
      <c r="O38" s="432" t="s">
        <v>696</v>
      </c>
      <c r="P38" s="429">
        <v>5</v>
      </c>
      <c r="Q38" s="430">
        <v>2</v>
      </c>
      <c r="R38" s="433">
        <f>Q38-P38</f>
        <v>-3</v>
      </c>
    </row>
    <row r="39" spans="2:18" ht="22.5">
      <c r="B39" s="493"/>
      <c r="C39" s="494"/>
      <c r="D39" s="494"/>
      <c r="E39" s="446"/>
      <c r="F39" s="494"/>
      <c r="G39" s="494"/>
      <c r="H39" s="495" t="s">
        <v>697</v>
      </c>
      <c r="I39" s="494"/>
      <c r="J39" s="494"/>
      <c r="K39" s="496"/>
      <c r="L39" s="494"/>
      <c r="M39" s="494"/>
      <c r="O39" s="434"/>
      <c r="P39" s="435"/>
      <c r="Q39" s="435"/>
      <c r="R39" s="435"/>
    </row>
    <row r="40" spans="2:18" ht="33.75">
      <c r="B40" s="497" t="s">
        <v>698</v>
      </c>
      <c r="C40" s="497" t="s">
        <v>699</v>
      </c>
      <c r="D40" s="497" t="s">
        <v>700</v>
      </c>
      <c r="E40" s="497" t="s">
        <v>701</v>
      </c>
      <c r="F40" s="497" t="s">
        <v>702</v>
      </c>
      <c r="G40" s="497" t="s">
        <v>703</v>
      </c>
      <c r="H40" s="498" t="s">
        <v>704</v>
      </c>
      <c r="I40" s="497" t="s">
        <v>705</v>
      </c>
      <c r="J40" s="498" t="s">
        <v>706</v>
      </c>
      <c r="K40" s="497" t="s">
        <v>707</v>
      </c>
      <c r="L40" s="498" t="s">
        <v>708</v>
      </c>
      <c r="M40" s="497" t="s">
        <v>709</v>
      </c>
      <c r="O40" s="434"/>
      <c r="P40" s="435"/>
      <c r="Q40" s="435"/>
      <c r="R40" s="433">
        <f>Q37*30+Q38-(P37*30+P38)</f>
        <v>87</v>
      </c>
    </row>
    <row r="41" spans="2:18" ht="15">
      <c r="B41" s="499" t="s">
        <v>710</v>
      </c>
      <c r="C41" s="500" t="str">
        <f>'[1]3-1 收益法(新商+办)--毛收益的确定'!D29</f>
        <v>商业</v>
      </c>
      <c r="D41" s="501" t="str">
        <f>'[1]3-1 收益法(新商+办)--毛收益的确定'!D47</f>
        <v>钢混框架</v>
      </c>
      <c r="E41" s="500">
        <f>Q50</f>
        <v>2013</v>
      </c>
      <c r="F41" s="502">
        <f>R57</f>
        <v>2.67</v>
      </c>
      <c r="G41" s="503">
        <v>-1.5</v>
      </c>
      <c r="H41" s="504">
        <f>F41+G41</f>
        <v>1.17</v>
      </c>
      <c r="I41" s="503">
        <v>60</v>
      </c>
      <c r="J41" s="504">
        <f>I41-H41</f>
        <v>58.83</v>
      </c>
      <c r="K41" s="505">
        <v>50</v>
      </c>
      <c r="L41" s="506">
        <f>R43</f>
        <v>34.24</v>
      </c>
      <c r="M41" s="507">
        <f>L41</f>
        <v>34.24</v>
      </c>
      <c r="O41" s="434"/>
      <c r="P41" s="435"/>
      <c r="Q41" s="435"/>
      <c r="R41" s="436">
        <f>R40/365</f>
        <v>0.23835616438356164</v>
      </c>
    </row>
    <row r="42" spans="2:18" ht="15">
      <c r="B42" s="499" t="s">
        <v>711</v>
      </c>
      <c r="C42" s="500"/>
      <c r="D42" s="501"/>
      <c r="E42" s="503"/>
      <c r="F42" s="503"/>
      <c r="G42" s="503"/>
      <c r="H42" s="504">
        <f>F42+G42</f>
        <v>0</v>
      </c>
      <c r="I42" s="503"/>
      <c r="J42" s="504">
        <f>I42-H42</f>
        <v>0</v>
      </c>
      <c r="K42" s="505"/>
      <c r="L42" s="508"/>
      <c r="M42" s="509"/>
      <c r="O42" s="434"/>
      <c r="P42" s="435"/>
      <c r="Q42" s="435"/>
      <c r="R42" s="435"/>
    </row>
    <row r="43" spans="2:18" ht="15">
      <c r="B43" s="499" t="s">
        <v>712</v>
      </c>
      <c r="C43" s="500"/>
      <c r="D43" s="501"/>
      <c r="E43" s="503"/>
      <c r="F43" s="503"/>
      <c r="G43" s="503"/>
      <c r="H43" s="504">
        <f>F43+G43</f>
        <v>0</v>
      </c>
      <c r="I43" s="503"/>
      <c r="J43" s="504">
        <f>I43-H43</f>
        <v>0</v>
      </c>
      <c r="K43" s="503"/>
      <c r="L43" s="510"/>
      <c r="M43" s="511"/>
      <c r="O43" s="434"/>
      <c r="P43" s="434"/>
      <c r="Q43" s="437" t="s">
        <v>713</v>
      </c>
      <c r="R43" s="438">
        <f>ROUND(R36+R41,2)</f>
        <v>34.24</v>
      </c>
    </row>
    <row r="44" spans="2:18" ht="15">
      <c r="B44" s="499" t="s">
        <v>714</v>
      </c>
      <c r="C44" s="500"/>
      <c r="D44" s="501"/>
      <c r="E44" s="512"/>
      <c r="F44" s="503"/>
      <c r="G44" s="503"/>
      <c r="H44" s="504">
        <f>F44+G44</f>
        <v>0</v>
      </c>
      <c r="I44" s="503"/>
      <c r="J44" s="504">
        <f>I44-H44</f>
        <v>0</v>
      </c>
      <c r="K44" s="503"/>
      <c r="L44" s="510"/>
      <c r="M44" s="511"/>
      <c r="O44" s="434"/>
      <c r="P44" s="434"/>
      <c r="Q44" s="439" t="s">
        <v>715</v>
      </c>
      <c r="R44" s="436">
        <f>50-R43</f>
        <v>15.759999999999998</v>
      </c>
    </row>
    <row r="45" spans="2:18" ht="15">
      <c r="O45" s="434"/>
      <c r="P45" s="434"/>
      <c r="Q45" s="440" t="s">
        <v>716</v>
      </c>
      <c r="R45" s="436">
        <f>40-R43</f>
        <v>5.759999999999998</v>
      </c>
    </row>
    <row r="46" spans="2:18" ht="15">
      <c r="O46" s="434"/>
      <c r="P46" s="434"/>
      <c r="Q46" s="440" t="s">
        <v>717</v>
      </c>
      <c r="R46" s="436">
        <f>70-R43</f>
        <v>35.76</v>
      </c>
    </row>
    <row r="47" spans="2:18">
      <c r="O47" s="427"/>
      <c r="P47" s="427"/>
      <c r="Q47" s="427"/>
      <c r="R47" s="427"/>
    </row>
    <row r="48" spans="2:18">
      <c r="O48" s="427"/>
      <c r="P48" s="427"/>
      <c r="Q48" s="427"/>
      <c r="R48" s="427"/>
    </row>
    <row r="49" spans="3:18" ht="15">
      <c r="O49" s="492" t="s">
        <v>718</v>
      </c>
      <c r="P49" s="433" t="str">
        <f>P35</f>
        <v>价值时点</v>
      </c>
      <c r="Q49" s="441" t="s">
        <v>647</v>
      </c>
      <c r="R49" s="431" t="s">
        <v>648</v>
      </c>
    </row>
    <row r="50" spans="3:18" ht="14.25">
      <c r="O50" s="432" t="s">
        <v>694</v>
      </c>
      <c r="P50" s="433">
        <f>P36</f>
        <v>2016</v>
      </c>
      <c r="Q50" s="535">
        <v>2013</v>
      </c>
      <c r="R50" s="433">
        <f>Q50-P50</f>
        <v>-3</v>
      </c>
    </row>
    <row r="51" spans="3:18" ht="14.25">
      <c r="O51" s="432" t="s">
        <v>695</v>
      </c>
      <c r="P51" s="433">
        <f>P37</f>
        <v>8</v>
      </c>
      <c r="Q51" s="535">
        <v>12</v>
      </c>
      <c r="R51" s="433">
        <f>Q51*30-P51*30</f>
        <v>120</v>
      </c>
    </row>
    <row r="52" spans="3:18" ht="14.25">
      <c r="O52" s="432" t="s">
        <v>696</v>
      </c>
      <c r="P52" s="433">
        <f>P38</f>
        <v>5</v>
      </c>
      <c r="Q52" s="535">
        <v>6</v>
      </c>
      <c r="R52" s="433">
        <f>Q52-P52</f>
        <v>1</v>
      </c>
    </row>
    <row r="53" spans="3:18" ht="15">
      <c r="O53" s="434"/>
      <c r="P53" s="435"/>
      <c r="Q53" s="435"/>
      <c r="R53" s="435"/>
    </row>
    <row r="54" spans="3:18" ht="15">
      <c r="O54" s="434"/>
      <c r="P54" s="435"/>
      <c r="Q54" s="435"/>
      <c r="R54" s="433">
        <f>Q51*30+Q52-(P51*30+P52)</f>
        <v>121</v>
      </c>
    </row>
    <row r="55" spans="3:18" ht="15">
      <c r="O55" s="434"/>
      <c r="P55" s="435"/>
      <c r="Q55" s="435"/>
      <c r="R55" s="436">
        <f>R54/365</f>
        <v>0.33150684931506852</v>
      </c>
    </row>
    <row r="56" spans="3:18" ht="15">
      <c r="O56" s="434"/>
      <c r="P56" s="435"/>
      <c r="Q56" s="435"/>
      <c r="R56" s="435"/>
    </row>
    <row r="57" spans="3:18" ht="15">
      <c r="J57" s="785"/>
      <c r="K57" s="785"/>
      <c r="L57" s="785"/>
      <c r="M57" s="785"/>
      <c r="N57" s="785"/>
      <c r="O57" s="785"/>
      <c r="P57" s="434"/>
      <c r="Q57" s="437" t="s">
        <v>719</v>
      </c>
      <c r="R57" s="438">
        <f>-ROUND(R50+R55,2)</f>
        <v>2.67</v>
      </c>
    </row>
    <row r="58" spans="3:18">
      <c r="J58" s="785"/>
      <c r="K58" s="785"/>
      <c r="L58" s="785"/>
      <c r="M58" s="785"/>
      <c r="N58" s="785"/>
      <c r="O58" s="785"/>
    </row>
    <row r="59" spans="3:18">
      <c r="J59" s="785"/>
      <c r="K59" s="785"/>
      <c r="L59" s="785"/>
      <c r="M59" s="785"/>
      <c r="N59" s="785"/>
      <c r="O59" s="785"/>
    </row>
    <row r="60" spans="3:18">
      <c r="J60" s="785"/>
      <c r="K60" s="785"/>
      <c r="L60" s="785"/>
      <c r="M60" s="785"/>
      <c r="N60" s="785"/>
      <c r="O60" s="785"/>
    </row>
    <row r="61" spans="3:18" ht="18.75" customHeight="1">
      <c r="I61" s="517"/>
      <c r="J61" s="518"/>
    </row>
    <row r="63" spans="3:18">
      <c r="C63" s="775" t="s">
        <v>753</v>
      </c>
      <c r="D63" s="533" t="s">
        <v>743</v>
      </c>
      <c r="E63" s="514">
        <f>比较法!L70</f>
        <v>31819</v>
      </c>
      <c r="F63" s="534">
        <v>0.5</v>
      </c>
      <c r="G63" s="519"/>
      <c r="H63" s="519"/>
      <c r="I63" s="515">
        <f>E63*F63</f>
        <v>15909.5</v>
      </c>
    </row>
    <row r="64" spans="3:18">
      <c r="C64" s="775"/>
      <c r="D64" s="513" t="s">
        <v>720</v>
      </c>
      <c r="E64" s="514">
        <f>D23</f>
        <v>24256</v>
      </c>
      <c r="F64" s="534">
        <v>0.5</v>
      </c>
      <c r="G64" s="519"/>
      <c r="H64" s="519"/>
      <c r="I64" s="515">
        <f>E64*F64</f>
        <v>12128</v>
      </c>
    </row>
    <row r="65" spans="3:16">
      <c r="C65" s="513"/>
      <c r="D65" s="513"/>
      <c r="E65" s="513" t="s">
        <v>721</v>
      </c>
      <c r="F65" s="513"/>
      <c r="G65" s="516"/>
      <c r="H65" s="516"/>
      <c r="I65" s="515">
        <f>ROUND(SUM(I63:I64),0)</f>
        <v>28038</v>
      </c>
    </row>
    <row r="66" spans="3:16">
      <c r="C66" s="772" t="s">
        <v>740</v>
      </c>
      <c r="D66" s="773"/>
      <c r="E66" s="773"/>
      <c r="F66" s="530"/>
      <c r="G66" s="531"/>
      <c r="H66" s="531"/>
      <c r="I66" s="530">
        <f>查看表!M2</f>
        <v>89.12</v>
      </c>
    </row>
    <row r="67" spans="3:16">
      <c r="C67" s="532"/>
      <c r="D67" s="532" t="s">
        <v>741</v>
      </c>
      <c r="E67" s="530"/>
      <c r="F67" s="530"/>
      <c r="G67" s="531"/>
      <c r="H67" s="531"/>
      <c r="I67" s="530">
        <f>ROUND(I65*I66/10000,2)</f>
        <v>249.87</v>
      </c>
      <c r="K67" s="520"/>
    </row>
    <row r="68" spans="3:16">
      <c r="C68" s="530"/>
      <c r="D68" s="532" t="s">
        <v>742</v>
      </c>
      <c r="E68" s="774">
        <f>I67*10000</f>
        <v>2498700</v>
      </c>
      <c r="F68" s="774"/>
      <c r="G68" s="774"/>
      <c r="H68" s="774"/>
      <c r="I68" s="774"/>
    </row>
    <row r="69" spans="3:16" hidden="1"/>
    <row r="70" spans="3:16" hidden="1"/>
    <row r="71" spans="3:16" hidden="1">
      <c r="P71" s="443" t="s">
        <v>754</v>
      </c>
    </row>
    <row r="72" spans="3:16" hidden="1"/>
    <row r="73" spans="3:16" hidden="1"/>
    <row r="74" spans="3:16" hidden="1"/>
    <row r="75" spans="3:16" hidden="1"/>
    <row r="76" spans="3:16" hidden="1"/>
    <row r="77" spans="3:16" ht="15" hidden="1">
      <c r="O77" s="434"/>
    </row>
    <row r="78" spans="3:16" ht="15" hidden="1">
      <c r="O78" s="434"/>
    </row>
    <row r="79" spans="3:16" ht="15" hidden="1">
      <c r="O79" s="434"/>
    </row>
    <row r="80" spans="3:16" ht="15" hidden="1">
      <c r="O80" s="434"/>
    </row>
    <row r="81" spans="15:15" ht="15" hidden="1">
      <c r="O81" s="434"/>
    </row>
    <row r="82" spans="15:15" ht="15" hidden="1">
      <c r="O82" s="434"/>
    </row>
    <row r="83" spans="15:15" ht="15" hidden="1">
      <c r="O83" s="434"/>
    </row>
    <row r="84" spans="15:15" ht="15" hidden="1">
      <c r="O84" s="434"/>
    </row>
    <row r="85" spans="15:15" hidden="1"/>
    <row r="86" spans="15:15" hidden="1"/>
    <row r="87" spans="15:15" hidden="1"/>
    <row r="88" spans="15:15" hidden="1"/>
    <row r="89" spans="15:15" hidden="1"/>
    <row r="90" spans="15:15" hidden="1"/>
    <row r="91" spans="15:15" hidden="1"/>
    <row r="92" spans="15:15" hidden="1"/>
    <row r="93" spans="15:15" hidden="1"/>
    <row r="94" spans="15:15" hidden="1"/>
    <row r="95" spans="15:15" hidden="1"/>
    <row r="96" spans="15:15" hidden="1"/>
    <row r="97" spans="2:18" hidden="1"/>
    <row r="98" spans="2:18" hidden="1"/>
    <row r="99" spans="2:18" hidden="1"/>
    <row r="100" spans="2:18" hidden="1"/>
    <row r="101" spans="2:18" hidden="1"/>
    <row r="102" spans="2:18" hidden="1"/>
    <row r="103" spans="2:18" hidden="1"/>
    <row r="104" spans="2:18" hidden="1"/>
    <row r="105" spans="2:18" hidden="1"/>
    <row r="106" spans="2:18" hidden="1"/>
    <row r="107" spans="2:18" hidden="1"/>
    <row r="108" spans="2:18" hidden="1"/>
    <row r="109" spans="2:18" hidden="1"/>
    <row r="110" spans="2:18" s="494" customFormat="1" ht="14.25" hidden="1">
      <c r="B110" s="443"/>
      <c r="C110" s="443"/>
      <c r="D110" s="443"/>
      <c r="E110" s="443"/>
      <c r="F110" s="443"/>
      <c r="G110" s="446"/>
      <c r="H110" s="446"/>
      <c r="I110" s="443"/>
      <c r="J110" s="443"/>
      <c r="K110" s="443"/>
      <c r="L110" s="443"/>
      <c r="M110" s="443"/>
      <c r="O110" s="443"/>
    </row>
    <row r="111" spans="2:18" s="494" customFormat="1" ht="14.25" hidden="1">
      <c r="B111" s="443"/>
      <c r="C111" s="443"/>
      <c r="D111" s="443"/>
      <c r="E111" s="443"/>
      <c r="F111" s="443"/>
      <c r="G111" s="446"/>
      <c r="H111" s="446"/>
      <c r="I111" s="443"/>
      <c r="J111" s="443"/>
      <c r="K111" s="443"/>
      <c r="L111" s="443"/>
      <c r="M111" s="443"/>
      <c r="O111" s="443"/>
      <c r="P111" s="443"/>
      <c r="Q111" s="443"/>
      <c r="R111" s="443"/>
    </row>
    <row r="112" spans="2:18" s="494" customFormat="1" ht="14.25" hidden="1">
      <c r="B112" s="443"/>
      <c r="C112" s="443"/>
      <c r="D112" s="443"/>
      <c r="E112" s="443"/>
      <c r="F112" s="443"/>
      <c r="G112" s="446"/>
      <c r="H112" s="446"/>
      <c r="I112" s="443"/>
      <c r="J112" s="443"/>
      <c r="K112" s="443"/>
      <c r="L112" s="443"/>
      <c r="M112" s="443"/>
      <c r="O112" s="443"/>
    </row>
    <row r="113" spans="2:18" s="494" customFormat="1" ht="14.25" hidden="1">
      <c r="B113" s="443"/>
      <c r="C113" s="443"/>
      <c r="D113" s="443"/>
      <c r="E113" s="443"/>
      <c r="F113" s="443"/>
      <c r="G113" s="446"/>
      <c r="H113" s="446"/>
      <c r="I113" s="443"/>
      <c r="J113" s="443"/>
      <c r="K113" s="443"/>
      <c r="L113" s="443"/>
      <c r="M113" s="443"/>
      <c r="O113" s="443"/>
      <c r="P113" s="443"/>
      <c r="Q113" s="443"/>
      <c r="R113" s="443"/>
    </row>
    <row r="114" spans="2:18" s="494" customFormat="1" ht="14.25" hidden="1">
      <c r="B114" s="443"/>
      <c r="C114" s="443"/>
      <c r="D114" s="443"/>
      <c r="E114" s="443"/>
      <c r="F114" s="443"/>
      <c r="G114" s="446"/>
      <c r="H114" s="446"/>
      <c r="I114" s="443"/>
      <c r="J114" s="443"/>
      <c r="K114" s="443"/>
      <c r="L114" s="443"/>
      <c r="M114" s="443"/>
      <c r="O114" s="443"/>
    </row>
    <row r="115" spans="2:18" s="494" customFormat="1" ht="14.25" hidden="1">
      <c r="B115" s="443"/>
      <c r="C115" s="443"/>
      <c r="D115" s="443"/>
      <c r="E115" s="443"/>
      <c r="F115" s="443"/>
      <c r="G115" s="446"/>
      <c r="H115" s="446"/>
      <c r="I115" s="443"/>
      <c r="J115" s="443"/>
      <c r="K115" s="443"/>
      <c r="L115" s="443"/>
      <c r="M115" s="443"/>
      <c r="O115" s="443"/>
      <c r="P115" s="443"/>
      <c r="Q115" s="443"/>
      <c r="R115" s="443"/>
    </row>
    <row r="116" spans="2:18" ht="14.25" hidden="1">
      <c r="P116" s="494"/>
      <c r="Q116" s="494"/>
      <c r="R116" s="494"/>
    </row>
    <row r="117" spans="2:18" hidden="1"/>
    <row r="118" spans="2:18" ht="14.25" hidden="1">
      <c r="P118" s="494"/>
      <c r="Q118" s="494"/>
      <c r="R118" s="494"/>
    </row>
    <row r="119" spans="2:18" hidden="1"/>
    <row r="120" spans="2:18" hidden="1"/>
    <row r="121" spans="2:18" hidden="1"/>
    <row r="122" spans="2:18" hidden="1"/>
    <row r="123" spans="2:18" hidden="1"/>
    <row r="124" spans="2:18" hidden="1"/>
    <row r="125" spans="2:18" hidden="1"/>
    <row r="126" spans="2:18" hidden="1"/>
    <row r="127" spans="2:18" hidden="1"/>
    <row r="128" spans="2:1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sheetData>
  <mergeCells count="29">
    <mergeCell ref="J60:O60"/>
    <mergeCell ref="I16:O16"/>
    <mergeCell ref="D2:J2"/>
    <mergeCell ref="B6:N6"/>
    <mergeCell ref="I7:N7"/>
    <mergeCell ref="I8:O8"/>
    <mergeCell ref="I9:O9"/>
    <mergeCell ref="I10:O10"/>
    <mergeCell ref="I11:O11"/>
    <mergeCell ref="I12:O12"/>
    <mergeCell ref="I13:O13"/>
    <mergeCell ref="I14:O14"/>
    <mergeCell ref="I15:O15"/>
    <mergeCell ref="C66:E66"/>
    <mergeCell ref="E68:I68"/>
    <mergeCell ref="C63:C64"/>
    <mergeCell ref="I17:O17"/>
    <mergeCell ref="I18:O18"/>
    <mergeCell ref="I19:O19"/>
    <mergeCell ref="I20:O20"/>
    <mergeCell ref="I21:O21"/>
    <mergeCell ref="I22:O22"/>
    <mergeCell ref="I23:O23"/>
    <mergeCell ref="I24:O24"/>
    <mergeCell ref="D28:H28"/>
    <mergeCell ref="C33:J33"/>
    <mergeCell ref="J57:O57"/>
    <mergeCell ref="J58:O58"/>
    <mergeCell ref="J59:O59"/>
  </mergeCells>
  <phoneticPr fontId="23" type="noConversion"/>
  <dataValidations count="1">
    <dataValidation type="list" allowBlank="1" showInputMessage="1" showErrorMessage="1" sqref="C63:C64">
      <formula1>"简单算数平均法,加权平均法"</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sheetPr>
    <tabColor rgb="FFFFFF00"/>
  </sheetPr>
  <dimension ref="A2:AH125"/>
  <sheetViews>
    <sheetView topLeftCell="A46" zoomScale="115" zoomScaleNormal="115" workbookViewId="0">
      <selection activeCell="F128" sqref="F128"/>
    </sheetView>
  </sheetViews>
  <sheetFormatPr defaultColWidth="9" defaultRowHeight="12"/>
  <cols>
    <col min="1" max="1" width="6.625" style="219" customWidth="1"/>
    <col min="2" max="2" width="5.75" style="239" customWidth="1"/>
    <col min="3" max="3" width="14.875" style="220" customWidth="1"/>
    <col min="4" max="4" width="23" style="220" customWidth="1"/>
    <col min="5" max="5" width="21.625" style="220" customWidth="1"/>
    <col min="6" max="6" width="19.625" style="220" customWidth="1"/>
    <col min="7" max="7" width="24.625" style="220" customWidth="1"/>
    <col min="8" max="8" width="2.625" style="220" customWidth="1"/>
    <col min="9" max="9" width="9" style="220" hidden="1" customWidth="1"/>
    <col min="10" max="10" width="6.5" style="220" customWidth="1"/>
    <col min="11" max="11" width="15.875" style="220" customWidth="1"/>
    <col min="12" max="13" width="10.125" style="220" customWidth="1"/>
    <col min="14" max="14" width="10.875" style="220" customWidth="1"/>
    <col min="15" max="15" width="10.125" style="220" customWidth="1"/>
    <col min="16" max="16" width="3.25" style="220" customWidth="1"/>
    <col min="17" max="17" width="4.625" style="220" customWidth="1"/>
    <col min="18" max="18" width="9" style="220"/>
    <col min="19" max="16384" width="9" style="219"/>
  </cols>
  <sheetData>
    <row r="2" spans="1:17" s="220" customFormat="1" ht="14.25">
      <c r="A2" s="219"/>
      <c r="E2" s="221"/>
      <c r="F2" s="442"/>
      <c r="G2" s="222"/>
      <c r="L2" s="223"/>
      <c r="M2" s="223"/>
    </row>
    <row r="3" spans="1:17" s="220" customFormat="1">
      <c r="A3" s="219"/>
    </row>
    <row r="4" spans="1:17" s="220" customFormat="1" ht="18.75">
      <c r="A4" s="219"/>
      <c r="D4" s="825" t="s">
        <v>171</v>
      </c>
      <c r="E4" s="825"/>
      <c r="F4" s="825"/>
      <c r="G4" s="825"/>
      <c r="J4" s="224"/>
      <c r="K4" s="225"/>
      <c r="L4" s="225"/>
      <c r="M4" s="225"/>
    </row>
    <row r="5" spans="1:17" s="220" customFormat="1" ht="14.25">
      <c r="A5" s="219"/>
      <c r="C5" s="224"/>
      <c r="D5" s="826" t="s">
        <v>173</v>
      </c>
      <c r="E5" s="828" t="s">
        <v>174</v>
      </c>
      <c r="F5" s="828" t="s">
        <v>175</v>
      </c>
      <c r="G5" s="828" t="s">
        <v>176</v>
      </c>
      <c r="J5" s="224"/>
    </row>
    <row r="6" spans="1:17" s="220" customFormat="1" ht="14.25">
      <c r="A6" s="219"/>
      <c r="C6" s="224"/>
      <c r="D6" s="827"/>
      <c r="E6" s="829"/>
      <c r="F6" s="829"/>
      <c r="G6" s="829"/>
      <c r="J6" s="224"/>
      <c r="K6" s="226" t="s">
        <v>177</v>
      </c>
    </row>
    <row r="7" spans="1:17" s="220" customFormat="1" ht="14.25">
      <c r="A7" s="219"/>
      <c r="C7" s="224"/>
      <c r="D7" s="302" t="s">
        <v>158</v>
      </c>
      <c r="E7" s="227" t="s">
        <v>727</v>
      </c>
      <c r="F7" s="227" t="s">
        <v>727</v>
      </c>
      <c r="G7" s="227" t="s">
        <v>727</v>
      </c>
      <c r="J7" s="224"/>
      <c r="K7" s="228">
        <f>M69</f>
        <v>1068</v>
      </c>
    </row>
    <row r="8" spans="1:17" s="220" customFormat="1" ht="14.25">
      <c r="A8" s="219"/>
      <c r="C8" s="224"/>
      <c r="D8" s="302" t="s">
        <v>178</v>
      </c>
      <c r="E8" s="229" t="s">
        <v>179</v>
      </c>
      <c r="F8" s="229" t="s">
        <v>179</v>
      </c>
      <c r="G8" s="229" t="s">
        <v>179</v>
      </c>
      <c r="J8" s="224"/>
    </row>
    <row r="9" spans="1:17" s="220" customFormat="1" ht="14.25">
      <c r="A9" s="219"/>
      <c r="C9" s="224"/>
      <c r="D9" s="302" t="s">
        <v>180</v>
      </c>
      <c r="E9" s="229" t="s">
        <v>181</v>
      </c>
      <c r="F9" s="229" t="s">
        <v>182</v>
      </c>
      <c r="G9" s="229" t="s">
        <v>183</v>
      </c>
      <c r="J9" s="224"/>
      <c r="Q9" s="230"/>
    </row>
    <row r="10" spans="1:17" s="220" customFormat="1" ht="14.25">
      <c r="A10" s="219"/>
      <c r="C10" s="224"/>
      <c r="D10" s="302" t="s">
        <v>20</v>
      </c>
      <c r="E10" s="231">
        <v>94</v>
      </c>
      <c r="F10" s="231">
        <v>118</v>
      </c>
      <c r="G10" s="231">
        <v>87</v>
      </c>
      <c r="J10" s="224"/>
      <c r="Q10" s="230"/>
    </row>
    <row r="11" spans="1:17" s="220" customFormat="1" ht="14.25">
      <c r="A11" s="219"/>
      <c r="C11" s="224"/>
      <c r="D11" s="303" t="s">
        <v>728</v>
      </c>
      <c r="E11" s="231">
        <v>1022</v>
      </c>
      <c r="F11" s="231">
        <v>1125</v>
      </c>
      <c r="G11" s="231">
        <v>1085</v>
      </c>
      <c r="J11" s="224"/>
      <c r="K11" s="830" t="s">
        <v>185</v>
      </c>
      <c r="L11" s="830"/>
      <c r="M11" s="830"/>
      <c r="N11" s="830"/>
      <c r="O11" s="830"/>
    </row>
    <row r="12" spans="1:17" s="220" customFormat="1" ht="14.25">
      <c r="A12" s="219"/>
      <c r="C12" s="224"/>
      <c r="D12" s="303" t="s">
        <v>729</v>
      </c>
      <c r="E12" s="274">
        <f t="shared" ref="E12:G12" si="0">ROUND(E10*E11/10000,2)</f>
        <v>9.61</v>
      </c>
      <c r="F12" s="274">
        <f t="shared" si="0"/>
        <v>13.28</v>
      </c>
      <c r="G12" s="274">
        <f t="shared" si="0"/>
        <v>9.44</v>
      </c>
      <c r="J12" s="224"/>
      <c r="K12" s="232"/>
      <c r="L12" s="232" t="s">
        <v>164</v>
      </c>
      <c r="M12" s="232" t="s">
        <v>174</v>
      </c>
      <c r="N12" s="232" t="s">
        <v>175</v>
      </c>
      <c r="O12" s="232" t="s">
        <v>176</v>
      </c>
    </row>
    <row r="13" spans="1:17" s="220" customFormat="1" ht="14.25">
      <c r="A13" s="219"/>
      <c r="C13" s="224"/>
      <c r="D13" s="302" t="s">
        <v>165</v>
      </c>
      <c r="E13" s="227" t="s">
        <v>187</v>
      </c>
      <c r="F13" s="227" t="s">
        <v>187</v>
      </c>
      <c r="G13" s="227" t="s">
        <v>187</v>
      </c>
      <c r="J13" s="224"/>
      <c r="K13" s="233" t="s">
        <v>188</v>
      </c>
      <c r="L13" s="234">
        <f t="shared" ref="L13:O13" si="1">D36</f>
        <v>42908</v>
      </c>
      <c r="M13" s="234">
        <f t="shared" si="1"/>
        <v>42855</v>
      </c>
      <c r="N13" s="234">
        <f t="shared" si="1"/>
        <v>42870</v>
      </c>
      <c r="O13" s="234">
        <f t="shared" si="1"/>
        <v>42864</v>
      </c>
      <c r="Q13" s="220" t="s">
        <v>189</v>
      </c>
    </row>
    <row r="14" spans="1:17" s="220" customFormat="1" ht="14.25">
      <c r="A14" s="219"/>
      <c r="C14" s="224"/>
      <c r="D14" s="302" t="s">
        <v>190</v>
      </c>
      <c r="E14" s="235">
        <v>42855</v>
      </c>
      <c r="F14" s="235">
        <v>42870</v>
      </c>
      <c r="G14" s="235">
        <v>42864</v>
      </c>
      <c r="J14" s="224"/>
      <c r="K14" s="233" t="s">
        <v>191</v>
      </c>
      <c r="L14" s="236">
        <v>130.28</v>
      </c>
      <c r="M14" s="236">
        <v>130.28</v>
      </c>
      <c r="N14" s="236">
        <v>130.28</v>
      </c>
      <c r="O14" s="236">
        <v>130.28</v>
      </c>
      <c r="Q14" s="237">
        <v>100</v>
      </c>
    </row>
    <row r="15" spans="1:17" s="220" customFormat="1" ht="14.25">
      <c r="A15" s="219"/>
      <c r="C15" s="224"/>
      <c r="D15" s="302" t="s">
        <v>192</v>
      </c>
      <c r="E15" s="524" t="s">
        <v>730</v>
      </c>
      <c r="F15" s="524" t="s">
        <v>730</v>
      </c>
      <c r="G15" s="524" t="s">
        <v>730</v>
      </c>
      <c r="J15" s="224"/>
      <c r="L15" s="225" t="s">
        <v>193</v>
      </c>
      <c r="M15" s="225"/>
      <c r="N15" s="225"/>
      <c r="O15" s="225"/>
      <c r="Q15" s="238"/>
    </row>
    <row r="16" spans="1:17" s="220" customFormat="1" ht="14.25">
      <c r="A16" s="219"/>
      <c r="C16" s="224"/>
      <c r="D16" s="302" t="s">
        <v>194</v>
      </c>
      <c r="E16" s="227" t="s">
        <v>195</v>
      </c>
      <c r="F16" s="227" t="s">
        <v>195</v>
      </c>
      <c r="G16" s="227" t="s">
        <v>195</v>
      </c>
      <c r="J16" s="224"/>
      <c r="L16" s="225"/>
      <c r="M16" s="225"/>
      <c r="N16" s="225"/>
      <c r="O16" s="225"/>
      <c r="Q16" s="238"/>
    </row>
    <row r="17" spans="1:18" s="220" customFormat="1" ht="21">
      <c r="A17" s="219"/>
      <c r="C17" s="224"/>
      <c r="D17" s="302" t="s">
        <v>196</v>
      </c>
      <c r="E17" s="227" t="s">
        <v>731</v>
      </c>
      <c r="F17" s="227" t="s">
        <v>731</v>
      </c>
      <c r="G17" s="227" t="s">
        <v>731</v>
      </c>
      <c r="J17" s="224"/>
      <c r="Q17" s="230"/>
    </row>
    <row r="18" spans="1:18" s="220" customFormat="1" ht="14.25">
      <c r="A18" s="219"/>
      <c r="C18" s="224"/>
      <c r="D18" s="302" t="s">
        <v>732</v>
      </c>
      <c r="E18" s="227" t="s">
        <v>733</v>
      </c>
      <c r="F18" s="227" t="s">
        <v>733</v>
      </c>
      <c r="G18" s="227" t="s">
        <v>733</v>
      </c>
      <c r="J18" s="224"/>
      <c r="Q18" s="230"/>
    </row>
    <row r="19" spans="1:18" s="220" customFormat="1" ht="42">
      <c r="A19" s="219"/>
      <c r="C19" s="224"/>
      <c r="D19" s="302" t="s">
        <v>734</v>
      </c>
      <c r="E19" s="525" t="s">
        <v>735</v>
      </c>
      <c r="F19" s="525" t="s">
        <v>735</v>
      </c>
      <c r="G19" s="525" t="s">
        <v>735</v>
      </c>
      <c r="J19" s="224"/>
      <c r="Q19" s="230"/>
    </row>
    <row r="20" spans="1:18" s="220" customFormat="1" ht="14.25">
      <c r="A20" s="219"/>
      <c r="C20" s="224"/>
      <c r="D20" s="302" t="s">
        <v>202</v>
      </c>
      <c r="E20" s="227" t="s">
        <v>736</v>
      </c>
      <c r="F20" s="227" t="s">
        <v>737</v>
      </c>
      <c r="G20" s="227" t="s">
        <v>737</v>
      </c>
      <c r="J20" s="224"/>
      <c r="Q20" s="230"/>
    </row>
    <row r="21" spans="1:18" s="220" customFormat="1" ht="14.25">
      <c r="A21" s="219"/>
      <c r="C21" s="224"/>
      <c r="D21" s="302" t="s">
        <v>104</v>
      </c>
      <c r="E21" s="227" t="s">
        <v>203</v>
      </c>
      <c r="F21" s="227" t="s">
        <v>203</v>
      </c>
      <c r="G21" s="227" t="s">
        <v>203</v>
      </c>
      <c r="J21" s="224"/>
      <c r="Q21" s="230"/>
    </row>
    <row r="22" spans="1:18" s="220" customFormat="1" ht="14.25">
      <c r="A22" s="219"/>
      <c r="B22" s="239"/>
      <c r="C22" s="224"/>
      <c r="D22" s="302" t="s">
        <v>549</v>
      </c>
      <c r="E22" s="227" t="s">
        <v>205</v>
      </c>
      <c r="F22" s="227" t="s">
        <v>206</v>
      </c>
      <c r="G22" s="227" t="s">
        <v>205</v>
      </c>
      <c r="Q22" s="230"/>
    </row>
    <row r="23" spans="1:18" s="220" customFormat="1" ht="18.75">
      <c r="A23" s="219"/>
      <c r="B23" s="239"/>
      <c r="C23" s="224"/>
      <c r="E23" s="224"/>
      <c r="F23" s="224"/>
      <c r="G23" s="224"/>
      <c r="J23" s="241"/>
      <c r="K23" s="833"/>
      <c r="L23" s="833"/>
      <c r="M23" s="833"/>
      <c r="N23" s="833"/>
      <c r="O23" s="833"/>
      <c r="Q23" s="230"/>
    </row>
    <row r="24" spans="1:18" s="220" customFormat="1" ht="18.75">
      <c r="A24" s="219"/>
      <c r="B24" s="239"/>
      <c r="C24" s="242" t="s">
        <v>207</v>
      </c>
      <c r="D24" s="221"/>
      <c r="E24" s="221"/>
      <c r="F24" s="224"/>
      <c r="G24" s="224"/>
      <c r="J24" s="242" t="s">
        <v>208</v>
      </c>
      <c r="K24" s="221"/>
      <c r="L24" s="225" t="s">
        <v>209</v>
      </c>
      <c r="M24" s="225"/>
      <c r="N24" s="241"/>
      <c r="O24" s="241"/>
      <c r="Q24" s="230"/>
    </row>
    <row r="25" spans="1:18" s="220" customFormat="1" ht="18.75">
      <c r="A25" s="219"/>
      <c r="B25" s="834" t="s">
        <v>163</v>
      </c>
      <c r="C25" s="834"/>
      <c r="D25" s="834"/>
      <c r="E25" s="834"/>
      <c r="F25" s="834"/>
      <c r="G25" s="834"/>
      <c r="J25" s="835" t="s">
        <v>169</v>
      </c>
      <c r="K25" s="835"/>
      <c r="L25" s="835"/>
      <c r="M25" s="835"/>
      <c r="N25" s="835"/>
      <c r="O25" s="835"/>
    </row>
    <row r="26" spans="1:18" s="220" customFormat="1">
      <c r="A26" s="219"/>
      <c r="B26" s="836" t="s">
        <v>210</v>
      </c>
      <c r="C26" s="837"/>
      <c r="D26" s="806" t="s">
        <v>164</v>
      </c>
      <c r="E26" s="806" t="s">
        <v>174</v>
      </c>
      <c r="F26" s="806" t="s">
        <v>175</v>
      </c>
      <c r="G26" s="806" t="s">
        <v>176</v>
      </c>
    </row>
    <row r="27" spans="1:18" s="220" customFormat="1">
      <c r="A27" s="219"/>
      <c r="B27" s="838"/>
      <c r="C27" s="839"/>
      <c r="D27" s="832"/>
      <c r="E27" s="832"/>
      <c r="F27" s="832"/>
      <c r="G27" s="832"/>
      <c r="P27" s="243"/>
    </row>
    <row r="28" spans="1:18" s="220" customFormat="1">
      <c r="A28" s="219"/>
      <c r="B28" s="812" t="s">
        <v>158</v>
      </c>
      <c r="C28" s="831"/>
      <c r="D28" s="271" t="str">
        <f>'基础数据(房地产)'!B4</f>
        <v>中海城南一号</v>
      </c>
      <c r="E28" s="271" t="str">
        <f t="shared" ref="E28:G28" si="2">E7</f>
        <v>绵阳商厦</v>
      </c>
      <c r="F28" s="271" t="str">
        <f t="shared" si="2"/>
        <v>绵阳商厦</v>
      </c>
      <c r="G28" s="271" t="str">
        <f t="shared" si="2"/>
        <v>绵阳商厦</v>
      </c>
      <c r="P28" s="243"/>
      <c r="R28" s="220" t="e">
        <f>'[2]3-2 收益法--测算过程'!G40</f>
        <v>#REF!</v>
      </c>
    </row>
    <row r="29" spans="1:18" s="220" customFormat="1">
      <c r="A29" s="219"/>
      <c r="B29" s="812" t="str">
        <f t="shared" ref="B29:B33" si="3">D15</f>
        <v>房地产用途</v>
      </c>
      <c r="C29" s="813"/>
      <c r="D29" s="271" t="str">
        <f t="shared" ref="D29:D33" si="4">E15</f>
        <v>商业</v>
      </c>
      <c r="E29" s="271" t="str">
        <f t="shared" ref="E29:G33" si="5">E15</f>
        <v>商业</v>
      </c>
      <c r="F29" s="271" t="str">
        <f t="shared" si="5"/>
        <v>商业</v>
      </c>
      <c r="G29" s="271" t="str">
        <f t="shared" si="5"/>
        <v>商业</v>
      </c>
    </row>
    <row r="30" spans="1:18" s="220" customFormat="1">
      <c r="A30" s="219"/>
      <c r="B30" s="812" t="str">
        <f t="shared" si="3"/>
        <v>财产范围</v>
      </c>
      <c r="C30" s="813"/>
      <c r="D30" s="272" t="str">
        <f t="shared" si="4"/>
        <v>房地产及配套设施、装潢</v>
      </c>
      <c r="E30" s="272" t="str">
        <f t="shared" si="5"/>
        <v>房地产及配套设施、装潢</v>
      </c>
      <c r="F30" s="272" t="str">
        <f t="shared" si="5"/>
        <v>房地产及配套设施、装潢</v>
      </c>
      <c r="G30" s="272" t="str">
        <f t="shared" si="5"/>
        <v>房地产及配套设施、装潢</v>
      </c>
    </row>
    <row r="31" spans="1:18" s="220" customFormat="1" ht="19.5">
      <c r="A31" s="219" t="s">
        <v>211</v>
      </c>
      <c r="B31" s="812" t="str">
        <f t="shared" si="3"/>
        <v>付款方式</v>
      </c>
      <c r="C31" s="813"/>
      <c r="D31" s="271" t="str">
        <f t="shared" si="4"/>
        <v>按年支付、租金已修正为年末一次性支付</v>
      </c>
      <c r="E31" s="271" t="str">
        <f t="shared" si="5"/>
        <v>按年支付、租金已修正为年末一次性支付</v>
      </c>
      <c r="F31" s="271" t="str">
        <f t="shared" si="5"/>
        <v>按年支付、租金已修正为年末一次性支付</v>
      </c>
      <c r="G31" s="271" t="str">
        <f t="shared" si="5"/>
        <v>按年支付、租金已修正为年末一次性支付</v>
      </c>
      <c r="J31" s="821" t="s">
        <v>212</v>
      </c>
      <c r="K31" s="822"/>
      <c r="L31" s="806" t="s">
        <v>164</v>
      </c>
      <c r="M31" s="806" t="s">
        <v>174</v>
      </c>
      <c r="N31" s="806" t="s">
        <v>175</v>
      </c>
      <c r="O31" s="806" t="s">
        <v>176</v>
      </c>
      <c r="P31" s="243"/>
    </row>
    <row r="32" spans="1:18" s="220" customFormat="1">
      <c r="A32" s="219"/>
      <c r="B32" s="812" t="str">
        <f t="shared" si="3"/>
        <v>税金承担情况</v>
      </c>
      <c r="C32" s="813"/>
      <c r="D32" s="271" t="str">
        <f t="shared" si="4"/>
        <v>名义租金中含增值税</v>
      </c>
      <c r="E32" s="271" t="str">
        <f t="shared" si="5"/>
        <v>名义租金中含增值税</v>
      </c>
      <c r="F32" s="271" t="str">
        <f t="shared" si="5"/>
        <v>名义租金中含增值税</v>
      </c>
      <c r="G32" s="271" t="str">
        <f t="shared" si="5"/>
        <v>名义租金中含增值税</v>
      </c>
      <c r="J32" s="823"/>
      <c r="K32" s="824"/>
      <c r="L32" s="807"/>
      <c r="M32" s="807"/>
      <c r="N32" s="807"/>
      <c r="O32" s="807"/>
      <c r="P32" s="243"/>
    </row>
    <row r="33" spans="1:29" s="220" customFormat="1" ht="29.25">
      <c r="A33" s="219"/>
      <c r="B33" s="812" t="str">
        <f t="shared" si="3"/>
        <v>费用负担</v>
      </c>
      <c r="C33" s="813"/>
      <c r="D33" s="271" t="str">
        <f t="shared" si="4"/>
        <v>出租方承担管理、维修责任及费用，并支付保险费；承租人承担物业管理费、水电费用等其他所有费用</v>
      </c>
      <c r="E33" s="271" t="str">
        <f t="shared" si="5"/>
        <v>出租方承担管理、维修责任及费用，并支付保险费；承租人承担物业管理费、水电费用等其他所有费用</v>
      </c>
      <c r="F33" s="271" t="str">
        <f t="shared" si="5"/>
        <v>出租方承担管理、维修责任及费用，并支付保险费；承租人承担物业管理费、水电费用等其他所有费用</v>
      </c>
      <c r="G33" s="271" t="str">
        <f t="shared" si="5"/>
        <v>出租方承担管理、维修责任及费用，并支付保险费；承租人承担物业管理费、水电费用等其他所有费用</v>
      </c>
      <c r="J33" s="810" t="str">
        <f t="shared" ref="J33:O33" si="6">B28</f>
        <v>物业名称</v>
      </c>
      <c r="K33" s="811"/>
      <c r="L33" s="272" t="str">
        <f t="shared" si="6"/>
        <v>中海城南一号</v>
      </c>
      <c r="M33" s="272" t="str">
        <f t="shared" si="6"/>
        <v>绵阳商厦</v>
      </c>
      <c r="N33" s="272" t="str">
        <f t="shared" si="6"/>
        <v>绵阳商厦</v>
      </c>
      <c r="O33" s="272" t="str">
        <f t="shared" si="6"/>
        <v>绵阳商厦</v>
      </c>
      <c r="P33" s="243"/>
    </row>
    <row r="34" spans="1:29" s="220" customFormat="1">
      <c r="A34" s="219"/>
      <c r="B34" s="812" t="str">
        <f>D11</f>
        <v>年租金（人民币，元/㎡·年）</v>
      </c>
      <c r="C34" s="814"/>
      <c r="D34" s="273" t="s">
        <v>213</v>
      </c>
      <c r="E34" s="274">
        <f t="shared" ref="E34:G34" si="7">E11</f>
        <v>1022</v>
      </c>
      <c r="F34" s="274">
        <f t="shared" si="7"/>
        <v>1125</v>
      </c>
      <c r="G34" s="274">
        <f t="shared" si="7"/>
        <v>1085</v>
      </c>
      <c r="J34" s="810" t="str">
        <f t="shared" ref="J34:J36" si="8">B34</f>
        <v>年租金（人民币，元/㎡·年）</v>
      </c>
      <c r="K34" s="811"/>
      <c r="L34" s="279" t="s">
        <v>213</v>
      </c>
      <c r="M34" s="280">
        <f t="shared" ref="M34:O34" si="9">E11</f>
        <v>1022</v>
      </c>
      <c r="N34" s="280">
        <f t="shared" si="9"/>
        <v>1125</v>
      </c>
      <c r="O34" s="280">
        <f t="shared" si="9"/>
        <v>1085</v>
      </c>
      <c r="P34" s="243"/>
    </row>
    <row r="35" spans="1:29" s="220" customFormat="1">
      <c r="A35" s="219"/>
      <c r="B35" s="808" t="s">
        <v>165</v>
      </c>
      <c r="C35" s="809"/>
      <c r="D35" s="275" t="s">
        <v>187</v>
      </c>
      <c r="E35" s="276" t="str">
        <f t="shared" ref="E35:G36" si="10">E13</f>
        <v>正常交易</v>
      </c>
      <c r="F35" s="276" t="str">
        <f t="shared" si="10"/>
        <v>正常交易</v>
      </c>
      <c r="G35" s="276" t="str">
        <f t="shared" si="10"/>
        <v>正常交易</v>
      </c>
      <c r="J35" s="810" t="str">
        <f t="shared" si="8"/>
        <v>交易情况</v>
      </c>
      <c r="K35" s="811"/>
      <c r="L35" s="424">
        <v>100</v>
      </c>
      <c r="M35" s="424">
        <v>100</v>
      </c>
      <c r="N35" s="424">
        <v>100</v>
      </c>
      <c r="O35" s="424">
        <v>100</v>
      </c>
      <c r="P35" s="243"/>
    </row>
    <row r="36" spans="1:29" s="220" customFormat="1">
      <c r="A36" s="219"/>
      <c r="B36" s="808" t="s">
        <v>214</v>
      </c>
      <c r="C36" s="809"/>
      <c r="D36" s="277">
        <v>42908</v>
      </c>
      <c r="E36" s="278">
        <f t="shared" si="10"/>
        <v>42855</v>
      </c>
      <c r="F36" s="278">
        <f t="shared" si="10"/>
        <v>42870</v>
      </c>
      <c r="G36" s="278">
        <f t="shared" si="10"/>
        <v>42864</v>
      </c>
      <c r="J36" s="810" t="str">
        <f t="shared" si="8"/>
        <v>市场状况(交易时间)</v>
      </c>
      <c r="K36" s="811"/>
      <c r="L36" s="424">
        <f t="shared" ref="L36:O36" si="11">L14</f>
        <v>130.28</v>
      </c>
      <c r="M36" s="424">
        <f t="shared" si="11"/>
        <v>130.28</v>
      </c>
      <c r="N36" s="424">
        <f t="shared" si="11"/>
        <v>130.28</v>
      </c>
      <c r="O36" s="424">
        <f t="shared" si="11"/>
        <v>130.28</v>
      </c>
      <c r="P36" s="243"/>
    </row>
    <row r="37" spans="1:29" s="220" customFormat="1" ht="12.75">
      <c r="A37" s="244" t="s">
        <v>136</v>
      </c>
      <c r="B37" s="815" t="s">
        <v>166</v>
      </c>
      <c r="C37" s="526" t="s">
        <v>821</v>
      </c>
      <c r="D37" s="253" t="s">
        <v>645</v>
      </c>
      <c r="E37" s="253" t="s">
        <v>645</v>
      </c>
      <c r="F37" s="253" t="s">
        <v>645</v>
      </c>
      <c r="G37" s="253" t="s">
        <v>645</v>
      </c>
      <c r="J37" s="793" t="s">
        <v>215</v>
      </c>
      <c r="K37" s="282" t="str">
        <f t="shared" ref="K37:K67" si="12">C37</f>
        <v>商业繁华程度</v>
      </c>
      <c r="L37" s="424">
        <f>IF(D37="市级商业中心",106,IF(D37="专业市场",103,IF(D37="区域级商业中心",100,IF(D37="小区级商业中心",97))))</f>
        <v>106</v>
      </c>
      <c r="M37" s="521">
        <f t="shared" ref="M37:O37" si="13">IF(E37="市级商业中心",106,IF(E37="专业市场",103,IF(E37="区域级商业中心",100,IF(E37="小区级商业中心",97))))</f>
        <v>106</v>
      </c>
      <c r="N37" s="521">
        <f t="shared" si="13"/>
        <v>106</v>
      </c>
      <c r="O37" s="521">
        <f t="shared" si="13"/>
        <v>106</v>
      </c>
      <c r="P37" s="243"/>
      <c r="Q37" s="247">
        <v>3</v>
      </c>
      <c r="R37" s="248" t="s">
        <v>739</v>
      </c>
      <c r="S37" s="248"/>
      <c r="T37" s="248"/>
      <c r="U37" s="248"/>
      <c r="V37" s="248"/>
      <c r="W37" s="248"/>
      <c r="X37" s="248"/>
      <c r="Y37" s="248"/>
      <c r="Z37" s="248"/>
      <c r="AA37" s="248"/>
      <c r="AB37" s="248"/>
      <c r="AC37" s="248"/>
    </row>
    <row r="38" spans="1:29" s="220" customFormat="1">
      <c r="A38" s="219"/>
      <c r="B38" s="816"/>
      <c r="C38" s="249" t="s">
        <v>217</v>
      </c>
      <c r="D38" s="246" t="s">
        <v>218</v>
      </c>
      <c r="E38" s="246" t="s">
        <v>218</v>
      </c>
      <c r="F38" s="246" t="s">
        <v>218</v>
      </c>
      <c r="G38" s="246" t="s">
        <v>218</v>
      </c>
      <c r="J38" s="794"/>
      <c r="K38" s="283" t="str">
        <f t="shared" si="12"/>
        <v>交通管制（单行、禁行）</v>
      </c>
      <c r="L38" s="424">
        <f t="shared" ref="L38:O38" si="14">IF(D38="分时段交通管制",100,IF(D38="无特殊管制",102,IF(D38="有交通管制",98)))</f>
        <v>102</v>
      </c>
      <c r="M38" s="424">
        <f t="shared" si="14"/>
        <v>102</v>
      </c>
      <c r="N38" s="424">
        <f t="shared" si="14"/>
        <v>102</v>
      </c>
      <c r="O38" s="424">
        <f t="shared" si="14"/>
        <v>102</v>
      </c>
      <c r="P38" s="243"/>
      <c r="Q38" s="247">
        <v>2</v>
      </c>
      <c r="R38" s="248" t="s">
        <v>738</v>
      </c>
      <c r="S38" s="248"/>
      <c r="T38" s="248"/>
      <c r="U38" s="248"/>
      <c r="V38" s="248"/>
      <c r="W38" s="248"/>
      <c r="X38" s="248"/>
      <c r="Y38" s="248"/>
      <c r="Z38" s="248"/>
      <c r="AA38" s="248"/>
      <c r="AB38" s="248"/>
      <c r="AC38" s="248"/>
    </row>
    <row r="39" spans="1:29" s="220" customFormat="1">
      <c r="A39" s="219"/>
      <c r="B39" s="816"/>
      <c r="C39" s="245" t="s">
        <v>220</v>
      </c>
      <c r="D39" s="246" t="s">
        <v>221</v>
      </c>
      <c r="E39" s="246" t="s">
        <v>221</v>
      </c>
      <c r="F39" s="246" t="s">
        <v>221</v>
      </c>
      <c r="G39" s="246" t="s">
        <v>222</v>
      </c>
      <c r="J39" s="794"/>
      <c r="K39" s="282" t="str">
        <f t="shared" si="12"/>
        <v>公交便捷度</v>
      </c>
      <c r="L39" s="424">
        <f t="shared" ref="L39:O39" si="15">IF(D39="较优",100,IF(D39="优",103,IF(D39="较差",97,IF(D39="差",94))))</f>
        <v>100</v>
      </c>
      <c r="M39" s="424">
        <f t="shared" si="15"/>
        <v>100</v>
      </c>
      <c r="N39" s="424">
        <f t="shared" si="15"/>
        <v>100</v>
      </c>
      <c r="O39" s="424">
        <f t="shared" si="15"/>
        <v>94</v>
      </c>
      <c r="P39" s="243"/>
      <c r="Q39" s="247">
        <v>3</v>
      </c>
      <c r="R39" s="248" t="s">
        <v>223</v>
      </c>
      <c r="S39" s="248"/>
      <c r="T39" s="248"/>
      <c r="U39" s="248"/>
      <c r="V39" s="248"/>
      <c r="W39" s="248"/>
      <c r="X39" s="248"/>
      <c r="Y39" s="248"/>
      <c r="Z39" s="248"/>
      <c r="AA39" s="248"/>
      <c r="AB39" s="248"/>
      <c r="AC39" s="248"/>
    </row>
    <row r="40" spans="1:29" s="220" customFormat="1">
      <c r="A40" s="219"/>
      <c r="B40" s="816"/>
      <c r="C40" s="245" t="s">
        <v>224</v>
      </c>
      <c r="D40" s="246" t="s">
        <v>225</v>
      </c>
      <c r="E40" s="246" t="s">
        <v>225</v>
      </c>
      <c r="F40" s="246" t="s">
        <v>225</v>
      </c>
      <c r="G40" s="246" t="s">
        <v>226</v>
      </c>
      <c r="J40" s="794"/>
      <c r="K40" s="282" t="str">
        <f t="shared" si="12"/>
        <v>基础设施</v>
      </c>
      <c r="L40" s="424">
        <f t="shared" ref="L40:O40" si="16">IF(D40="六通一平",100,IF(D40="七通一平",101,IF(D40="五通一平",99,IF(D40="三通一平",98))))</f>
        <v>100</v>
      </c>
      <c r="M40" s="424">
        <f t="shared" si="16"/>
        <v>100</v>
      </c>
      <c r="N40" s="424">
        <f t="shared" si="16"/>
        <v>100</v>
      </c>
      <c r="O40" s="424">
        <f t="shared" si="16"/>
        <v>98</v>
      </c>
      <c r="P40" s="243"/>
      <c r="Q40" s="247">
        <v>1</v>
      </c>
      <c r="R40" s="248" t="s">
        <v>227</v>
      </c>
      <c r="S40" s="248"/>
      <c r="T40" s="248"/>
      <c r="U40" s="248"/>
      <c r="V40" s="248"/>
      <c r="W40" s="248"/>
      <c r="X40" s="248"/>
      <c r="Y40" s="248"/>
      <c r="Z40" s="248"/>
      <c r="AA40" s="248"/>
      <c r="AB40" s="248"/>
      <c r="AC40" s="248"/>
    </row>
    <row r="41" spans="1:29" s="220" customFormat="1">
      <c r="A41" s="219"/>
      <c r="B41" s="816"/>
      <c r="C41" s="245" t="s">
        <v>228</v>
      </c>
      <c r="D41" s="246" t="s">
        <v>229</v>
      </c>
      <c r="E41" s="246" t="s">
        <v>229</v>
      </c>
      <c r="F41" s="246" t="s">
        <v>229</v>
      </c>
      <c r="G41" s="246" t="s">
        <v>230</v>
      </c>
      <c r="J41" s="794"/>
      <c r="K41" s="282" t="str">
        <f t="shared" si="12"/>
        <v>公共服务设施完善度</v>
      </c>
      <c r="L41" s="424">
        <f t="shared" ref="L41:O41" si="17">IF(D41="一般",100,IF(D41="完善",101,IF(D41="不完善",99)))</f>
        <v>101</v>
      </c>
      <c r="M41" s="424">
        <f t="shared" si="17"/>
        <v>101</v>
      </c>
      <c r="N41" s="424">
        <f t="shared" si="17"/>
        <v>101</v>
      </c>
      <c r="O41" s="424">
        <f t="shared" si="17"/>
        <v>100</v>
      </c>
      <c r="P41" s="243"/>
      <c r="Q41" s="247">
        <v>1</v>
      </c>
      <c r="R41" s="248" t="s">
        <v>231</v>
      </c>
      <c r="S41" s="248"/>
      <c r="T41" s="248"/>
      <c r="U41" s="248"/>
      <c r="V41" s="248"/>
      <c r="W41" s="248"/>
      <c r="X41" s="248"/>
      <c r="Y41" s="248"/>
      <c r="Z41" s="248"/>
      <c r="AA41" s="248"/>
      <c r="AB41" s="248"/>
      <c r="AC41" s="248"/>
    </row>
    <row r="42" spans="1:29" s="220" customFormat="1">
      <c r="A42" s="219"/>
      <c r="B42" s="816"/>
      <c r="C42" s="245" t="s">
        <v>232</v>
      </c>
      <c r="D42" s="246" t="s">
        <v>221</v>
      </c>
      <c r="E42" s="246" t="s">
        <v>221</v>
      </c>
      <c r="F42" s="246" t="s">
        <v>221</v>
      </c>
      <c r="G42" s="246" t="s">
        <v>221</v>
      </c>
      <c r="J42" s="794"/>
      <c r="K42" s="282" t="str">
        <f t="shared" si="12"/>
        <v>周围环境状况</v>
      </c>
      <c r="L42" s="424">
        <f t="shared" ref="L42:O42" si="18">IF(D42="一般",100,IF(D42="较优",101,IF(D42="差",99)))</f>
        <v>101</v>
      </c>
      <c r="M42" s="424">
        <f t="shared" si="18"/>
        <v>101</v>
      </c>
      <c r="N42" s="424">
        <f t="shared" si="18"/>
        <v>101</v>
      </c>
      <c r="O42" s="424">
        <f t="shared" si="18"/>
        <v>101</v>
      </c>
      <c r="P42" s="243"/>
      <c r="Q42" s="247">
        <v>1</v>
      </c>
      <c r="R42" s="248" t="s">
        <v>233</v>
      </c>
      <c r="S42" s="248"/>
      <c r="T42" s="248"/>
      <c r="U42" s="248"/>
      <c r="V42" s="248"/>
      <c r="W42" s="248"/>
      <c r="X42" s="248"/>
      <c r="Y42" s="248"/>
      <c r="Z42" s="248"/>
      <c r="AA42" s="248"/>
      <c r="AB42" s="248"/>
      <c r="AC42" s="248"/>
    </row>
    <row r="43" spans="1:29" s="220" customFormat="1">
      <c r="A43" s="219"/>
      <c r="B43" s="816"/>
      <c r="C43" s="245" t="s">
        <v>234</v>
      </c>
      <c r="D43" s="246" t="s">
        <v>235</v>
      </c>
      <c r="E43" s="246" t="s">
        <v>235</v>
      </c>
      <c r="F43" s="246" t="s">
        <v>235</v>
      </c>
      <c r="G43" s="246" t="s">
        <v>235</v>
      </c>
      <c r="J43" s="794"/>
      <c r="K43" s="282" t="str">
        <f t="shared" si="12"/>
        <v>停车位</v>
      </c>
      <c r="L43" s="424">
        <f t="shared" ref="L43:O43" si="19">IF(D43="一般",100,IF(D43="充足",102,IF(D43="不足",98)))</f>
        <v>102</v>
      </c>
      <c r="M43" s="424">
        <f t="shared" si="19"/>
        <v>102</v>
      </c>
      <c r="N43" s="424">
        <f t="shared" si="19"/>
        <v>102</v>
      </c>
      <c r="O43" s="424">
        <f t="shared" si="19"/>
        <v>102</v>
      </c>
      <c r="P43" s="243"/>
      <c r="Q43" s="247">
        <v>2</v>
      </c>
      <c r="R43" s="248" t="s">
        <v>236</v>
      </c>
      <c r="S43" s="248"/>
      <c r="T43" s="248"/>
      <c r="U43" s="248"/>
      <c r="V43" s="248"/>
      <c r="W43" s="248"/>
      <c r="X43" s="248"/>
      <c r="Y43" s="248"/>
      <c r="Z43" s="248"/>
      <c r="AA43" s="248"/>
      <c r="AB43" s="248"/>
      <c r="AC43" s="248"/>
    </row>
    <row r="44" spans="1:29" s="220" customFormat="1">
      <c r="A44" s="219"/>
      <c r="B44" s="816"/>
      <c r="C44" s="245" t="s">
        <v>643</v>
      </c>
      <c r="D44" s="246" t="s">
        <v>203</v>
      </c>
      <c r="E44" s="279" t="str">
        <f t="shared" ref="E44:G44" si="20">E21</f>
        <v>南</v>
      </c>
      <c r="F44" s="279" t="str">
        <f t="shared" si="20"/>
        <v>南</v>
      </c>
      <c r="G44" s="279" t="str">
        <f t="shared" si="20"/>
        <v>南</v>
      </c>
      <c r="J44" s="794"/>
      <c r="K44" s="282" t="str">
        <f t="shared" si="12"/>
        <v>朝向</v>
      </c>
      <c r="L44" s="424">
        <f t="shared" ref="L44:O44" si="21">IF(D44="西南",100,IF(D44="东",101,IF(D44="东南",102,IF(D44="南",103,IF(D44="南北",104,IF(D44="西",99,IF(D44="西北",98,IF(D44="东北",97,IF(D44="北",96)))))))))</f>
        <v>103</v>
      </c>
      <c r="M44" s="424">
        <f t="shared" si="21"/>
        <v>103</v>
      </c>
      <c r="N44" s="424">
        <f t="shared" si="21"/>
        <v>103</v>
      </c>
      <c r="O44" s="424">
        <f t="shared" si="21"/>
        <v>103</v>
      </c>
      <c r="P44" s="243"/>
      <c r="Q44" s="247">
        <v>1</v>
      </c>
      <c r="R44" s="248" t="s">
        <v>237</v>
      </c>
      <c r="S44" s="248"/>
      <c r="T44" s="248"/>
      <c r="U44" s="248"/>
      <c r="V44" s="248"/>
      <c r="W44" s="248"/>
      <c r="X44" s="248"/>
      <c r="Y44" s="248"/>
      <c r="Z44" s="248"/>
      <c r="AA44" s="248"/>
      <c r="AB44" s="248"/>
      <c r="AC44" s="248"/>
    </row>
    <row r="45" spans="1:29" s="220" customFormat="1">
      <c r="A45" s="219"/>
      <c r="B45" s="816"/>
      <c r="C45" s="245" t="s">
        <v>202</v>
      </c>
      <c r="D45" s="227" t="s">
        <v>238</v>
      </c>
      <c r="E45" s="279" t="str">
        <f t="shared" ref="E45:G45" si="22">E20</f>
        <v>1层</v>
      </c>
      <c r="F45" s="279" t="str">
        <f t="shared" si="22"/>
        <v>1层</v>
      </c>
      <c r="G45" s="279" t="str">
        <f t="shared" si="22"/>
        <v>1层</v>
      </c>
      <c r="J45" s="794"/>
      <c r="K45" s="282" t="str">
        <f t="shared" si="12"/>
        <v>所在楼层</v>
      </c>
      <c r="L45" s="250">
        <v>100</v>
      </c>
      <c r="M45" s="250">
        <v>100</v>
      </c>
      <c r="N45" s="250">
        <v>100</v>
      </c>
      <c r="O45" s="250">
        <v>100</v>
      </c>
      <c r="P45" s="243"/>
      <c r="Q45" s="247" t="s">
        <v>239</v>
      </c>
      <c r="R45" s="248" t="s">
        <v>240</v>
      </c>
      <c r="S45" s="248"/>
      <c r="T45" s="248"/>
      <c r="U45" s="248"/>
      <c r="V45" s="248"/>
      <c r="W45" s="248"/>
      <c r="X45" s="248"/>
      <c r="Y45" s="248"/>
      <c r="Z45" s="248"/>
      <c r="AA45" s="248"/>
      <c r="AB45" s="248"/>
      <c r="AC45" s="248"/>
    </row>
    <row r="46" spans="1:29" s="220" customFormat="1">
      <c r="A46" s="219"/>
      <c r="B46" s="816"/>
      <c r="C46" s="425" t="s">
        <v>822</v>
      </c>
      <c r="D46" s="426" t="s">
        <v>751</v>
      </c>
      <c r="E46" s="426" t="s">
        <v>644</v>
      </c>
      <c r="F46" s="426" t="s">
        <v>644</v>
      </c>
      <c r="G46" s="426" t="s">
        <v>644</v>
      </c>
      <c r="J46" s="795"/>
      <c r="K46" s="282" t="str">
        <f t="shared" si="12"/>
        <v>临街状况</v>
      </c>
      <c r="L46" s="424">
        <f>IF(D46="一面临街",100,IF(D46="两面临街",103,IF(D46="三面临街",106,IF(D46="四面临街",109,IF(D46="超甲级",104,IF(D46="甲级",100,IF(D46="乙级",96,IF(D46="普通写字楼",92))))))))</f>
        <v>103</v>
      </c>
      <c r="M46" s="521">
        <f t="shared" ref="M46:O46" si="23">IF(E46="一面临街",100,IF(E46="两面临街",103,IF(E46="三面临街",106,IF(E46="四面临街",109,IF(E46="超甲级",104,IF(E46="甲级",100,IF(E46="乙级",96,IF(E46="普通写字楼",92))))))))</f>
        <v>104</v>
      </c>
      <c r="N46" s="521">
        <f t="shared" si="23"/>
        <v>104</v>
      </c>
      <c r="O46" s="521">
        <f t="shared" si="23"/>
        <v>104</v>
      </c>
      <c r="P46" s="243"/>
      <c r="Q46" s="247">
        <v>1</v>
      </c>
      <c r="R46" s="248" t="s">
        <v>552</v>
      </c>
      <c r="S46" s="248"/>
      <c r="T46" s="248"/>
      <c r="U46" s="248"/>
      <c r="V46" s="248"/>
      <c r="W46" s="248"/>
      <c r="X46" s="248"/>
      <c r="Y46" s="248"/>
      <c r="Z46" s="248"/>
      <c r="AA46" s="248"/>
      <c r="AB46" s="248"/>
      <c r="AC46" s="248"/>
    </row>
    <row r="47" spans="1:29" s="220" customFormat="1">
      <c r="A47" s="244"/>
      <c r="B47" s="817" t="s">
        <v>167</v>
      </c>
      <c r="C47" s="245" t="s">
        <v>744</v>
      </c>
      <c r="D47" s="246" t="s">
        <v>745</v>
      </c>
      <c r="E47" s="246" t="s">
        <v>746</v>
      </c>
      <c r="F47" s="246" t="s">
        <v>568</v>
      </c>
      <c r="G47" s="246" t="s">
        <v>747</v>
      </c>
      <c r="J47" s="796" t="s">
        <v>242</v>
      </c>
      <c r="K47" s="282" t="str">
        <f t="shared" si="12"/>
        <v>临街道路类型</v>
      </c>
      <c r="L47" s="521">
        <f>IF(D47="生活型次干道",100,IF(D47="交通型次干道",98,IF(D47="交通型主干道",96,IF(D47="生活型主干道",102,IF(D47="步行街",104)))))</f>
        <v>100</v>
      </c>
      <c r="M47" s="521">
        <f t="shared" ref="M47:O47" si="24">IF(E47="生活型次干道",100,IF(E47="交通型次干道",98,IF(E47="交通型主干道",96,IF(E47="生活型主干道",102,IF(E47="步行街",104)))))</f>
        <v>102</v>
      </c>
      <c r="N47" s="521">
        <f t="shared" si="24"/>
        <v>104</v>
      </c>
      <c r="O47" s="521">
        <f t="shared" si="24"/>
        <v>98</v>
      </c>
      <c r="P47" s="243"/>
      <c r="Q47" s="247">
        <v>2</v>
      </c>
      <c r="R47" s="248" t="s">
        <v>748</v>
      </c>
      <c r="S47" s="248"/>
      <c r="T47" s="248"/>
      <c r="U47" s="248"/>
      <c r="V47" s="248"/>
      <c r="W47" s="248"/>
      <c r="X47" s="248"/>
      <c r="Y47" s="248"/>
      <c r="Z47" s="248"/>
      <c r="AA47" s="248"/>
      <c r="AB47" s="248"/>
      <c r="AC47" s="248"/>
    </row>
    <row r="48" spans="1:29" s="220" customFormat="1">
      <c r="A48" s="244"/>
      <c r="B48" s="818"/>
      <c r="C48" s="245" t="s">
        <v>243</v>
      </c>
      <c r="D48" s="246" t="s">
        <v>241</v>
      </c>
      <c r="E48" s="246" t="s">
        <v>241</v>
      </c>
      <c r="F48" s="246" t="s">
        <v>241</v>
      </c>
      <c r="G48" s="246" t="s">
        <v>241</v>
      </c>
      <c r="J48" s="797"/>
      <c r="K48" s="282" t="str">
        <f t="shared" si="12"/>
        <v>估价对象及实例规模</v>
      </c>
      <c r="L48" s="424">
        <f t="shared" ref="L48:O48" si="25">IF(D48="偏大",100,IF(D48="适中",101,IF(D48="偏小",99,IF(D48="超大",98))))</f>
        <v>101</v>
      </c>
      <c r="M48" s="424">
        <f t="shared" si="25"/>
        <v>101</v>
      </c>
      <c r="N48" s="424">
        <f t="shared" si="25"/>
        <v>101</v>
      </c>
      <c r="O48" s="424">
        <f t="shared" si="25"/>
        <v>101</v>
      </c>
      <c r="P48" s="243"/>
      <c r="Q48" s="247">
        <v>1</v>
      </c>
      <c r="R48" s="248" t="s">
        <v>244</v>
      </c>
      <c r="S48" s="248"/>
      <c r="T48" s="248"/>
      <c r="U48" s="248"/>
      <c r="V48" s="248"/>
      <c r="W48" s="248"/>
      <c r="X48" s="248"/>
      <c r="Y48" s="248"/>
      <c r="Z48" s="248"/>
      <c r="AA48" s="248"/>
      <c r="AB48" s="248"/>
      <c r="AC48" s="248"/>
    </row>
    <row r="49" spans="1:29" s="220" customFormat="1">
      <c r="A49" s="244"/>
      <c r="B49" s="818"/>
      <c r="C49" s="245" t="s">
        <v>100</v>
      </c>
      <c r="D49" s="246" t="s">
        <v>245</v>
      </c>
      <c r="E49" s="246" t="s">
        <v>597</v>
      </c>
      <c r="F49" s="246" t="s">
        <v>245</v>
      </c>
      <c r="G49" s="246" t="s">
        <v>245</v>
      </c>
      <c r="J49" s="797"/>
      <c r="K49" s="282" t="str">
        <f t="shared" si="12"/>
        <v>建筑结构</v>
      </c>
      <c r="L49" s="424">
        <f t="shared" ref="L49:O49" si="26">IF(D49="钢混",100,IF(D49="砖混",98,IF(D49="砖木",96,IF(D49="简易",94))))</f>
        <v>100</v>
      </c>
      <c r="M49" s="424">
        <f t="shared" si="26"/>
        <v>94</v>
      </c>
      <c r="N49" s="424">
        <f t="shared" si="26"/>
        <v>100</v>
      </c>
      <c r="O49" s="424">
        <f t="shared" si="26"/>
        <v>100</v>
      </c>
      <c r="P49" s="243"/>
      <c r="Q49" s="247">
        <v>2</v>
      </c>
      <c r="R49" s="248" t="s">
        <v>246</v>
      </c>
      <c r="S49" s="248"/>
      <c r="T49" s="248"/>
      <c r="U49" s="248"/>
      <c r="V49" s="248"/>
      <c r="W49" s="248"/>
      <c r="X49" s="248"/>
      <c r="Y49" s="248"/>
      <c r="Z49" s="248"/>
      <c r="AA49" s="248"/>
      <c r="AB49" s="248"/>
      <c r="AC49" s="248"/>
    </row>
    <row r="50" spans="1:29" s="220" customFormat="1">
      <c r="A50" s="244"/>
      <c r="B50" s="818"/>
      <c r="C50" s="251" t="s">
        <v>247</v>
      </c>
      <c r="D50" s="246" t="s">
        <v>248</v>
      </c>
      <c r="E50" s="246" t="s">
        <v>222</v>
      </c>
      <c r="F50" s="246" t="s">
        <v>248</v>
      </c>
      <c r="G50" s="246" t="s">
        <v>230</v>
      </c>
      <c r="J50" s="797"/>
      <c r="K50" s="282" t="str">
        <f t="shared" si="12"/>
        <v>建筑外观</v>
      </c>
      <c r="L50" s="424">
        <f t="shared" ref="L50:O50" si="27">IF(D50="一般",100,IF(D50="美观大方",101,IF(D50="差",99)))</f>
        <v>101</v>
      </c>
      <c r="M50" s="424">
        <f t="shared" si="27"/>
        <v>99</v>
      </c>
      <c r="N50" s="424">
        <f t="shared" si="27"/>
        <v>101</v>
      </c>
      <c r="O50" s="424">
        <f t="shared" si="27"/>
        <v>100</v>
      </c>
      <c r="P50" s="243"/>
      <c r="Q50" s="247">
        <v>1</v>
      </c>
      <c r="R50" s="248" t="s">
        <v>249</v>
      </c>
      <c r="S50" s="248"/>
      <c r="T50" s="248"/>
      <c r="U50" s="248"/>
      <c r="V50" s="248"/>
      <c r="W50" s="248"/>
      <c r="X50" s="248"/>
      <c r="Y50" s="248"/>
      <c r="Z50" s="248"/>
      <c r="AA50" s="248"/>
      <c r="AB50" s="248"/>
      <c r="AC50" s="248"/>
    </row>
    <row r="51" spans="1:29" s="220" customFormat="1">
      <c r="A51" s="244"/>
      <c r="B51" s="818"/>
      <c r="C51" s="251" t="s">
        <v>250</v>
      </c>
      <c r="D51" s="246" t="s">
        <v>251</v>
      </c>
      <c r="E51" s="246" t="s">
        <v>251</v>
      </c>
      <c r="F51" s="246" t="s">
        <v>251</v>
      </c>
      <c r="G51" s="246" t="s">
        <v>251</v>
      </c>
      <c r="J51" s="797"/>
      <c r="K51" s="282" t="str">
        <f t="shared" si="12"/>
        <v>新旧程度</v>
      </c>
      <c r="L51" s="424">
        <f t="shared" ref="L51:O51" si="28">IF(D51="十成新",100,IF(D51="九五成新",99,IF(D51="九成新",98,IF(D51="八五成新",97,IF(D51="八成新",96,IF(D51="七五成新",95,IF(D51="七成新",94)))))))</f>
        <v>100</v>
      </c>
      <c r="M51" s="424">
        <f t="shared" si="28"/>
        <v>100</v>
      </c>
      <c r="N51" s="424">
        <f t="shared" si="28"/>
        <v>100</v>
      </c>
      <c r="O51" s="424">
        <f t="shared" si="28"/>
        <v>100</v>
      </c>
      <c r="P51" s="243"/>
      <c r="Q51" s="247">
        <v>2</v>
      </c>
      <c r="R51" s="248" t="s">
        <v>252</v>
      </c>
      <c r="S51" s="248"/>
      <c r="T51" s="248"/>
      <c r="U51" s="248"/>
      <c r="V51" s="248"/>
      <c r="W51" s="248"/>
      <c r="X51" s="248"/>
      <c r="Y51" s="248"/>
      <c r="Z51" s="248"/>
      <c r="AA51" s="248"/>
      <c r="AB51" s="248"/>
      <c r="AC51" s="248"/>
    </row>
    <row r="52" spans="1:29" s="220" customFormat="1">
      <c r="A52" s="244"/>
      <c r="B52" s="818"/>
      <c r="C52" s="251" t="s">
        <v>253</v>
      </c>
      <c r="D52" s="246" t="s">
        <v>254</v>
      </c>
      <c r="E52" s="246" t="s">
        <v>254</v>
      </c>
      <c r="F52" s="246" t="s">
        <v>254</v>
      </c>
      <c r="G52" s="246" t="s">
        <v>254</v>
      </c>
      <c r="J52" s="797"/>
      <c r="K52" s="282" t="str">
        <f t="shared" si="12"/>
        <v>建筑使用功能</v>
      </c>
      <c r="L52" s="424">
        <f t="shared" ref="L52:O52" si="29">IF(D52="较优",100,IF(D52="优",101,IF(D52="差",99)))</f>
        <v>101</v>
      </c>
      <c r="M52" s="424">
        <f t="shared" si="29"/>
        <v>101</v>
      </c>
      <c r="N52" s="424">
        <f t="shared" si="29"/>
        <v>101</v>
      </c>
      <c r="O52" s="424">
        <f t="shared" si="29"/>
        <v>101</v>
      </c>
      <c r="P52" s="243"/>
      <c r="Q52" s="247">
        <v>1</v>
      </c>
      <c r="R52" s="248" t="s">
        <v>255</v>
      </c>
      <c r="S52" s="248"/>
      <c r="T52" s="248"/>
      <c r="U52" s="248"/>
      <c r="V52" s="248"/>
      <c r="W52" s="248"/>
      <c r="X52" s="248"/>
      <c r="Y52" s="248"/>
      <c r="Z52" s="248"/>
      <c r="AA52" s="248"/>
      <c r="AB52" s="248"/>
      <c r="AC52" s="248"/>
    </row>
    <row r="53" spans="1:29" s="220" customFormat="1">
      <c r="A53" s="244" t="s">
        <v>256</v>
      </c>
      <c r="B53" s="818"/>
      <c r="C53" s="245" t="s">
        <v>105</v>
      </c>
      <c r="D53" s="246" t="s">
        <v>257</v>
      </c>
      <c r="E53" s="246" t="s">
        <v>257</v>
      </c>
      <c r="F53" s="246" t="s">
        <v>257</v>
      </c>
      <c r="G53" s="246" t="s">
        <v>257</v>
      </c>
      <c r="J53" s="797"/>
      <c r="K53" s="282" t="str">
        <f t="shared" si="12"/>
        <v>空间布局</v>
      </c>
      <c r="L53" s="424">
        <f t="shared" ref="L53:O53" si="30">IF(D53="较合理",100,IF(D53="合理",101,IF(D53="不合理",99)))</f>
        <v>101</v>
      </c>
      <c r="M53" s="424">
        <f t="shared" si="30"/>
        <v>101</v>
      </c>
      <c r="N53" s="424">
        <f t="shared" si="30"/>
        <v>101</v>
      </c>
      <c r="O53" s="424">
        <f t="shared" si="30"/>
        <v>101</v>
      </c>
      <c r="P53" s="243"/>
      <c r="Q53" s="252">
        <v>1</v>
      </c>
      <c r="R53" s="248" t="s">
        <v>258</v>
      </c>
      <c r="S53" s="248"/>
      <c r="T53" s="248"/>
      <c r="U53" s="248"/>
      <c r="V53" s="248"/>
      <c r="W53" s="248"/>
      <c r="X53" s="248"/>
      <c r="Y53" s="248"/>
      <c r="Z53" s="248"/>
      <c r="AA53" s="248"/>
      <c r="AB53" s="248"/>
      <c r="AC53" s="248"/>
    </row>
    <row r="54" spans="1:29" s="220" customFormat="1">
      <c r="A54" s="219" t="s">
        <v>259</v>
      </c>
      <c r="B54" s="818"/>
      <c r="C54" s="251" t="s">
        <v>204</v>
      </c>
      <c r="D54" s="227" t="s">
        <v>260</v>
      </c>
      <c r="E54" s="279" t="str">
        <f t="shared" ref="E54:G54" si="31">E22</f>
        <v>一般装潢</v>
      </c>
      <c r="F54" s="279" t="str">
        <f t="shared" si="31"/>
        <v>豪华装潢</v>
      </c>
      <c r="G54" s="279" t="str">
        <f t="shared" si="31"/>
        <v>一般装潢</v>
      </c>
      <c r="J54" s="797"/>
      <c r="K54" s="282" t="str">
        <f t="shared" si="12"/>
        <v>装饰装修</v>
      </c>
      <c r="L54" s="424">
        <f t="shared" ref="L54:O54" si="32">IF(D54="一般装潢",100,IF(D54="豪华装潢",101,IF(D54="简易装潢",99,IF(D54="毛坯",98))))</f>
        <v>98</v>
      </c>
      <c r="M54" s="424">
        <f t="shared" si="32"/>
        <v>100</v>
      </c>
      <c r="N54" s="424">
        <f t="shared" si="32"/>
        <v>101</v>
      </c>
      <c r="O54" s="424">
        <f t="shared" si="32"/>
        <v>100</v>
      </c>
      <c r="P54" s="243"/>
      <c r="Q54" s="252">
        <v>1</v>
      </c>
      <c r="R54" s="248" t="s">
        <v>261</v>
      </c>
      <c r="S54" s="248"/>
      <c r="T54" s="248"/>
      <c r="U54" s="248"/>
      <c r="V54" s="248"/>
      <c r="W54" s="248"/>
      <c r="X54" s="248"/>
      <c r="Y54" s="248"/>
      <c r="Z54" s="248"/>
      <c r="AA54" s="248"/>
      <c r="AB54" s="248"/>
      <c r="AC54" s="248"/>
    </row>
    <row r="55" spans="1:29" s="220" customFormat="1">
      <c r="A55" s="219"/>
      <c r="B55" s="818"/>
      <c r="C55" s="251" t="s">
        <v>127</v>
      </c>
      <c r="D55" s="253" t="s">
        <v>262</v>
      </c>
      <c r="E55" s="253" t="s">
        <v>262</v>
      </c>
      <c r="F55" s="253" t="s">
        <v>262</v>
      </c>
      <c r="G55" s="253" t="s">
        <v>263</v>
      </c>
      <c r="J55" s="797"/>
      <c r="K55" s="282" t="str">
        <f t="shared" si="12"/>
        <v>设施设备</v>
      </c>
      <c r="L55" s="424">
        <f t="shared" ref="L55:O55" si="33">IF(D55="设施设备齐全",101,IF(D55="有设施设备但不齐全",100,IF(D55="无设施设备",99)))</f>
        <v>99</v>
      </c>
      <c r="M55" s="424">
        <f t="shared" si="33"/>
        <v>99</v>
      </c>
      <c r="N55" s="424">
        <f t="shared" si="33"/>
        <v>99</v>
      </c>
      <c r="O55" s="424">
        <f t="shared" si="33"/>
        <v>101</v>
      </c>
      <c r="P55" s="243"/>
      <c r="Q55" s="252">
        <v>1</v>
      </c>
      <c r="R55" s="248" t="s">
        <v>264</v>
      </c>
      <c r="S55" s="248"/>
      <c r="T55" s="248"/>
      <c r="U55" s="248"/>
      <c r="V55" s="248"/>
      <c r="W55" s="248"/>
      <c r="X55" s="248"/>
      <c r="Y55" s="248"/>
      <c r="Z55" s="248"/>
      <c r="AA55" s="248"/>
      <c r="AB55" s="248"/>
      <c r="AC55" s="248"/>
    </row>
    <row r="56" spans="1:29" s="220" customFormat="1">
      <c r="A56" s="219"/>
      <c r="B56" s="818"/>
      <c r="C56" s="251" t="s">
        <v>265</v>
      </c>
      <c r="D56" s="246" t="s">
        <v>266</v>
      </c>
      <c r="E56" s="246" t="s">
        <v>267</v>
      </c>
      <c r="F56" s="246" t="s">
        <v>268</v>
      </c>
      <c r="G56" s="246" t="s">
        <v>269</v>
      </c>
      <c r="J56" s="797"/>
      <c r="K56" s="282" t="str">
        <f t="shared" si="12"/>
        <v>层高（米）</v>
      </c>
      <c r="L56" s="424">
        <f t="shared" ref="L56:O56" si="34">IF(D56="小于2.8米",97,IF(D56="2.8米至4.7米之间",100,IF(D56="4.7米至5.5米之间",103,IF(D56="5.5米以上",106))))</f>
        <v>100</v>
      </c>
      <c r="M56" s="424">
        <f t="shared" si="34"/>
        <v>106</v>
      </c>
      <c r="N56" s="424">
        <f t="shared" si="34"/>
        <v>97</v>
      </c>
      <c r="O56" s="424">
        <f t="shared" si="34"/>
        <v>103</v>
      </c>
      <c r="P56" s="243"/>
      <c r="Q56" s="252">
        <v>3</v>
      </c>
      <c r="R56" s="248" t="s">
        <v>270</v>
      </c>
      <c r="S56" s="248"/>
      <c r="T56" s="248"/>
      <c r="U56" s="248"/>
      <c r="V56" s="248"/>
      <c r="W56" s="248"/>
      <c r="X56" s="248"/>
      <c r="Y56" s="248"/>
      <c r="Z56" s="248"/>
      <c r="AA56" s="248"/>
      <c r="AB56" s="248"/>
      <c r="AC56" s="248"/>
    </row>
    <row r="57" spans="1:29" s="220" customFormat="1">
      <c r="A57" s="219"/>
      <c r="B57" s="818"/>
      <c r="C57" s="425" t="s">
        <v>818</v>
      </c>
      <c r="D57" s="426" t="s">
        <v>752</v>
      </c>
      <c r="E57" s="426" t="s">
        <v>271</v>
      </c>
      <c r="F57" s="426" t="s">
        <v>271</v>
      </c>
      <c r="G57" s="426" t="s">
        <v>271</v>
      </c>
      <c r="J57" s="798"/>
      <c r="K57" s="282" t="str">
        <f t="shared" si="12"/>
        <v>物业管理</v>
      </c>
      <c r="L57" s="424">
        <f>IF(D57="一般",100,IF(D57="较好",102,IF(D57="好",104,IF(D57="较差",98,IF(D57="差",96,IF(D57="小于0.25",103,IF(D57="0.25-0.5",100,IF(D57="0.5-0.75",97,IF(D57="大于0.75",94)))))))))</f>
        <v>100</v>
      </c>
      <c r="M57" s="424">
        <f t="shared" ref="M57:O57" si="35">IF(E57="一般",100,IF(E57="较好",102,IF(E57="好",104,IF(E57="较差",98,IF(E57="差",96,IF(E57="小于0.25",103,IF(E57="0.25-0.5",100,IF(E57="0.5-0.75",97,IF(E57="大于0.75",94)))))))))</f>
        <v>104</v>
      </c>
      <c r="N57" s="424">
        <f t="shared" si="35"/>
        <v>104</v>
      </c>
      <c r="O57" s="424">
        <f t="shared" si="35"/>
        <v>104</v>
      </c>
      <c r="P57" s="243"/>
      <c r="Q57" s="252">
        <v>2</v>
      </c>
      <c r="R57" s="254" t="s">
        <v>272</v>
      </c>
      <c r="S57" s="248"/>
      <c r="T57" s="248"/>
      <c r="U57" s="248"/>
      <c r="V57" s="248"/>
      <c r="W57" s="248"/>
      <c r="X57" s="248"/>
      <c r="Y57" s="248"/>
      <c r="Z57" s="248"/>
      <c r="AA57" s="248"/>
      <c r="AB57" s="248"/>
      <c r="AC57" s="248"/>
    </row>
    <row r="58" spans="1:29" s="220" customFormat="1">
      <c r="A58" s="219"/>
      <c r="B58" s="815" t="s">
        <v>168</v>
      </c>
      <c r="C58" s="255" t="s">
        <v>273</v>
      </c>
      <c r="D58" s="246" t="s">
        <v>274</v>
      </c>
      <c r="E58" s="246" t="s">
        <v>274</v>
      </c>
      <c r="F58" s="246" t="s">
        <v>274</v>
      </c>
      <c r="G58" s="246" t="s">
        <v>274</v>
      </c>
      <c r="J58" s="820" t="s">
        <v>275</v>
      </c>
      <c r="K58" s="282" t="str">
        <f t="shared" si="12"/>
        <v>规划条件</v>
      </c>
      <c r="L58" s="424">
        <f t="shared" ref="L58:O58" si="36">IF(D58="按规划条件建设",100,IF(D58="未按规划条件建设",98))</f>
        <v>100</v>
      </c>
      <c r="M58" s="424">
        <f t="shared" si="36"/>
        <v>100</v>
      </c>
      <c r="N58" s="424">
        <f t="shared" si="36"/>
        <v>100</v>
      </c>
      <c r="O58" s="424">
        <f t="shared" si="36"/>
        <v>100</v>
      </c>
      <c r="P58" s="243"/>
      <c r="Q58" s="252">
        <v>2</v>
      </c>
      <c r="R58" s="248" t="s">
        <v>276</v>
      </c>
      <c r="S58" s="248"/>
      <c r="T58" s="248"/>
      <c r="U58" s="248"/>
      <c r="V58" s="248"/>
      <c r="W58" s="248"/>
      <c r="X58" s="248"/>
      <c r="Y58" s="248"/>
      <c r="Z58" s="248"/>
      <c r="AA58" s="248"/>
      <c r="AB58" s="248"/>
      <c r="AC58" s="248"/>
    </row>
    <row r="59" spans="1:29" s="220" customFormat="1">
      <c r="A59" s="219"/>
      <c r="B59" s="816"/>
      <c r="C59" s="251" t="s">
        <v>277</v>
      </c>
      <c r="D59" s="256" t="s">
        <v>278</v>
      </c>
      <c r="E59" s="256" t="s">
        <v>278</v>
      </c>
      <c r="F59" s="256" t="s">
        <v>278</v>
      </c>
      <c r="G59" s="256" t="s">
        <v>278</v>
      </c>
      <c r="J59" s="820"/>
      <c r="K59" s="282" t="str">
        <f t="shared" si="12"/>
        <v>权属清晰情况</v>
      </c>
      <c r="L59" s="424">
        <f t="shared" ref="L59:O59" si="37">IF(D59="已登记，权属清晰",100,IF(D59="未登记，权属清晰",95,IF(D59="未登记，权属不清晰",90)))</f>
        <v>100</v>
      </c>
      <c r="M59" s="424">
        <f t="shared" si="37"/>
        <v>100</v>
      </c>
      <c r="N59" s="424">
        <f t="shared" si="37"/>
        <v>100</v>
      </c>
      <c r="O59" s="424">
        <f t="shared" si="37"/>
        <v>100</v>
      </c>
      <c r="P59" s="243"/>
      <c r="Q59" s="252">
        <v>5</v>
      </c>
      <c r="R59" s="248" t="s">
        <v>279</v>
      </c>
      <c r="S59" s="248"/>
      <c r="T59" s="248"/>
      <c r="U59" s="248"/>
      <c r="V59" s="248"/>
      <c r="W59" s="248"/>
      <c r="X59" s="248"/>
      <c r="Y59" s="248"/>
      <c r="Z59" s="248"/>
      <c r="AA59" s="248"/>
      <c r="AB59" s="248"/>
      <c r="AC59" s="248"/>
    </row>
    <row r="60" spans="1:29" s="220" customFormat="1">
      <c r="A60" s="219"/>
      <c r="B60" s="816"/>
      <c r="C60" s="255" t="s">
        <v>280</v>
      </c>
      <c r="D60" s="246" t="s">
        <v>281</v>
      </c>
      <c r="E60" s="246" t="s">
        <v>282</v>
      </c>
      <c r="F60" s="246" t="s">
        <v>281</v>
      </c>
      <c r="G60" s="246" t="s">
        <v>281</v>
      </c>
      <c r="J60" s="820"/>
      <c r="K60" s="282" t="str">
        <f t="shared" si="12"/>
        <v>土地使用权性质</v>
      </c>
      <c r="L60" s="424">
        <f t="shared" ref="L60:O60" si="38">IF(D60="国有出让",100,IF(D60="国有划拨",97,IF(D60="集体土地",94,IF(D60="租赁土地",91))))</f>
        <v>100</v>
      </c>
      <c r="M60" s="424">
        <f t="shared" si="38"/>
        <v>97</v>
      </c>
      <c r="N60" s="424">
        <f t="shared" si="38"/>
        <v>100</v>
      </c>
      <c r="O60" s="424">
        <f t="shared" si="38"/>
        <v>100</v>
      </c>
      <c r="P60" s="243"/>
      <c r="Q60" s="252">
        <v>3</v>
      </c>
      <c r="R60" s="248" t="s">
        <v>283</v>
      </c>
      <c r="S60" s="248"/>
      <c r="T60" s="248"/>
      <c r="U60" s="248"/>
      <c r="V60" s="248"/>
      <c r="W60" s="248"/>
      <c r="X60" s="248"/>
      <c r="Y60" s="248"/>
      <c r="Z60" s="248"/>
      <c r="AA60" s="248"/>
      <c r="AB60" s="248"/>
      <c r="AC60" s="248"/>
    </row>
    <row r="61" spans="1:29" s="220" customFormat="1">
      <c r="A61" s="219"/>
      <c r="B61" s="816"/>
      <c r="C61" s="249" t="s">
        <v>284</v>
      </c>
      <c r="D61" s="227" t="s">
        <v>285</v>
      </c>
      <c r="E61" s="227" t="s">
        <v>286</v>
      </c>
      <c r="F61" s="227" t="s">
        <v>286</v>
      </c>
      <c r="G61" s="227" t="s">
        <v>286</v>
      </c>
      <c r="J61" s="820"/>
      <c r="K61" s="283" t="str">
        <f>C61</f>
        <v>土地剩余使用年限（年）</v>
      </c>
      <c r="L61" s="250">
        <v>100</v>
      </c>
      <c r="M61" s="250">
        <v>100</v>
      </c>
      <c r="N61" s="250">
        <v>100</v>
      </c>
      <c r="O61" s="250">
        <v>100</v>
      </c>
      <c r="P61" s="243"/>
      <c r="Q61" s="252" t="s">
        <v>239</v>
      </c>
      <c r="R61" s="248" t="s">
        <v>287</v>
      </c>
      <c r="S61" s="248"/>
      <c r="T61" s="248"/>
      <c r="U61" s="248"/>
      <c r="V61" s="248"/>
      <c r="W61" s="248"/>
      <c r="X61" s="248"/>
      <c r="Y61" s="248"/>
      <c r="Z61" s="248"/>
      <c r="AA61" s="248"/>
      <c r="AB61" s="248"/>
      <c r="AC61" s="248"/>
    </row>
    <row r="62" spans="1:29" s="220" customFormat="1">
      <c r="A62" s="219"/>
      <c r="B62" s="816"/>
      <c r="C62" s="251" t="s">
        <v>14</v>
      </c>
      <c r="D62" s="246" t="s">
        <v>288</v>
      </c>
      <c r="E62" s="246" t="s">
        <v>288</v>
      </c>
      <c r="F62" s="246" t="s">
        <v>288</v>
      </c>
      <c r="G62" s="246" t="s">
        <v>289</v>
      </c>
      <c r="J62" s="820"/>
      <c r="K62" s="282" t="str">
        <f t="shared" si="12"/>
        <v>共有情况</v>
      </c>
      <c r="L62" s="424">
        <f t="shared" ref="L62:O62" si="39">IF(D62="无其他共有权人",100,IF(D62="有三个及以上共有权人",99))</f>
        <v>100</v>
      </c>
      <c r="M62" s="424">
        <f t="shared" si="39"/>
        <v>100</v>
      </c>
      <c r="N62" s="424">
        <f t="shared" si="39"/>
        <v>100</v>
      </c>
      <c r="O62" s="424">
        <f t="shared" si="39"/>
        <v>99</v>
      </c>
      <c r="P62" s="286"/>
      <c r="Q62" s="252">
        <v>1</v>
      </c>
      <c r="R62" s="248" t="s">
        <v>290</v>
      </c>
      <c r="S62" s="248"/>
      <c r="T62" s="248"/>
      <c r="U62" s="248"/>
      <c r="V62" s="248"/>
      <c r="W62" s="248"/>
      <c r="X62" s="248"/>
      <c r="Y62" s="248"/>
      <c r="Z62" s="248"/>
      <c r="AA62" s="248"/>
      <c r="AB62" s="248"/>
      <c r="AC62" s="248"/>
    </row>
    <row r="63" spans="1:29" s="220" customFormat="1">
      <c r="A63" s="219"/>
      <c r="B63" s="816"/>
      <c r="C63" s="251" t="s">
        <v>291</v>
      </c>
      <c r="D63" s="246" t="s">
        <v>292</v>
      </c>
      <c r="E63" s="246" t="s">
        <v>292</v>
      </c>
      <c r="F63" s="246" t="s">
        <v>292</v>
      </c>
      <c r="G63" s="246" t="s">
        <v>292</v>
      </c>
      <c r="J63" s="820"/>
      <c r="K63" s="282" t="str">
        <f t="shared" si="12"/>
        <v>用益物权设立情况</v>
      </c>
      <c r="L63" s="424">
        <f t="shared" ref="L63:O63" si="40">IF(D63="无用益物权",100,IF(D63="有用益物权",97))</f>
        <v>100</v>
      </c>
      <c r="M63" s="424">
        <f t="shared" si="40"/>
        <v>100</v>
      </c>
      <c r="N63" s="424">
        <f t="shared" si="40"/>
        <v>100</v>
      </c>
      <c r="O63" s="424">
        <f t="shared" si="40"/>
        <v>100</v>
      </c>
      <c r="P63" s="286"/>
      <c r="Q63" s="252">
        <v>3</v>
      </c>
      <c r="R63" s="248" t="s">
        <v>293</v>
      </c>
      <c r="S63" s="248"/>
      <c r="T63" s="248"/>
      <c r="U63" s="248"/>
      <c r="V63" s="248"/>
      <c r="W63" s="248"/>
      <c r="X63" s="248"/>
      <c r="Y63" s="248"/>
      <c r="Z63" s="248"/>
      <c r="AA63" s="248"/>
      <c r="AB63" s="248"/>
      <c r="AC63" s="248"/>
    </row>
    <row r="64" spans="1:29" s="220" customFormat="1" ht="12" customHeight="1">
      <c r="A64" s="219"/>
      <c r="B64" s="816"/>
      <c r="C64" s="251" t="s">
        <v>294</v>
      </c>
      <c r="D64" s="246" t="s">
        <v>295</v>
      </c>
      <c r="E64" s="246" t="s">
        <v>295</v>
      </c>
      <c r="F64" s="246" t="s">
        <v>295</v>
      </c>
      <c r="G64" s="246" t="s">
        <v>295</v>
      </c>
      <c r="J64" s="820"/>
      <c r="K64" s="282" t="str">
        <f t="shared" si="12"/>
        <v>担保物权设立情况</v>
      </c>
      <c r="L64" s="424">
        <f t="shared" ref="L64:O64" si="41">IF(D64="无担保物权",100,IF(D64="有担保物权",97))</f>
        <v>100</v>
      </c>
      <c r="M64" s="424">
        <f t="shared" si="41"/>
        <v>100</v>
      </c>
      <c r="N64" s="424">
        <f t="shared" si="41"/>
        <v>100</v>
      </c>
      <c r="O64" s="424">
        <f t="shared" si="41"/>
        <v>100</v>
      </c>
      <c r="P64" s="286"/>
      <c r="Q64" s="252">
        <v>1</v>
      </c>
      <c r="R64" s="248" t="s">
        <v>296</v>
      </c>
      <c r="S64" s="248"/>
      <c r="T64" s="248"/>
      <c r="U64" s="248"/>
      <c r="V64" s="248"/>
      <c r="W64" s="248"/>
      <c r="X64" s="248"/>
      <c r="Y64" s="248"/>
      <c r="Z64" s="248"/>
      <c r="AA64" s="248"/>
      <c r="AB64" s="248"/>
      <c r="AC64" s="248"/>
    </row>
    <row r="65" spans="1:34" s="220" customFormat="1" ht="12" customHeight="1">
      <c r="A65" s="219"/>
      <c r="B65" s="816"/>
      <c r="C65" s="251" t="s">
        <v>297</v>
      </c>
      <c r="D65" s="246" t="s">
        <v>298</v>
      </c>
      <c r="E65" s="246" t="s">
        <v>298</v>
      </c>
      <c r="F65" s="246" t="s">
        <v>298</v>
      </c>
      <c r="G65" s="246" t="s">
        <v>299</v>
      </c>
      <c r="J65" s="820"/>
      <c r="K65" s="282" t="str">
        <f t="shared" si="12"/>
        <v>租赁或占用情况</v>
      </c>
      <c r="L65" s="424">
        <f t="shared" ref="L65:O65" si="42">IF(D65="无租赁或短期租赁、正常租金",100,IF(D65="长期租赁、租金偏低",97))</f>
        <v>100</v>
      </c>
      <c r="M65" s="424">
        <f t="shared" si="42"/>
        <v>100</v>
      </c>
      <c r="N65" s="424">
        <f t="shared" si="42"/>
        <v>100</v>
      </c>
      <c r="O65" s="424">
        <f t="shared" si="42"/>
        <v>97</v>
      </c>
      <c r="P65" s="286"/>
      <c r="Q65" s="252">
        <v>3</v>
      </c>
      <c r="R65" s="248" t="s">
        <v>300</v>
      </c>
      <c r="S65" s="248"/>
      <c r="T65" s="248"/>
      <c r="U65" s="248"/>
      <c r="V65" s="248"/>
      <c r="W65" s="248"/>
      <c r="X65" s="248"/>
      <c r="Y65" s="248"/>
      <c r="Z65" s="248"/>
      <c r="AA65" s="248"/>
      <c r="AB65" s="248"/>
      <c r="AC65" s="248"/>
    </row>
    <row r="66" spans="1:34" s="220" customFormat="1" ht="12" customHeight="1">
      <c r="A66" s="219"/>
      <c r="B66" s="816"/>
      <c r="C66" s="255" t="s">
        <v>301</v>
      </c>
      <c r="D66" s="246" t="s">
        <v>302</v>
      </c>
      <c r="E66" s="246" t="s">
        <v>302</v>
      </c>
      <c r="F66" s="246" t="s">
        <v>302</v>
      </c>
      <c r="G66" s="246" t="s">
        <v>302</v>
      </c>
      <c r="J66" s="820"/>
      <c r="K66" s="282" t="str">
        <f t="shared" si="12"/>
        <v>拖欠税费情况</v>
      </c>
      <c r="L66" s="424">
        <f t="shared" ref="L66:O66" si="43">IF(D66="不拖欠税费",100,IF(D66="拖欠税费",95))</f>
        <v>100</v>
      </c>
      <c r="M66" s="424">
        <f t="shared" si="43"/>
        <v>100</v>
      </c>
      <c r="N66" s="424">
        <f t="shared" si="43"/>
        <v>100</v>
      </c>
      <c r="O66" s="424">
        <f t="shared" si="43"/>
        <v>100</v>
      </c>
      <c r="P66" s="286"/>
      <c r="Q66" s="252">
        <v>5</v>
      </c>
      <c r="R66" s="248" t="s">
        <v>303</v>
      </c>
      <c r="S66" s="248"/>
      <c r="T66" s="248"/>
      <c r="U66" s="248"/>
      <c r="V66" s="248"/>
      <c r="W66" s="248"/>
      <c r="X66" s="248"/>
      <c r="Y66" s="248"/>
      <c r="Z66" s="248"/>
      <c r="AA66" s="248"/>
      <c r="AB66" s="248"/>
      <c r="AC66" s="248"/>
    </row>
    <row r="67" spans="1:34" s="220" customFormat="1" ht="12" customHeight="1">
      <c r="A67" s="219"/>
      <c r="B67" s="819"/>
      <c r="C67" s="249" t="s">
        <v>304</v>
      </c>
      <c r="D67" s="246" t="s">
        <v>305</v>
      </c>
      <c r="E67" s="246" t="s">
        <v>306</v>
      </c>
      <c r="F67" s="246" t="s">
        <v>305</v>
      </c>
      <c r="G67" s="246" t="s">
        <v>305</v>
      </c>
      <c r="J67" s="820"/>
      <c r="K67" s="284" t="str">
        <f t="shared" si="12"/>
        <v>查封等形式限制权利情况</v>
      </c>
      <c r="L67" s="424">
        <f t="shared" ref="L67:O67" si="44">IF(D67="无查封",100,IF(D67="有查封",95))</f>
        <v>100</v>
      </c>
      <c r="M67" s="424">
        <f t="shared" si="44"/>
        <v>95</v>
      </c>
      <c r="N67" s="424">
        <f t="shared" si="44"/>
        <v>100</v>
      </c>
      <c r="O67" s="424">
        <f t="shared" si="44"/>
        <v>100</v>
      </c>
      <c r="P67" s="286"/>
      <c r="Q67" s="252">
        <v>5</v>
      </c>
      <c r="R67" s="248" t="s">
        <v>307</v>
      </c>
      <c r="S67" s="248"/>
      <c r="T67" s="248"/>
      <c r="U67" s="248"/>
      <c r="V67" s="248"/>
      <c r="W67" s="248"/>
      <c r="X67" s="248"/>
      <c r="Y67" s="248"/>
      <c r="Z67" s="248"/>
      <c r="AA67" s="248"/>
      <c r="AB67" s="248"/>
      <c r="AC67" s="248"/>
    </row>
    <row r="68" spans="1:34" s="259" customFormat="1">
      <c r="A68" s="257"/>
      <c r="B68" s="258"/>
      <c r="D68" s="259" t="s">
        <v>308</v>
      </c>
      <c r="J68" s="260"/>
      <c r="K68" s="285" t="s">
        <v>309</v>
      </c>
      <c r="L68" s="285"/>
      <c r="M68" s="285">
        <f>ROUND(M34*L35/M35*L36/M36*L37/M37*L38/M38*L39/M39*L40/M40*L41/M41*L42/M42*L43/M43*L44/M44*L45/M45*L46/M46*L47/M47*L48/M48*L49/M49*L50/M50*L51/M51*L52/M52*L53/M53*L54/M54*L55/M55*L56/M56*L57/M57*L58/M58*L59/M59*L60/M60*L61/M61*L62/M62*L63/M63*L64/M64*L65/M65*L66/M66*L67/M67,0)</f>
        <v>1039</v>
      </c>
      <c r="N68" s="285">
        <f>ROUND(N34*L35/N35*L36/N36*L37/N37*L38/N38*L39/N39*L40/N40*L41/N41*L42/N42*L43/N43*L44/N44*L45/N45*L46/N46*L47/N47*L48/N48*L49/N49*L50/N50*L51/N51*L52/N52*L53/N53*L54/N54*L55/N55*L56/N56*L57/N57*L58/N58*L59/N59*L60/N60*L61/N61*L62/N62*L63/N63*L64/N64*L65/N65*L66/N66*L67/N67,0)</f>
        <v>1030</v>
      </c>
      <c r="O68" s="285">
        <f>ROUND(O34*L35/O35*L36/O36*L37/O37*L38/O38*L39/O39*L40/O40*L41/O41*L42/O42*L43/O43*L44/O44*L45/O45*L46/O46*L47/O47*L48/O48*L49/O49*L50/O50*L51/O51*L52/O52*L53/O53*L54/O54*L55/O55*L56/O56*L57/O57*L58/O58*L59/O59*L60/O60*L61/O61*L62/O62*L63/O63*L64/O64*L65/O65*L66/O66*L67/O67,0)</f>
        <v>1134</v>
      </c>
      <c r="P68" s="287"/>
      <c r="AD68" s="220"/>
      <c r="AE68" s="220"/>
      <c r="AF68" s="220"/>
      <c r="AG68" s="220"/>
      <c r="AH68" s="220"/>
    </row>
    <row r="69" spans="1:34" s="220" customFormat="1">
      <c r="A69" s="219"/>
      <c r="B69" s="239"/>
      <c r="J69" s="261"/>
      <c r="K69" s="424" t="s">
        <v>50</v>
      </c>
      <c r="L69" s="288">
        <f>M69</f>
        <v>1068</v>
      </c>
      <c r="M69" s="799">
        <f>ROUND((M68+N68+O68)/3,0)</f>
        <v>1068</v>
      </c>
      <c r="N69" s="800"/>
      <c r="O69" s="801"/>
      <c r="P69" s="289"/>
    </row>
    <row r="70" spans="1:34" s="220" customFormat="1">
      <c r="A70" s="219"/>
      <c r="B70" s="239"/>
      <c r="K70" s="290" t="s">
        <v>310</v>
      </c>
      <c r="L70" s="290">
        <f>ROUND(L69*'基础数据(房地产)'!B12/10000,2)</f>
        <v>26.58</v>
      </c>
      <c r="M70" s="290"/>
      <c r="N70" s="291"/>
      <c r="R70" s="248" t="s">
        <v>311</v>
      </c>
      <c r="S70" s="248"/>
      <c r="T70" s="248"/>
    </row>
    <row r="71" spans="1:34" s="220" customFormat="1">
      <c r="A71" s="219"/>
      <c r="B71" s="239"/>
      <c r="K71" s="290" t="s">
        <v>312</v>
      </c>
      <c r="L71" s="802">
        <f>L70*10000</f>
        <v>265800</v>
      </c>
      <c r="M71" s="802"/>
      <c r="N71" s="802"/>
      <c r="R71" s="248" t="s">
        <v>313</v>
      </c>
      <c r="S71" s="248"/>
      <c r="T71" s="248"/>
    </row>
    <row r="72" spans="1:34" s="220" customFormat="1" ht="14.25">
      <c r="A72" s="219"/>
      <c r="B72" s="239"/>
      <c r="J72" s="262"/>
      <c r="K72" s="263" t="s">
        <v>47</v>
      </c>
      <c r="L72" s="264" t="s">
        <v>41</v>
      </c>
      <c r="M72" s="265" t="s">
        <v>314</v>
      </c>
      <c r="R72" s="248" t="s">
        <v>315</v>
      </c>
      <c r="S72" s="248"/>
      <c r="T72" s="248"/>
    </row>
    <row r="73" spans="1:34" s="220" customFormat="1" ht="14.25">
      <c r="A73" s="219"/>
      <c r="B73" s="239"/>
      <c r="J73" s="299" t="s">
        <v>316</v>
      </c>
      <c r="K73" s="266">
        <v>2016</v>
      </c>
      <c r="L73" s="266">
        <v>2064</v>
      </c>
      <c r="M73" s="292">
        <f>L73-K73</f>
        <v>48</v>
      </c>
    </row>
    <row r="74" spans="1:34" s="220" customFormat="1" ht="14.25">
      <c r="A74" s="219"/>
      <c r="B74" s="239"/>
      <c r="J74" s="299" t="s">
        <v>317</v>
      </c>
      <c r="K74" s="266">
        <v>5</v>
      </c>
      <c r="L74" s="266">
        <v>11</v>
      </c>
      <c r="M74" s="292">
        <f>L74*30-K74*30</f>
        <v>180</v>
      </c>
      <c r="O74" s="362" t="s">
        <v>581</v>
      </c>
      <c r="P74" s="803" t="s">
        <v>582</v>
      </c>
      <c r="Q74" s="803"/>
      <c r="R74" s="803"/>
      <c r="S74" s="803"/>
      <c r="T74" s="803"/>
      <c r="U74" s="803"/>
      <c r="V74" s="803"/>
    </row>
    <row r="75" spans="1:34" s="220" customFormat="1" ht="14.25">
      <c r="A75" s="219"/>
      <c r="B75" s="239"/>
      <c r="C75" s="242" t="s">
        <v>318</v>
      </c>
      <c r="D75" s="221"/>
      <c r="J75" s="299" t="s">
        <v>319</v>
      </c>
      <c r="K75" s="266">
        <v>30</v>
      </c>
      <c r="L75" s="266">
        <v>2</v>
      </c>
      <c r="M75" s="292">
        <f>L75-K75</f>
        <v>-28</v>
      </c>
      <c r="N75" s="220" t="s">
        <v>308</v>
      </c>
      <c r="O75" s="362" t="s">
        <v>583</v>
      </c>
      <c r="P75" s="804"/>
      <c r="Q75" s="804"/>
      <c r="R75" s="363" t="s">
        <v>585</v>
      </c>
    </row>
    <row r="76" spans="1:34" s="220" customFormat="1" ht="14.25" hidden="1">
      <c r="A76" s="219"/>
      <c r="B76" s="239"/>
      <c r="J76" s="267"/>
      <c r="K76" s="268"/>
      <c r="L76" s="268"/>
      <c r="M76" s="293"/>
      <c r="O76" s="362" t="s">
        <v>584</v>
      </c>
      <c r="P76" s="804"/>
      <c r="Q76" s="804"/>
      <c r="R76" s="363" t="s">
        <v>586</v>
      </c>
    </row>
    <row r="77" spans="1:34" s="220" customFormat="1" ht="19.5" hidden="1" customHeight="1">
      <c r="A77" s="219"/>
      <c r="B77" s="805" t="s">
        <v>320</v>
      </c>
      <c r="C77" s="805"/>
      <c r="D77" s="805"/>
      <c r="E77" s="805"/>
      <c r="F77" s="805"/>
      <c r="J77" s="267"/>
      <c r="K77" s="268"/>
      <c r="L77" s="268"/>
      <c r="M77" s="292">
        <f>L74*30+L75-(K74*30+K75)</f>
        <v>152</v>
      </c>
    </row>
    <row r="78" spans="1:34" s="220" customFormat="1" ht="12.75" hidden="1" customHeight="1">
      <c r="A78" s="219"/>
      <c r="B78" s="821" t="s">
        <v>321</v>
      </c>
      <c r="C78" s="822"/>
      <c r="D78" s="806" t="s">
        <v>174</v>
      </c>
      <c r="E78" s="806" t="s">
        <v>175</v>
      </c>
      <c r="F78" s="806" t="s">
        <v>176</v>
      </c>
      <c r="H78" s="243"/>
      <c r="J78" s="267"/>
      <c r="K78" s="268"/>
      <c r="L78" s="268"/>
      <c r="M78" s="294">
        <f>M77/365</f>
        <v>0.41643835616438357</v>
      </c>
    </row>
    <row r="79" spans="1:34" s="220" customFormat="1" ht="12.75" hidden="1" customHeight="1">
      <c r="A79" s="219"/>
      <c r="B79" s="823"/>
      <c r="C79" s="824"/>
      <c r="D79" s="807"/>
      <c r="E79" s="807"/>
      <c r="F79" s="807"/>
      <c r="H79" s="243"/>
      <c r="J79" s="267"/>
      <c r="K79" s="268"/>
      <c r="L79" s="268"/>
      <c r="M79" s="293"/>
    </row>
    <row r="80" spans="1:34" s="220" customFormat="1" ht="14.25" hidden="1">
      <c r="A80" s="219"/>
      <c r="B80" s="789" t="str">
        <f>B28</f>
        <v>物业名称</v>
      </c>
      <c r="C80" s="790"/>
      <c r="D80" s="279" t="str">
        <f t="shared" ref="D80:F80" si="45">E7</f>
        <v>绵阳商厦</v>
      </c>
      <c r="E80" s="279" t="str">
        <f t="shared" si="45"/>
        <v>绵阳商厦</v>
      </c>
      <c r="F80" s="279" t="str">
        <f t="shared" si="45"/>
        <v>绵阳商厦</v>
      </c>
      <c r="H80" s="243"/>
      <c r="J80" s="267"/>
      <c r="K80" s="267"/>
      <c r="L80" s="296" t="s">
        <v>322</v>
      </c>
      <c r="M80" s="295">
        <f>ROUND(M73+M78,2)</f>
        <v>48.42</v>
      </c>
    </row>
    <row r="81" spans="1:13" s="220" customFormat="1" ht="14.25" hidden="1">
      <c r="A81" s="219"/>
      <c r="B81" s="789" t="str">
        <f t="shared" ref="B81:B83" si="46">B34</f>
        <v>年租金（人民币，元/㎡·年）</v>
      </c>
      <c r="C81" s="790"/>
      <c r="D81" s="300">
        <f t="shared" ref="D81:F81" si="47">E11</f>
        <v>1022</v>
      </c>
      <c r="E81" s="300">
        <f t="shared" si="47"/>
        <v>1125</v>
      </c>
      <c r="F81" s="300">
        <f t="shared" si="47"/>
        <v>1085</v>
      </c>
      <c r="H81" s="243"/>
      <c r="J81" s="267"/>
      <c r="K81" s="267"/>
      <c r="L81" s="297" t="s">
        <v>323</v>
      </c>
      <c r="M81" s="294">
        <f>50-M80</f>
        <v>1.5799999999999983</v>
      </c>
    </row>
    <row r="82" spans="1:13" s="220" customFormat="1" ht="14.25" hidden="1">
      <c r="A82" s="219"/>
      <c r="B82" s="789" t="str">
        <f t="shared" si="46"/>
        <v>交易情况</v>
      </c>
      <c r="C82" s="790"/>
      <c r="D82" s="301" t="str">
        <f t="shared" ref="D82:D114" si="48">L35&amp;"/"&amp;M35</f>
        <v>100/100</v>
      </c>
      <c r="E82" s="301" t="str">
        <f t="shared" ref="E82:E114" si="49">L35&amp;"/"&amp;N35</f>
        <v>100/100</v>
      </c>
      <c r="F82" s="301" t="str">
        <f t="shared" ref="F82:F114" si="50">L35&amp;"/"&amp;O35</f>
        <v>100/100</v>
      </c>
      <c r="H82" s="243"/>
      <c r="J82" s="267"/>
      <c r="K82" s="267"/>
      <c r="L82" s="298" t="s">
        <v>324</v>
      </c>
      <c r="M82" s="294">
        <f>40-M80</f>
        <v>-8.4200000000000017</v>
      </c>
    </row>
    <row r="83" spans="1:13" s="220" customFormat="1" ht="14.25" hidden="1">
      <c r="A83" s="219"/>
      <c r="B83" s="789" t="str">
        <f t="shared" si="46"/>
        <v>市场状况(交易时间)</v>
      </c>
      <c r="C83" s="790"/>
      <c r="D83" s="424" t="str">
        <f t="shared" si="48"/>
        <v>130.28/130.28</v>
      </c>
      <c r="E83" s="424" t="str">
        <f t="shared" si="49"/>
        <v>130.28/130.28</v>
      </c>
      <c r="F83" s="424" t="str">
        <f t="shared" si="50"/>
        <v>130.28/130.28</v>
      </c>
      <c r="H83" s="243"/>
      <c r="J83" s="267"/>
      <c r="K83" s="267"/>
      <c r="L83" s="298" t="s">
        <v>325</v>
      </c>
      <c r="M83" s="294">
        <f>70-M80</f>
        <v>21.58</v>
      </c>
    </row>
    <row r="84" spans="1:13" s="220" customFormat="1" hidden="1">
      <c r="A84" s="219"/>
      <c r="B84" s="793" t="s">
        <v>215</v>
      </c>
      <c r="C84" s="282" t="str">
        <f t="shared" ref="C84:C114" si="51">C37</f>
        <v>商业繁华程度</v>
      </c>
      <c r="D84" s="301" t="str">
        <f t="shared" si="48"/>
        <v>106/106</v>
      </c>
      <c r="E84" s="301" t="str">
        <f t="shared" si="49"/>
        <v>106/106</v>
      </c>
      <c r="F84" s="301" t="str">
        <f t="shared" si="50"/>
        <v>106/106</v>
      </c>
      <c r="H84" s="243"/>
    </row>
    <row r="85" spans="1:13" s="220" customFormat="1" hidden="1">
      <c r="A85" s="219"/>
      <c r="B85" s="794"/>
      <c r="C85" s="283" t="str">
        <f t="shared" si="51"/>
        <v>交通管制（单行、禁行）</v>
      </c>
      <c r="D85" s="301" t="str">
        <f t="shared" si="48"/>
        <v>102/102</v>
      </c>
      <c r="E85" s="301" t="str">
        <f t="shared" si="49"/>
        <v>102/102</v>
      </c>
      <c r="F85" s="301" t="str">
        <f t="shared" si="50"/>
        <v>102/102</v>
      </c>
      <c r="H85" s="243"/>
    </row>
    <row r="86" spans="1:13" s="220" customFormat="1" hidden="1">
      <c r="A86" s="219"/>
      <c r="B86" s="794"/>
      <c r="C86" s="282" t="str">
        <f t="shared" si="51"/>
        <v>公交便捷度</v>
      </c>
      <c r="D86" s="301" t="str">
        <f t="shared" si="48"/>
        <v>100/100</v>
      </c>
      <c r="E86" s="301" t="str">
        <f t="shared" si="49"/>
        <v>100/100</v>
      </c>
      <c r="F86" s="301" t="str">
        <f t="shared" si="50"/>
        <v>100/94</v>
      </c>
      <c r="H86" s="243"/>
    </row>
    <row r="87" spans="1:13" s="220" customFormat="1" hidden="1">
      <c r="A87" s="219"/>
      <c r="B87" s="794"/>
      <c r="C87" s="282" t="str">
        <f t="shared" si="51"/>
        <v>基础设施</v>
      </c>
      <c r="D87" s="301" t="str">
        <f t="shared" si="48"/>
        <v>100/100</v>
      </c>
      <c r="E87" s="301" t="str">
        <f t="shared" si="49"/>
        <v>100/100</v>
      </c>
      <c r="F87" s="301" t="str">
        <f t="shared" si="50"/>
        <v>100/98</v>
      </c>
      <c r="H87" s="243"/>
    </row>
    <row r="88" spans="1:13" s="220" customFormat="1" hidden="1">
      <c r="A88" s="219"/>
      <c r="B88" s="794"/>
      <c r="C88" s="282" t="str">
        <f t="shared" si="51"/>
        <v>公共服务设施完善度</v>
      </c>
      <c r="D88" s="301" t="str">
        <f t="shared" si="48"/>
        <v>101/101</v>
      </c>
      <c r="E88" s="301" t="str">
        <f t="shared" si="49"/>
        <v>101/101</v>
      </c>
      <c r="F88" s="301" t="str">
        <f t="shared" si="50"/>
        <v>101/100</v>
      </c>
      <c r="H88" s="243"/>
    </row>
    <row r="89" spans="1:13" s="220" customFormat="1" hidden="1">
      <c r="A89" s="219"/>
      <c r="B89" s="794"/>
      <c r="C89" s="282" t="str">
        <f t="shared" si="51"/>
        <v>周围环境状况</v>
      </c>
      <c r="D89" s="301" t="str">
        <f t="shared" si="48"/>
        <v>101/101</v>
      </c>
      <c r="E89" s="301" t="str">
        <f t="shared" si="49"/>
        <v>101/101</v>
      </c>
      <c r="F89" s="301" t="str">
        <f t="shared" si="50"/>
        <v>101/101</v>
      </c>
      <c r="H89" s="243"/>
    </row>
    <row r="90" spans="1:13" s="220" customFormat="1" hidden="1">
      <c r="A90" s="219"/>
      <c r="B90" s="794"/>
      <c r="C90" s="282" t="str">
        <f t="shared" si="51"/>
        <v>停车位</v>
      </c>
      <c r="D90" s="301" t="str">
        <f t="shared" si="48"/>
        <v>102/102</v>
      </c>
      <c r="E90" s="301" t="str">
        <f t="shared" si="49"/>
        <v>102/102</v>
      </c>
      <c r="F90" s="301" t="str">
        <f t="shared" si="50"/>
        <v>102/102</v>
      </c>
      <c r="H90" s="243"/>
    </row>
    <row r="91" spans="1:13" s="220" customFormat="1" hidden="1">
      <c r="A91" s="219"/>
      <c r="B91" s="794"/>
      <c r="C91" s="282" t="str">
        <f t="shared" si="51"/>
        <v>朝向</v>
      </c>
      <c r="D91" s="301" t="str">
        <f t="shared" si="48"/>
        <v>103/103</v>
      </c>
      <c r="E91" s="301" t="str">
        <f t="shared" si="49"/>
        <v>103/103</v>
      </c>
      <c r="F91" s="301" t="str">
        <f t="shared" si="50"/>
        <v>103/103</v>
      </c>
      <c r="H91" s="243"/>
    </row>
    <row r="92" spans="1:13" s="220" customFormat="1" hidden="1">
      <c r="A92" s="219"/>
      <c r="B92" s="794"/>
      <c r="C92" s="282" t="str">
        <f t="shared" si="51"/>
        <v>所在楼层</v>
      </c>
      <c r="D92" s="301" t="str">
        <f t="shared" si="48"/>
        <v>100/100</v>
      </c>
      <c r="E92" s="301" t="str">
        <f t="shared" si="49"/>
        <v>100/100</v>
      </c>
      <c r="F92" s="301" t="str">
        <f t="shared" si="50"/>
        <v>100/100</v>
      </c>
      <c r="H92" s="243"/>
    </row>
    <row r="93" spans="1:13" s="220" customFormat="1" hidden="1">
      <c r="A93" s="219"/>
      <c r="B93" s="795"/>
      <c r="C93" s="282" t="str">
        <f t="shared" si="51"/>
        <v>临街状况</v>
      </c>
      <c r="D93" s="301" t="str">
        <f t="shared" si="48"/>
        <v>103/104</v>
      </c>
      <c r="E93" s="301" t="str">
        <f t="shared" si="49"/>
        <v>103/104</v>
      </c>
      <c r="F93" s="301" t="str">
        <f t="shared" si="50"/>
        <v>103/104</v>
      </c>
      <c r="H93" s="243"/>
    </row>
    <row r="94" spans="1:13" s="220" customFormat="1" hidden="1">
      <c r="A94" s="219"/>
      <c r="B94" s="796" t="s">
        <v>242</v>
      </c>
      <c r="C94" s="282" t="str">
        <f t="shared" si="51"/>
        <v>临街道路类型</v>
      </c>
      <c r="D94" s="301" t="str">
        <f t="shared" si="48"/>
        <v>100/102</v>
      </c>
      <c r="E94" s="301" t="str">
        <f t="shared" si="49"/>
        <v>100/104</v>
      </c>
      <c r="F94" s="301" t="str">
        <f t="shared" si="50"/>
        <v>100/98</v>
      </c>
      <c r="H94" s="243"/>
    </row>
    <row r="95" spans="1:13" s="220" customFormat="1" hidden="1">
      <c r="A95" s="219"/>
      <c r="B95" s="797"/>
      <c r="C95" s="282" t="str">
        <f t="shared" si="51"/>
        <v>估价对象及实例规模</v>
      </c>
      <c r="D95" s="301" t="str">
        <f t="shared" si="48"/>
        <v>101/101</v>
      </c>
      <c r="E95" s="301" t="str">
        <f t="shared" si="49"/>
        <v>101/101</v>
      </c>
      <c r="F95" s="301" t="str">
        <f t="shared" si="50"/>
        <v>101/101</v>
      </c>
      <c r="H95" s="243"/>
    </row>
    <row r="96" spans="1:13" s="220" customFormat="1" hidden="1">
      <c r="A96" s="219"/>
      <c r="B96" s="797"/>
      <c r="C96" s="282" t="str">
        <f t="shared" si="51"/>
        <v>建筑结构</v>
      </c>
      <c r="D96" s="301" t="str">
        <f t="shared" si="48"/>
        <v>100/94</v>
      </c>
      <c r="E96" s="301" t="str">
        <f t="shared" si="49"/>
        <v>100/100</v>
      </c>
      <c r="F96" s="301" t="str">
        <f t="shared" si="50"/>
        <v>100/100</v>
      </c>
      <c r="H96" s="243"/>
    </row>
    <row r="97" spans="1:8" s="220" customFormat="1" hidden="1">
      <c r="A97" s="219"/>
      <c r="B97" s="797"/>
      <c r="C97" s="282" t="str">
        <f t="shared" si="51"/>
        <v>建筑外观</v>
      </c>
      <c r="D97" s="301" t="str">
        <f t="shared" si="48"/>
        <v>101/99</v>
      </c>
      <c r="E97" s="301" t="str">
        <f t="shared" si="49"/>
        <v>101/101</v>
      </c>
      <c r="F97" s="301" t="str">
        <f t="shared" si="50"/>
        <v>101/100</v>
      </c>
      <c r="H97" s="243"/>
    </row>
    <row r="98" spans="1:8" s="220" customFormat="1" hidden="1">
      <c r="A98" s="219"/>
      <c r="B98" s="797"/>
      <c r="C98" s="282" t="str">
        <f t="shared" si="51"/>
        <v>新旧程度</v>
      </c>
      <c r="D98" s="301" t="str">
        <f t="shared" si="48"/>
        <v>100/100</v>
      </c>
      <c r="E98" s="301" t="str">
        <f t="shared" si="49"/>
        <v>100/100</v>
      </c>
      <c r="F98" s="301" t="str">
        <f t="shared" si="50"/>
        <v>100/100</v>
      </c>
      <c r="H98" s="243"/>
    </row>
    <row r="99" spans="1:8" s="220" customFormat="1" hidden="1">
      <c r="A99" s="219"/>
      <c r="B99" s="797"/>
      <c r="C99" s="282" t="str">
        <f t="shared" si="51"/>
        <v>建筑使用功能</v>
      </c>
      <c r="D99" s="301" t="str">
        <f t="shared" si="48"/>
        <v>101/101</v>
      </c>
      <c r="E99" s="301" t="str">
        <f t="shared" si="49"/>
        <v>101/101</v>
      </c>
      <c r="F99" s="301" t="str">
        <f t="shared" si="50"/>
        <v>101/101</v>
      </c>
      <c r="H99" s="243"/>
    </row>
    <row r="100" spans="1:8" s="220" customFormat="1" hidden="1">
      <c r="A100" s="219"/>
      <c r="B100" s="797"/>
      <c r="C100" s="282" t="str">
        <f t="shared" si="51"/>
        <v>空间布局</v>
      </c>
      <c r="D100" s="301" t="str">
        <f t="shared" si="48"/>
        <v>101/101</v>
      </c>
      <c r="E100" s="301" t="str">
        <f t="shared" si="49"/>
        <v>101/101</v>
      </c>
      <c r="F100" s="301" t="str">
        <f t="shared" si="50"/>
        <v>101/101</v>
      </c>
    </row>
    <row r="101" spans="1:8" s="220" customFormat="1" hidden="1">
      <c r="A101" s="219"/>
      <c r="B101" s="797"/>
      <c r="C101" s="282" t="str">
        <f t="shared" si="51"/>
        <v>装饰装修</v>
      </c>
      <c r="D101" s="301" t="str">
        <f t="shared" si="48"/>
        <v>98/100</v>
      </c>
      <c r="E101" s="301" t="str">
        <f t="shared" si="49"/>
        <v>98/101</v>
      </c>
      <c r="F101" s="301" t="str">
        <f t="shared" si="50"/>
        <v>98/100</v>
      </c>
    </row>
    <row r="102" spans="1:8" s="220" customFormat="1" hidden="1">
      <c r="A102" s="219"/>
      <c r="B102" s="797"/>
      <c r="C102" s="282" t="str">
        <f t="shared" si="51"/>
        <v>设施设备</v>
      </c>
      <c r="D102" s="301" t="str">
        <f t="shared" si="48"/>
        <v>99/99</v>
      </c>
      <c r="E102" s="301" t="str">
        <f t="shared" si="49"/>
        <v>99/99</v>
      </c>
      <c r="F102" s="301" t="str">
        <f t="shared" si="50"/>
        <v>99/101</v>
      </c>
    </row>
    <row r="103" spans="1:8" s="220" customFormat="1" hidden="1">
      <c r="A103" s="219"/>
      <c r="B103" s="797"/>
      <c r="C103" s="282" t="str">
        <f t="shared" si="51"/>
        <v>层高（米）</v>
      </c>
      <c r="D103" s="301" t="str">
        <f t="shared" si="48"/>
        <v>100/106</v>
      </c>
      <c r="E103" s="301" t="str">
        <f t="shared" si="49"/>
        <v>100/97</v>
      </c>
      <c r="F103" s="301" t="str">
        <f t="shared" si="50"/>
        <v>100/103</v>
      </c>
    </row>
    <row r="104" spans="1:8" s="220" customFormat="1" hidden="1">
      <c r="A104" s="219"/>
      <c r="B104" s="798"/>
      <c r="C104" s="282" t="str">
        <f t="shared" si="51"/>
        <v>物业管理</v>
      </c>
      <c r="D104" s="301" t="str">
        <f t="shared" si="48"/>
        <v>100/104</v>
      </c>
      <c r="E104" s="301" t="str">
        <f t="shared" si="49"/>
        <v>100/104</v>
      </c>
      <c r="F104" s="301" t="str">
        <f t="shared" si="50"/>
        <v>100/104</v>
      </c>
    </row>
    <row r="105" spans="1:8" s="220" customFormat="1" hidden="1">
      <c r="A105" s="219"/>
      <c r="B105" s="793" t="s">
        <v>275</v>
      </c>
      <c r="C105" s="282" t="str">
        <f t="shared" si="51"/>
        <v>规划条件</v>
      </c>
      <c r="D105" s="301" t="str">
        <f t="shared" si="48"/>
        <v>100/100</v>
      </c>
      <c r="E105" s="301" t="str">
        <f t="shared" si="49"/>
        <v>100/100</v>
      </c>
      <c r="F105" s="301" t="str">
        <f t="shared" si="50"/>
        <v>100/100</v>
      </c>
    </row>
    <row r="106" spans="1:8" s="220" customFormat="1" hidden="1">
      <c r="A106" s="219"/>
      <c r="B106" s="794"/>
      <c r="C106" s="282" t="str">
        <f t="shared" si="51"/>
        <v>权属清晰情况</v>
      </c>
      <c r="D106" s="301" t="str">
        <f t="shared" si="48"/>
        <v>100/100</v>
      </c>
      <c r="E106" s="301" t="str">
        <f t="shared" si="49"/>
        <v>100/100</v>
      </c>
      <c r="F106" s="301" t="str">
        <f t="shared" si="50"/>
        <v>100/100</v>
      </c>
    </row>
    <row r="107" spans="1:8" s="220" customFormat="1" hidden="1">
      <c r="A107" s="219"/>
      <c r="B107" s="794"/>
      <c r="C107" s="282" t="str">
        <f t="shared" si="51"/>
        <v>土地使用权性质</v>
      </c>
      <c r="D107" s="301" t="str">
        <f t="shared" si="48"/>
        <v>100/97</v>
      </c>
      <c r="E107" s="301" t="str">
        <f t="shared" si="49"/>
        <v>100/100</v>
      </c>
      <c r="F107" s="301" t="str">
        <f t="shared" si="50"/>
        <v>100/100</v>
      </c>
    </row>
    <row r="108" spans="1:8" s="220" customFormat="1" hidden="1">
      <c r="A108" s="219"/>
      <c r="B108" s="794"/>
      <c r="C108" s="284" t="str">
        <f t="shared" si="51"/>
        <v>土地剩余使用年限（年）</v>
      </c>
      <c r="D108" s="301" t="str">
        <f t="shared" si="48"/>
        <v>100/100</v>
      </c>
      <c r="E108" s="301" t="str">
        <f t="shared" si="49"/>
        <v>100/100</v>
      </c>
      <c r="F108" s="301" t="str">
        <f t="shared" si="50"/>
        <v>100/100</v>
      </c>
    </row>
    <row r="109" spans="1:8" s="220" customFormat="1" hidden="1">
      <c r="A109" s="219"/>
      <c r="B109" s="794"/>
      <c r="C109" s="282" t="str">
        <f t="shared" si="51"/>
        <v>共有情况</v>
      </c>
      <c r="D109" s="301" t="str">
        <f t="shared" si="48"/>
        <v>100/100</v>
      </c>
      <c r="E109" s="301" t="str">
        <f t="shared" si="49"/>
        <v>100/100</v>
      </c>
      <c r="F109" s="301" t="str">
        <f t="shared" si="50"/>
        <v>100/99</v>
      </c>
    </row>
    <row r="110" spans="1:8" s="220" customFormat="1" hidden="1">
      <c r="A110" s="219"/>
      <c r="B110" s="794"/>
      <c r="C110" s="282" t="str">
        <f t="shared" si="51"/>
        <v>用益物权设立情况</v>
      </c>
      <c r="D110" s="301" t="str">
        <f t="shared" si="48"/>
        <v>100/100</v>
      </c>
      <c r="E110" s="301" t="str">
        <f t="shared" si="49"/>
        <v>100/100</v>
      </c>
      <c r="F110" s="301" t="str">
        <f t="shared" si="50"/>
        <v>100/100</v>
      </c>
    </row>
    <row r="111" spans="1:8" s="220" customFormat="1" hidden="1">
      <c r="A111" s="219"/>
      <c r="B111" s="794"/>
      <c r="C111" s="282" t="str">
        <f t="shared" si="51"/>
        <v>担保物权设立情况</v>
      </c>
      <c r="D111" s="301" t="str">
        <f t="shared" si="48"/>
        <v>100/100</v>
      </c>
      <c r="E111" s="301" t="str">
        <f t="shared" si="49"/>
        <v>100/100</v>
      </c>
      <c r="F111" s="301" t="str">
        <f t="shared" si="50"/>
        <v>100/100</v>
      </c>
    </row>
    <row r="112" spans="1:8" s="220" customFormat="1" hidden="1">
      <c r="A112" s="219"/>
      <c r="B112" s="794"/>
      <c r="C112" s="282" t="str">
        <f t="shared" si="51"/>
        <v>租赁或占用情况</v>
      </c>
      <c r="D112" s="301" t="str">
        <f t="shared" si="48"/>
        <v>100/100</v>
      </c>
      <c r="E112" s="301" t="str">
        <f t="shared" si="49"/>
        <v>100/100</v>
      </c>
      <c r="F112" s="301" t="str">
        <f t="shared" si="50"/>
        <v>100/97</v>
      </c>
    </row>
    <row r="113" spans="1:9" s="220" customFormat="1" hidden="1">
      <c r="A113" s="219"/>
      <c r="B113" s="794"/>
      <c r="C113" s="282" t="str">
        <f t="shared" si="51"/>
        <v>拖欠税费情况</v>
      </c>
      <c r="D113" s="301" t="str">
        <f t="shared" si="48"/>
        <v>100/100</v>
      </c>
      <c r="E113" s="301" t="str">
        <f t="shared" si="49"/>
        <v>100/100</v>
      </c>
      <c r="F113" s="301" t="str">
        <f t="shared" si="50"/>
        <v>100/100</v>
      </c>
    </row>
    <row r="114" spans="1:9" s="220" customFormat="1" hidden="1">
      <c r="A114" s="219"/>
      <c r="B114" s="795"/>
      <c r="C114" s="283" t="str">
        <f t="shared" si="51"/>
        <v>查封等形式限制权利情况</v>
      </c>
      <c r="D114" s="301" t="str">
        <f t="shared" si="48"/>
        <v>100/95</v>
      </c>
      <c r="E114" s="301" t="str">
        <f t="shared" si="49"/>
        <v>100/100</v>
      </c>
      <c r="F114" s="301" t="str">
        <f t="shared" si="50"/>
        <v>100/100</v>
      </c>
    </row>
    <row r="115" spans="1:9" s="220" customFormat="1" hidden="1">
      <c r="A115" s="219"/>
      <c r="B115" s="239"/>
    </row>
    <row r="116" spans="1:9" s="220" customFormat="1" hidden="1">
      <c r="A116" s="219"/>
      <c r="B116" s="239"/>
    </row>
    <row r="117" spans="1:9" s="220" customFormat="1" ht="18.75" hidden="1">
      <c r="A117" s="219"/>
      <c r="B117" s="791" t="str">
        <f>"    比准价格D="&amp;D81&amp;"×"&amp;D82&amp;"×"&amp;D83&amp;"×"&amp;D84&amp;"×"&amp;D85&amp;"×"&amp;D86&amp;"×"&amp;D87&amp;"×"&amp;D88&amp;"×"&amp;D89&amp;"×"&amp;D90&amp;"×"&amp;D91&amp;"×"&amp;D92&amp;"×"&amp;D93&amp;"×"&amp;D94&amp;"×"&amp;D95&amp;"×"&amp;D96&amp;"×"&amp;D97&amp;"×"&amp;D98&amp;"×"&amp;D99&amp;"×"&amp;D100&amp;"×"&amp;D101&amp;"×"&amp;D102&amp;"×"&amp;D103&amp;"×"&amp;D104&amp;"×"&amp;D105&amp;"×"&amp;D106&amp;"×"&amp;D107&amp;"×"&amp;D108&amp;"×"&amp;D109&amp;"×"&amp;D110&amp;"×"&amp;D111&amp;"×"&amp;D112&amp;"×"&amp;D113&amp;"×"&amp;D114&amp;"="&amp;M68&amp;"元/㎡"</f>
        <v xml:space="preserve">    比准价格D=1022×100/100×130.28/130.28×106/106×102/102×100/100×100/100×101/101×101/101×102/102×103/103×100/100×103/104×100/102×101/101×100/94×101/99×100/100×101/101×101/101×98/100×99/99×100/106×100/104×100/100×100/100×100/97×100/100×100/100×100/100×100/100×100/100×100/100×100/95=1039元/㎡</v>
      </c>
      <c r="C117" s="791"/>
      <c r="D117" s="791"/>
      <c r="E117" s="791"/>
      <c r="F117" s="791"/>
      <c r="G117" s="791"/>
      <c r="H117" s="269"/>
      <c r="I117" s="269"/>
    </row>
    <row r="118" spans="1:9" s="220" customFormat="1" ht="18.75" hidden="1">
      <c r="A118" s="219"/>
      <c r="B118" s="791" t="str">
        <f>"    比准价格E="&amp;E81&amp;"×"&amp;E82&amp;"×"&amp;E83&amp;"×"&amp;E84&amp;"×"&amp;E85&amp;"×"&amp;E86&amp;"×"&amp;E87&amp;"×"&amp;E88&amp;"×"&amp;E89&amp;"×"&amp;E90&amp;"×"&amp;E91&amp;"×"&amp;E92&amp;"×"&amp;E93&amp;"×"&amp;E94&amp;"×"&amp;E95&amp;"×"&amp;E96&amp;"×"&amp;E97&amp;"×"&amp;E98&amp;"×"&amp;E99&amp;"×"&amp;E100&amp;"×"&amp;E101&amp;"×"&amp;E102&amp;"×"&amp;E103&amp;"×"&amp;E104&amp;"×"&amp;E105&amp;"×"&amp;E106&amp;"×"&amp;E107&amp;"×"&amp;E108&amp;"×"&amp;E109&amp;"×"&amp;E110&amp;"×"&amp;E111&amp;"×"&amp;E112&amp;"×"&amp;E113&amp;"×"&amp;E114&amp;"="&amp;N68&amp;"元/㎡"</f>
        <v xml:space="preserve">    比准价格E=1125×100/100×130.28/130.28×106/106×102/102×100/100×100/100×101/101×101/101×102/102×103/103×100/100×103/104×100/104×101/101×100/100×101/101×100/100×101/101×101/101×98/101×99/99×100/97×100/104×100/100×100/100×100/100×100/100×100/100×100/100×100/100×100/100×100/100×100/100=1030元/㎡</v>
      </c>
      <c r="C118" s="791"/>
      <c r="D118" s="791"/>
      <c r="E118" s="791"/>
      <c r="F118" s="791"/>
      <c r="G118" s="791"/>
      <c r="H118" s="269"/>
      <c r="I118" s="269"/>
    </row>
    <row r="119" spans="1:9" s="220" customFormat="1" ht="18.75" hidden="1">
      <c r="A119" s="219"/>
      <c r="B119" s="791" t="str">
        <f>"    比准价格F="&amp;F81&amp;"×"&amp;F82&amp;"×"&amp;F83&amp;"×"&amp;F84&amp;"×"&amp;F85&amp;"×"&amp;F86&amp;"×"&amp;F87&amp;"×"&amp;F88&amp;"×"&amp;F89&amp;"×"&amp;F90&amp;"×"&amp;F91&amp;"×"&amp;F92&amp;"×"&amp;F93&amp;"×"&amp;F94&amp;"×"&amp;F95&amp;"×"&amp;F96&amp;"×"&amp;F97&amp;"×"&amp;F98&amp;"×"&amp;F99&amp;"×"&amp;F100&amp;"×"&amp;F101&amp;"×"&amp;F102&amp;"×"&amp;F103&amp;"×"&amp;F104&amp;"×"&amp;F105&amp;"×"&amp;F106&amp;"×"&amp;F107&amp;"×"&amp;F108&amp;"×"&amp;F109&amp;"×"&amp;F110&amp;"×"&amp;F111&amp;"×"&amp;F112&amp;"×"&amp;F113&amp;"×"&amp;F114&amp;"="&amp;O68&amp;"元/㎡"</f>
        <v xml:space="preserve">    比准价格F=1085×100/100×130.28/130.28×106/106×102/102×100/94×100/98×101/100×101/101×102/102×103/103×100/100×103/104×100/98×101/101×100/100×101/100×100/100×101/101×101/101×98/100×99/101×100/103×100/104×100/100×100/100×100/100×100/100×100/99×100/100×100/100×100/97×100/100×100/100=1134元/㎡</v>
      </c>
      <c r="C119" s="791"/>
      <c r="D119" s="791"/>
      <c r="E119" s="791"/>
      <c r="F119" s="791"/>
      <c r="G119" s="791"/>
      <c r="H119" s="269"/>
      <c r="I119" s="269"/>
    </row>
    <row r="120" spans="1:9" s="220" customFormat="1" ht="18.75" hidden="1">
      <c r="A120" s="219"/>
      <c r="B120" s="791" t="s">
        <v>326</v>
      </c>
      <c r="C120" s="791"/>
      <c r="D120" s="791"/>
      <c r="E120" s="791"/>
      <c r="F120" s="791"/>
      <c r="G120" s="791"/>
      <c r="H120" s="269"/>
      <c r="I120" s="269"/>
    </row>
    <row r="121" spans="1:9" s="220" customFormat="1" ht="18.75" hidden="1">
      <c r="A121" s="219"/>
      <c r="B121" s="792" t="str">
        <f>"    比准价格=("&amp;M68&amp;"+"&amp;N68&amp;"+"&amp;O68&amp;")/3="&amp;M69&amp;"元/㎡"</f>
        <v xml:space="preserve">    比准价格=(1039+1030+1134)/3=1068元/㎡</v>
      </c>
      <c r="C121" s="792"/>
      <c r="D121" s="792"/>
      <c r="E121" s="792"/>
      <c r="F121" s="792"/>
      <c r="G121" s="792"/>
      <c r="H121" s="270"/>
      <c r="I121" s="270"/>
    </row>
    <row r="122" spans="1:9" s="220" customFormat="1" hidden="1">
      <c r="A122" s="219"/>
      <c r="B122" s="239"/>
    </row>
    <row r="123" spans="1:9" s="220" customFormat="1" hidden="1">
      <c r="A123" s="219"/>
      <c r="B123" s="239"/>
    </row>
    <row r="124" spans="1:9" s="220" customFormat="1" hidden="1">
      <c r="A124" s="219"/>
      <c r="B124" s="239"/>
    </row>
    <row r="125" spans="1:9" hidden="1"/>
  </sheetData>
  <mergeCells count="60">
    <mergeCell ref="K11:O11"/>
    <mergeCell ref="B28:C28"/>
    <mergeCell ref="B29:C29"/>
    <mergeCell ref="F26:F27"/>
    <mergeCell ref="G26:G27"/>
    <mergeCell ref="K23:O23"/>
    <mergeCell ref="B25:G25"/>
    <mergeCell ref="J25:O25"/>
    <mergeCell ref="B26:C27"/>
    <mergeCell ref="D26:D27"/>
    <mergeCell ref="E26:E27"/>
    <mergeCell ref="D4:G4"/>
    <mergeCell ref="D5:D6"/>
    <mergeCell ref="E5:E6"/>
    <mergeCell ref="F5:F6"/>
    <mergeCell ref="G5:G6"/>
    <mergeCell ref="B30:C30"/>
    <mergeCell ref="B31:C31"/>
    <mergeCell ref="B32:C32"/>
    <mergeCell ref="J31:K32"/>
    <mergeCell ref="L31:L32"/>
    <mergeCell ref="B58:B67"/>
    <mergeCell ref="J58:J67"/>
    <mergeCell ref="B80:C80"/>
    <mergeCell ref="B81:C81"/>
    <mergeCell ref="B82:C82"/>
    <mergeCell ref="B78:C79"/>
    <mergeCell ref="D78:D79"/>
    <mergeCell ref="E78:E79"/>
    <mergeCell ref="F78:F79"/>
    <mergeCell ref="J37:J46"/>
    <mergeCell ref="J47:J57"/>
    <mergeCell ref="B33:C33"/>
    <mergeCell ref="J33:K33"/>
    <mergeCell ref="B34:C34"/>
    <mergeCell ref="J34:K34"/>
    <mergeCell ref="B37:B46"/>
    <mergeCell ref="B47:B57"/>
    <mergeCell ref="N31:N32"/>
    <mergeCell ref="O31:O32"/>
    <mergeCell ref="B35:C35"/>
    <mergeCell ref="J35:K35"/>
    <mergeCell ref="B36:C36"/>
    <mergeCell ref="J36:K36"/>
    <mergeCell ref="M31:M32"/>
    <mergeCell ref="M69:O69"/>
    <mergeCell ref="L71:N71"/>
    <mergeCell ref="P74:V74"/>
    <mergeCell ref="P76:Q76"/>
    <mergeCell ref="B77:F77"/>
    <mergeCell ref="P75:Q75"/>
    <mergeCell ref="B83:C83"/>
    <mergeCell ref="B120:G120"/>
    <mergeCell ref="B121:G121"/>
    <mergeCell ref="B84:B93"/>
    <mergeCell ref="B94:B104"/>
    <mergeCell ref="B105:B114"/>
    <mergeCell ref="B117:G117"/>
    <mergeCell ref="B118:G118"/>
    <mergeCell ref="B119:G119"/>
  </mergeCells>
  <phoneticPr fontId="23" type="noConversion"/>
  <dataValidations count="36">
    <dataValidation type="list" allowBlank="1" showInputMessage="1" showErrorMessage="1" sqref="C37">
      <formula1>"商业繁华程度"</formula1>
    </dataValidation>
    <dataValidation type="list" allowBlank="1" showInputMessage="1" showErrorMessage="1" sqref="C46">
      <formula1>"临街状况,写字楼级别"</formula1>
    </dataValidation>
    <dataValidation type="list" allowBlank="1" showInputMessage="1" showErrorMessage="1" sqref="D57:G57">
      <formula1>"好,较好,一般,较差,差,小于0.25,0.25-0.5,0.5-0.75,大于0.75"</formula1>
    </dataValidation>
    <dataValidation type="list" allowBlank="1" showInputMessage="1" showErrorMessage="1" sqref="C57">
      <formula1>"物业管理,深宽比"</formula1>
    </dataValidation>
    <dataValidation type="list" allowBlank="1" showInputMessage="1" showErrorMessage="1" sqref="R76">
      <formula1>"三成,四成,五成,六成,七成,八成,九成,十成,"</formula1>
    </dataValidation>
    <dataValidation type="list" allowBlank="1" showInputMessage="1" showErrorMessage="1" sqref="R75">
      <formula1>"3个月,6个月,8个月,10个月,12个月,18个月,"</formula1>
    </dataValidation>
    <dataValidation type="list" allowBlank="1" showInputMessage="1" showErrorMessage="1" sqref="P74">
      <formula1>"房地产价值量适中，较为容易寻找到适当的买主，对变现较为有利。,房地产价值量较小，容易寻找到适当的买主，对变现有利。,房地产价值量较大，较难寻找到适当的买主，对变现有一定影响。,房地产价值量大，难以寻找到适当的买主，对变现有很大影响。"</formula1>
    </dataValidation>
    <dataValidation type="list" allowBlank="1" showInputMessage="1" showErrorMessage="1" sqref="D67:G67">
      <formula1>"无查封,有查封"</formula1>
    </dataValidation>
    <dataValidation type="list" allowBlank="1" showInputMessage="1" showErrorMessage="1" sqref="D66:G66">
      <formula1>"不拖欠税费,拖欠税费"</formula1>
    </dataValidation>
    <dataValidation type="list" allowBlank="1" showInputMessage="1" showErrorMessage="1" sqref="D65:G65">
      <formula1>"无租赁或短期租赁、正常租金,长期租赁、租金偏低"</formula1>
    </dataValidation>
    <dataValidation type="list" allowBlank="1" showInputMessage="1" showErrorMessage="1" sqref="D63:G63">
      <formula1>"无用益物权,有用益物权"</formula1>
    </dataValidation>
    <dataValidation type="list" allowBlank="1" showInputMessage="1" showErrorMessage="1" sqref="D62:G62">
      <formula1>" 无其他共有权人,有三个及以上共有权人"</formula1>
    </dataValidation>
    <dataValidation type="list" allowBlank="1" showInputMessage="1" showErrorMessage="1" sqref="D60:G60">
      <formula1>" 国有出让,国有划拨,集体土地,租赁土地"</formula1>
    </dataValidation>
    <dataValidation type="list" allowBlank="1" showInputMessage="1" showErrorMessage="1" sqref="D59:G59">
      <formula1>"已登记，权属清晰,未登记，权属清晰,未登记，权属不清晰"</formula1>
    </dataValidation>
    <dataValidation type="list" allowBlank="1" showInputMessage="1" showErrorMessage="1" sqref="D58:G58">
      <formula1>"按规划条件建设,未按规划条件建设"</formula1>
    </dataValidation>
    <dataValidation type="list" allowBlank="1" showInputMessage="1" showErrorMessage="1" sqref="D56:G56">
      <formula1>"5.5米以上,4.7米至5.5米之间,2.8米至4.7米之间,小于2.8米"</formula1>
    </dataValidation>
    <dataValidation type="list" allowBlank="1" showInputMessage="1" showErrorMessage="1" sqref="D55:G55">
      <formula1>"设施设备齐全,有设施设备但不齐全,无设施设备"</formula1>
    </dataValidation>
    <dataValidation type="list" allowBlank="1" showInputMessage="1" showErrorMessage="1" sqref="D51:G51">
      <formula1>"十成新,九五成新,九成新,八五成新,八成新,七五成新,七成新"</formula1>
    </dataValidation>
    <dataValidation type="list" allowBlank="1" showInputMessage="1" showErrorMessage="1" sqref="D49:G49">
      <formula1>"钢混,砖混,砖木,简易"</formula1>
    </dataValidation>
    <dataValidation type="list" allowBlank="1" showInputMessage="1" showErrorMessage="1" sqref="D48:G48">
      <formula1>"适中,偏大,偏小,超大"</formula1>
    </dataValidation>
    <dataValidation type="list" allowBlank="1" showInputMessage="1" showErrorMessage="1" sqref="D64:G64">
      <formula1>"无担保物权,有担保物权"</formula1>
    </dataValidation>
    <dataValidation type="list" allowBlank="1" showInputMessage="1" showErrorMessage="1" sqref="D43:G43">
      <formula1>"充足,一般,不足"</formula1>
    </dataValidation>
    <dataValidation type="list" allowBlank="1" showInputMessage="1" showErrorMessage="1" sqref="D40:G40">
      <formula1>"七通一平,六通一平,五通一平,三通一平"</formula1>
    </dataValidation>
    <dataValidation type="list" allowBlank="1" showInputMessage="1" showErrorMessage="1" sqref="D50:G50">
      <formula1>"美观大方,一般,差"</formula1>
    </dataValidation>
    <dataValidation type="list" allowBlank="1" showInputMessage="1" showErrorMessage="1" sqref="D42:G42">
      <formula1>"较优,一般, 差"</formula1>
    </dataValidation>
    <dataValidation type="list" allowBlank="1" showInputMessage="1" showErrorMessage="1" sqref="D53:G53">
      <formula1>"合理,较合理,不合理"</formula1>
    </dataValidation>
    <dataValidation type="list" allowBlank="1" showInputMessage="1" showErrorMessage="1" sqref="D39:G39">
      <formula1>"优,较优,较差,差"</formula1>
    </dataValidation>
    <dataValidation type="list" allowBlank="1" showInputMessage="1" showErrorMessage="1" sqref="D38:G38">
      <formula1>"无特殊管制,分时段交通管制,有交通管制"</formula1>
    </dataValidation>
    <dataValidation type="list" allowBlank="1" showInputMessage="1" showErrorMessage="1" sqref="D52:G52">
      <formula1>"优,较优,差"</formula1>
    </dataValidation>
    <dataValidation type="list" allowBlank="1" showInputMessage="1" showErrorMessage="1" sqref="D41:G41">
      <formula1>"完善,一般,不完善"</formula1>
    </dataValidation>
    <dataValidation type="list" allowBlank="1" showInputMessage="1" showErrorMessage="1" sqref="D44 E21:G21">
      <formula1>"东,南,西,北,东南,东北,西南,西北,南北"</formula1>
    </dataValidation>
    <dataValidation type="list" allowBlank="1" showInputMessage="1" showErrorMessage="1" sqref="E22:G22">
      <formula1>"豪华装潢,一般装潢,简易装潢,毛坯"</formula1>
    </dataValidation>
    <dataValidation type="list" allowBlank="1" showInputMessage="1" showErrorMessage="1" sqref="E15:G15">
      <formula1>"商业,住宅,办公"</formula1>
    </dataValidation>
    <dataValidation type="list" allowBlank="1" showInputMessage="1" showErrorMessage="1" sqref="D37:G37">
      <formula1>"市级商业中心,区域级商业中心,小区级商业中心,专业市场"</formula1>
    </dataValidation>
    <dataValidation type="list" allowBlank="1" showInputMessage="1" showErrorMessage="1" sqref="D46:G46">
      <formula1>"一面临街,两面临街,三面临街,四面临街,超甲级,甲级,乙级,普通写字楼"</formula1>
    </dataValidation>
    <dataValidation type="list" allowBlank="1" showInputMessage="1" showErrorMessage="1" sqref="D47:G47">
      <formula1>"步行街,生活型主干道,生活型次干道,交通型次干道,交通型主干道"</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sheetPr codeName="Sheet4">
    <tabColor rgb="FFFFFF00"/>
  </sheetPr>
  <dimension ref="A2:AH125"/>
  <sheetViews>
    <sheetView tabSelected="1" topLeftCell="D7" zoomScale="115" zoomScaleNormal="115" workbookViewId="0">
      <selection activeCell="G24" sqref="G24"/>
    </sheetView>
  </sheetViews>
  <sheetFormatPr defaultColWidth="9" defaultRowHeight="12"/>
  <cols>
    <col min="1" max="1" width="6.625" style="219" customWidth="1"/>
    <col min="2" max="2" width="5.75" style="239" customWidth="1"/>
    <col min="3" max="3" width="14.875" style="220" customWidth="1"/>
    <col min="4" max="4" width="23" style="220" customWidth="1"/>
    <col min="5" max="5" width="21.625" style="220" customWidth="1"/>
    <col min="6" max="6" width="19.625" style="220" customWidth="1"/>
    <col min="7" max="7" width="24.625" style="220" customWidth="1"/>
    <col min="8" max="8" width="2.625" style="220" customWidth="1"/>
    <col min="9" max="9" width="9" style="220" hidden="1" customWidth="1"/>
    <col min="10" max="10" width="6.5" style="220" customWidth="1"/>
    <col min="11" max="11" width="15.875" style="220" customWidth="1"/>
    <col min="12" max="13" width="10.125" style="220" customWidth="1"/>
    <col min="14" max="14" width="10.875" style="220" customWidth="1"/>
    <col min="15" max="15" width="10.125" style="220" customWidth="1"/>
    <col min="16" max="16" width="3.25" style="220" customWidth="1"/>
    <col min="17" max="17" width="4.625" style="220" customWidth="1"/>
    <col min="18" max="18" width="9.125" style="220"/>
    <col min="19" max="16384" width="9" style="219"/>
  </cols>
  <sheetData>
    <row r="2" spans="1:17" s="220" customFormat="1" ht="20.25" customHeight="1">
      <c r="A2" s="219"/>
      <c r="E2" s="221"/>
      <c r="F2" s="222" t="s">
        <v>170</v>
      </c>
      <c r="G2" s="222"/>
      <c r="L2" s="223"/>
      <c r="M2" s="223"/>
    </row>
    <row r="3" spans="1:17" s="220" customFormat="1" ht="8.25" customHeight="1">
      <c r="A3" s="219"/>
    </row>
    <row r="4" spans="1:17" s="220" customFormat="1" ht="21" customHeight="1">
      <c r="A4" s="219"/>
      <c r="D4" s="825" t="s">
        <v>171</v>
      </c>
      <c r="E4" s="825"/>
      <c r="F4" s="825"/>
      <c r="G4" s="825"/>
      <c r="J4" s="224"/>
      <c r="K4" s="225" t="s">
        <v>172</v>
      </c>
      <c r="L4" s="225"/>
      <c r="M4" s="225"/>
    </row>
    <row r="5" spans="1:17" s="220" customFormat="1" ht="13.5" customHeight="1">
      <c r="A5" s="219"/>
      <c r="C5" s="224"/>
      <c r="D5" s="826" t="s">
        <v>173</v>
      </c>
      <c r="E5" s="828" t="s">
        <v>174</v>
      </c>
      <c r="F5" s="828" t="s">
        <v>175</v>
      </c>
      <c r="G5" s="828" t="s">
        <v>176</v>
      </c>
      <c r="J5" s="224"/>
    </row>
    <row r="6" spans="1:17" s="220" customFormat="1" ht="13.5" customHeight="1">
      <c r="A6" s="219"/>
      <c r="C6" s="224"/>
      <c r="D6" s="827"/>
      <c r="E6" s="829"/>
      <c r="F6" s="829"/>
      <c r="G6" s="829"/>
      <c r="J6" s="224"/>
      <c r="K6" s="226" t="s">
        <v>177</v>
      </c>
    </row>
    <row r="7" spans="1:17" s="220" customFormat="1" ht="15" customHeight="1">
      <c r="A7" s="219"/>
      <c r="C7" s="224"/>
      <c r="D7" s="302" t="s">
        <v>158</v>
      </c>
      <c r="E7" s="227" t="s">
        <v>763</v>
      </c>
      <c r="F7" s="227" t="s">
        <v>763</v>
      </c>
      <c r="G7" s="227" t="s">
        <v>763</v>
      </c>
      <c r="J7" s="224"/>
      <c r="K7" s="228">
        <f>M70</f>
        <v>31819</v>
      </c>
    </row>
    <row r="8" spans="1:17" s="220" customFormat="1" ht="15" customHeight="1">
      <c r="A8" s="219"/>
      <c r="C8" s="224"/>
      <c r="D8" s="302" t="s">
        <v>178</v>
      </c>
      <c r="E8" s="229" t="s">
        <v>179</v>
      </c>
      <c r="F8" s="229" t="s">
        <v>179</v>
      </c>
      <c r="G8" s="229" t="s">
        <v>179</v>
      </c>
      <c r="J8" s="224"/>
    </row>
    <row r="9" spans="1:17" s="220" customFormat="1" ht="15" customHeight="1">
      <c r="A9" s="219"/>
      <c r="C9" s="224"/>
      <c r="D9" s="302" t="s">
        <v>180</v>
      </c>
      <c r="E9" s="229" t="s">
        <v>181</v>
      </c>
      <c r="F9" s="229" t="s">
        <v>181</v>
      </c>
      <c r="G9" s="229" t="s">
        <v>181</v>
      </c>
      <c r="J9" s="224"/>
      <c r="Q9" s="230"/>
    </row>
    <row r="10" spans="1:17" s="220" customFormat="1" ht="15" customHeight="1">
      <c r="A10" s="219"/>
      <c r="C10" s="224"/>
      <c r="D10" s="302" t="s">
        <v>20</v>
      </c>
      <c r="E10" s="231">
        <v>248</v>
      </c>
      <c r="F10" s="231">
        <v>180</v>
      </c>
      <c r="G10" s="231">
        <v>198</v>
      </c>
      <c r="J10" s="224"/>
      <c r="Q10" s="230"/>
    </row>
    <row r="11" spans="1:17" s="220" customFormat="1" ht="15" customHeight="1">
      <c r="A11" s="219"/>
      <c r="C11" s="224"/>
      <c r="D11" s="303" t="s">
        <v>184</v>
      </c>
      <c r="E11" s="231">
        <v>28957</v>
      </c>
      <c r="F11" s="231">
        <v>29657</v>
      </c>
      <c r="G11" s="231">
        <v>32147</v>
      </c>
      <c r="J11" s="224"/>
      <c r="K11" s="830" t="s">
        <v>185</v>
      </c>
      <c r="L11" s="830"/>
      <c r="M11" s="830"/>
      <c r="N11" s="830"/>
      <c r="O11" s="830"/>
    </row>
    <row r="12" spans="1:17" s="220" customFormat="1" ht="15" customHeight="1">
      <c r="A12" s="219"/>
      <c r="C12" s="224"/>
      <c r="D12" s="303" t="s">
        <v>186</v>
      </c>
      <c r="E12" s="274">
        <f t="shared" ref="E12:G12" si="0">ROUND(E10*E11/10000,2)</f>
        <v>718.13</v>
      </c>
      <c r="F12" s="274">
        <f t="shared" si="0"/>
        <v>533.83000000000004</v>
      </c>
      <c r="G12" s="274">
        <f t="shared" si="0"/>
        <v>636.51</v>
      </c>
      <c r="J12" s="224"/>
      <c r="K12" s="232"/>
      <c r="L12" s="232" t="s">
        <v>164</v>
      </c>
      <c r="M12" s="232" t="s">
        <v>174</v>
      </c>
      <c r="N12" s="232" t="s">
        <v>175</v>
      </c>
      <c r="O12" s="232" t="s">
        <v>176</v>
      </c>
    </row>
    <row r="13" spans="1:17" s="220" customFormat="1" ht="15" customHeight="1">
      <c r="A13" s="219"/>
      <c r="C13" s="224"/>
      <c r="D13" s="302" t="s">
        <v>165</v>
      </c>
      <c r="E13" s="227" t="s">
        <v>187</v>
      </c>
      <c r="F13" s="227" t="s">
        <v>187</v>
      </c>
      <c r="G13" s="227" t="s">
        <v>187</v>
      </c>
      <c r="J13" s="224"/>
      <c r="K13" s="233" t="s">
        <v>188</v>
      </c>
      <c r="L13" s="234">
        <f t="shared" ref="L13:O13" si="1">D37</f>
        <v>42908</v>
      </c>
      <c r="M13" s="234">
        <f t="shared" si="1"/>
        <v>43038</v>
      </c>
      <c r="N13" s="234">
        <f t="shared" si="1"/>
        <v>42993</v>
      </c>
      <c r="O13" s="234">
        <f t="shared" si="1"/>
        <v>42864</v>
      </c>
      <c r="Q13" s="220" t="s">
        <v>189</v>
      </c>
    </row>
    <row r="14" spans="1:17" s="220" customFormat="1" ht="15" customHeight="1">
      <c r="A14" s="219"/>
      <c r="C14" s="224"/>
      <c r="D14" s="302" t="s">
        <v>190</v>
      </c>
      <c r="E14" s="235">
        <v>43038</v>
      </c>
      <c r="F14" s="235">
        <v>42993</v>
      </c>
      <c r="G14" s="235">
        <v>42864</v>
      </c>
      <c r="J14" s="224"/>
      <c r="K14" s="233" t="s">
        <v>191</v>
      </c>
      <c r="L14" s="236">
        <v>130.28</v>
      </c>
      <c r="M14" s="236">
        <v>130.28</v>
      </c>
      <c r="N14" s="236">
        <v>130.28</v>
      </c>
      <c r="O14" s="236">
        <v>130.28</v>
      </c>
      <c r="Q14" s="237">
        <v>100</v>
      </c>
    </row>
    <row r="15" spans="1:17" s="220" customFormat="1" ht="15" customHeight="1">
      <c r="A15" s="219"/>
      <c r="C15" s="224"/>
      <c r="D15" s="302" t="s">
        <v>192</v>
      </c>
      <c r="E15" s="227" t="s">
        <v>13</v>
      </c>
      <c r="F15" s="227" t="s">
        <v>13</v>
      </c>
      <c r="G15" s="227" t="s">
        <v>13</v>
      </c>
      <c r="J15" s="224"/>
      <c r="L15" s="225" t="s">
        <v>193</v>
      </c>
      <c r="M15" s="225"/>
      <c r="N15" s="225"/>
      <c r="O15" s="225"/>
      <c r="Q15" s="238"/>
    </row>
    <row r="16" spans="1:17" s="220" customFormat="1" ht="15.95" customHeight="1">
      <c r="A16" s="219"/>
      <c r="C16" s="224"/>
      <c r="D16" s="302" t="s">
        <v>194</v>
      </c>
      <c r="E16" s="227" t="s">
        <v>195</v>
      </c>
      <c r="F16" s="227" t="s">
        <v>195</v>
      </c>
      <c r="G16" s="227" t="s">
        <v>195</v>
      </c>
      <c r="J16" s="224"/>
      <c r="L16" s="225"/>
      <c r="M16" s="225"/>
      <c r="N16" s="225"/>
      <c r="O16" s="225"/>
      <c r="Q16" s="238"/>
    </row>
    <row r="17" spans="1:18" s="220" customFormat="1" ht="15" customHeight="1">
      <c r="A17" s="219"/>
      <c r="C17" s="224"/>
      <c r="D17" s="302" t="s">
        <v>196</v>
      </c>
      <c r="E17" s="227" t="s">
        <v>197</v>
      </c>
      <c r="F17" s="227" t="s">
        <v>197</v>
      </c>
      <c r="G17" s="227" t="s">
        <v>197</v>
      </c>
      <c r="J17" s="224"/>
      <c r="Q17" s="230"/>
    </row>
    <row r="18" spans="1:18" s="220" customFormat="1" ht="15" customHeight="1">
      <c r="A18" s="219"/>
      <c r="C18" s="224"/>
      <c r="D18" s="302" t="s">
        <v>198</v>
      </c>
      <c r="E18" s="227" t="s">
        <v>199</v>
      </c>
      <c r="F18" s="227" t="s">
        <v>199</v>
      </c>
      <c r="G18" s="227" t="s">
        <v>199</v>
      </c>
      <c r="J18" s="224"/>
      <c r="Q18" s="230"/>
    </row>
    <row r="19" spans="1:18" s="220" customFormat="1" ht="15" customHeight="1">
      <c r="A19" s="219"/>
      <c r="C19" s="224"/>
      <c r="D19" s="302" t="s">
        <v>200</v>
      </c>
      <c r="E19" s="229" t="s">
        <v>201</v>
      </c>
      <c r="F19" s="229" t="s">
        <v>201</v>
      </c>
      <c r="G19" s="229" t="s">
        <v>201</v>
      </c>
      <c r="J19" s="224"/>
      <c r="Q19" s="230"/>
    </row>
    <row r="20" spans="1:18" s="220" customFormat="1" ht="15" customHeight="1">
      <c r="A20" s="219"/>
      <c r="C20" s="224"/>
      <c r="D20" s="302" t="s">
        <v>202</v>
      </c>
      <c r="E20" s="227" t="s">
        <v>811</v>
      </c>
      <c r="F20" s="227" t="s">
        <v>812</v>
      </c>
      <c r="G20" s="227" t="s">
        <v>813</v>
      </c>
      <c r="J20" s="224"/>
      <c r="Q20" s="230"/>
    </row>
    <row r="21" spans="1:18" s="220" customFormat="1" ht="15" customHeight="1">
      <c r="A21" s="219"/>
      <c r="C21" s="224"/>
      <c r="D21" s="302" t="s">
        <v>104</v>
      </c>
      <c r="E21" s="227" t="s">
        <v>203</v>
      </c>
      <c r="F21" s="227" t="s">
        <v>203</v>
      </c>
      <c r="G21" s="227" t="s">
        <v>203</v>
      </c>
      <c r="J21" s="224"/>
      <c r="Q21" s="230"/>
    </row>
    <row r="22" spans="1:18" s="220" customFormat="1" ht="15" customHeight="1">
      <c r="A22" s="219"/>
      <c r="B22" s="239"/>
      <c r="C22" s="224"/>
      <c r="D22" s="302" t="s">
        <v>549</v>
      </c>
      <c r="E22" s="227" t="s">
        <v>206</v>
      </c>
      <c r="F22" s="227" t="s">
        <v>206</v>
      </c>
      <c r="G22" s="227" t="s">
        <v>205</v>
      </c>
      <c r="Q22" s="230"/>
    </row>
    <row r="23" spans="1:18" s="220" customFormat="1" ht="15" customHeight="1">
      <c r="A23" s="219"/>
      <c r="B23" s="239"/>
      <c r="C23" s="224"/>
      <c r="D23" s="302" t="s">
        <v>159</v>
      </c>
      <c r="E23" s="423" t="s">
        <v>161</v>
      </c>
      <c r="F23" s="423" t="s">
        <v>161</v>
      </c>
      <c r="G23" s="423" t="s">
        <v>161</v>
      </c>
      <c r="K23" s="240"/>
      <c r="L23" s="240"/>
      <c r="M23" s="240"/>
      <c r="N23" s="240"/>
      <c r="O23" s="240"/>
      <c r="Q23" s="230"/>
    </row>
    <row r="24" spans="1:18" s="220" customFormat="1" ht="21" customHeight="1">
      <c r="A24" s="219"/>
      <c r="B24" s="239"/>
      <c r="C24" s="224"/>
      <c r="E24" s="224"/>
      <c r="F24" s="224"/>
      <c r="G24" s="224"/>
      <c r="J24" s="241"/>
      <c r="K24" s="833"/>
      <c r="L24" s="833"/>
      <c r="M24" s="833"/>
      <c r="N24" s="833"/>
      <c r="O24" s="833"/>
      <c r="Q24" s="230"/>
    </row>
    <row r="25" spans="1:18" s="220" customFormat="1" ht="21" customHeight="1">
      <c r="A25" s="219"/>
      <c r="B25" s="239"/>
      <c r="C25" s="242" t="s">
        <v>207</v>
      </c>
      <c r="D25" s="221"/>
      <c r="E25" s="221"/>
      <c r="F25" s="224"/>
      <c r="G25" s="224"/>
      <c r="J25" s="242" t="s">
        <v>208</v>
      </c>
      <c r="K25" s="221"/>
      <c r="L25" s="225" t="s">
        <v>209</v>
      </c>
      <c r="M25" s="225"/>
      <c r="N25" s="241"/>
      <c r="O25" s="241"/>
      <c r="Q25" s="230"/>
    </row>
    <row r="26" spans="1:18" s="220" customFormat="1" ht="16.5" customHeight="1">
      <c r="A26" s="219"/>
      <c r="B26" s="834" t="s">
        <v>163</v>
      </c>
      <c r="C26" s="834"/>
      <c r="D26" s="834"/>
      <c r="E26" s="834"/>
      <c r="F26" s="834"/>
      <c r="G26" s="834"/>
      <c r="J26" s="835" t="s">
        <v>169</v>
      </c>
      <c r="K26" s="835"/>
      <c r="L26" s="835"/>
      <c r="M26" s="835"/>
      <c r="N26" s="835"/>
      <c r="O26" s="835"/>
    </row>
    <row r="27" spans="1:18" s="220" customFormat="1" ht="11.25" customHeight="1">
      <c r="A27" s="219"/>
      <c r="B27" s="836" t="s">
        <v>210</v>
      </c>
      <c r="C27" s="837"/>
      <c r="D27" s="806" t="s">
        <v>164</v>
      </c>
      <c r="E27" s="806" t="s">
        <v>174</v>
      </c>
      <c r="F27" s="806" t="s">
        <v>175</v>
      </c>
      <c r="G27" s="806" t="s">
        <v>176</v>
      </c>
    </row>
    <row r="28" spans="1:18" s="220" customFormat="1" ht="11.25" customHeight="1">
      <c r="A28" s="219"/>
      <c r="B28" s="838"/>
      <c r="C28" s="839"/>
      <c r="D28" s="832"/>
      <c r="E28" s="832"/>
      <c r="F28" s="832"/>
      <c r="G28" s="832"/>
      <c r="P28" s="243"/>
    </row>
    <row r="29" spans="1:18" s="220" customFormat="1" ht="18" customHeight="1">
      <c r="A29" s="219"/>
      <c r="B29" s="812" t="s">
        <v>158</v>
      </c>
      <c r="C29" s="831"/>
      <c r="D29" s="271" t="str">
        <f>'基础数据(房地产)'!B4</f>
        <v>中海城南一号</v>
      </c>
      <c r="E29" s="271" t="str">
        <f t="shared" ref="E29:G29" si="2">E7</f>
        <v>中海城南一号</v>
      </c>
      <c r="F29" s="271" t="str">
        <f t="shared" si="2"/>
        <v>中海城南一号</v>
      </c>
      <c r="G29" s="271" t="str">
        <f t="shared" si="2"/>
        <v>中海城南一号</v>
      </c>
      <c r="P29" s="243"/>
      <c r="R29" s="220" t="e">
        <f>'[2]3-2 收益法--测算过程'!G40</f>
        <v>#REF!</v>
      </c>
    </row>
    <row r="30" spans="1:18" s="220" customFormat="1" ht="12" customHeight="1">
      <c r="A30" s="219"/>
      <c r="B30" s="812" t="str">
        <f t="shared" ref="B30:B34" si="3">D15</f>
        <v>房地产用途</v>
      </c>
      <c r="C30" s="813"/>
      <c r="D30" s="271" t="str">
        <f t="shared" ref="D30:D34" si="4">E15</f>
        <v>住宅</v>
      </c>
      <c r="E30" s="271" t="str">
        <f t="shared" ref="E30:G30" si="5">E15</f>
        <v>住宅</v>
      </c>
      <c r="F30" s="271" t="str">
        <f t="shared" si="5"/>
        <v>住宅</v>
      </c>
      <c r="G30" s="271" t="str">
        <f t="shared" si="5"/>
        <v>住宅</v>
      </c>
    </row>
    <row r="31" spans="1:18" s="220" customFormat="1" ht="12" customHeight="1">
      <c r="A31" s="219"/>
      <c r="B31" s="812" t="str">
        <f t="shared" si="3"/>
        <v>财产范围</v>
      </c>
      <c r="C31" s="813"/>
      <c r="D31" s="272" t="str">
        <f t="shared" si="4"/>
        <v>房地产及配套设施、装潢</v>
      </c>
      <c r="E31" s="272" t="str">
        <f t="shared" ref="E31:G31" si="6">E16</f>
        <v>房地产及配套设施、装潢</v>
      </c>
      <c r="F31" s="272" t="str">
        <f t="shared" si="6"/>
        <v>房地产及配套设施、装潢</v>
      </c>
      <c r="G31" s="272" t="str">
        <f t="shared" si="6"/>
        <v>房地产及配套设施、装潢</v>
      </c>
    </row>
    <row r="32" spans="1:18" s="220" customFormat="1" ht="12" customHeight="1">
      <c r="A32" s="219" t="s">
        <v>211</v>
      </c>
      <c r="B32" s="812" t="str">
        <f t="shared" si="3"/>
        <v>付款方式</v>
      </c>
      <c r="C32" s="813"/>
      <c r="D32" s="271" t="str">
        <f t="shared" si="4"/>
        <v>一次性付款</v>
      </c>
      <c r="E32" s="271" t="str">
        <f t="shared" ref="E32:G32" si="7">E17</f>
        <v>一次性付款</v>
      </c>
      <c r="F32" s="271" t="str">
        <f t="shared" si="7"/>
        <v>一次性付款</v>
      </c>
      <c r="G32" s="271" t="str">
        <f t="shared" si="7"/>
        <v>一次性付款</v>
      </c>
      <c r="J32" s="821" t="s">
        <v>212</v>
      </c>
      <c r="K32" s="822"/>
      <c r="L32" s="806" t="s">
        <v>164</v>
      </c>
      <c r="M32" s="806" t="s">
        <v>174</v>
      </c>
      <c r="N32" s="806" t="s">
        <v>175</v>
      </c>
      <c r="O32" s="806" t="s">
        <v>176</v>
      </c>
      <c r="P32" s="243"/>
    </row>
    <row r="33" spans="1:29" s="220" customFormat="1" ht="12" customHeight="1">
      <c r="A33" s="219"/>
      <c r="B33" s="812" t="str">
        <f t="shared" si="3"/>
        <v>融资条件</v>
      </c>
      <c r="C33" s="813"/>
      <c r="D33" s="271" t="str">
        <f t="shared" si="4"/>
        <v>可正常融资</v>
      </c>
      <c r="E33" s="271" t="str">
        <f t="shared" ref="E33:G33" si="8">E18</f>
        <v>可正常融资</v>
      </c>
      <c r="F33" s="271" t="str">
        <f t="shared" si="8"/>
        <v>可正常融资</v>
      </c>
      <c r="G33" s="271" t="str">
        <f t="shared" si="8"/>
        <v>可正常融资</v>
      </c>
      <c r="J33" s="823"/>
      <c r="K33" s="824"/>
      <c r="L33" s="807"/>
      <c r="M33" s="807"/>
      <c r="N33" s="807"/>
      <c r="O33" s="807"/>
      <c r="P33" s="243"/>
    </row>
    <row r="34" spans="1:29" s="220" customFormat="1" ht="15" customHeight="1">
      <c r="A34" s="219"/>
      <c r="B34" s="812" t="str">
        <f t="shared" si="3"/>
        <v>税费负担情况</v>
      </c>
      <c r="C34" s="813"/>
      <c r="D34" s="271" t="str">
        <f t="shared" si="4"/>
        <v>税费各担</v>
      </c>
      <c r="E34" s="271" t="str">
        <f t="shared" ref="E34:G34" si="9">E19</f>
        <v>税费各担</v>
      </c>
      <c r="F34" s="271" t="str">
        <f t="shared" si="9"/>
        <v>税费各担</v>
      </c>
      <c r="G34" s="271" t="str">
        <f t="shared" si="9"/>
        <v>税费各担</v>
      </c>
      <c r="J34" s="810" t="str">
        <f t="shared" ref="J34:O34" si="10">B29</f>
        <v>物业名称</v>
      </c>
      <c r="K34" s="811"/>
      <c r="L34" s="272" t="str">
        <f t="shared" si="10"/>
        <v>中海城南一号</v>
      </c>
      <c r="M34" s="272" t="str">
        <f t="shared" si="10"/>
        <v>中海城南一号</v>
      </c>
      <c r="N34" s="272" t="str">
        <f t="shared" si="10"/>
        <v>中海城南一号</v>
      </c>
      <c r="O34" s="272" t="str">
        <f t="shared" si="10"/>
        <v>中海城南一号</v>
      </c>
      <c r="P34" s="243"/>
    </row>
    <row r="35" spans="1:29" s="220" customFormat="1" ht="12" customHeight="1">
      <c r="A35" s="219"/>
      <c r="B35" s="812" t="str">
        <f>D11</f>
        <v>单价（人民币，元/㎡）</v>
      </c>
      <c r="C35" s="814"/>
      <c r="D35" s="273" t="s">
        <v>213</v>
      </c>
      <c r="E35" s="274">
        <f t="shared" ref="E35:G35" si="11">E11</f>
        <v>28957</v>
      </c>
      <c r="F35" s="274">
        <f t="shared" si="11"/>
        <v>29657</v>
      </c>
      <c r="G35" s="274">
        <f t="shared" si="11"/>
        <v>32147</v>
      </c>
      <c r="J35" s="810" t="str">
        <f t="shared" ref="J35:J37" si="12">B35</f>
        <v>单价（人民币，元/㎡）</v>
      </c>
      <c r="K35" s="811"/>
      <c r="L35" s="279" t="s">
        <v>213</v>
      </c>
      <c r="M35" s="280">
        <f t="shared" ref="M35:O35" si="13">E11</f>
        <v>28957</v>
      </c>
      <c r="N35" s="280">
        <f t="shared" si="13"/>
        <v>29657</v>
      </c>
      <c r="O35" s="280">
        <f t="shared" si="13"/>
        <v>32147</v>
      </c>
      <c r="P35" s="243"/>
    </row>
    <row r="36" spans="1:29" s="220" customFormat="1" ht="12" customHeight="1">
      <c r="A36" s="219"/>
      <c r="B36" s="808" t="s">
        <v>165</v>
      </c>
      <c r="C36" s="809"/>
      <c r="D36" s="275" t="s">
        <v>187</v>
      </c>
      <c r="E36" s="276" t="str">
        <f t="shared" ref="E36:G36" si="14">E13</f>
        <v>正常交易</v>
      </c>
      <c r="F36" s="276" t="str">
        <f t="shared" si="14"/>
        <v>正常交易</v>
      </c>
      <c r="G36" s="276" t="str">
        <f t="shared" si="14"/>
        <v>正常交易</v>
      </c>
      <c r="J36" s="810" t="str">
        <f t="shared" si="12"/>
        <v>交易情况</v>
      </c>
      <c r="K36" s="811"/>
      <c r="L36" s="281">
        <v>100</v>
      </c>
      <c r="M36" s="281">
        <v>100</v>
      </c>
      <c r="N36" s="281">
        <v>100</v>
      </c>
      <c r="O36" s="281">
        <v>100</v>
      </c>
      <c r="P36" s="243"/>
    </row>
    <row r="37" spans="1:29" s="220" customFormat="1" ht="12" customHeight="1">
      <c r="A37" s="219"/>
      <c r="B37" s="808" t="s">
        <v>214</v>
      </c>
      <c r="C37" s="809"/>
      <c r="D37" s="277">
        <v>42908</v>
      </c>
      <c r="E37" s="278">
        <f t="shared" ref="E37:G37" si="15">E14</f>
        <v>43038</v>
      </c>
      <c r="F37" s="278">
        <f t="shared" si="15"/>
        <v>42993</v>
      </c>
      <c r="G37" s="278">
        <f t="shared" si="15"/>
        <v>42864</v>
      </c>
      <c r="J37" s="810" t="str">
        <f t="shared" si="12"/>
        <v>市场状况(交易时间)</v>
      </c>
      <c r="K37" s="811"/>
      <c r="L37" s="281">
        <f t="shared" ref="L37:O37" si="16">L14</f>
        <v>130.28</v>
      </c>
      <c r="M37" s="281">
        <f t="shared" si="16"/>
        <v>130.28</v>
      </c>
      <c r="N37" s="281">
        <f t="shared" si="16"/>
        <v>130.28</v>
      </c>
      <c r="O37" s="281">
        <f t="shared" si="16"/>
        <v>130.28</v>
      </c>
      <c r="P37" s="243"/>
    </row>
    <row r="38" spans="1:29" s="220" customFormat="1" ht="12" customHeight="1">
      <c r="A38" s="244" t="s">
        <v>136</v>
      </c>
      <c r="B38" s="815" t="s">
        <v>166</v>
      </c>
      <c r="C38" s="619" t="s">
        <v>814</v>
      </c>
      <c r="D38" s="426" t="s">
        <v>645</v>
      </c>
      <c r="E38" s="426" t="s">
        <v>815</v>
      </c>
      <c r="F38" s="426" t="s">
        <v>815</v>
      </c>
      <c r="G38" s="426" t="s">
        <v>815</v>
      </c>
      <c r="J38" s="793" t="s">
        <v>215</v>
      </c>
      <c r="K38" s="282" t="str">
        <f t="shared" ref="K38:K68" si="17">C38</f>
        <v>离区域中心点距离</v>
      </c>
      <c r="L38" s="281">
        <f>IF(D38="较近",100,IF(D38="近",102,IF(D38="较远",98,IF(D38="远",96,IF(D38="市级商业中心",106,IF(D38="专业市场",103,IF(D38="区域级商业中心",100,IF(D38="小区级商业中心",97))))))))</f>
        <v>106</v>
      </c>
      <c r="M38" s="424">
        <f t="shared" ref="M38:O38" si="18">IF(E38="较近",100,IF(E38="近",102,IF(E38="较远",98,IF(E38="远",96,IF(E38="市级商业中心",106,IF(E38="专业市场",103,IF(E38="区域级商业中心",100,IF(E38="小区级商业中心",97))))))))</f>
        <v>100</v>
      </c>
      <c r="N38" s="424">
        <f t="shared" si="18"/>
        <v>100</v>
      </c>
      <c r="O38" s="424">
        <f t="shared" si="18"/>
        <v>100</v>
      </c>
      <c r="P38" s="243"/>
      <c r="Q38" s="247">
        <v>2</v>
      </c>
      <c r="R38" s="248" t="s">
        <v>216</v>
      </c>
      <c r="S38" s="248"/>
      <c r="T38" s="248"/>
      <c r="U38" s="248"/>
      <c r="V38" s="248"/>
      <c r="W38" s="248"/>
      <c r="X38" s="248"/>
      <c r="Y38" s="248"/>
      <c r="Z38" s="248"/>
      <c r="AA38" s="248"/>
      <c r="AB38" s="248"/>
      <c r="AC38" s="248"/>
    </row>
    <row r="39" spans="1:29" s="220" customFormat="1" ht="12" customHeight="1">
      <c r="A39" s="219"/>
      <c r="B39" s="816"/>
      <c r="C39" s="249" t="s">
        <v>217</v>
      </c>
      <c r="D39" s="246" t="s">
        <v>218</v>
      </c>
      <c r="E39" s="246" t="s">
        <v>218</v>
      </c>
      <c r="F39" s="246" t="s">
        <v>218</v>
      </c>
      <c r="G39" s="246" t="s">
        <v>749</v>
      </c>
      <c r="J39" s="794"/>
      <c r="K39" s="283" t="str">
        <f t="shared" si="17"/>
        <v>交通管制（单行、禁行）</v>
      </c>
      <c r="L39" s="281">
        <f t="shared" ref="L39:O39" si="19">IF(D39="分时段交通管制",100,IF(D39="无特殊管制",102,IF(D39="有交通管制",98)))</f>
        <v>102</v>
      </c>
      <c r="M39" s="281">
        <f t="shared" si="19"/>
        <v>102</v>
      </c>
      <c r="N39" s="281">
        <f t="shared" si="19"/>
        <v>102</v>
      </c>
      <c r="O39" s="281">
        <f t="shared" si="19"/>
        <v>102</v>
      </c>
      <c r="P39" s="243"/>
      <c r="Q39" s="247">
        <v>2</v>
      </c>
      <c r="R39" s="248" t="s">
        <v>219</v>
      </c>
      <c r="S39" s="248"/>
      <c r="T39" s="248"/>
      <c r="U39" s="248"/>
      <c r="V39" s="248"/>
      <c r="W39" s="248"/>
      <c r="X39" s="248"/>
      <c r="Y39" s="248"/>
      <c r="Z39" s="248"/>
      <c r="AA39" s="248"/>
      <c r="AB39" s="248"/>
      <c r="AC39" s="248"/>
    </row>
    <row r="40" spans="1:29" s="220" customFormat="1" ht="12" customHeight="1">
      <c r="A40" s="219"/>
      <c r="B40" s="816"/>
      <c r="C40" s="245" t="s">
        <v>220</v>
      </c>
      <c r="D40" s="246" t="s">
        <v>221</v>
      </c>
      <c r="E40" s="246" t="s">
        <v>221</v>
      </c>
      <c r="F40" s="246" t="s">
        <v>221</v>
      </c>
      <c r="G40" s="246" t="s">
        <v>222</v>
      </c>
      <c r="J40" s="794"/>
      <c r="K40" s="282" t="str">
        <f t="shared" si="17"/>
        <v>公交便捷度</v>
      </c>
      <c r="L40" s="281">
        <f t="shared" ref="L40:O40" si="20">IF(D40="较优",100,IF(D40="优",103,IF(D40="较差",97,IF(D40="差",94))))</f>
        <v>100</v>
      </c>
      <c r="M40" s="281">
        <f t="shared" si="20"/>
        <v>100</v>
      </c>
      <c r="N40" s="281">
        <f t="shared" si="20"/>
        <v>100</v>
      </c>
      <c r="O40" s="281">
        <f t="shared" si="20"/>
        <v>94</v>
      </c>
      <c r="P40" s="243"/>
      <c r="Q40" s="247">
        <v>3</v>
      </c>
      <c r="R40" s="248" t="s">
        <v>223</v>
      </c>
      <c r="S40" s="248"/>
      <c r="T40" s="248"/>
      <c r="U40" s="248"/>
      <c r="V40" s="248"/>
      <c r="W40" s="248"/>
      <c r="X40" s="248"/>
      <c r="Y40" s="248"/>
      <c r="Z40" s="248"/>
      <c r="AA40" s="248"/>
      <c r="AB40" s="248"/>
      <c r="AC40" s="248"/>
    </row>
    <row r="41" spans="1:29" s="220" customFormat="1" ht="12" customHeight="1">
      <c r="A41" s="219"/>
      <c r="B41" s="816"/>
      <c r="C41" s="245" t="s">
        <v>224</v>
      </c>
      <c r="D41" s="246" t="s">
        <v>225</v>
      </c>
      <c r="E41" s="246" t="s">
        <v>225</v>
      </c>
      <c r="F41" s="246" t="s">
        <v>225</v>
      </c>
      <c r="G41" s="246" t="s">
        <v>226</v>
      </c>
      <c r="J41" s="794"/>
      <c r="K41" s="282" t="str">
        <f t="shared" si="17"/>
        <v>基础设施</v>
      </c>
      <c r="L41" s="281">
        <f t="shared" ref="L41:O41" si="21">IF(D41="六通一平",100,IF(D41="七通一平",101,IF(D41="五通一平",99,IF(D41="三通一平",98))))</f>
        <v>100</v>
      </c>
      <c r="M41" s="281">
        <f t="shared" si="21"/>
        <v>100</v>
      </c>
      <c r="N41" s="281">
        <f t="shared" si="21"/>
        <v>100</v>
      </c>
      <c r="O41" s="281">
        <f t="shared" si="21"/>
        <v>98</v>
      </c>
      <c r="P41" s="243"/>
      <c r="Q41" s="247">
        <v>1</v>
      </c>
      <c r="R41" s="248" t="s">
        <v>227</v>
      </c>
      <c r="S41" s="248"/>
      <c r="T41" s="248"/>
      <c r="U41" s="248"/>
      <c r="V41" s="248"/>
      <c r="W41" s="248"/>
      <c r="X41" s="248"/>
      <c r="Y41" s="248"/>
      <c r="Z41" s="248"/>
      <c r="AA41" s="248"/>
      <c r="AB41" s="248"/>
      <c r="AC41" s="248"/>
    </row>
    <row r="42" spans="1:29" s="220" customFormat="1" ht="12" customHeight="1">
      <c r="A42" s="219"/>
      <c r="B42" s="816"/>
      <c r="C42" s="245" t="s">
        <v>228</v>
      </c>
      <c r="D42" s="246" t="s">
        <v>229</v>
      </c>
      <c r="E42" s="246" t="s">
        <v>229</v>
      </c>
      <c r="F42" s="246" t="s">
        <v>229</v>
      </c>
      <c r="G42" s="246" t="s">
        <v>230</v>
      </c>
      <c r="J42" s="794"/>
      <c r="K42" s="282" t="str">
        <f t="shared" si="17"/>
        <v>公共服务设施完善度</v>
      </c>
      <c r="L42" s="281">
        <f t="shared" ref="L42:O42" si="22">IF(D42="一般",100,IF(D42="完善",101,IF(D42="不完善",99)))</f>
        <v>101</v>
      </c>
      <c r="M42" s="281">
        <f t="shared" si="22"/>
        <v>101</v>
      </c>
      <c r="N42" s="281">
        <f t="shared" si="22"/>
        <v>101</v>
      </c>
      <c r="O42" s="281">
        <f t="shared" si="22"/>
        <v>100</v>
      </c>
      <c r="P42" s="243"/>
      <c r="Q42" s="247">
        <v>1</v>
      </c>
      <c r="R42" s="248" t="s">
        <v>231</v>
      </c>
      <c r="S42" s="248"/>
      <c r="T42" s="248"/>
      <c r="U42" s="248"/>
      <c r="V42" s="248"/>
      <c r="W42" s="248"/>
      <c r="X42" s="248"/>
      <c r="Y42" s="248"/>
      <c r="Z42" s="248"/>
      <c r="AA42" s="248"/>
      <c r="AB42" s="248"/>
      <c r="AC42" s="248"/>
    </row>
    <row r="43" spans="1:29" s="220" customFormat="1" ht="12" customHeight="1">
      <c r="A43" s="219"/>
      <c r="B43" s="816"/>
      <c r="C43" s="245" t="s">
        <v>232</v>
      </c>
      <c r="D43" s="246" t="s">
        <v>221</v>
      </c>
      <c r="E43" s="246" t="s">
        <v>221</v>
      </c>
      <c r="F43" s="246" t="s">
        <v>221</v>
      </c>
      <c r="G43" s="246" t="s">
        <v>221</v>
      </c>
      <c r="J43" s="794"/>
      <c r="K43" s="282" t="str">
        <f t="shared" si="17"/>
        <v>周围环境状况</v>
      </c>
      <c r="L43" s="281">
        <f t="shared" ref="L43:O43" si="23">IF(D43="一般",100,IF(D43="较优",101,IF(D43="差",99)))</f>
        <v>101</v>
      </c>
      <c r="M43" s="281">
        <f t="shared" si="23"/>
        <v>101</v>
      </c>
      <c r="N43" s="281">
        <f t="shared" si="23"/>
        <v>101</v>
      </c>
      <c r="O43" s="281">
        <f t="shared" si="23"/>
        <v>101</v>
      </c>
      <c r="P43" s="243"/>
      <c r="Q43" s="247">
        <v>1</v>
      </c>
      <c r="R43" s="248" t="s">
        <v>233</v>
      </c>
      <c r="S43" s="248"/>
      <c r="T43" s="248"/>
      <c r="U43" s="248"/>
      <c r="V43" s="248"/>
      <c r="W43" s="248"/>
      <c r="X43" s="248"/>
      <c r="Y43" s="248"/>
      <c r="Z43" s="248"/>
      <c r="AA43" s="248"/>
      <c r="AB43" s="248"/>
      <c r="AC43" s="248"/>
    </row>
    <row r="44" spans="1:29" s="220" customFormat="1" ht="12" customHeight="1">
      <c r="A44" s="219"/>
      <c r="B44" s="816"/>
      <c r="C44" s="245" t="s">
        <v>234</v>
      </c>
      <c r="D44" s="246" t="s">
        <v>235</v>
      </c>
      <c r="E44" s="246" t="s">
        <v>235</v>
      </c>
      <c r="F44" s="246" t="s">
        <v>235</v>
      </c>
      <c r="G44" s="246" t="s">
        <v>235</v>
      </c>
      <c r="J44" s="794"/>
      <c r="K44" s="282" t="str">
        <f t="shared" si="17"/>
        <v>停车位</v>
      </c>
      <c r="L44" s="281">
        <f t="shared" ref="L44:O44" si="24">IF(D44="一般",100,IF(D44="充足",102,IF(D44="不足",98)))</f>
        <v>102</v>
      </c>
      <c r="M44" s="281">
        <f t="shared" si="24"/>
        <v>102</v>
      </c>
      <c r="N44" s="281">
        <f t="shared" si="24"/>
        <v>102</v>
      </c>
      <c r="O44" s="281">
        <f t="shared" si="24"/>
        <v>102</v>
      </c>
      <c r="P44" s="243"/>
      <c r="Q44" s="247">
        <v>2</v>
      </c>
      <c r="R44" s="248" t="s">
        <v>236</v>
      </c>
      <c r="S44" s="248"/>
      <c r="T44" s="248"/>
      <c r="U44" s="248"/>
      <c r="V44" s="248"/>
      <c r="W44" s="248"/>
      <c r="X44" s="248"/>
      <c r="Y44" s="248"/>
      <c r="Z44" s="248"/>
      <c r="AA44" s="248"/>
      <c r="AB44" s="248"/>
      <c r="AC44" s="248"/>
    </row>
    <row r="45" spans="1:29" s="220" customFormat="1" ht="12" customHeight="1">
      <c r="A45" s="219"/>
      <c r="B45" s="816"/>
      <c r="C45" s="245" t="s">
        <v>643</v>
      </c>
      <c r="D45" s="246" t="s">
        <v>203</v>
      </c>
      <c r="E45" s="279" t="str">
        <f t="shared" ref="E45:G45" si="25">E21</f>
        <v>南</v>
      </c>
      <c r="F45" s="279" t="str">
        <f t="shared" si="25"/>
        <v>南</v>
      </c>
      <c r="G45" s="279" t="str">
        <f t="shared" si="25"/>
        <v>南</v>
      </c>
      <c r="J45" s="794"/>
      <c r="K45" s="282" t="str">
        <f t="shared" si="17"/>
        <v>朝向</v>
      </c>
      <c r="L45" s="281">
        <f t="shared" ref="L45:O45" si="26">IF(D45="西南",100,IF(D45="东",101,IF(D45="东南",102,IF(D45="南",103,IF(D45="南北",104,IF(D45="西",99,IF(D45="西北",98,IF(D45="东北",97,IF(D45="北",96)))))))))</f>
        <v>103</v>
      </c>
      <c r="M45" s="281">
        <f t="shared" si="26"/>
        <v>103</v>
      </c>
      <c r="N45" s="281">
        <f t="shared" si="26"/>
        <v>103</v>
      </c>
      <c r="O45" s="281">
        <f t="shared" si="26"/>
        <v>103</v>
      </c>
      <c r="P45" s="243"/>
      <c r="Q45" s="247">
        <v>1</v>
      </c>
      <c r="R45" s="248" t="s">
        <v>237</v>
      </c>
      <c r="S45" s="248"/>
      <c r="T45" s="248"/>
      <c r="U45" s="248"/>
      <c r="V45" s="248"/>
      <c r="W45" s="248"/>
      <c r="X45" s="248"/>
      <c r="Y45" s="248"/>
      <c r="Z45" s="248"/>
      <c r="AA45" s="248"/>
      <c r="AB45" s="248"/>
      <c r="AC45" s="248"/>
    </row>
    <row r="46" spans="1:29" s="220" customFormat="1" ht="12" customHeight="1">
      <c r="A46" s="219"/>
      <c r="B46" s="816"/>
      <c r="C46" s="245" t="s">
        <v>202</v>
      </c>
      <c r="D46" s="227" t="s">
        <v>816</v>
      </c>
      <c r="E46" s="279" t="str">
        <f t="shared" ref="E46:G46" si="27">E20</f>
        <v>25层/28层</v>
      </c>
      <c r="F46" s="279" t="str">
        <f t="shared" si="27"/>
        <v>16层/28层</v>
      </c>
      <c r="G46" s="279" t="str">
        <f t="shared" si="27"/>
        <v>12层/28层</v>
      </c>
      <c r="J46" s="794"/>
      <c r="K46" s="282" t="str">
        <f t="shared" si="17"/>
        <v>所在楼层</v>
      </c>
      <c r="L46" s="250">
        <v>100</v>
      </c>
      <c r="M46" s="250">
        <v>103</v>
      </c>
      <c r="N46" s="250">
        <v>102</v>
      </c>
      <c r="O46" s="250">
        <v>102</v>
      </c>
      <c r="P46" s="243"/>
      <c r="Q46" s="247" t="s">
        <v>239</v>
      </c>
      <c r="R46" s="248" t="s">
        <v>240</v>
      </c>
      <c r="S46" s="248"/>
      <c r="T46" s="248"/>
      <c r="U46" s="248"/>
      <c r="V46" s="248"/>
      <c r="W46" s="248"/>
      <c r="X46" s="248"/>
      <c r="Y46" s="248"/>
      <c r="Z46" s="248"/>
      <c r="AA46" s="248"/>
      <c r="AB46" s="248"/>
      <c r="AC46" s="248"/>
    </row>
    <row r="47" spans="1:29" s="220" customFormat="1" ht="12" customHeight="1">
      <c r="A47" s="219"/>
      <c r="B47" s="816"/>
      <c r="C47" s="618" t="s">
        <v>755</v>
      </c>
      <c r="D47" s="426" t="s">
        <v>819</v>
      </c>
      <c r="E47" s="426" t="s">
        <v>147</v>
      </c>
      <c r="F47" s="426" t="s">
        <v>147</v>
      </c>
      <c r="G47" s="426" t="s">
        <v>147</v>
      </c>
      <c r="J47" s="795"/>
      <c r="K47" s="282" t="str">
        <f t="shared" si="17"/>
        <v>楼幢在小区中的位置</v>
      </c>
      <c r="L47" s="281">
        <f>IF(D47="一般",100,IF(D47="较好",101,IF(D47="好",102,IF(D47="较差",99,IF(D47="差",98,IF(D47="一面临街",100,IF(D47="两面临街",103,IF(D47="三面临街",106,IF(D47="四面临街",109,IF(D47="超甲级",104,IF(D47="甲级",100,IF(D47="乙级",96,IF(D47="普通写字楼",92)))))))))))))</f>
        <v>100</v>
      </c>
      <c r="M47" s="424">
        <f t="shared" ref="M47:O47" si="28">IF(E47="一般",100,IF(E47="较好",101,IF(E47="好",102,IF(E47="较差",99,IF(E47="差",98,IF(E47="一面临街",100,IF(E47="两面临街",103,IF(E47="三面临街",106,IF(E47="四面临街",109,IF(E47="超甲级",104,IF(E47="甲级",100,IF(E47="乙级",96,IF(E47="普通写字楼",92)))))))))))))</f>
        <v>101</v>
      </c>
      <c r="N47" s="424">
        <f t="shared" si="28"/>
        <v>101</v>
      </c>
      <c r="O47" s="424">
        <f t="shared" si="28"/>
        <v>101</v>
      </c>
      <c r="P47" s="243"/>
      <c r="Q47" s="247">
        <v>1</v>
      </c>
      <c r="R47" s="248" t="s">
        <v>552</v>
      </c>
      <c r="S47" s="248"/>
      <c r="T47" s="248"/>
      <c r="U47" s="248"/>
      <c r="V47" s="248"/>
      <c r="W47" s="248"/>
      <c r="X47" s="248"/>
      <c r="Y47" s="248"/>
      <c r="Z47" s="248"/>
      <c r="AA47" s="248"/>
      <c r="AB47" s="248"/>
      <c r="AC47" s="248"/>
    </row>
    <row r="48" spans="1:29" s="220" customFormat="1" ht="12" customHeight="1">
      <c r="A48" s="244"/>
      <c r="B48" s="817" t="s">
        <v>167</v>
      </c>
      <c r="C48" s="245" t="s">
        <v>744</v>
      </c>
      <c r="D48" s="246" t="s">
        <v>745</v>
      </c>
      <c r="E48" s="246" t="s">
        <v>746</v>
      </c>
      <c r="F48" s="246" t="s">
        <v>746</v>
      </c>
      <c r="G48" s="246" t="s">
        <v>747</v>
      </c>
      <c r="J48" s="796" t="s">
        <v>242</v>
      </c>
      <c r="K48" s="282" t="str">
        <f t="shared" si="17"/>
        <v>临街道路类型</v>
      </c>
      <c r="L48" s="281">
        <f>IF(D48="生活型次干道",100,IF(D48="交通型次干道",98,IF(D48="交通型主干道",96,IF(D48="生活型主干道",102,IF(D48="步行街",104)))))</f>
        <v>100</v>
      </c>
      <c r="M48" s="521">
        <f t="shared" ref="M48:O48" si="29">IF(E48="生活型次干道",100,IF(E48="交通型次干道",98,IF(E48="交通型主干道",96,IF(E48="生活型主干道",102,IF(E48="步行街",104)))))</f>
        <v>102</v>
      </c>
      <c r="N48" s="521">
        <f t="shared" si="29"/>
        <v>102</v>
      </c>
      <c r="O48" s="521">
        <f t="shared" si="29"/>
        <v>98</v>
      </c>
      <c r="P48" s="243"/>
      <c r="Q48" s="247">
        <v>2</v>
      </c>
      <c r="R48" s="248" t="s">
        <v>748</v>
      </c>
      <c r="S48" s="248"/>
      <c r="T48" s="248"/>
      <c r="U48" s="248"/>
      <c r="V48" s="248"/>
      <c r="W48" s="248"/>
      <c r="X48" s="248"/>
      <c r="Y48" s="248"/>
      <c r="Z48" s="248"/>
      <c r="AA48" s="248"/>
      <c r="AB48" s="248"/>
      <c r="AC48" s="248"/>
    </row>
    <row r="49" spans="1:29" s="220" customFormat="1" ht="12" customHeight="1">
      <c r="A49" s="244"/>
      <c r="B49" s="818"/>
      <c r="C49" s="245" t="s">
        <v>243</v>
      </c>
      <c r="D49" s="246" t="s">
        <v>241</v>
      </c>
      <c r="E49" s="246" t="s">
        <v>241</v>
      </c>
      <c r="F49" s="246" t="s">
        <v>241</v>
      </c>
      <c r="G49" s="246" t="s">
        <v>241</v>
      </c>
      <c r="J49" s="797"/>
      <c r="K49" s="282" t="str">
        <f t="shared" si="17"/>
        <v>估价对象及实例规模</v>
      </c>
      <c r="L49" s="281">
        <f>IF(D49="偏大",99,IF(D49="适中",100,IF(D49="偏小",101,IF(D49="超大",98))))</f>
        <v>100</v>
      </c>
      <c r="M49" s="521">
        <f t="shared" ref="M49:O49" si="30">IF(E49="偏大",99,IF(E49="适中",100,IF(E49="偏小",101,IF(E49="超大",98))))</f>
        <v>100</v>
      </c>
      <c r="N49" s="521">
        <f t="shared" si="30"/>
        <v>100</v>
      </c>
      <c r="O49" s="521">
        <f t="shared" si="30"/>
        <v>100</v>
      </c>
      <c r="P49" s="243"/>
      <c r="Q49" s="247">
        <v>1</v>
      </c>
      <c r="R49" s="248" t="s">
        <v>244</v>
      </c>
      <c r="S49" s="248"/>
      <c r="T49" s="248"/>
      <c r="U49" s="248"/>
      <c r="V49" s="248"/>
      <c r="W49" s="248"/>
      <c r="X49" s="248"/>
      <c r="Y49" s="248"/>
      <c r="Z49" s="248"/>
      <c r="AA49" s="248"/>
      <c r="AB49" s="248"/>
      <c r="AC49" s="248"/>
    </row>
    <row r="50" spans="1:29" s="220" customFormat="1" ht="12" customHeight="1">
      <c r="A50" s="244"/>
      <c r="B50" s="818"/>
      <c r="C50" s="245" t="s">
        <v>100</v>
      </c>
      <c r="D50" s="246" t="s">
        <v>245</v>
      </c>
      <c r="E50" s="246" t="s">
        <v>597</v>
      </c>
      <c r="F50" s="246" t="s">
        <v>245</v>
      </c>
      <c r="G50" s="246" t="s">
        <v>245</v>
      </c>
      <c r="J50" s="797"/>
      <c r="K50" s="282" t="str">
        <f t="shared" si="17"/>
        <v>建筑结构</v>
      </c>
      <c r="L50" s="281">
        <f t="shared" ref="L50:O50" si="31">IF(D50="钢混",100,IF(D50="砖混",98,IF(D50="砖木",96,IF(D50="简易",94))))</f>
        <v>100</v>
      </c>
      <c r="M50" s="281">
        <f t="shared" si="31"/>
        <v>94</v>
      </c>
      <c r="N50" s="281">
        <f t="shared" si="31"/>
        <v>100</v>
      </c>
      <c r="O50" s="281">
        <f t="shared" si="31"/>
        <v>100</v>
      </c>
      <c r="P50" s="243"/>
      <c r="Q50" s="247">
        <v>2</v>
      </c>
      <c r="R50" s="248" t="s">
        <v>246</v>
      </c>
      <c r="S50" s="248"/>
      <c r="T50" s="248"/>
      <c r="U50" s="248"/>
      <c r="V50" s="248"/>
      <c r="W50" s="248"/>
      <c r="X50" s="248"/>
      <c r="Y50" s="248"/>
      <c r="Z50" s="248"/>
      <c r="AA50" s="248"/>
      <c r="AB50" s="248"/>
      <c r="AC50" s="248"/>
    </row>
    <row r="51" spans="1:29" s="220" customFormat="1" ht="12" customHeight="1">
      <c r="A51" s="244"/>
      <c r="B51" s="818"/>
      <c r="C51" s="251" t="s">
        <v>247</v>
      </c>
      <c r="D51" s="246" t="s">
        <v>248</v>
      </c>
      <c r="E51" s="246" t="s">
        <v>222</v>
      </c>
      <c r="F51" s="246" t="s">
        <v>248</v>
      </c>
      <c r="G51" s="246" t="s">
        <v>230</v>
      </c>
      <c r="J51" s="797"/>
      <c r="K51" s="282" t="str">
        <f t="shared" si="17"/>
        <v>建筑外观</v>
      </c>
      <c r="L51" s="281">
        <f t="shared" ref="L51:O51" si="32">IF(D51="一般",100,IF(D51="美观大方",101,IF(D51="差",99)))</f>
        <v>101</v>
      </c>
      <c r="M51" s="281">
        <f t="shared" si="32"/>
        <v>99</v>
      </c>
      <c r="N51" s="281">
        <f t="shared" si="32"/>
        <v>101</v>
      </c>
      <c r="O51" s="281">
        <f t="shared" si="32"/>
        <v>100</v>
      </c>
      <c r="P51" s="243"/>
      <c r="Q51" s="247">
        <v>1</v>
      </c>
      <c r="R51" s="248" t="s">
        <v>249</v>
      </c>
      <c r="S51" s="248"/>
      <c r="T51" s="248"/>
      <c r="U51" s="248"/>
      <c r="V51" s="248"/>
      <c r="W51" s="248"/>
      <c r="X51" s="248"/>
      <c r="Y51" s="248"/>
      <c r="Z51" s="248"/>
      <c r="AA51" s="248"/>
      <c r="AB51" s="248"/>
      <c r="AC51" s="248"/>
    </row>
    <row r="52" spans="1:29" s="220" customFormat="1" ht="12" customHeight="1">
      <c r="A52" s="244"/>
      <c r="B52" s="818"/>
      <c r="C52" s="251" t="s">
        <v>250</v>
      </c>
      <c r="D52" s="246" t="s">
        <v>817</v>
      </c>
      <c r="E52" s="246" t="s">
        <v>817</v>
      </c>
      <c r="F52" s="246" t="s">
        <v>817</v>
      </c>
      <c r="G52" s="246" t="s">
        <v>817</v>
      </c>
      <c r="J52" s="797"/>
      <c r="K52" s="282" t="str">
        <f t="shared" si="17"/>
        <v>新旧程度</v>
      </c>
      <c r="L52" s="281">
        <f t="shared" ref="L52:O52" si="33">IF(D52="十成新",100,IF(D52="九五成新",99,IF(D52="九成新",98,IF(D52="八五成新",97,IF(D52="八成新",96,IF(D52="七五成新",95,IF(D52="七成新",94)))))))</f>
        <v>99</v>
      </c>
      <c r="M52" s="281">
        <f t="shared" si="33"/>
        <v>99</v>
      </c>
      <c r="N52" s="281">
        <f t="shared" si="33"/>
        <v>99</v>
      </c>
      <c r="O52" s="281">
        <f t="shared" si="33"/>
        <v>99</v>
      </c>
      <c r="P52" s="243"/>
      <c r="Q52" s="247">
        <v>2</v>
      </c>
      <c r="R52" s="248" t="s">
        <v>252</v>
      </c>
      <c r="S52" s="248"/>
      <c r="T52" s="248"/>
      <c r="U52" s="248"/>
      <c r="V52" s="248"/>
      <c r="W52" s="248"/>
      <c r="X52" s="248"/>
      <c r="Y52" s="248"/>
      <c r="Z52" s="248"/>
      <c r="AA52" s="248"/>
      <c r="AB52" s="248"/>
      <c r="AC52" s="248"/>
    </row>
    <row r="53" spans="1:29" s="220" customFormat="1" ht="12" customHeight="1">
      <c r="A53" s="244"/>
      <c r="B53" s="818"/>
      <c r="C53" s="251" t="s">
        <v>253</v>
      </c>
      <c r="D53" s="246" t="s">
        <v>254</v>
      </c>
      <c r="E53" s="246" t="s">
        <v>254</v>
      </c>
      <c r="F53" s="246" t="s">
        <v>254</v>
      </c>
      <c r="G53" s="246" t="s">
        <v>254</v>
      </c>
      <c r="J53" s="797"/>
      <c r="K53" s="282" t="str">
        <f t="shared" si="17"/>
        <v>建筑使用功能</v>
      </c>
      <c r="L53" s="281">
        <f t="shared" ref="L53:O53" si="34">IF(D53="较优",100,IF(D53="优",101,IF(D53="差",99)))</f>
        <v>101</v>
      </c>
      <c r="M53" s="281">
        <f t="shared" si="34"/>
        <v>101</v>
      </c>
      <c r="N53" s="281">
        <f t="shared" si="34"/>
        <v>101</v>
      </c>
      <c r="O53" s="281">
        <f t="shared" si="34"/>
        <v>101</v>
      </c>
      <c r="P53" s="243"/>
      <c r="Q53" s="247">
        <v>1</v>
      </c>
      <c r="R53" s="248" t="s">
        <v>255</v>
      </c>
      <c r="S53" s="248"/>
      <c r="T53" s="248"/>
      <c r="U53" s="248"/>
      <c r="V53" s="248"/>
      <c r="W53" s="248"/>
      <c r="X53" s="248"/>
      <c r="Y53" s="248"/>
      <c r="Z53" s="248"/>
      <c r="AA53" s="248"/>
      <c r="AB53" s="248"/>
      <c r="AC53" s="248"/>
    </row>
    <row r="54" spans="1:29" s="220" customFormat="1" ht="12" customHeight="1">
      <c r="A54" s="244" t="s">
        <v>256</v>
      </c>
      <c r="B54" s="818"/>
      <c r="C54" s="245" t="s">
        <v>105</v>
      </c>
      <c r="D54" s="246" t="s">
        <v>257</v>
      </c>
      <c r="E54" s="246" t="s">
        <v>257</v>
      </c>
      <c r="F54" s="246" t="s">
        <v>257</v>
      </c>
      <c r="G54" s="246" t="s">
        <v>257</v>
      </c>
      <c r="J54" s="797"/>
      <c r="K54" s="282" t="str">
        <f t="shared" si="17"/>
        <v>空间布局</v>
      </c>
      <c r="L54" s="281">
        <f t="shared" ref="L54:O54" si="35">IF(D54="较合理",100,IF(D54="合理",101,IF(D54="不合理",99)))</f>
        <v>101</v>
      </c>
      <c r="M54" s="281">
        <f t="shared" si="35"/>
        <v>101</v>
      </c>
      <c r="N54" s="281">
        <f t="shared" si="35"/>
        <v>101</v>
      </c>
      <c r="O54" s="281">
        <f t="shared" si="35"/>
        <v>101</v>
      </c>
      <c r="P54" s="243"/>
      <c r="Q54" s="252">
        <v>1</v>
      </c>
      <c r="R54" s="248" t="s">
        <v>258</v>
      </c>
      <c r="S54" s="248"/>
      <c r="T54" s="248"/>
      <c r="U54" s="248"/>
      <c r="V54" s="248"/>
      <c r="W54" s="248"/>
      <c r="X54" s="248"/>
      <c r="Y54" s="248"/>
      <c r="Z54" s="248"/>
      <c r="AA54" s="248"/>
      <c r="AB54" s="248"/>
      <c r="AC54" s="248"/>
    </row>
    <row r="55" spans="1:29" s="220" customFormat="1" ht="12" customHeight="1">
      <c r="A55" s="219" t="s">
        <v>259</v>
      </c>
      <c r="B55" s="818"/>
      <c r="C55" s="251" t="s">
        <v>204</v>
      </c>
      <c r="D55" s="253" t="s">
        <v>206</v>
      </c>
      <c r="E55" s="279" t="str">
        <f t="shared" ref="E55:G55" si="36">E22</f>
        <v>豪华装潢</v>
      </c>
      <c r="F55" s="279" t="str">
        <f t="shared" si="36"/>
        <v>豪华装潢</v>
      </c>
      <c r="G55" s="279" t="str">
        <f t="shared" si="36"/>
        <v>一般装潢</v>
      </c>
      <c r="J55" s="797"/>
      <c r="K55" s="282" t="str">
        <f t="shared" si="17"/>
        <v>装饰装修</v>
      </c>
      <c r="L55" s="281">
        <f t="shared" ref="L55:O55" si="37">IF(D55="一般装潢",100,IF(D55="豪华装潢",101,IF(D55="简易装潢",99,IF(D55="毛坯",98))))</f>
        <v>101</v>
      </c>
      <c r="M55" s="281">
        <f t="shared" si="37"/>
        <v>101</v>
      </c>
      <c r="N55" s="281">
        <f t="shared" si="37"/>
        <v>101</v>
      </c>
      <c r="O55" s="281">
        <f t="shared" si="37"/>
        <v>100</v>
      </c>
      <c r="P55" s="243"/>
      <c r="Q55" s="252">
        <v>1</v>
      </c>
      <c r="R55" s="248" t="s">
        <v>261</v>
      </c>
      <c r="S55" s="248"/>
      <c r="T55" s="248"/>
      <c r="U55" s="248"/>
      <c r="V55" s="248"/>
      <c r="W55" s="248"/>
      <c r="X55" s="248"/>
      <c r="Y55" s="248"/>
      <c r="Z55" s="248"/>
      <c r="AA55" s="248"/>
      <c r="AB55" s="248"/>
      <c r="AC55" s="248"/>
    </row>
    <row r="56" spans="1:29" s="220" customFormat="1" ht="12" customHeight="1">
      <c r="A56" s="219"/>
      <c r="B56" s="818"/>
      <c r="C56" s="251" t="s">
        <v>127</v>
      </c>
      <c r="D56" s="253" t="s">
        <v>262</v>
      </c>
      <c r="E56" s="253" t="s">
        <v>262</v>
      </c>
      <c r="F56" s="253" t="s">
        <v>262</v>
      </c>
      <c r="G56" s="253" t="s">
        <v>263</v>
      </c>
      <c r="J56" s="797"/>
      <c r="K56" s="282" t="str">
        <f t="shared" si="17"/>
        <v>设施设备</v>
      </c>
      <c r="L56" s="281">
        <f t="shared" ref="L56:O56" si="38">IF(D56="设施设备齐全",101,IF(D56="有设施设备但不齐全",100,IF(D56="无设施设备",99)))</f>
        <v>99</v>
      </c>
      <c r="M56" s="281">
        <f t="shared" si="38"/>
        <v>99</v>
      </c>
      <c r="N56" s="281">
        <f t="shared" si="38"/>
        <v>99</v>
      </c>
      <c r="O56" s="281">
        <f t="shared" si="38"/>
        <v>101</v>
      </c>
      <c r="P56" s="243"/>
      <c r="Q56" s="252">
        <v>1</v>
      </c>
      <c r="R56" s="248" t="s">
        <v>264</v>
      </c>
      <c r="S56" s="248"/>
      <c r="T56" s="248"/>
      <c r="U56" s="248"/>
      <c r="V56" s="248"/>
      <c r="W56" s="248"/>
      <c r="X56" s="248"/>
      <c r="Y56" s="248"/>
      <c r="Z56" s="248"/>
      <c r="AA56" s="248"/>
      <c r="AB56" s="248"/>
      <c r="AC56" s="248"/>
    </row>
    <row r="57" spans="1:29" s="220" customFormat="1" ht="12" customHeight="1">
      <c r="A57" s="219"/>
      <c r="B57" s="818"/>
      <c r="C57" s="251" t="s">
        <v>265</v>
      </c>
      <c r="D57" s="246" t="s">
        <v>266</v>
      </c>
      <c r="E57" s="246" t="s">
        <v>267</v>
      </c>
      <c r="F57" s="246" t="s">
        <v>268</v>
      </c>
      <c r="G57" s="246" t="s">
        <v>269</v>
      </c>
      <c r="J57" s="797"/>
      <c r="K57" s="282" t="str">
        <f t="shared" si="17"/>
        <v>层高（米）</v>
      </c>
      <c r="L57" s="281">
        <f t="shared" ref="L57:O57" si="39">IF(D57="小于2.8米",97,IF(D57="2.8米至4.7米之间",100,IF(D57="4.7米至5.5米之间",103,IF(D57="5.5米以上",106))))</f>
        <v>100</v>
      </c>
      <c r="M57" s="281">
        <f t="shared" si="39"/>
        <v>106</v>
      </c>
      <c r="N57" s="281">
        <f t="shared" si="39"/>
        <v>97</v>
      </c>
      <c r="O57" s="281">
        <f t="shared" si="39"/>
        <v>103</v>
      </c>
      <c r="P57" s="243"/>
      <c r="Q57" s="252">
        <v>3</v>
      </c>
      <c r="R57" s="248" t="s">
        <v>750</v>
      </c>
      <c r="S57" s="248"/>
      <c r="T57" s="248"/>
      <c r="U57" s="248"/>
      <c r="V57" s="248"/>
      <c r="W57" s="248"/>
      <c r="X57" s="248"/>
      <c r="Y57" s="248"/>
      <c r="Z57" s="248"/>
      <c r="AA57" s="248"/>
      <c r="AB57" s="248"/>
      <c r="AC57" s="248"/>
    </row>
    <row r="58" spans="1:29" s="220" customFormat="1" ht="12" customHeight="1">
      <c r="A58" s="219"/>
      <c r="B58" s="818"/>
      <c r="C58" s="618" t="s">
        <v>818</v>
      </c>
      <c r="D58" s="426" t="s">
        <v>820</v>
      </c>
      <c r="E58" s="426" t="s">
        <v>271</v>
      </c>
      <c r="F58" s="426" t="s">
        <v>271</v>
      </c>
      <c r="G58" s="426" t="s">
        <v>271</v>
      </c>
      <c r="J58" s="798"/>
      <c r="K58" s="282" t="str">
        <f t="shared" si="17"/>
        <v>物业管理</v>
      </c>
      <c r="L58" s="281">
        <f>IF(D58="一般",100,IF(D58="较好",102,IF(D58="好",104,IF(D58="较差",98,IF(D58="差",96,IF(D58="小于0.25",103,IF(D58="0.25-0.5",100,IF(D58="0.5-0.75",97,IF(D58="大于0.75",94)))))))))</f>
        <v>103</v>
      </c>
      <c r="M58" s="424">
        <f t="shared" ref="M58:O58" si="40">IF(E58="一般",100,IF(E58="较好",102,IF(E58="好",104,IF(E58="较差",98,IF(E58="差",96,IF(E58="小于0.25",103,IF(E58="0.25-0.5",100,IF(E58="0.5-0.75",97,IF(E58="大于0.75",94)))))))))</f>
        <v>104</v>
      </c>
      <c r="N58" s="424">
        <f t="shared" si="40"/>
        <v>104</v>
      </c>
      <c r="O58" s="424">
        <f t="shared" si="40"/>
        <v>104</v>
      </c>
      <c r="P58" s="243"/>
      <c r="Q58" s="252">
        <v>2</v>
      </c>
      <c r="R58" s="254" t="s">
        <v>272</v>
      </c>
      <c r="S58" s="248"/>
      <c r="T58" s="248"/>
      <c r="U58" s="248"/>
      <c r="V58" s="248"/>
      <c r="W58" s="248"/>
      <c r="X58" s="248"/>
      <c r="Y58" s="248"/>
      <c r="Z58" s="248"/>
      <c r="AA58" s="248"/>
      <c r="AB58" s="248"/>
      <c r="AC58" s="248"/>
    </row>
    <row r="59" spans="1:29" s="220" customFormat="1" ht="12" customHeight="1">
      <c r="A59" s="219"/>
      <c r="B59" s="815" t="s">
        <v>168</v>
      </c>
      <c r="C59" s="255" t="s">
        <v>273</v>
      </c>
      <c r="D59" s="246" t="s">
        <v>274</v>
      </c>
      <c r="E59" s="246" t="s">
        <v>274</v>
      </c>
      <c r="F59" s="246" t="s">
        <v>274</v>
      </c>
      <c r="G59" s="246" t="s">
        <v>274</v>
      </c>
      <c r="J59" s="820" t="s">
        <v>275</v>
      </c>
      <c r="K59" s="282" t="str">
        <f t="shared" si="17"/>
        <v>规划条件</v>
      </c>
      <c r="L59" s="281">
        <f t="shared" ref="L59:O59" si="41">IF(D59="按规划条件建设",100,IF(D59="未按规划条件建设",98))</f>
        <v>100</v>
      </c>
      <c r="M59" s="281">
        <f t="shared" si="41"/>
        <v>100</v>
      </c>
      <c r="N59" s="281">
        <f t="shared" si="41"/>
        <v>100</v>
      </c>
      <c r="O59" s="281">
        <f t="shared" si="41"/>
        <v>100</v>
      </c>
      <c r="P59" s="243"/>
      <c r="Q59" s="252">
        <v>2</v>
      </c>
      <c r="R59" s="248" t="s">
        <v>276</v>
      </c>
      <c r="S59" s="248"/>
      <c r="T59" s="248"/>
      <c r="U59" s="248"/>
      <c r="V59" s="248"/>
      <c r="W59" s="248"/>
      <c r="X59" s="248"/>
      <c r="Y59" s="248"/>
      <c r="Z59" s="248"/>
      <c r="AA59" s="248"/>
      <c r="AB59" s="248"/>
      <c r="AC59" s="248"/>
    </row>
    <row r="60" spans="1:29" s="220" customFormat="1" ht="12" customHeight="1">
      <c r="A60" s="219"/>
      <c r="B60" s="816"/>
      <c r="C60" s="251" t="s">
        <v>277</v>
      </c>
      <c r="D60" s="256" t="s">
        <v>278</v>
      </c>
      <c r="E60" s="256" t="s">
        <v>278</v>
      </c>
      <c r="F60" s="256" t="s">
        <v>278</v>
      </c>
      <c r="G60" s="256" t="s">
        <v>278</v>
      </c>
      <c r="J60" s="820"/>
      <c r="K60" s="282" t="str">
        <f t="shared" si="17"/>
        <v>权属清晰情况</v>
      </c>
      <c r="L60" s="281">
        <f t="shared" ref="L60:O60" si="42">IF(D60="已登记，权属清晰",100,IF(D60="未登记，权属清晰",95,IF(D60="未登记，权属不清晰",90)))</f>
        <v>100</v>
      </c>
      <c r="M60" s="281">
        <f t="shared" si="42"/>
        <v>100</v>
      </c>
      <c r="N60" s="281">
        <f t="shared" si="42"/>
        <v>100</v>
      </c>
      <c r="O60" s="281">
        <f t="shared" si="42"/>
        <v>100</v>
      </c>
      <c r="P60" s="243"/>
      <c r="Q60" s="252">
        <v>5</v>
      </c>
      <c r="R60" s="248" t="s">
        <v>279</v>
      </c>
      <c r="S60" s="248"/>
      <c r="T60" s="248"/>
      <c r="U60" s="248"/>
      <c r="V60" s="248"/>
      <c r="W60" s="248"/>
      <c r="X60" s="248"/>
      <c r="Y60" s="248"/>
      <c r="Z60" s="248"/>
      <c r="AA60" s="248"/>
      <c r="AB60" s="248"/>
      <c r="AC60" s="248"/>
    </row>
    <row r="61" spans="1:29" s="220" customFormat="1" ht="12" customHeight="1">
      <c r="A61" s="219"/>
      <c r="B61" s="816"/>
      <c r="C61" s="255" t="s">
        <v>280</v>
      </c>
      <c r="D61" s="246" t="s">
        <v>281</v>
      </c>
      <c r="E61" s="246" t="s">
        <v>281</v>
      </c>
      <c r="F61" s="246" t="s">
        <v>281</v>
      </c>
      <c r="G61" s="246" t="s">
        <v>281</v>
      </c>
      <c r="J61" s="820"/>
      <c r="K61" s="282" t="str">
        <f t="shared" si="17"/>
        <v>土地使用权性质</v>
      </c>
      <c r="L61" s="281">
        <f t="shared" ref="L61:O61" si="43">IF(D61="国有出让",100,IF(D61="国有划拨",97,IF(D61="集体土地",94,IF(D61="租赁土地",91))))</f>
        <v>100</v>
      </c>
      <c r="M61" s="281">
        <f t="shared" si="43"/>
        <v>100</v>
      </c>
      <c r="N61" s="281">
        <f t="shared" si="43"/>
        <v>100</v>
      </c>
      <c r="O61" s="281">
        <f t="shared" si="43"/>
        <v>100</v>
      </c>
      <c r="P61" s="243"/>
      <c r="Q61" s="252">
        <v>3</v>
      </c>
      <c r="R61" s="248" t="s">
        <v>283</v>
      </c>
      <c r="S61" s="248"/>
      <c r="T61" s="248"/>
      <c r="U61" s="248"/>
      <c r="V61" s="248"/>
      <c r="W61" s="248"/>
      <c r="X61" s="248"/>
      <c r="Y61" s="248"/>
      <c r="Z61" s="248"/>
      <c r="AA61" s="248"/>
      <c r="AB61" s="248"/>
      <c r="AC61" s="248"/>
    </row>
    <row r="62" spans="1:29" s="220" customFormat="1" ht="12" customHeight="1">
      <c r="A62" s="219"/>
      <c r="B62" s="816"/>
      <c r="C62" s="249" t="s">
        <v>284</v>
      </c>
      <c r="D62" s="227" t="s">
        <v>285</v>
      </c>
      <c r="E62" s="227" t="s">
        <v>286</v>
      </c>
      <c r="F62" s="227" t="s">
        <v>286</v>
      </c>
      <c r="G62" s="227" t="s">
        <v>286</v>
      </c>
      <c r="J62" s="820"/>
      <c r="K62" s="283" t="str">
        <f>C62</f>
        <v>土地剩余使用年限（年）</v>
      </c>
      <c r="L62" s="250">
        <v>100</v>
      </c>
      <c r="M62" s="250">
        <v>100</v>
      </c>
      <c r="N62" s="250">
        <v>100</v>
      </c>
      <c r="O62" s="250">
        <v>100</v>
      </c>
      <c r="P62" s="243"/>
      <c r="Q62" s="252" t="s">
        <v>239</v>
      </c>
      <c r="R62" s="248" t="s">
        <v>287</v>
      </c>
      <c r="S62" s="248"/>
      <c r="T62" s="248"/>
      <c r="U62" s="248"/>
      <c r="V62" s="248"/>
      <c r="W62" s="248"/>
      <c r="X62" s="248"/>
      <c r="Y62" s="248"/>
      <c r="Z62" s="248"/>
      <c r="AA62" s="248"/>
      <c r="AB62" s="248"/>
      <c r="AC62" s="248"/>
    </row>
    <row r="63" spans="1:29" s="220" customFormat="1" ht="12" customHeight="1">
      <c r="A63" s="219"/>
      <c r="B63" s="816"/>
      <c r="C63" s="251" t="s">
        <v>14</v>
      </c>
      <c r="D63" s="246" t="s">
        <v>288</v>
      </c>
      <c r="E63" s="246" t="s">
        <v>288</v>
      </c>
      <c r="F63" s="246" t="s">
        <v>288</v>
      </c>
      <c r="G63" s="246" t="s">
        <v>288</v>
      </c>
      <c r="J63" s="820"/>
      <c r="K63" s="282" t="str">
        <f t="shared" si="17"/>
        <v>共有情况</v>
      </c>
      <c r="L63" s="281">
        <f t="shared" ref="L63:O63" si="44">IF(D63="无其他共有权人",100,IF(D63="有三个及以上共有权人",99))</f>
        <v>100</v>
      </c>
      <c r="M63" s="281">
        <f t="shared" si="44"/>
        <v>100</v>
      </c>
      <c r="N63" s="281">
        <f t="shared" si="44"/>
        <v>100</v>
      </c>
      <c r="O63" s="281">
        <f t="shared" si="44"/>
        <v>100</v>
      </c>
      <c r="P63" s="286"/>
      <c r="Q63" s="252">
        <v>1</v>
      </c>
      <c r="R63" s="248" t="s">
        <v>290</v>
      </c>
      <c r="S63" s="248"/>
      <c r="T63" s="248"/>
      <c r="U63" s="248"/>
      <c r="V63" s="248"/>
      <c r="W63" s="248"/>
      <c r="X63" s="248"/>
      <c r="Y63" s="248"/>
      <c r="Z63" s="248"/>
      <c r="AA63" s="248"/>
      <c r="AB63" s="248"/>
      <c r="AC63" s="248"/>
    </row>
    <row r="64" spans="1:29" s="220" customFormat="1" ht="12" customHeight="1">
      <c r="A64" s="219"/>
      <c r="B64" s="816"/>
      <c r="C64" s="251" t="s">
        <v>291</v>
      </c>
      <c r="D64" s="246" t="s">
        <v>292</v>
      </c>
      <c r="E64" s="246" t="s">
        <v>292</v>
      </c>
      <c r="F64" s="246" t="s">
        <v>292</v>
      </c>
      <c r="G64" s="246" t="s">
        <v>292</v>
      </c>
      <c r="J64" s="820"/>
      <c r="K64" s="282" t="str">
        <f t="shared" si="17"/>
        <v>用益物权设立情况</v>
      </c>
      <c r="L64" s="281">
        <f t="shared" ref="L64:O64" si="45">IF(D64="无用益物权",100,IF(D64="有用益物权",97))</f>
        <v>100</v>
      </c>
      <c r="M64" s="281">
        <f t="shared" si="45"/>
        <v>100</v>
      </c>
      <c r="N64" s="281">
        <f t="shared" si="45"/>
        <v>100</v>
      </c>
      <c r="O64" s="281">
        <f t="shared" si="45"/>
        <v>100</v>
      </c>
      <c r="P64" s="286"/>
      <c r="Q64" s="252">
        <v>3</v>
      </c>
      <c r="R64" s="248" t="s">
        <v>293</v>
      </c>
      <c r="S64" s="248"/>
      <c r="T64" s="248"/>
      <c r="U64" s="248"/>
      <c r="V64" s="248"/>
      <c r="W64" s="248"/>
      <c r="X64" s="248"/>
      <c r="Y64" s="248"/>
      <c r="Z64" s="248"/>
      <c r="AA64" s="248"/>
      <c r="AB64" s="248"/>
      <c r="AC64" s="248"/>
    </row>
    <row r="65" spans="1:34" s="220" customFormat="1" ht="12" customHeight="1">
      <c r="A65" s="219"/>
      <c r="B65" s="816"/>
      <c r="C65" s="251" t="s">
        <v>294</v>
      </c>
      <c r="D65" s="246" t="s">
        <v>295</v>
      </c>
      <c r="E65" s="246" t="s">
        <v>295</v>
      </c>
      <c r="F65" s="246" t="s">
        <v>295</v>
      </c>
      <c r="G65" s="246" t="s">
        <v>295</v>
      </c>
      <c r="J65" s="820"/>
      <c r="K65" s="282" t="str">
        <f t="shared" si="17"/>
        <v>担保物权设立情况</v>
      </c>
      <c r="L65" s="281">
        <f t="shared" ref="L65:O65" si="46">IF(D65="无担保物权",100,IF(D65="有担保物权",97))</f>
        <v>100</v>
      </c>
      <c r="M65" s="281">
        <f t="shared" si="46"/>
        <v>100</v>
      </c>
      <c r="N65" s="281">
        <f t="shared" si="46"/>
        <v>100</v>
      </c>
      <c r="O65" s="281">
        <f t="shared" si="46"/>
        <v>100</v>
      </c>
      <c r="P65" s="286"/>
      <c r="Q65" s="252">
        <v>1</v>
      </c>
      <c r="R65" s="248" t="s">
        <v>296</v>
      </c>
      <c r="S65" s="248"/>
      <c r="T65" s="248"/>
      <c r="U65" s="248"/>
      <c r="V65" s="248"/>
      <c r="W65" s="248"/>
      <c r="X65" s="248"/>
      <c r="Y65" s="248"/>
      <c r="Z65" s="248"/>
      <c r="AA65" s="248"/>
      <c r="AB65" s="248"/>
      <c r="AC65" s="248"/>
    </row>
    <row r="66" spans="1:34" s="220" customFormat="1" ht="12" customHeight="1">
      <c r="A66" s="219"/>
      <c r="B66" s="816"/>
      <c r="C66" s="251" t="s">
        <v>297</v>
      </c>
      <c r="D66" s="246" t="s">
        <v>298</v>
      </c>
      <c r="E66" s="246" t="s">
        <v>298</v>
      </c>
      <c r="F66" s="246" t="s">
        <v>298</v>
      </c>
      <c r="G66" s="246" t="s">
        <v>298</v>
      </c>
      <c r="J66" s="820"/>
      <c r="K66" s="282" t="str">
        <f t="shared" si="17"/>
        <v>租赁或占用情况</v>
      </c>
      <c r="L66" s="281">
        <f t="shared" ref="L66:O66" si="47">IF(D66="无租赁或短期租赁、正常租金",100,IF(D66="长期租赁、租金偏低",97))</f>
        <v>100</v>
      </c>
      <c r="M66" s="281">
        <f t="shared" si="47"/>
        <v>100</v>
      </c>
      <c r="N66" s="281">
        <f t="shared" si="47"/>
        <v>100</v>
      </c>
      <c r="O66" s="281">
        <f t="shared" si="47"/>
        <v>100</v>
      </c>
      <c r="P66" s="286"/>
      <c r="Q66" s="252">
        <v>3</v>
      </c>
      <c r="R66" s="248" t="s">
        <v>300</v>
      </c>
      <c r="S66" s="248"/>
      <c r="T66" s="248"/>
      <c r="U66" s="248"/>
      <c r="V66" s="248"/>
      <c r="W66" s="248"/>
      <c r="X66" s="248"/>
      <c r="Y66" s="248"/>
      <c r="Z66" s="248"/>
      <c r="AA66" s="248"/>
      <c r="AB66" s="248"/>
      <c r="AC66" s="248"/>
    </row>
    <row r="67" spans="1:34" s="220" customFormat="1" ht="12" customHeight="1">
      <c r="A67" s="219"/>
      <c r="B67" s="816"/>
      <c r="C67" s="255" t="s">
        <v>301</v>
      </c>
      <c r="D67" s="246" t="s">
        <v>302</v>
      </c>
      <c r="E67" s="246" t="s">
        <v>302</v>
      </c>
      <c r="F67" s="246" t="s">
        <v>302</v>
      </c>
      <c r="G67" s="246" t="s">
        <v>302</v>
      </c>
      <c r="J67" s="820"/>
      <c r="K67" s="282" t="str">
        <f t="shared" si="17"/>
        <v>拖欠税费情况</v>
      </c>
      <c r="L67" s="281">
        <f t="shared" ref="L67:O67" si="48">IF(D67="不拖欠税费",100,IF(D67="拖欠税费",95))</f>
        <v>100</v>
      </c>
      <c r="M67" s="281">
        <f t="shared" si="48"/>
        <v>100</v>
      </c>
      <c r="N67" s="281">
        <f t="shared" si="48"/>
        <v>100</v>
      </c>
      <c r="O67" s="281">
        <f t="shared" si="48"/>
        <v>100</v>
      </c>
      <c r="P67" s="286"/>
      <c r="Q67" s="252">
        <v>5</v>
      </c>
      <c r="R67" s="248" t="s">
        <v>303</v>
      </c>
      <c r="S67" s="248"/>
      <c r="T67" s="248"/>
      <c r="U67" s="248"/>
      <c r="V67" s="248"/>
      <c r="W67" s="248"/>
      <c r="X67" s="248"/>
      <c r="Y67" s="248"/>
      <c r="Z67" s="248"/>
      <c r="AA67" s="248"/>
      <c r="AB67" s="248"/>
      <c r="AC67" s="248"/>
    </row>
    <row r="68" spans="1:34" s="220" customFormat="1" ht="12" customHeight="1">
      <c r="A68" s="219"/>
      <c r="B68" s="819"/>
      <c r="C68" s="249" t="s">
        <v>304</v>
      </c>
      <c r="D68" s="246" t="s">
        <v>305</v>
      </c>
      <c r="E68" s="246" t="s">
        <v>305</v>
      </c>
      <c r="F68" s="246" t="s">
        <v>305</v>
      </c>
      <c r="G68" s="246" t="s">
        <v>305</v>
      </c>
      <c r="J68" s="820"/>
      <c r="K68" s="284" t="str">
        <f t="shared" si="17"/>
        <v>查封等形式限制权利情况</v>
      </c>
      <c r="L68" s="281">
        <f t="shared" ref="L68:O68" si="49">IF(D68="无查封",100,IF(D68="有查封",95))</f>
        <v>100</v>
      </c>
      <c r="M68" s="281">
        <f t="shared" si="49"/>
        <v>100</v>
      </c>
      <c r="N68" s="281">
        <f t="shared" si="49"/>
        <v>100</v>
      </c>
      <c r="O68" s="281">
        <f t="shared" si="49"/>
        <v>100</v>
      </c>
      <c r="P68" s="286"/>
      <c r="Q68" s="252">
        <v>5</v>
      </c>
      <c r="R68" s="248" t="s">
        <v>307</v>
      </c>
      <c r="S68" s="248"/>
      <c r="T68" s="248"/>
      <c r="U68" s="248"/>
      <c r="V68" s="248"/>
      <c r="W68" s="248"/>
      <c r="X68" s="248"/>
      <c r="Y68" s="248"/>
      <c r="Z68" s="248"/>
      <c r="AA68" s="248"/>
      <c r="AB68" s="248"/>
      <c r="AC68" s="248"/>
    </row>
    <row r="69" spans="1:34" s="259" customFormat="1">
      <c r="A69" s="257"/>
      <c r="B69" s="258"/>
      <c r="D69" s="259" t="s">
        <v>308</v>
      </c>
      <c r="J69" s="260"/>
      <c r="K69" s="285" t="s">
        <v>309</v>
      </c>
      <c r="L69" s="285"/>
      <c r="M69" s="285">
        <f>ROUND(M35*L36/M36*L37/M37*L38/M38*L39/M39*L40/M40*L41/M41*L42/M42*L43/M43*L44/M44*L45/M45*L46/M46*L47/M47*L48/M48*L49/M49*L50/M50*L51/M51*L52/M52*L53/M53*L54/M54*L55/M55*L56/M56*L57/M57*L58/M58*L59/M59*L60/M60*L61/M61*L62/M62*L63/M63*L64/M64*L65/M65*L66/M66*L67/M67*L68/M68,0)</f>
        <v>29333</v>
      </c>
      <c r="N69" s="285">
        <f>ROUND(N35*L36/N36*L37/N37*L38/N38*L39/N39*L40/N40*L41/N41*L42/N42*L43/N43*L44/N44*L45/N45*L46/N46*L47/N47*L48/N48*L49/N49*L50/N50*L51/N51*L52/N52*L53/N53*L54/N54*L55/N55*L56/N56*L57/N57*L58/N58*L59/N59*L60/N60*L61/N61*L62/N62*L63/N63*L64/N64*L65/N65*L66/N66*L67/N67*L68/N68,0)</f>
        <v>30545</v>
      </c>
      <c r="O69" s="285">
        <f>ROUND(O35*L36/O36*L37/O37*L38/O38*L39/O39*L40/O40*L41/O41*L42/O42*L43/O43*L44/O44*L45/O45*L46/O46*L47/O47*L48/O48*L49/O49*L50/O50*L51/O51*L52/O52*L53/O53*L54/O54*L55/O55*L56/O56*L57/O57*L58/O58*L59/O59*L60/O60*L61/O61*L62/O62*L63/O63*L64/O64*L65/O65*L66/O66*L67/O67*L68/O68,0)</f>
        <v>35579</v>
      </c>
      <c r="P69" s="287"/>
      <c r="AD69" s="220"/>
      <c r="AE69" s="220"/>
      <c r="AF69" s="220"/>
      <c r="AG69" s="220"/>
      <c r="AH69" s="220"/>
    </row>
    <row r="70" spans="1:34" s="220" customFormat="1">
      <c r="A70" s="219"/>
      <c r="B70" s="239"/>
      <c r="J70" s="261"/>
      <c r="K70" s="281" t="s">
        <v>50</v>
      </c>
      <c r="L70" s="288">
        <f>M70</f>
        <v>31819</v>
      </c>
      <c r="M70" s="799">
        <f>ROUND((M69+N69+O69)/3,0)</f>
        <v>31819</v>
      </c>
      <c r="N70" s="800"/>
      <c r="O70" s="801"/>
      <c r="P70" s="289"/>
    </row>
    <row r="71" spans="1:34" s="220" customFormat="1">
      <c r="A71" s="219"/>
      <c r="B71" s="239"/>
      <c r="K71" s="290" t="s">
        <v>310</v>
      </c>
      <c r="L71" s="290">
        <f>ROUND(L70*查看表!M2/10000,2)</f>
        <v>283.57</v>
      </c>
      <c r="M71" s="290"/>
      <c r="N71" s="291"/>
      <c r="R71" s="248" t="s">
        <v>311</v>
      </c>
      <c r="S71" s="248"/>
      <c r="T71" s="248"/>
    </row>
    <row r="72" spans="1:34" s="220" customFormat="1">
      <c r="A72" s="219"/>
      <c r="B72" s="239"/>
      <c r="K72" s="290" t="s">
        <v>312</v>
      </c>
      <c r="L72" s="802">
        <f>L71*10000</f>
        <v>2835700</v>
      </c>
      <c r="M72" s="802"/>
      <c r="N72" s="802"/>
      <c r="R72" s="248" t="s">
        <v>313</v>
      </c>
      <c r="S72" s="248"/>
      <c r="T72" s="248"/>
    </row>
    <row r="73" spans="1:34" s="220" customFormat="1" ht="14.25">
      <c r="A73" s="219"/>
      <c r="B73" s="239"/>
      <c r="J73" s="262"/>
      <c r="K73" s="263" t="s">
        <v>47</v>
      </c>
      <c r="L73" s="264" t="s">
        <v>41</v>
      </c>
      <c r="M73" s="265" t="s">
        <v>314</v>
      </c>
      <c r="R73" s="248" t="s">
        <v>315</v>
      </c>
      <c r="S73" s="248"/>
      <c r="T73" s="248"/>
    </row>
    <row r="74" spans="1:34" s="220" customFormat="1" ht="14.25">
      <c r="A74" s="219"/>
      <c r="B74" s="239"/>
      <c r="J74" s="299" t="s">
        <v>316</v>
      </c>
      <c r="K74" s="266">
        <v>2016</v>
      </c>
      <c r="L74" s="266">
        <v>2064</v>
      </c>
      <c r="M74" s="292">
        <f>L74-K74</f>
        <v>48</v>
      </c>
    </row>
    <row r="75" spans="1:34" s="220" customFormat="1" ht="14.25">
      <c r="A75" s="219"/>
      <c r="B75" s="239"/>
      <c r="J75" s="299" t="s">
        <v>317</v>
      </c>
      <c r="K75" s="266">
        <v>5</v>
      </c>
      <c r="L75" s="266">
        <v>11</v>
      </c>
      <c r="M75" s="292">
        <f>L75*30-K75*30</f>
        <v>180</v>
      </c>
      <c r="O75" s="362" t="s">
        <v>581</v>
      </c>
      <c r="P75" s="803" t="s">
        <v>582</v>
      </c>
      <c r="Q75" s="803"/>
      <c r="R75" s="803"/>
      <c r="S75" s="803"/>
      <c r="T75" s="803"/>
      <c r="U75" s="803"/>
      <c r="V75" s="803"/>
    </row>
    <row r="76" spans="1:34" s="220" customFormat="1" ht="14.25" hidden="1">
      <c r="A76" s="219"/>
      <c r="B76" s="239"/>
      <c r="C76" s="242" t="s">
        <v>318</v>
      </c>
      <c r="D76" s="221"/>
      <c r="J76" s="299" t="s">
        <v>319</v>
      </c>
      <c r="K76" s="266">
        <v>30</v>
      </c>
      <c r="L76" s="266">
        <v>2</v>
      </c>
      <c r="M76" s="292">
        <f>L76-K76</f>
        <v>-28</v>
      </c>
      <c r="N76" s="220" t="s">
        <v>308</v>
      </c>
      <c r="O76" s="362" t="s">
        <v>583</v>
      </c>
      <c r="P76" s="804"/>
      <c r="Q76" s="804"/>
      <c r="R76" s="363" t="s">
        <v>585</v>
      </c>
    </row>
    <row r="77" spans="1:34" s="220" customFormat="1" ht="14.25" hidden="1">
      <c r="A77" s="219"/>
      <c r="B77" s="239"/>
      <c r="J77" s="267"/>
      <c r="K77" s="268"/>
      <c r="L77" s="268"/>
      <c r="M77" s="293"/>
      <c r="O77" s="362" t="s">
        <v>584</v>
      </c>
      <c r="P77" s="804"/>
      <c r="Q77" s="804"/>
      <c r="R77" s="363" t="s">
        <v>586</v>
      </c>
    </row>
    <row r="78" spans="1:34" s="220" customFormat="1" ht="19.5" hidden="1" customHeight="1">
      <c r="A78" s="219"/>
      <c r="B78" s="805" t="s">
        <v>320</v>
      </c>
      <c r="C78" s="805"/>
      <c r="D78" s="805"/>
      <c r="E78" s="805"/>
      <c r="F78" s="805"/>
      <c r="J78" s="267"/>
      <c r="K78" s="268"/>
      <c r="L78" s="268"/>
      <c r="M78" s="292">
        <f>L75*30+L76-(K75*30+K76)</f>
        <v>152</v>
      </c>
    </row>
    <row r="79" spans="1:34" s="220" customFormat="1" ht="12.75" hidden="1" customHeight="1">
      <c r="A79" s="219"/>
      <c r="B79" s="821" t="s">
        <v>321</v>
      </c>
      <c r="C79" s="822"/>
      <c r="D79" s="806" t="s">
        <v>174</v>
      </c>
      <c r="E79" s="806" t="s">
        <v>175</v>
      </c>
      <c r="F79" s="806" t="s">
        <v>176</v>
      </c>
      <c r="H79" s="243"/>
      <c r="J79" s="267"/>
      <c r="K79" s="268"/>
      <c r="L79" s="268"/>
      <c r="M79" s="294">
        <f>M78/365</f>
        <v>0.41643835616438357</v>
      </c>
    </row>
    <row r="80" spans="1:34" s="220" customFormat="1" ht="12.75" hidden="1" customHeight="1">
      <c r="A80" s="219"/>
      <c r="B80" s="823"/>
      <c r="C80" s="824"/>
      <c r="D80" s="807"/>
      <c r="E80" s="807"/>
      <c r="F80" s="807"/>
      <c r="H80" s="243"/>
      <c r="J80" s="267"/>
      <c r="K80" s="268"/>
      <c r="L80" s="268"/>
      <c r="M80" s="293"/>
    </row>
    <row r="81" spans="1:13" s="220" customFormat="1" ht="21.75" hidden="1" customHeight="1">
      <c r="A81" s="219"/>
      <c r="B81" s="789" t="str">
        <f>B29</f>
        <v>物业名称</v>
      </c>
      <c r="C81" s="790"/>
      <c r="D81" s="279" t="str">
        <f t="shared" ref="D81:F81" si="50">E7</f>
        <v>中海城南一号</v>
      </c>
      <c r="E81" s="279" t="str">
        <f t="shared" si="50"/>
        <v>中海城南一号</v>
      </c>
      <c r="F81" s="279" t="str">
        <f t="shared" si="50"/>
        <v>中海城南一号</v>
      </c>
      <c r="H81" s="243"/>
      <c r="J81" s="267"/>
      <c r="K81" s="267"/>
      <c r="L81" s="296" t="s">
        <v>322</v>
      </c>
      <c r="M81" s="295">
        <f>ROUND(M74+M79,2)</f>
        <v>48.42</v>
      </c>
    </row>
    <row r="82" spans="1:13" s="220" customFormat="1" ht="12.75" hidden="1" customHeight="1">
      <c r="A82" s="219"/>
      <c r="B82" s="789" t="str">
        <f t="shared" ref="B82:B84" si="51">B35</f>
        <v>单价（人民币，元/㎡）</v>
      </c>
      <c r="C82" s="790"/>
      <c r="D82" s="300">
        <f t="shared" ref="D82:F82" si="52">E11</f>
        <v>28957</v>
      </c>
      <c r="E82" s="300">
        <f t="shared" si="52"/>
        <v>29657</v>
      </c>
      <c r="F82" s="300">
        <f t="shared" si="52"/>
        <v>32147</v>
      </c>
      <c r="H82" s="243"/>
      <c r="J82" s="267"/>
      <c r="K82" s="267"/>
      <c r="L82" s="297" t="s">
        <v>323</v>
      </c>
      <c r="M82" s="294">
        <f>50-M81</f>
        <v>1.5799999999999983</v>
      </c>
    </row>
    <row r="83" spans="1:13" s="220" customFormat="1" ht="12.75" hidden="1" customHeight="1">
      <c r="A83" s="219"/>
      <c r="B83" s="789" t="str">
        <f t="shared" si="51"/>
        <v>交易情况</v>
      </c>
      <c r="C83" s="790"/>
      <c r="D83" s="301" t="str">
        <f t="shared" ref="D83:D115" si="53">L36&amp;"/"&amp;M36</f>
        <v>100/100</v>
      </c>
      <c r="E83" s="301" t="str">
        <f t="shared" ref="E83:E115" si="54">L36&amp;"/"&amp;N36</f>
        <v>100/100</v>
      </c>
      <c r="F83" s="301" t="str">
        <f t="shared" ref="F83:F115" si="55">L36&amp;"/"&amp;O36</f>
        <v>100/100</v>
      </c>
      <c r="H83" s="243"/>
      <c r="J83" s="267"/>
      <c r="K83" s="267"/>
      <c r="L83" s="298" t="s">
        <v>324</v>
      </c>
      <c r="M83" s="294">
        <f>40-M81</f>
        <v>-8.4200000000000017</v>
      </c>
    </row>
    <row r="84" spans="1:13" s="220" customFormat="1" ht="12.75" hidden="1" customHeight="1">
      <c r="A84" s="219"/>
      <c r="B84" s="789" t="str">
        <f t="shared" si="51"/>
        <v>市场状况(交易时间)</v>
      </c>
      <c r="C84" s="790"/>
      <c r="D84" s="281" t="str">
        <f t="shared" si="53"/>
        <v>130.28/130.28</v>
      </c>
      <c r="E84" s="281" t="str">
        <f t="shared" si="54"/>
        <v>130.28/130.28</v>
      </c>
      <c r="F84" s="281" t="str">
        <f t="shared" si="55"/>
        <v>130.28/130.28</v>
      </c>
      <c r="H84" s="243"/>
      <c r="J84" s="267"/>
      <c r="K84" s="267"/>
      <c r="L84" s="298" t="s">
        <v>325</v>
      </c>
      <c r="M84" s="294">
        <f>70-M81</f>
        <v>21.58</v>
      </c>
    </row>
    <row r="85" spans="1:13" s="220" customFormat="1" ht="12.75" hidden="1" customHeight="1">
      <c r="A85" s="219"/>
      <c r="B85" s="793" t="s">
        <v>215</v>
      </c>
      <c r="C85" s="282" t="str">
        <f t="shared" ref="C85:C115" si="56">C38</f>
        <v>离区域中心点距离</v>
      </c>
      <c r="D85" s="301" t="str">
        <f t="shared" si="53"/>
        <v>106/100</v>
      </c>
      <c r="E85" s="301" t="str">
        <f t="shared" si="54"/>
        <v>106/100</v>
      </c>
      <c r="F85" s="301" t="str">
        <f t="shared" si="55"/>
        <v>106/100</v>
      </c>
      <c r="H85" s="243"/>
    </row>
    <row r="86" spans="1:13" s="220" customFormat="1" ht="12.75" hidden="1" customHeight="1">
      <c r="A86" s="219"/>
      <c r="B86" s="794"/>
      <c r="C86" s="283" t="str">
        <f t="shared" si="56"/>
        <v>交通管制（单行、禁行）</v>
      </c>
      <c r="D86" s="301" t="str">
        <f t="shared" si="53"/>
        <v>102/102</v>
      </c>
      <c r="E86" s="301" t="str">
        <f t="shared" si="54"/>
        <v>102/102</v>
      </c>
      <c r="F86" s="301" t="str">
        <f t="shared" si="55"/>
        <v>102/102</v>
      </c>
      <c r="H86" s="243"/>
    </row>
    <row r="87" spans="1:13" s="220" customFormat="1" ht="12.75" hidden="1" customHeight="1">
      <c r="A87" s="219"/>
      <c r="B87" s="794"/>
      <c r="C87" s="282" t="str">
        <f t="shared" si="56"/>
        <v>公交便捷度</v>
      </c>
      <c r="D87" s="301" t="str">
        <f t="shared" si="53"/>
        <v>100/100</v>
      </c>
      <c r="E87" s="301" t="str">
        <f t="shared" si="54"/>
        <v>100/100</v>
      </c>
      <c r="F87" s="301" t="str">
        <f t="shared" si="55"/>
        <v>100/94</v>
      </c>
      <c r="H87" s="243"/>
    </row>
    <row r="88" spans="1:13" s="220" customFormat="1" ht="12.75" hidden="1" customHeight="1">
      <c r="A88" s="219"/>
      <c r="B88" s="794"/>
      <c r="C88" s="282" t="str">
        <f t="shared" si="56"/>
        <v>基础设施</v>
      </c>
      <c r="D88" s="301" t="str">
        <f t="shared" si="53"/>
        <v>100/100</v>
      </c>
      <c r="E88" s="301" t="str">
        <f t="shared" si="54"/>
        <v>100/100</v>
      </c>
      <c r="F88" s="301" t="str">
        <f t="shared" si="55"/>
        <v>100/98</v>
      </c>
      <c r="H88" s="243"/>
    </row>
    <row r="89" spans="1:13" s="220" customFormat="1" ht="12.75" hidden="1" customHeight="1">
      <c r="A89" s="219"/>
      <c r="B89" s="794"/>
      <c r="C89" s="282" t="str">
        <f t="shared" si="56"/>
        <v>公共服务设施完善度</v>
      </c>
      <c r="D89" s="301" t="str">
        <f t="shared" si="53"/>
        <v>101/101</v>
      </c>
      <c r="E89" s="301" t="str">
        <f t="shared" si="54"/>
        <v>101/101</v>
      </c>
      <c r="F89" s="301" t="str">
        <f t="shared" si="55"/>
        <v>101/100</v>
      </c>
      <c r="H89" s="243"/>
    </row>
    <row r="90" spans="1:13" s="220" customFormat="1" ht="12.75" hidden="1" customHeight="1">
      <c r="A90" s="219"/>
      <c r="B90" s="794"/>
      <c r="C90" s="282" t="str">
        <f t="shared" si="56"/>
        <v>周围环境状况</v>
      </c>
      <c r="D90" s="301" t="str">
        <f t="shared" si="53"/>
        <v>101/101</v>
      </c>
      <c r="E90" s="301" t="str">
        <f t="shared" si="54"/>
        <v>101/101</v>
      </c>
      <c r="F90" s="301" t="str">
        <f t="shared" si="55"/>
        <v>101/101</v>
      </c>
      <c r="H90" s="243"/>
    </row>
    <row r="91" spans="1:13" s="220" customFormat="1" ht="12.75" hidden="1" customHeight="1">
      <c r="A91" s="219"/>
      <c r="B91" s="794"/>
      <c r="C91" s="282" t="str">
        <f t="shared" si="56"/>
        <v>停车位</v>
      </c>
      <c r="D91" s="301" t="str">
        <f t="shared" si="53"/>
        <v>102/102</v>
      </c>
      <c r="E91" s="301" t="str">
        <f t="shared" si="54"/>
        <v>102/102</v>
      </c>
      <c r="F91" s="301" t="str">
        <f t="shared" si="55"/>
        <v>102/102</v>
      </c>
      <c r="H91" s="243"/>
    </row>
    <row r="92" spans="1:13" s="220" customFormat="1" ht="12.75" hidden="1" customHeight="1">
      <c r="A92" s="219"/>
      <c r="B92" s="794"/>
      <c r="C92" s="282" t="str">
        <f t="shared" si="56"/>
        <v>朝向</v>
      </c>
      <c r="D92" s="301" t="str">
        <f t="shared" si="53"/>
        <v>103/103</v>
      </c>
      <c r="E92" s="301" t="str">
        <f t="shared" si="54"/>
        <v>103/103</v>
      </c>
      <c r="F92" s="301" t="str">
        <f t="shared" si="55"/>
        <v>103/103</v>
      </c>
      <c r="H92" s="243"/>
    </row>
    <row r="93" spans="1:13" s="220" customFormat="1" ht="12.75" hidden="1" customHeight="1">
      <c r="A93" s="219"/>
      <c r="B93" s="794"/>
      <c r="C93" s="282" t="str">
        <f t="shared" si="56"/>
        <v>所在楼层</v>
      </c>
      <c r="D93" s="301" t="str">
        <f t="shared" si="53"/>
        <v>100/103</v>
      </c>
      <c r="E93" s="301" t="str">
        <f t="shared" si="54"/>
        <v>100/102</v>
      </c>
      <c r="F93" s="301" t="str">
        <f t="shared" si="55"/>
        <v>100/102</v>
      </c>
      <c r="H93" s="243"/>
    </row>
    <row r="94" spans="1:13" s="220" customFormat="1" ht="12.75" hidden="1" customHeight="1">
      <c r="A94" s="219"/>
      <c r="B94" s="795"/>
      <c r="C94" s="282" t="str">
        <f t="shared" si="56"/>
        <v>楼幢在小区中的位置</v>
      </c>
      <c r="D94" s="301" t="str">
        <f t="shared" si="53"/>
        <v>100/101</v>
      </c>
      <c r="E94" s="301" t="str">
        <f t="shared" si="54"/>
        <v>100/101</v>
      </c>
      <c r="F94" s="301" t="str">
        <f t="shared" si="55"/>
        <v>100/101</v>
      </c>
      <c r="H94" s="243"/>
    </row>
    <row r="95" spans="1:13" s="220" customFormat="1" ht="12.75" hidden="1" customHeight="1">
      <c r="A95" s="219"/>
      <c r="B95" s="796" t="s">
        <v>242</v>
      </c>
      <c r="C95" s="282" t="str">
        <f t="shared" si="56"/>
        <v>临街道路类型</v>
      </c>
      <c r="D95" s="301" t="str">
        <f t="shared" si="53"/>
        <v>100/102</v>
      </c>
      <c r="E95" s="301" t="str">
        <f t="shared" si="54"/>
        <v>100/102</v>
      </c>
      <c r="F95" s="301" t="str">
        <f t="shared" si="55"/>
        <v>100/98</v>
      </c>
      <c r="H95" s="243"/>
    </row>
    <row r="96" spans="1:13" s="220" customFormat="1" ht="12.75" hidden="1" customHeight="1">
      <c r="A96" s="219"/>
      <c r="B96" s="797"/>
      <c r="C96" s="282" t="str">
        <f t="shared" si="56"/>
        <v>估价对象及实例规模</v>
      </c>
      <c r="D96" s="301" t="str">
        <f t="shared" si="53"/>
        <v>100/100</v>
      </c>
      <c r="E96" s="301" t="str">
        <f t="shared" si="54"/>
        <v>100/100</v>
      </c>
      <c r="F96" s="301" t="str">
        <f t="shared" si="55"/>
        <v>100/100</v>
      </c>
      <c r="H96" s="243"/>
    </row>
    <row r="97" spans="1:8" s="220" customFormat="1" ht="12.75" hidden="1" customHeight="1">
      <c r="A97" s="219"/>
      <c r="B97" s="797"/>
      <c r="C97" s="282" t="str">
        <f t="shared" si="56"/>
        <v>建筑结构</v>
      </c>
      <c r="D97" s="301" t="str">
        <f t="shared" si="53"/>
        <v>100/94</v>
      </c>
      <c r="E97" s="301" t="str">
        <f t="shared" si="54"/>
        <v>100/100</v>
      </c>
      <c r="F97" s="301" t="str">
        <f t="shared" si="55"/>
        <v>100/100</v>
      </c>
      <c r="H97" s="243"/>
    </row>
    <row r="98" spans="1:8" s="220" customFormat="1" ht="12.75" hidden="1" customHeight="1">
      <c r="A98" s="219"/>
      <c r="B98" s="797"/>
      <c r="C98" s="282" t="str">
        <f t="shared" si="56"/>
        <v>建筑外观</v>
      </c>
      <c r="D98" s="301" t="str">
        <f t="shared" si="53"/>
        <v>101/99</v>
      </c>
      <c r="E98" s="301" t="str">
        <f t="shared" si="54"/>
        <v>101/101</v>
      </c>
      <c r="F98" s="301" t="str">
        <f t="shared" si="55"/>
        <v>101/100</v>
      </c>
      <c r="H98" s="243"/>
    </row>
    <row r="99" spans="1:8" s="220" customFormat="1" ht="12.75" hidden="1" customHeight="1">
      <c r="A99" s="219"/>
      <c r="B99" s="797"/>
      <c r="C99" s="282" t="str">
        <f t="shared" si="56"/>
        <v>新旧程度</v>
      </c>
      <c r="D99" s="301" t="str">
        <f t="shared" si="53"/>
        <v>99/99</v>
      </c>
      <c r="E99" s="301" t="str">
        <f t="shared" si="54"/>
        <v>99/99</v>
      </c>
      <c r="F99" s="301" t="str">
        <f t="shared" si="55"/>
        <v>99/99</v>
      </c>
      <c r="H99" s="243"/>
    </row>
    <row r="100" spans="1:8" s="220" customFormat="1" ht="12.75" hidden="1" customHeight="1">
      <c r="A100" s="219"/>
      <c r="B100" s="797"/>
      <c r="C100" s="282" t="str">
        <f t="shared" si="56"/>
        <v>建筑使用功能</v>
      </c>
      <c r="D100" s="301" t="str">
        <f t="shared" si="53"/>
        <v>101/101</v>
      </c>
      <c r="E100" s="301" t="str">
        <f t="shared" si="54"/>
        <v>101/101</v>
      </c>
      <c r="F100" s="301" t="str">
        <f t="shared" si="55"/>
        <v>101/101</v>
      </c>
      <c r="H100" s="243"/>
    </row>
    <row r="101" spans="1:8" s="220" customFormat="1" ht="12.75" hidden="1" customHeight="1">
      <c r="A101" s="219"/>
      <c r="B101" s="797"/>
      <c r="C101" s="282" t="str">
        <f t="shared" si="56"/>
        <v>空间布局</v>
      </c>
      <c r="D101" s="301" t="str">
        <f t="shared" si="53"/>
        <v>101/101</v>
      </c>
      <c r="E101" s="301" t="str">
        <f t="shared" si="54"/>
        <v>101/101</v>
      </c>
      <c r="F101" s="301" t="str">
        <f t="shared" si="55"/>
        <v>101/101</v>
      </c>
    </row>
    <row r="102" spans="1:8" s="220" customFormat="1" ht="12.75" hidden="1" customHeight="1">
      <c r="A102" s="219"/>
      <c r="B102" s="797"/>
      <c r="C102" s="282" t="str">
        <f t="shared" si="56"/>
        <v>装饰装修</v>
      </c>
      <c r="D102" s="301" t="str">
        <f t="shared" si="53"/>
        <v>101/101</v>
      </c>
      <c r="E102" s="301" t="str">
        <f t="shared" si="54"/>
        <v>101/101</v>
      </c>
      <c r="F102" s="301" t="str">
        <f t="shared" si="55"/>
        <v>101/100</v>
      </c>
    </row>
    <row r="103" spans="1:8" s="220" customFormat="1" ht="12.75" hidden="1" customHeight="1">
      <c r="A103" s="219"/>
      <c r="B103" s="797"/>
      <c r="C103" s="282" t="str">
        <f t="shared" si="56"/>
        <v>设施设备</v>
      </c>
      <c r="D103" s="301" t="str">
        <f t="shared" si="53"/>
        <v>99/99</v>
      </c>
      <c r="E103" s="301" t="str">
        <f t="shared" si="54"/>
        <v>99/99</v>
      </c>
      <c r="F103" s="301" t="str">
        <f t="shared" si="55"/>
        <v>99/101</v>
      </c>
    </row>
    <row r="104" spans="1:8" s="220" customFormat="1" ht="12.75" hidden="1" customHeight="1">
      <c r="A104" s="219"/>
      <c r="B104" s="797"/>
      <c r="C104" s="282" t="str">
        <f t="shared" si="56"/>
        <v>层高（米）</v>
      </c>
      <c r="D104" s="301" t="str">
        <f t="shared" si="53"/>
        <v>100/106</v>
      </c>
      <c r="E104" s="301" t="str">
        <f t="shared" si="54"/>
        <v>100/97</v>
      </c>
      <c r="F104" s="301" t="str">
        <f t="shared" si="55"/>
        <v>100/103</v>
      </c>
    </row>
    <row r="105" spans="1:8" s="220" customFormat="1" ht="12.75" hidden="1" customHeight="1">
      <c r="A105" s="219"/>
      <c r="B105" s="798"/>
      <c r="C105" s="282" t="str">
        <f t="shared" si="56"/>
        <v>物业管理</v>
      </c>
      <c r="D105" s="301" t="str">
        <f t="shared" si="53"/>
        <v>103/104</v>
      </c>
      <c r="E105" s="301" t="str">
        <f t="shared" si="54"/>
        <v>103/104</v>
      </c>
      <c r="F105" s="301" t="str">
        <f t="shared" si="55"/>
        <v>103/104</v>
      </c>
    </row>
    <row r="106" spans="1:8" s="220" customFormat="1" ht="12.75" hidden="1" customHeight="1">
      <c r="A106" s="219"/>
      <c r="B106" s="793" t="s">
        <v>275</v>
      </c>
      <c r="C106" s="282" t="str">
        <f t="shared" si="56"/>
        <v>规划条件</v>
      </c>
      <c r="D106" s="301" t="str">
        <f t="shared" si="53"/>
        <v>100/100</v>
      </c>
      <c r="E106" s="301" t="str">
        <f t="shared" si="54"/>
        <v>100/100</v>
      </c>
      <c r="F106" s="301" t="str">
        <f t="shared" si="55"/>
        <v>100/100</v>
      </c>
    </row>
    <row r="107" spans="1:8" s="220" customFormat="1" ht="12.75" hidden="1" customHeight="1">
      <c r="A107" s="219"/>
      <c r="B107" s="794"/>
      <c r="C107" s="282" t="str">
        <f t="shared" si="56"/>
        <v>权属清晰情况</v>
      </c>
      <c r="D107" s="301" t="str">
        <f t="shared" si="53"/>
        <v>100/100</v>
      </c>
      <c r="E107" s="301" t="str">
        <f t="shared" si="54"/>
        <v>100/100</v>
      </c>
      <c r="F107" s="301" t="str">
        <f t="shared" si="55"/>
        <v>100/100</v>
      </c>
    </row>
    <row r="108" spans="1:8" s="220" customFormat="1" ht="12.75" hidden="1" customHeight="1">
      <c r="A108" s="219"/>
      <c r="B108" s="794"/>
      <c r="C108" s="282" t="str">
        <f t="shared" si="56"/>
        <v>土地使用权性质</v>
      </c>
      <c r="D108" s="301" t="str">
        <f t="shared" si="53"/>
        <v>100/100</v>
      </c>
      <c r="E108" s="301" t="str">
        <f t="shared" si="54"/>
        <v>100/100</v>
      </c>
      <c r="F108" s="301" t="str">
        <f t="shared" si="55"/>
        <v>100/100</v>
      </c>
    </row>
    <row r="109" spans="1:8" s="220" customFormat="1" ht="12.75" hidden="1" customHeight="1">
      <c r="A109" s="219"/>
      <c r="B109" s="794"/>
      <c r="C109" s="284" t="str">
        <f t="shared" si="56"/>
        <v>土地剩余使用年限（年）</v>
      </c>
      <c r="D109" s="301" t="str">
        <f t="shared" si="53"/>
        <v>100/100</v>
      </c>
      <c r="E109" s="301" t="str">
        <f t="shared" si="54"/>
        <v>100/100</v>
      </c>
      <c r="F109" s="301" t="str">
        <f t="shared" si="55"/>
        <v>100/100</v>
      </c>
    </row>
    <row r="110" spans="1:8" s="220" customFormat="1" ht="12.75" hidden="1" customHeight="1">
      <c r="A110" s="219"/>
      <c r="B110" s="794"/>
      <c r="C110" s="282" t="str">
        <f t="shared" si="56"/>
        <v>共有情况</v>
      </c>
      <c r="D110" s="301" t="str">
        <f t="shared" si="53"/>
        <v>100/100</v>
      </c>
      <c r="E110" s="301" t="str">
        <f t="shared" si="54"/>
        <v>100/100</v>
      </c>
      <c r="F110" s="301" t="str">
        <f t="shared" si="55"/>
        <v>100/100</v>
      </c>
    </row>
    <row r="111" spans="1:8" s="220" customFormat="1" ht="12.75" hidden="1" customHeight="1">
      <c r="A111" s="219"/>
      <c r="B111" s="794"/>
      <c r="C111" s="282" t="str">
        <f t="shared" si="56"/>
        <v>用益物权设立情况</v>
      </c>
      <c r="D111" s="301" t="str">
        <f t="shared" si="53"/>
        <v>100/100</v>
      </c>
      <c r="E111" s="301" t="str">
        <f t="shared" si="54"/>
        <v>100/100</v>
      </c>
      <c r="F111" s="301" t="str">
        <f t="shared" si="55"/>
        <v>100/100</v>
      </c>
    </row>
    <row r="112" spans="1:8" s="220" customFormat="1" ht="12.75" hidden="1" customHeight="1">
      <c r="A112" s="219"/>
      <c r="B112" s="794"/>
      <c r="C112" s="282" t="str">
        <f t="shared" si="56"/>
        <v>担保物权设立情况</v>
      </c>
      <c r="D112" s="301" t="str">
        <f t="shared" si="53"/>
        <v>100/100</v>
      </c>
      <c r="E112" s="301" t="str">
        <f t="shared" si="54"/>
        <v>100/100</v>
      </c>
      <c r="F112" s="301" t="str">
        <f t="shared" si="55"/>
        <v>100/100</v>
      </c>
    </row>
    <row r="113" spans="1:9" s="220" customFormat="1" ht="12.75" hidden="1" customHeight="1">
      <c r="A113" s="219"/>
      <c r="B113" s="794"/>
      <c r="C113" s="282" t="str">
        <f t="shared" si="56"/>
        <v>租赁或占用情况</v>
      </c>
      <c r="D113" s="301" t="str">
        <f t="shared" si="53"/>
        <v>100/100</v>
      </c>
      <c r="E113" s="301" t="str">
        <f t="shared" si="54"/>
        <v>100/100</v>
      </c>
      <c r="F113" s="301" t="str">
        <f t="shared" si="55"/>
        <v>100/100</v>
      </c>
    </row>
    <row r="114" spans="1:9" s="220" customFormat="1" ht="12.75" hidden="1" customHeight="1">
      <c r="A114" s="219"/>
      <c r="B114" s="794"/>
      <c r="C114" s="282" t="str">
        <f t="shared" si="56"/>
        <v>拖欠税费情况</v>
      </c>
      <c r="D114" s="301" t="str">
        <f t="shared" si="53"/>
        <v>100/100</v>
      </c>
      <c r="E114" s="301" t="str">
        <f t="shared" si="54"/>
        <v>100/100</v>
      </c>
      <c r="F114" s="301" t="str">
        <f t="shared" si="55"/>
        <v>100/100</v>
      </c>
    </row>
    <row r="115" spans="1:9" s="220" customFormat="1" ht="12.75" hidden="1" customHeight="1">
      <c r="A115" s="219"/>
      <c r="B115" s="795"/>
      <c r="C115" s="283" t="str">
        <f t="shared" si="56"/>
        <v>查封等形式限制权利情况</v>
      </c>
      <c r="D115" s="301" t="str">
        <f t="shared" si="53"/>
        <v>100/100</v>
      </c>
      <c r="E115" s="301" t="str">
        <f t="shared" si="54"/>
        <v>100/100</v>
      </c>
      <c r="F115" s="301" t="str">
        <f t="shared" si="55"/>
        <v>100/100</v>
      </c>
    </row>
    <row r="116" spans="1:9" s="220" customFormat="1" hidden="1">
      <c r="A116" s="219"/>
      <c r="B116" s="239"/>
    </row>
    <row r="117" spans="1:9" s="220" customFormat="1" hidden="1">
      <c r="A117" s="219"/>
      <c r="B117" s="239"/>
    </row>
    <row r="118" spans="1:9" s="220" customFormat="1" ht="123" hidden="1" customHeight="1">
      <c r="A118" s="219"/>
      <c r="B118" s="791" t="str">
        <f>"    比准价格A="&amp;D82&amp;"×"&amp;D83&amp;"×"&amp;D84&amp;"×"&amp;D85&amp;"×"&amp;D86&amp;"×"&amp;D87&amp;"×"&amp;D88&amp;"×"&amp;D89&amp;"×"&amp;D90&amp;"×"&amp;D91&amp;"×"&amp;D92&amp;"×"&amp;D93&amp;"×"&amp;D94&amp;"×"&amp;D95&amp;"×"&amp;D96&amp;"×"&amp;D97&amp;"×"&amp;D98&amp;"×"&amp;D99&amp;"×"&amp;D100&amp;"×"&amp;D101&amp;"×"&amp;D102&amp;"×"&amp;D103&amp;"×"&amp;D104&amp;"×"&amp;D105&amp;"×"&amp;D106&amp;"×"&amp;D107&amp;"×"&amp;D108&amp;"×"&amp;D109&amp;"×"&amp;D110&amp;"×"&amp;D111&amp;"×"&amp;D112&amp;"×"&amp;D113&amp;"×"&amp;D114&amp;"×"&amp;D115&amp;"="&amp;M69&amp;"元/㎡"</f>
        <v xml:space="preserve">    比准价格A=28957×100/100×130.28/130.28×106/100×102/102×100/100×100/100×101/101×101/101×102/102×103/103×100/103×100/101×100/102×100/100×100/94×101/99×99/99×101/101×101/101×101/101×99/99×100/106×103/104×100/100×100/100×100/100×100/100×100/100×100/100×100/100×100/100×100/100×100/100=29333元/㎡</v>
      </c>
      <c r="C118" s="791"/>
      <c r="D118" s="791"/>
      <c r="E118" s="791"/>
      <c r="F118" s="791"/>
      <c r="G118" s="791"/>
      <c r="H118" s="269"/>
      <c r="I118" s="269"/>
    </row>
    <row r="119" spans="1:9" s="220" customFormat="1" ht="123" hidden="1" customHeight="1">
      <c r="A119" s="219"/>
      <c r="B119" s="791" t="str">
        <f>"    比准价格B="&amp;E82&amp;"×"&amp;E83&amp;"×"&amp;E84&amp;"×"&amp;E85&amp;"×"&amp;E86&amp;"×"&amp;E87&amp;"×"&amp;E88&amp;"×"&amp;E89&amp;"×"&amp;E90&amp;"×"&amp;E91&amp;"×"&amp;E92&amp;"×"&amp;E93&amp;"×"&amp;E94&amp;"×"&amp;E95&amp;"×"&amp;E96&amp;"×"&amp;E97&amp;"×"&amp;E98&amp;"×"&amp;E99&amp;"×"&amp;E100&amp;"×"&amp;E101&amp;"×"&amp;E102&amp;"×"&amp;E103&amp;"×"&amp;E104&amp;"×"&amp;E105&amp;"×"&amp;E106&amp;"×"&amp;E107&amp;"×"&amp;E108&amp;"×"&amp;E109&amp;"×"&amp;E110&amp;"×"&amp;E111&amp;"×"&amp;E112&amp;"×"&amp;E113&amp;"×"&amp;E114&amp;"×"&amp;E115&amp;"="&amp;N69&amp;"元/㎡"</f>
        <v xml:space="preserve">    比准价格B=29657×100/100×130.28/130.28×106/100×102/102×100/100×100/100×101/101×101/101×102/102×103/103×100/102×100/101×100/102×100/100×100/100×101/101×99/99×101/101×101/101×101/101×99/99×100/97×103/104×100/100×100/100×100/100×100/100×100/100×100/100×100/100×100/100×100/100×100/100=30545元/㎡</v>
      </c>
      <c r="C119" s="791"/>
      <c r="D119" s="791"/>
      <c r="E119" s="791"/>
      <c r="F119" s="791"/>
      <c r="G119" s="791"/>
      <c r="H119" s="269"/>
      <c r="I119" s="269"/>
    </row>
    <row r="120" spans="1:9" s="220" customFormat="1" ht="123" hidden="1" customHeight="1">
      <c r="A120" s="219"/>
      <c r="B120" s="791" t="str">
        <f>"    比准价格C="&amp;F82&amp;"×"&amp;F83&amp;"×"&amp;F84&amp;"×"&amp;F85&amp;"×"&amp;F86&amp;"×"&amp;F87&amp;"×"&amp;F88&amp;"×"&amp;F89&amp;"×"&amp;F90&amp;"×"&amp;F91&amp;"×"&amp;F92&amp;"×"&amp;F93&amp;"×"&amp;F94&amp;"×"&amp;F95&amp;"×"&amp;F96&amp;"×"&amp;F97&amp;"×"&amp;F98&amp;"×"&amp;F99&amp;"×"&amp;F100&amp;"×"&amp;F101&amp;"×"&amp;F102&amp;"×"&amp;F103&amp;"×"&amp;F104&amp;"×"&amp;F105&amp;"×"&amp;F106&amp;"×"&amp;F107&amp;"×"&amp;F108&amp;"×"&amp;F109&amp;"×"&amp;F110&amp;"×"&amp;F111&amp;"×"&amp;F112&amp;"×"&amp;F113&amp;"×"&amp;F114&amp;"×"&amp;F115&amp;"="&amp;O69&amp;"元/㎡"</f>
        <v xml:space="preserve">    比准价格C=32147×100/100×130.28/130.28×106/100×102/102×100/94×100/98×101/100×101/101×102/102×103/103×100/102×100/101×100/98×100/100×100/100×101/100×99/99×101/101×101/101×101/100×99/101×100/103×103/104×100/100×100/100×100/100×100/100×100/100×100/100×100/100×100/100×100/100×100/100=35579元/㎡</v>
      </c>
      <c r="C120" s="791"/>
      <c r="D120" s="791"/>
      <c r="E120" s="791"/>
      <c r="F120" s="791"/>
      <c r="G120" s="791"/>
      <c r="H120" s="269"/>
      <c r="I120" s="269"/>
    </row>
    <row r="121" spans="1:9" s="220" customFormat="1" ht="36" hidden="1" customHeight="1">
      <c r="A121" s="219"/>
      <c r="B121" s="791" t="s">
        <v>326</v>
      </c>
      <c r="C121" s="791"/>
      <c r="D121" s="791"/>
      <c r="E121" s="791"/>
      <c r="F121" s="791"/>
      <c r="G121" s="791"/>
      <c r="H121" s="269"/>
      <c r="I121" s="269"/>
    </row>
    <row r="122" spans="1:9" s="220" customFormat="1" ht="27" hidden="1" customHeight="1">
      <c r="A122" s="219"/>
      <c r="B122" s="792" t="str">
        <f>"    比准价格=("&amp;M69&amp;"+"&amp;N69&amp;"+"&amp;O69&amp;")/3="&amp;M70&amp;"元/㎡"</f>
        <v xml:space="preserve">    比准价格=(29333+30545+35579)/3=31819元/㎡</v>
      </c>
      <c r="C122" s="792"/>
      <c r="D122" s="792"/>
      <c r="E122" s="792"/>
      <c r="F122" s="792"/>
      <c r="G122" s="792"/>
      <c r="H122" s="270"/>
      <c r="I122" s="270"/>
    </row>
    <row r="123" spans="1:9" s="220" customFormat="1">
      <c r="A123" s="219"/>
      <c r="B123" s="239"/>
    </row>
    <row r="124" spans="1:9" s="220" customFormat="1">
      <c r="A124" s="219"/>
      <c r="B124" s="239"/>
    </row>
    <row r="125" spans="1:9" s="220" customFormat="1">
      <c r="A125" s="219"/>
      <c r="B125" s="239"/>
    </row>
  </sheetData>
  <mergeCells count="60">
    <mergeCell ref="P75:V75"/>
    <mergeCell ref="P76:Q76"/>
    <mergeCell ref="P77:Q77"/>
    <mergeCell ref="L32:L33"/>
    <mergeCell ref="M32:M33"/>
    <mergeCell ref="N32:N33"/>
    <mergeCell ref="O32:O33"/>
    <mergeCell ref="M70:O70"/>
    <mergeCell ref="L72:N72"/>
    <mergeCell ref="B34:C34"/>
    <mergeCell ref="B27:C28"/>
    <mergeCell ref="J32:K33"/>
    <mergeCell ref="F27:F28"/>
    <mergeCell ref="D27:D28"/>
    <mergeCell ref="E27:E28"/>
    <mergeCell ref="G27:G28"/>
    <mergeCell ref="B29:C29"/>
    <mergeCell ref="B30:C30"/>
    <mergeCell ref="B31:C31"/>
    <mergeCell ref="B32:C32"/>
    <mergeCell ref="B33:C33"/>
    <mergeCell ref="B118:G118"/>
    <mergeCell ref="D79:D80"/>
    <mergeCell ref="E79:E80"/>
    <mergeCell ref="B119:G119"/>
    <mergeCell ref="B37:C37"/>
    <mergeCell ref="F79:F80"/>
    <mergeCell ref="B78:F78"/>
    <mergeCell ref="B36:C36"/>
    <mergeCell ref="J36:K36"/>
    <mergeCell ref="B120:G120"/>
    <mergeCell ref="B121:G121"/>
    <mergeCell ref="B122:G122"/>
    <mergeCell ref="B38:B47"/>
    <mergeCell ref="B48:B58"/>
    <mergeCell ref="B59:B68"/>
    <mergeCell ref="B85:B94"/>
    <mergeCell ref="B95:B105"/>
    <mergeCell ref="B106:B115"/>
    <mergeCell ref="B79:C80"/>
    <mergeCell ref="B81:C81"/>
    <mergeCell ref="B82:C82"/>
    <mergeCell ref="B83:C83"/>
    <mergeCell ref="B84:C84"/>
    <mergeCell ref="J38:J47"/>
    <mergeCell ref="J48:J58"/>
    <mergeCell ref="J59:J68"/>
    <mergeCell ref="J37:K37"/>
    <mergeCell ref="D4:G4"/>
    <mergeCell ref="K11:O11"/>
    <mergeCell ref="K24:O24"/>
    <mergeCell ref="B26:G26"/>
    <mergeCell ref="J26:O26"/>
    <mergeCell ref="D5:D6"/>
    <mergeCell ref="F5:F6"/>
    <mergeCell ref="E5:E6"/>
    <mergeCell ref="G5:G6"/>
    <mergeCell ref="J34:K34"/>
    <mergeCell ref="B35:C35"/>
    <mergeCell ref="J35:K35"/>
  </mergeCells>
  <phoneticPr fontId="23" type="noConversion"/>
  <dataValidations count="36">
    <dataValidation type="list" allowBlank="1" showInputMessage="1" showErrorMessage="1" sqref="E21:G21 D45">
      <formula1>"东,南,西,北,东南,东北,西南,西北,南北"</formula1>
    </dataValidation>
    <dataValidation type="list" allowBlank="1" showInputMessage="1" showErrorMessage="1" sqref="D42:G42">
      <formula1>"完善,一般,不完善"</formula1>
    </dataValidation>
    <dataValidation type="list" allowBlank="1" showInputMessage="1" showErrorMessage="1" sqref="E22:G22 D55">
      <formula1>"豪华装潢,一般装潢,简易装潢,毛坯"</formula1>
    </dataValidation>
    <dataValidation type="list" allowBlank="1" showInputMessage="1" showErrorMessage="1" sqref="D53:G53">
      <formula1>"优,较优,差"</formula1>
    </dataValidation>
    <dataValidation type="list" allowBlank="1" showInputMessage="1" showErrorMessage="1" sqref="E23:G23">
      <formula1>"平层,跃层,错层"</formula1>
    </dataValidation>
    <dataValidation type="list" allowBlank="1" showInputMessage="1" showErrorMessage="1" sqref="D39:G39">
      <formula1>"无特殊管制,分时段交通管制,有交通管制"</formula1>
    </dataValidation>
    <dataValidation type="list" allowBlank="1" showInputMessage="1" showErrorMessage="1" sqref="D40:G40">
      <formula1>"优,较优,较差,差"</formula1>
    </dataValidation>
    <dataValidation type="list" allowBlank="1" showInputMessage="1" showErrorMessage="1" sqref="D54:G54">
      <formula1>"合理,较合理,不合理"</formula1>
    </dataValidation>
    <dataValidation type="list" allowBlank="1" showInputMessage="1" showErrorMessage="1" sqref="D43:G43">
      <formula1>"较优,一般, 差"</formula1>
    </dataValidation>
    <dataValidation type="list" allowBlank="1" showInputMessage="1" showErrorMessage="1" sqref="D51:G51">
      <formula1>"美观大方,一般,差"</formula1>
    </dataValidation>
    <dataValidation type="list" allowBlank="1" showInputMessage="1" showErrorMessage="1" sqref="D41:G41">
      <formula1>"七通一平,六通一平,五通一平,三通一平"</formula1>
    </dataValidation>
    <dataValidation type="list" allowBlank="1" showInputMessage="1" showErrorMessage="1" sqref="D44:G44">
      <formula1>"充足,一般,不足"</formula1>
    </dataValidation>
    <dataValidation type="list" allowBlank="1" showInputMessage="1" showErrorMessage="1" sqref="D65:G65">
      <formula1>"无担保物权,有担保物权"</formula1>
    </dataValidation>
    <dataValidation type="list" allowBlank="1" showInputMessage="1" showErrorMessage="1" sqref="D49:G49">
      <formula1>"适中,偏大,偏小,超大"</formula1>
    </dataValidation>
    <dataValidation type="list" allowBlank="1" showInputMessage="1" showErrorMessage="1" sqref="D50:G50">
      <formula1>"钢混,砖混,砖木,简易"</formula1>
    </dataValidation>
    <dataValidation type="list" allowBlank="1" showInputMessage="1" showErrorMessage="1" sqref="D52:G52">
      <formula1>"十成新,九五成新,九成新,八五成新,八成新,七五成新,七成新"</formula1>
    </dataValidation>
    <dataValidation type="list" allowBlank="1" showInputMessage="1" showErrorMessage="1" sqref="D56:G56">
      <formula1>"设施设备齐全,有设施设备但不齐全,无设施设备"</formula1>
    </dataValidation>
    <dataValidation type="list" allowBlank="1" showInputMessage="1" showErrorMessage="1" sqref="D57:G57">
      <formula1>"5.5米以上,4.7米至5.5米之间,2.8米至4.7米之间,小于2.8米"</formula1>
    </dataValidation>
    <dataValidation type="list" allowBlank="1" showInputMessage="1" showErrorMessage="1" sqref="D59:G59">
      <formula1>"按规划条件建设,未按规划条件建设"</formula1>
    </dataValidation>
    <dataValidation type="list" allowBlank="1" showInputMessage="1" showErrorMessage="1" sqref="D60:G60">
      <formula1>"已登记，权属清晰,未登记，权属清晰,未登记，权属不清晰"</formula1>
    </dataValidation>
    <dataValidation type="list" allowBlank="1" showInputMessage="1" showErrorMessage="1" sqref="D61:G61">
      <formula1>" 国有出让,国有划拨,集体土地,租赁土地"</formula1>
    </dataValidation>
    <dataValidation type="list" allowBlank="1" showInputMessage="1" showErrorMessage="1" sqref="D63:G63">
      <formula1>" 无其他共有权人,有三个及以上共有权人"</formula1>
    </dataValidation>
    <dataValidation type="list" allowBlank="1" showInputMessage="1" showErrorMessage="1" sqref="D64:G64">
      <formula1>"无用益物权,有用益物权"</formula1>
    </dataValidation>
    <dataValidation type="list" allowBlank="1" showInputMessage="1" showErrorMessage="1" sqref="D66:G66">
      <formula1>"无租赁或短期租赁、正常租金,长期租赁、租金偏低"</formula1>
    </dataValidation>
    <dataValidation type="list" allowBlank="1" showInputMessage="1" showErrorMessage="1" sqref="D67:G67">
      <formula1>"不拖欠税费,拖欠税费"</formula1>
    </dataValidation>
    <dataValidation type="list" allowBlank="1" showInputMessage="1" showErrorMessage="1" sqref="D68:G68">
      <formula1>"无查封,有查封"</formula1>
    </dataValidation>
    <dataValidation type="list" allowBlank="1" showInputMessage="1" showErrorMessage="1" sqref="P75">
      <formula1>"房地产价值量适中，较为容易寻找到适当的买主，对变现较为有利。,房地产价值量较小，容易寻找到适当的买主，对变现有利。,房地产价值量较大，较难寻找到适当的买主，对变现有一定影响。,房地产价值量大，难以寻找到适当的买主，对变现有很大影响。"</formula1>
    </dataValidation>
    <dataValidation type="list" allowBlank="1" showInputMessage="1" showErrorMessage="1" sqref="R76">
      <formula1>"3个月,6个月,8个月,10个月,12个月,18个月,"</formula1>
    </dataValidation>
    <dataValidation type="list" allowBlank="1" showInputMessage="1" showErrorMessage="1" sqref="R77">
      <formula1>"三成,四成,五成,六成,七成,八成,九成,十成,"</formula1>
    </dataValidation>
    <dataValidation type="list" allowBlank="1" showInputMessage="1" showErrorMessage="1" sqref="C58">
      <formula1>"物业管理,深宽比"</formula1>
    </dataValidation>
    <dataValidation type="list" allowBlank="1" showInputMessage="1" showErrorMessage="1" sqref="D58:G58">
      <formula1>"好,较好,一般,较差,差,小于0.25,0.25-0.5,0.5-0.75,大于0.75"</formula1>
    </dataValidation>
    <dataValidation type="list" allowBlank="1" showInputMessage="1" showErrorMessage="1" sqref="C47">
      <formula1>"楼幢在小区中的位置,临街状况,写字楼级别"</formula1>
    </dataValidation>
    <dataValidation type="list" allowBlank="1" showInputMessage="1" showErrorMessage="1" sqref="D47:G47">
      <formula1>"好,较好,一般,较差,差,一面临街,两面临街,三面临街,四面临街,超甲级,甲级,乙级,普通写字楼"</formula1>
    </dataValidation>
    <dataValidation type="list" allowBlank="1" showInputMessage="1" showErrorMessage="1" sqref="C38">
      <formula1>"离区域中心点距离,商业繁华程度"</formula1>
    </dataValidation>
    <dataValidation type="list" allowBlank="1" showInputMessage="1" showErrorMessage="1" sqref="D38:G38">
      <formula1>"近,较近,较远,远,市级商业中心,区域级商业中心,小区级商业中心,专业市场"</formula1>
    </dataValidation>
    <dataValidation type="list" allowBlank="1" showInputMessage="1" showErrorMessage="1" sqref="D48:G48">
      <formula1>"步行街,生活型主干道,生活型次干道,交通型次干道,交通型主干道"</formula1>
    </dataValidation>
  </dataValidations>
  <pageMargins left="0.75" right="0.75" top="1" bottom="1" header="0.51180555555555596" footer="0.51180555555555596"/>
  <drawing r:id="rId1"/>
  <legacyDrawing r:id="rId2"/>
</worksheet>
</file>

<file path=xl/worksheets/sheet7.xml><?xml version="1.0" encoding="utf-8"?>
<worksheet xmlns="http://schemas.openxmlformats.org/spreadsheetml/2006/main" xmlns:r="http://schemas.openxmlformats.org/officeDocument/2006/relationships">
  <sheetPr codeName="Sheet5"/>
  <dimension ref="A1:U75"/>
  <sheetViews>
    <sheetView view="pageBreakPreview" topLeftCell="D25" zoomScale="130" zoomScaleSheetLayoutView="130" workbookViewId="0">
      <selection activeCell="C36" sqref="C36:J36"/>
    </sheetView>
  </sheetViews>
  <sheetFormatPr defaultColWidth="9" defaultRowHeight="14.25"/>
  <cols>
    <col min="1" max="2" width="4.125" style="304" customWidth="1"/>
    <col min="3" max="3" width="15.5" style="304" customWidth="1"/>
    <col min="4" max="4" width="7.75" style="304" customWidth="1"/>
    <col min="5" max="5" width="8.875" style="304" customWidth="1"/>
    <col min="6" max="6" width="8.375" style="304" customWidth="1"/>
    <col min="7" max="7" width="9.625" style="304" customWidth="1"/>
    <col min="8" max="8" width="8.875" style="304" customWidth="1"/>
    <col min="9" max="9" width="8.75" style="304" customWidth="1"/>
    <col min="10" max="10" width="4.875" style="304" customWidth="1"/>
    <col min="11" max="11" width="7.875" style="304" customWidth="1"/>
    <col min="12" max="16384" width="9" style="304"/>
  </cols>
  <sheetData>
    <row r="1" spans="1:15" ht="0.75" customHeight="1"/>
    <row r="2" spans="1:15" ht="19.5" customHeight="1">
      <c r="A2" s="840" t="s">
        <v>542</v>
      </c>
      <c r="B2" s="840"/>
      <c r="C2" s="840"/>
      <c r="D2" s="840"/>
      <c r="E2" s="840"/>
      <c r="F2" s="840"/>
      <c r="G2" s="840"/>
      <c r="H2" s="840"/>
      <c r="I2" s="840"/>
      <c r="J2" s="840"/>
    </row>
    <row r="3" spans="1:15" ht="4.5" hidden="1" customHeight="1">
      <c r="B3" s="305"/>
      <c r="C3" s="305"/>
      <c r="D3" s="305"/>
      <c r="E3" s="305"/>
      <c r="F3" s="305"/>
      <c r="G3" s="305"/>
      <c r="H3" s="305"/>
      <c r="I3" s="305"/>
      <c r="J3" s="305"/>
    </row>
    <row r="4" spans="1:15">
      <c r="A4" s="841" t="str">
        <f>CONCATENATE("初评编号：",'基础数据(房地产)'!B2,'基础数据(房地产)'!C2,"号")</f>
        <v>初评编号：苏海CD预估字[2017]号</v>
      </c>
      <c r="B4" s="841"/>
      <c r="C4" s="841"/>
      <c r="D4" s="841"/>
      <c r="E4" s="841"/>
      <c r="F4" s="841"/>
      <c r="G4" s="841"/>
      <c r="H4" s="841"/>
      <c r="I4" s="841"/>
      <c r="J4" s="841"/>
    </row>
    <row r="5" spans="1:15">
      <c r="A5" s="327" t="str">
        <f>CONCATENATE('基础数据(房地产)'!B7,":")</f>
        <v>杜沛鸿:</v>
      </c>
      <c r="B5" s="327"/>
      <c r="C5" s="327"/>
      <c r="D5" s="327"/>
      <c r="E5" s="327"/>
      <c r="F5" s="327"/>
      <c r="G5" s="327"/>
      <c r="H5" s="327"/>
      <c r="I5" s="327"/>
      <c r="J5" s="327"/>
    </row>
    <row r="6" spans="1:15" ht="59.25" customHeight="1">
      <c r="A6" s="842" t="str">
        <f>CONCATENATE("        承蒙信任，我们对您们所属的位于",'基础数据(房地产)'!B5,"",'基础数据(房地产)'!B10,"用房地产在价值时点",'基础数据(房地产)'!B28,"进行初评，估价目的是：为确定房地产抵押贷款额度提供参考依据而评估房地产抵押价值，经过初步市场调查和实地查勘，选用比较法进行了分析、测算和判断，确定估价对象在未设立法定优先受偿权利下的抵押价值如下:")</f>
        <v xml:space="preserve">        承蒙信任，我们对您们所属的位于成都市高新区交子大道199号16栋1单元9层902号住宅用房地产在价值时点二〇一七年十一月十日进行初评，估价目的是：为确定房地产抵押贷款额度提供参考依据而评估房地产抵押价值，经过初步市场调查和实地查勘，选用比较法进行了分析、测算和判断，确定估价对象在未设立法定优先受偿权利下的抵押价值如下:</v>
      </c>
      <c r="B6" s="842"/>
      <c r="C6" s="842"/>
      <c r="D6" s="842"/>
      <c r="E6" s="842"/>
      <c r="F6" s="842"/>
      <c r="G6" s="842"/>
      <c r="H6" s="842"/>
      <c r="I6" s="842"/>
      <c r="J6" s="842"/>
      <c r="L6" s="934"/>
      <c r="M6" s="934"/>
      <c r="N6" s="934"/>
      <c r="O6" s="934"/>
    </row>
    <row r="7" spans="1:15" ht="30" customHeight="1">
      <c r="A7" s="306"/>
      <c r="B7" s="306"/>
      <c r="C7" s="860" t="s">
        <v>164</v>
      </c>
      <c r="D7" s="913" t="s">
        <v>550</v>
      </c>
      <c r="E7" s="843" t="s">
        <v>328</v>
      </c>
      <c r="F7" s="843"/>
      <c r="G7" s="915" t="s">
        <v>329</v>
      </c>
      <c r="H7" s="915" t="s">
        <v>330</v>
      </c>
      <c r="I7" s="917"/>
      <c r="J7" s="307"/>
    </row>
    <row r="8" spans="1:15" ht="30" customHeight="1">
      <c r="A8" s="306"/>
      <c r="B8" s="306"/>
      <c r="C8" s="912"/>
      <c r="D8" s="914"/>
      <c r="E8" s="328" t="s">
        <v>331</v>
      </c>
      <c r="F8" s="328" t="s">
        <v>332</v>
      </c>
      <c r="G8" s="916"/>
      <c r="H8" s="916"/>
      <c r="I8" s="918"/>
      <c r="J8" s="308"/>
      <c r="K8" s="304">
        <f>H9</f>
        <v>283.57</v>
      </c>
      <c r="L8" s="309">
        <f>I9</f>
        <v>0</v>
      </c>
    </row>
    <row r="9" spans="1:15" ht="30" customHeight="1">
      <c r="A9" s="306"/>
      <c r="B9" s="306"/>
      <c r="C9" s="336" t="str">
        <f>'基础数据(房地产)'!B5</f>
        <v>成都市高新区交子大道199号16栋1单元9层902号</v>
      </c>
      <c r="D9" s="329">
        <f>'基础数据(房地产)'!B12</f>
        <v>248.9</v>
      </c>
      <c r="E9" s="330">
        <f>比较法!L70</f>
        <v>31819</v>
      </c>
      <c r="F9" s="331">
        <f>比较法!L71</f>
        <v>283.57</v>
      </c>
      <c r="G9" s="331">
        <v>0</v>
      </c>
      <c r="H9" s="331">
        <f>F9</f>
        <v>283.57</v>
      </c>
      <c r="I9" s="310"/>
      <c r="J9" s="311"/>
      <c r="K9" s="304" t="str">
        <f>TEXT(K8,"[DBNum2][$-804]G/通用格式")</f>
        <v>贰佰捌拾叁.伍柒</v>
      </c>
      <c r="L9" s="304" t="str">
        <f>TEXT(L8,"[DBNum2][$-804]G/通用格式")</f>
        <v>零</v>
      </c>
    </row>
    <row r="10" spans="1:15" ht="15" customHeight="1">
      <c r="A10" s="306"/>
      <c r="B10" s="306"/>
      <c r="C10" s="844" t="s">
        <v>333</v>
      </c>
      <c r="D10" s="845"/>
      <c r="E10" s="846">
        <f>比较法!L72</f>
        <v>2835700</v>
      </c>
      <c r="F10" s="846"/>
      <c r="G10" s="846"/>
      <c r="H10" s="846"/>
      <c r="I10" s="312"/>
      <c r="J10" s="311"/>
      <c r="K10" s="304" t="e">
        <f>#REF!</f>
        <v>#REF!</v>
      </c>
    </row>
    <row r="11" spans="1:15" ht="18" customHeight="1">
      <c r="A11" s="847" t="s">
        <v>58</v>
      </c>
      <c r="B11" s="847"/>
      <c r="C11" s="848" t="s">
        <v>334</v>
      </c>
      <c r="D11" s="849"/>
      <c r="E11" s="849"/>
      <c r="F11" s="849"/>
      <c r="G11" s="849"/>
      <c r="H11" s="849"/>
      <c r="I11" s="849"/>
      <c r="J11" s="849"/>
      <c r="K11" s="304" t="e">
        <f>TEXT(K10,"[DBNum2][$-804]G/通用格式")</f>
        <v>#REF!</v>
      </c>
    </row>
    <row r="12" spans="1:15" ht="15" customHeight="1">
      <c r="A12" s="925" t="s">
        <v>335</v>
      </c>
      <c r="B12" s="926"/>
      <c r="C12" s="332" t="s">
        <v>336</v>
      </c>
      <c r="D12" s="850" t="str">
        <f>'基础数据(房地产)'!B5</f>
        <v>成都市高新区交子大道199号16栋1单元9层902号</v>
      </c>
      <c r="E12" s="851"/>
      <c r="F12" s="851"/>
      <c r="G12" s="852"/>
      <c r="H12" s="852"/>
      <c r="I12" s="852"/>
      <c r="J12" s="853"/>
    </row>
    <row r="13" spans="1:15" ht="15" customHeight="1">
      <c r="A13" s="927"/>
      <c r="B13" s="928"/>
      <c r="C13" s="332" t="s">
        <v>337</v>
      </c>
      <c r="D13" s="854" t="str">
        <f>'基础数据(房地产)'!B6</f>
        <v>成都市高新区交子大道中海城南一号16栋1单元9层，未见街道门牌号及房号</v>
      </c>
      <c r="E13" s="855"/>
      <c r="F13" s="855"/>
      <c r="G13" s="856"/>
      <c r="H13" s="856"/>
      <c r="I13" s="856"/>
      <c r="J13" s="857"/>
    </row>
    <row r="14" spans="1:15" ht="15" customHeight="1">
      <c r="A14" s="927"/>
      <c r="B14" s="928"/>
      <c r="C14" s="313" t="str">
        <f>'基础数据(房地产)'!A7</f>
        <v>房屋所有权人</v>
      </c>
      <c r="D14" s="858" t="str">
        <f>'基础数据(房地产)'!B7</f>
        <v>杜沛鸿</v>
      </c>
      <c r="E14" s="858"/>
      <c r="F14" s="858"/>
      <c r="G14" s="332" t="str">
        <f>'基础数据(房地产)'!A12</f>
        <v>建筑面积（㎡）</v>
      </c>
      <c r="H14" s="859">
        <f>'基础数据(房地产)'!B12</f>
        <v>248.9</v>
      </c>
      <c r="I14" s="859"/>
      <c r="J14" s="859"/>
    </row>
    <row r="15" spans="1:15" ht="15" customHeight="1">
      <c r="A15" s="927"/>
      <c r="B15" s="928"/>
      <c r="C15" s="313" t="s">
        <v>338</v>
      </c>
      <c r="D15" s="860" t="str">
        <f>'基础数据(房地产)'!B8</f>
        <v>成房权证监证字第3796950号</v>
      </c>
      <c r="E15" s="860"/>
      <c r="F15" s="860"/>
      <c r="G15" s="332" t="str">
        <f>'基础数据(房地产)'!C13</f>
        <v>业务件号</v>
      </c>
      <c r="H15" s="860" t="str">
        <f>'基础数据(房地产)'!D13</f>
        <v>权2459043</v>
      </c>
      <c r="I15" s="860"/>
      <c r="J15" s="860"/>
    </row>
    <row r="16" spans="1:15" ht="15" customHeight="1">
      <c r="A16" s="927"/>
      <c r="B16" s="928"/>
      <c r="C16" s="313" t="s">
        <v>16</v>
      </c>
      <c r="D16" s="860" t="str">
        <f>'基础数据(房地产)'!B11</f>
        <v>钢混</v>
      </c>
      <c r="E16" s="860"/>
      <c r="F16" s="860"/>
      <c r="G16" s="332" t="s">
        <v>12</v>
      </c>
      <c r="H16" s="861" t="str">
        <f>'基础数据(房地产)'!B10</f>
        <v>住宅</v>
      </c>
      <c r="I16" s="861"/>
      <c r="J16" s="861"/>
    </row>
    <row r="17" spans="1:10" ht="15" customHeight="1">
      <c r="A17" s="927"/>
      <c r="B17" s="928"/>
      <c r="C17" s="313" t="s">
        <v>26</v>
      </c>
      <c r="D17" s="862" t="str">
        <f>'基础数据(房地产)'!B15</f>
        <v>28</v>
      </c>
      <c r="E17" s="863"/>
      <c r="F17" s="863"/>
      <c r="G17" s="332" t="s">
        <v>25</v>
      </c>
      <c r="H17" s="864" t="str">
        <f>'基础数据(房地产)'!D14</f>
        <v>9</v>
      </c>
      <c r="I17" s="864"/>
      <c r="J17" s="864"/>
    </row>
    <row r="18" spans="1:10" ht="15" customHeight="1">
      <c r="A18" s="927"/>
      <c r="B18" s="928"/>
      <c r="C18" s="314" t="str">
        <f>'基础数据(房地产)'!A13</f>
        <v>登记日期</v>
      </c>
      <c r="D18" s="865" t="str">
        <f>'基础数据(房地产)'!B21</f>
        <v>-</v>
      </c>
      <c r="E18" s="866"/>
      <c r="F18" s="867"/>
      <c r="G18" s="332" t="str">
        <f>'基础数据(房地产)'!C12</f>
        <v>套内建筑面积（㎡）</v>
      </c>
      <c r="H18" s="868">
        <f>'基础数据(房地产)'!D12</f>
        <v>214.82</v>
      </c>
      <c r="I18" s="869"/>
      <c r="J18" s="870"/>
    </row>
    <row r="19" spans="1:10" ht="15" customHeight="1">
      <c r="A19" s="927"/>
      <c r="B19" s="928"/>
      <c r="C19" s="314" t="str">
        <f>'基础数据(房地产)'!C10</f>
        <v>共有情况</v>
      </c>
      <c r="D19" s="871" t="str">
        <f>'基础数据(房地产)'!D10</f>
        <v>单独所有</v>
      </c>
      <c r="E19" s="872"/>
      <c r="F19" s="872"/>
      <c r="G19" s="332" t="s">
        <v>339</v>
      </c>
      <c r="H19" s="871" t="str">
        <f>'基础数据(房地产)'!B17</f>
        <v>无</v>
      </c>
      <c r="I19" s="872"/>
      <c r="J19" s="873"/>
    </row>
    <row r="20" spans="1:10" ht="60" customHeight="1">
      <c r="A20" s="929"/>
      <c r="B20" s="930"/>
      <c r="C20" s="333" t="s">
        <v>27</v>
      </c>
      <c r="D20" s="874" t="str">
        <f>'基础数据(房地产)'!B16</f>
        <v>根据估价委托人提供的《房屋所有权证》估价对象登记地址为：成都市高新区交子大道199号16栋1单元9层902号,经估价人员现场查看，估价对象实际查看地址为：成都市高新区交子大道中海城南一号16栋1单元9层，未见街道门牌号及房号估价委托人尚未提供《地址变更证明》，本次评估以注册房地产估价师现场查看房地产与《房屋所有权证》界定房地产为同一标的物为假设前提，提请报告使用人注意。</v>
      </c>
      <c r="E20" s="875"/>
      <c r="F20" s="875"/>
      <c r="G20" s="875"/>
      <c r="H20" s="875"/>
      <c r="I20" s="875"/>
      <c r="J20" s="876"/>
    </row>
    <row r="21" spans="1:10" ht="15" customHeight="1">
      <c r="A21" s="919" t="s">
        <v>340</v>
      </c>
      <c r="B21" s="920"/>
      <c r="C21" s="332" t="str">
        <f>'基础数据(房地产)'!A23</f>
        <v>土地坐落</v>
      </c>
      <c r="D21" s="850" t="str">
        <f>'基础数据(房地产)'!B23</f>
        <v>成都市高新区交子大道199号16栋1单元9层902号</v>
      </c>
      <c r="E21" s="852"/>
      <c r="F21" s="852"/>
      <c r="G21" s="852"/>
      <c r="H21" s="852"/>
      <c r="I21" s="852"/>
      <c r="J21" s="853"/>
    </row>
    <row r="22" spans="1:10" ht="15" customHeight="1">
      <c r="A22" s="921"/>
      <c r="B22" s="922"/>
      <c r="C22" s="332" t="str">
        <f>'基础数据(房地产)'!A21</f>
        <v>《土地使用证》编</v>
      </c>
      <c r="D22" s="865" t="str">
        <f>'基础数据(房地产)'!B21</f>
        <v>-</v>
      </c>
      <c r="E22" s="852"/>
      <c r="F22" s="853"/>
      <c r="G22" s="332" t="str">
        <f>'基础数据(房地产)'!A22</f>
        <v>土地使用权人</v>
      </c>
      <c r="H22" s="850" t="str">
        <f>'基础数据(房地产)'!B22</f>
        <v>杜沛鸿</v>
      </c>
      <c r="I22" s="852"/>
      <c r="J22" s="853"/>
    </row>
    <row r="23" spans="1:10" ht="15" customHeight="1">
      <c r="A23" s="921"/>
      <c r="B23" s="922"/>
      <c r="C23" s="332" t="str">
        <f>'基础数据(房地产)'!A24</f>
        <v>地类（用途）</v>
      </c>
      <c r="D23" s="850" t="str">
        <f>'基础数据(房地产)'!B24</f>
        <v>假设住宅</v>
      </c>
      <c r="E23" s="852"/>
      <c r="F23" s="853"/>
      <c r="G23" s="332" t="str">
        <f>'基础数据(房地产)'!A25</f>
        <v>使用权类型</v>
      </c>
      <c r="H23" s="877" t="str">
        <f>'基础数据(房地产)'!B25</f>
        <v>出让</v>
      </c>
      <c r="I23" s="852"/>
      <c r="J23" s="853"/>
    </row>
    <row r="24" spans="1:10" ht="15" customHeight="1">
      <c r="A24" s="921"/>
      <c r="B24" s="922"/>
      <c r="C24" s="332" t="str">
        <f>'基础数据(房地产)'!C22</f>
        <v>地号/图号</v>
      </c>
      <c r="D24" s="850" t="str">
        <f>'基础数据(房地产)'!D22</f>
        <v>----</v>
      </c>
      <c r="E24" s="852"/>
      <c r="F24" s="853"/>
      <c r="G24" s="332" t="str">
        <f>'基础数据(房地产)'!C24</f>
        <v>终止日期</v>
      </c>
      <c r="H24" s="877" t="str">
        <f>'基础数据(房地产)'!D24</f>
        <v>-</v>
      </c>
      <c r="I24" s="866"/>
      <c r="J24" s="867"/>
    </row>
    <row r="25" spans="1:10" ht="15" customHeight="1">
      <c r="A25" s="921"/>
      <c r="B25" s="922"/>
      <c r="C25" s="332" t="str">
        <f>'基础数据(房地产)'!C25</f>
        <v>使用权面积（㎡）</v>
      </c>
      <c r="D25" s="850" t="str">
        <f>'基础数据(房地产)'!D25</f>
        <v>-</v>
      </c>
      <c r="E25" s="852"/>
      <c r="F25" s="853"/>
      <c r="G25" s="332" t="str">
        <f>'基础数据(房地产)'!A26</f>
        <v>其中分摊面积（㎡）</v>
      </c>
      <c r="H25" s="850" t="str">
        <f>'基础数据(房地产)'!B26</f>
        <v>-</v>
      </c>
      <c r="I25" s="852"/>
      <c r="J25" s="853"/>
    </row>
    <row r="26" spans="1:10" ht="30" customHeight="1">
      <c r="A26" s="923"/>
      <c r="B26" s="924"/>
      <c r="C26" s="332" t="str">
        <f>'基础数据(房地产)'!A30</f>
        <v>备注</v>
      </c>
      <c r="D26" s="878" t="str">
        <f>'基础数据(房地产)'!B30</f>
        <v>因委托方未提供估价对象《国有土地使用证》复印件，根据委托方提供的《房屋所有权证》复印件记载，土地使用权取得方式：出让，提请报告使用人注意。</v>
      </c>
      <c r="E26" s="879"/>
      <c r="F26" s="879"/>
      <c r="G26" s="880"/>
      <c r="H26" s="880"/>
      <c r="I26" s="880"/>
      <c r="J26" s="881"/>
    </row>
    <row r="27" spans="1:10" ht="15" customHeight="1">
      <c r="A27" s="882" t="s">
        <v>341</v>
      </c>
      <c r="B27" s="882"/>
      <c r="C27" s="883" t="s">
        <v>342</v>
      </c>
      <c r="D27" s="884"/>
      <c r="E27" s="884"/>
      <c r="F27" s="884"/>
      <c r="G27" s="884"/>
      <c r="H27" s="884"/>
      <c r="I27" s="884"/>
      <c r="J27" s="884"/>
    </row>
    <row r="28" spans="1:10" ht="15" customHeight="1">
      <c r="A28" s="885" t="str">
        <f>查看表!A5</f>
        <v>楼盘名称</v>
      </c>
      <c r="B28" s="869"/>
      <c r="C28" s="870"/>
      <c r="D28" s="850" t="str">
        <f>查看表!D5</f>
        <v>中海城南一号</v>
      </c>
      <c r="E28" s="853"/>
      <c r="F28" s="332" t="str">
        <f>查看表!F5</f>
        <v>建成年代</v>
      </c>
      <c r="G28" s="334" t="str">
        <f>查看表!G5</f>
        <v>2011-10-1</v>
      </c>
      <c r="H28" s="332" t="str">
        <f>查看表!H5</f>
        <v>建筑结构</v>
      </c>
      <c r="I28" s="850" t="str">
        <f>查看表!I5</f>
        <v>钢混</v>
      </c>
      <c r="J28" s="853"/>
    </row>
    <row r="29" spans="1:10" ht="15.75" customHeight="1">
      <c r="A29" s="885" t="str">
        <f>查看表!A6</f>
        <v>户型</v>
      </c>
      <c r="B29" s="869"/>
      <c r="C29" s="870"/>
      <c r="D29" s="850" t="str">
        <f>查看表!D6</f>
        <v>4室2厅1厨3卫</v>
      </c>
      <c r="E29" s="853"/>
      <c r="F29" s="332" t="str">
        <f>查看表!F6</f>
        <v>朝向</v>
      </c>
      <c r="G29" s="335" t="str">
        <f>查看表!G6</f>
        <v>南</v>
      </c>
      <c r="H29" s="332" t="str">
        <f>查看表!H6</f>
        <v>空间布局</v>
      </c>
      <c r="I29" s="850" t="str">
        <f>查看表!I6</f>
        <v>平层</v>
      </c>
      <c r="J29" s="853"/>
    </row>
    <row r="30" spans="1:10" ht="15.75" customHeight="1">
      <c r="A30" s="885" t="str">
        <f>查看表!A7</f>
        <v>位置状况</v>
      </c>
      <c r="B30" s="869"/>
      <c r="C30" s="870"/>
      <c r="D30" s="850" t="str">
        <f>查看表!D7</f>
        <v>不临街</v>
      </c>
      <c r="E30" s="853"/>
      <c r="F30" s="332" t="str">
        <f>查看表!F7</f>
        <v>层高</v>
      </c>
      <c r="G30" s="335" t="str">
        <f>查看表!G7</f>
        <v>约3米</v>
      </c>
      <c r="H30" s="332" t="str">
        <f>查看表!H7</f>
        <v>利用现状</v>
      </c>
      <c r="I30" s="850" t="str">
        <f>查看表!I7</f>
        <v>自用</v>
      </c>
      <c r="J30" s="853"/>
    </row>
    <row r="31" spans="1:10" ht="15.75" customHeight="1">
      <c r="A31" s="885" t="str">
        <f>查看表!A8</f>
        <v>总层数</v>
      </c>
      <c r="B31" s="869"/>
      <c r="C31" s="870"/>
      <c r="D31" s="850" t="str">
        <f>查看表!D8</f>
        <v>28</v>
      </c>
      <c r="E31" s="853"/>
      <c r="F31" s="332" t="str">
        <f>查看表!F8</f>
        <v>所在层数</v>
      </c>
      <c r="G31" s="335" t="str">
        <f>查看表!G8</f>
        <v>9</v>
      </c>
      <c r="H31" s="332" t="str">
        <f>查看表!H8</f>
        <v>实际用途</v>
      </c>
      <c r="I31" s="850" t="str">
        <f>查看表!I8</f>
        <v>住宅</v>
      </c>
      <c r="J31" s="853"/>
    </row>
    <row r="32" spans="1:10" ht="15.75" customHeight="1">
      <c r="A32" s="885" t="str">
        <f>查看表!A9</f>
        <v>单元户数</v>
      </c>
      <c r="B32" s="869"/>
      <c r="C32" s="870"/>
      <c r="D32" s="865" t="str">
        <f>查看表!D9</f>
        <v>两梯四户</v>
      </c>
      <c r="E32" s="853"/>
      <c r="F32" s="332" t="str">
        <f>查看表!F9</f>
        <v>成新率</v>
      </c>
      <c r="G32" s="334" t="str">
        <f>查看表!G9</f>
        <v>90%</v>
      </c>
      <c r="H32" s="332" t="str">
        <f>查看表!H9</f>
        <v>维护保养状况</v>
      </c>
      <c r="I32" s="865" t="str">
        <f>查看表!I9</f>
        <v>完好房</v>
      </c>
      <c r="J32" s="853"/>
    </row>
    <row r="33" spans="1:21" ht="17.25" customHeight="1">
      <c r="A33" s="885" t="str">
        <f>查看表!A10</f>
        <v>设施设备</v>
      </c>
      <c r="B33" s="869"/>
      <c r="C33" s="870"/>
      <c r="D33" s="850" t="str">
        <f>查看表!D10</f>
        <v>2部电梯、地下停车位、电话接口、专用宽带、有线电视接口、管道天然气</v>
      </c>
      <c r="E33" s="851"/>
      <c r="F33" s="851"/>
      <c r="G33" s="852"/>
      <c r="H33" s="852"/>
      <c r="I33" s="852"/>
      <c r="J33" s="853"/>
    </row>
    <row r="34" spans="1:21" ht="15" customHeight="1">
      <c r="A34" s="885" t="str">
        <f>查看表!A11</f>
        <v>装修状况</v>
      </c>
      <c r="B34" s="893"/>
      <c r="C34" s="895" t="str">
        <f>查看表!C11</f>
        <v>估价对象所在建筑物外墙为条形砖，估价对象入户为防盗门，室内安装实木门分户，安装塑钢窗；室内客厅地面铺花岗石，墙面刷墙纸，顶棚为墙纸；卧室地面铺花岗石，墙面为墙纸,顶棚为墙纸；厨房及卫生间地面铺设防滑地砖、墙面为瓷砖满贴，顶棚采用塑料扣板吊顶。</v>
      </c>
      <c r="D34" s="896"/>
      <c r="E34" s="897"/>
      <c r="F34" s="897"/>
      <c r="G34" s="897"/>
      <c r="H34" s="897"/>
      <c r="I34" s="897"/>
      <c r="J34" s="898"/>
    </row>
    <row r="35" spans="1:21" ht="30" customHeight="1">
      <c r="A35" s="894"/>
      <c r="B35" s="893"/>
      <c r="C35" s="899"/>
      <c r="D35" s="897"/>
      <c r="E35" s="897"/>
      <c r="F35" s="897"/>
      <c r="G35" s="897"/>
      <c r="H35" s="897"/>
      <c r="I35" s="897"/>
      <c r="J35" s="898"/>
    </row>
    <row r="36" spans="1:21" s="315" customFormat="1" ht="18" customHeight="1">
      <c r="A36" s="882" t="s">
        <v>134</v>
      </c>
      <c r="B36" s="882"/>
      <c r="C36" s="886" t="s">
        <v>135</v>
      </c>
      <c r="D36" s="887"/>
      <c r="E36" s="887"/>
      <c r="F36" s="887"/>
      <c r="G36" s="887"/>
      <c r="H36" s="887"/>
      <c r="I36" s="887"/>
      <c r="J36" s="887"/>
    </row>
    <row r="37" spans="1:21" s="316" customFormat="1" ht="15" customHeight="1">
      <c r="A37" s="907" t="str">
        <f>查看表!A14</f>
        <v>位置状况</v>
      </c>
      <c r="B37" s="901"/>
      <c r="C37" s="904" t="str">
        <f>查看表!C14</f>
        <v>估价对象位于“中海城南一号”小区，该小区位于成都市南面，三环路外，东临益州大道，南临锦悦西二街，西临成汉南路，北临交子大道，区位条件较好。</v>
      </c>
      <c r="D37" s="905"/>
      <c r="E37" s="905"/>
      <c r="F37" s="905"/>
      <c r="G37" s="905"/>
      <c r="H37" s="905"/>
      <c r="I37" s="905"/>
      <c r="J37" s="901"/>
    </row>
    <row r="38" spans="1:21" s="316" customFormat="1" ht="15" customHeight="1">
      <c r="A38" s="902"/>
      <c r="B38" s="903"/>
      <c r="C38" s="902"/>
      <c r="D38" s="906"/>
      <c r="E38" s="906"/>
      <c r="F38" s="906"/>
      <c r="G38" s="906"/>
      <c r="H38" s="906"/>
      <c r="I38" s="906"/>
      <c r="J38" s="903"/>
    </row>
    <row r="39" spans="1:21" s="316" customFormat="1" ht="15" customHeight="1">
      <c r="A39" s="900" t="s">
        <v>142</v>
      </c>
      <c r="B39" s="901"/>
      <c r="C39" s="904" t="str">
        <f>查看表!C16</f>
        <v>区域内分布有交子大道，锦悦西二街，益州大道，成汉南路等多条道路，并通过以上道路与城市主要干道相连，形成较为发达的交通网络，区域内道路通达度较好，附近有84、115、188、236、505路等多条公交线路途经并就近设有公交站点，估价对象所在小区出入口无交通限制，公交便捷度较高。</v>
      </c>
      <c r="D39" s="905"/>
      <c r="E39" s="905"/>
      <c r="F39" s="905"/>
      <c r="G39" s="905"/>
      <c r="H39" s="905"/>
      <c r="I39" s="905"/>
      <c r="J39" s="901"/>
    </row>
    <row r="40" spans="1:21" s="316" customFormat="1" ht="30" customHeight="1">
      <c r="A40" s="902"/>
      <c r="B40" s="903"/>
      <c r="C40" s="902"/>
      <c r="D40" s="906"/>
      <c r="E40" s="906"/>
      <c r="F40" s="906"/>
      <c r="G40" s="906"/>
      <c r="H40" s="906"/>
      <c r="I40" s="906"/>
      <c r="J40" s="903"/>
    </row>
    <row r="41" spans="1:21" s="316" customFormat="1" ht="30" customHeight="1">
      <c r="A41" s="888" t="str">
        <f>查看表!A18</f>
        <v>生活服务设施</v>
      </c>
      <c r="B41" s="889"/>
      <c r="C41" s="890" t="str">
        <f>查看表!C18</f>
        <v>该区域内分布有红旗超市、二十四时便利店、七十一便利店、宋庆龄国际幼稚园、泡桐树小学天府校区、成都市石室天府中学、乐山商业银行、农业银行、成都农商银行、成都市第一人民医院、成都高薪民爱医院、成都市中西医结合医院等，该区域内生活配套设施齐全。</v>
      </c>
      <c r="D41" s="891"/>
      <c r="E41" s="891"/>
      <c r="F41" s="891"/>
      <c r="G41" s="891"/>
      <c r="H41" s="891"/>
      <c r="I41" s="891"/>
      <c r="J41" s="892"/>
    </row>
    <row r="42" spans="1:21" ht="15" customHeight="1">
      <c r="A42" s="933" t="str">
        <f>查看表!A19</f>
        <v>居住氛围</v>
      </c>
      <c r="B42" s="892"/>
      <c r="C42" s="890" t="str">
        <f>查看表!C19</f>
        <v>周边分布有誉峰、仁和春天国际公寓、天府新谷等住宅小区，常住人口众多，居住氛围浓厚。</v>
      </c>
      <c r="D42" s="891"/>
      <c r="E42" s="891"/>
      <c r="F42" s="891"/>
      <c r="G42" s="891"/>
      <c r="H42" s="891"/>
      <c r="I42" s="891"/>
      <c r="J42" s="892"/>
    </row>
    <row r="43" spans="1:21" ht="14.25" customHeight="1">
      <c r="A43" s="938" t="s">
        <v>343</v>
      </c>
      <c r="B43" s="938"/>
      <c r="C43" s="938"/>
      <c r="D43" s="938"/>
      <c r="E43" s="938"/>
      <c r="F43" s="938"/>
      <c r="G43" s="938"/>
      <c r="H43" s="938"/>
      <c r="I43" s="938"/>
      <c r="J43" s="938"/>
    </row>
    <row r="44" spans="1:21" ht="36" customHeight="1">
      <c r="A44" s="317" t="s">
        <v>58</v>
      </c>
      <c r="B44" s="931" t="s">
        <v>344</v>
      </c>
      <c r="C44" s="931"/>
      <c r="D44" s="931"/>
      <c r="E44" s="931"/>
      <c r="F44" s="931"/>
      <c r="G44" s="931"/>
      <c r="H44" s="931"/>
      <c r="I44" s="931"/>
      <c r="J44" s="931"/>
    </row>
    <row r="45" spans="1:21" ht="18" customHeight="1">
      <c r="A45" s="317" t="s">
        <v>341</v>
      </c>
      <c r="B45" s="931" t="s">
        <v>345</v>
      </c>
      <c r="C45" s="931"/>
      <c r="D45" s="931"/>
      <c r="E45" s="931"/>
      <c r="F45" s="931"/>
      <c r="G45" s="931"/>
      <c r="H45" s="931"/>
      <c r="I45" s="931"/>
      <c r="J45" s="931"/>
    </row>
    <row r="46" spans="1:21" ht="36" customHeight="1">
      <c r="A46" s="317" t="s">
        <v>134</v>
      </c>
      <c r="B46" s="931" t="s">
        <v>346</v>
      </c>
      <c r="C46" s="931"/>
      <c r="D46" s="931"/>
      <c r="E46" s="931"/>
      <c r="F46" s="931"/>
      <c r="G46" s="931"/>
      <c r="H46" s="931"/>
      <c r="I46" s="931"/>
      <c r="J46" s="931"/>
      <c r="K46" s="318" t="s">
        <v>347</v>
      </c>
      <c r="L46" s="319" t="s">
        <v>348</v>
      </c>
      <c r="M46" s="909" t="s">
        <v>349</v>
      </c>
      <c r="N46" s="909"/>
      <c r="O46" s="909"/>
      <c r="P46" s="909"/>
      <c r="Q46" s="909"/>
      <c r="R46" s="909"/>
      <c r="S46" s="909"/>
      <c r="T46" s="909"/>
      <c r="U46" s="909"/>
    </row>
    <row r="47" spans="1:21" ht="18" customHeight="1">
      <c r="A47" s="317" t="s">
        <v>350</v>
      </c>
      <c r="B47" s="932" t="s">
        <v>351</v>
      </c>
      <c r="C47" s="932"/>
      <c r="D47" s="932"/>
      <c r="E47" s="932"/>
      <c r="F47" s="932"/>
      <c r="G47" s="932"/>
      <c r="H47" s="932"/>
      <c r="I47" s="932"/>
      <c r="J47" s="932"/>
      <c r="K47" s="318" t="s">
        <v>352</v>
      </c>
      <c r="L47" s="319" t="s">
        <v>353</v>
      </c>
      <c r="M47" s="937" t="str">
        <f>CONCATENATE("根据委托方提供的《房屋所有权证》界定地址为：",D12,"，经估价人员现场查看，估价对象现地址为:",D13,"，本次评估以上述地址系同一物业为假设前提，提请报告使用人注意。")</f>
        <v>根据委托方提供的《房屋所有权证》界定地址为：成都市高新区交子大道199号16栋1单元9层902号，经估价人员现场查看，估价对象现地址为:成都市高新区交子大道中海城南一号16栋1单元9层，未见街道门牌号及房号，本次评估以上述地址系同一物业为假设前提，提请报告使用人注意。</v>
      </c>
      <c r="N47" s="937"/>
      <c r="O47" s="937"/>
      <c r="P47" s="937"/>
      <c r="Q47" s="937"/>
      <c r="R47" s="937"/>
      <c r="S47" s="937"/>
      <c r="T47" s="937"/>
      <c r="U47" s="937"/>
    </row>
    <row r="48" spans="1:21" ht="36" customHeight="1">
      <c r="A48" s="317" t="s">
        <v>354</v>
      </c>
      <c r="B48" s="932" t="str">
        <f>D26</f>
        <v>因委托方未提供估价对象《国有土地使用证》复印件，根据委托方提供的《房屋所有权证》复印件记载，土地使用权取得方式：出让，提请报告使用人注意。</v>
      </c>
      <c r="C48" s="932"/>
      <c r="D48" s="932"/>
      <c r="E48" s="932"/>
      <c r="F48" s="932"/>
      <c r="G48" s="932"/>
      <c r="H48" s="932"/>
      <c r="I48" s="932"/>
      <c r="J48" s="932"/>
      <c r="K48" s="318"/>
      <c r="L48" s="319"/>
      <c r="M48" s="937"/>
      <c r="N48" s="937"/>
      <c r="O48" s="937"/>
      <c r="P48" s="937"/>
      <c r="Q48" s="937"/>
      <c r="R48" s="937"/>
      <c r="S48" s="937"/>
      <c r="T48" s="937"/>
      <c r="U48" s="937"/>
    </row>
    <row r="49" spans="1:21" ht="54" customHeight="1">
      <c r="A49" s="319" t="s">
        <v>348</v>
      </c>
      <c r="B49" s="932" t="str">
        <f>M52</f>
        <v>根据委托方提供的《房屋所有权证》界定地址为：成都市高新区交子大道199号16栋1单元9层902号,经估价人员现场查看，估价对象现地址为：成都市高新区交子大道中海城南一号16栋1单元9层，未见街道门牌号及房号,本次评估以上述地址系同一地址为假设前提，提请报告使用人注意。</v>
      </c>
      <c r="C49" s="932"/>
      <c r="D49" s="932"/>
      <c r="E49" s="932"/>
      <c r="F49" s="932"/>
      <c r="G49" s="932"/>
      <c r="H49" s="932"/>
      <c r="I49" s="932"/>
      <c r="J49" s="932"/>
      <c r="K49" s="320"/>
      <c r="L49" s="316" t="s">
        <v>355</v>
      </c>
      <c r="M49" s="316" t="s">
        <v>356</v>
      </c>
      <c r="N49" s="316"/>
      <c r="O49" s="316"/>
      <c r="P49" s="316"/>
      <c r="Q49" s="316"/>
      <c r="R49" s="316"/>
      <c r="S49" s="316"/>
      <c r="T49" s="316"/>
      <c r="U49" s="316"/>
    </row>
    <row r="50" spans="1:21" s="316" customFormat="1" ht="1.5" hidden="1" customHeight="1">
      <c r="A50" s="321"/>
      <c r="B50" s="320"/>
      <c r="C50" s="320"/>
      <c r="D50" s="320"/>
      <c r="E50" s="320"/>
      <c r="F50" s="320"/>
      <c r="G50" s="320"/>
      <c r="H50" s="320"/>
      <c r="I50" s="320"/>
      <c r="J50" s="320"/>
      <c r="K50" s="304"/>
      <c r="L50" s="304" t="s">
        <v>357</v>
      </c>
      <c r="M50" s="304" t="s">
        <v>358</v>
      </c>
      <c r="N50" s="304"/>
      <c r="O50" s="304"/>
      <c r="P50" s="304"/>
      <c r="Q50" s="304"/>
      <c r="R50" s="304"/>
      <c r="S50" s="304"/>
      <c r="T50" s="304"/>
      <c r="U50" s="304"/>
    </row>
    <row r="51" spans="1:21" ht="18" customHeight="1">
      <c r="C51" s="304" t="s">
        <v>359</v>
      </c>
      <c r="F51" s="304" t="s">
        <v>360</v>
      </c>
      <c r="G51" s="322">
        <v>13882020720</v>
      </c>
      <c r="K51" s="304" t="s">
        <v>361</v>
      </c>
      <c r="L51" s="304" t="s">
        <v>353</v>
      </c>
      <c r="M51" s="936" t="s">
        <v>362</v>
      </c>
      <c r="N51" s="936"/>
      <c r="O51" s="936"/>
      <c r="P51" s="936"/>
      <c r="Q51" s="936"/>
      <c r="R51" s="936"/>
      <c r="S51" s="936"/>
      <c r="T51" s="936"/>
      <c r="U51" s="936"/>
    </row>
    <row r="52" spans="1:21" ht="19.5" customHeight="1">
      <c r="C52" s="304" t="s">
        <v>363</v>
      </c>
      <c r="L52" s="304" t="s">
        <v>364</v>
      </c>
      <c r="M52" s="936" t="str">
        <f>CONCATENATE("根据委托方提供的《房屋所有权证》界定地址为：",'基础数据(房地产)'!B5,",经估价人员现场查看，估价对象现地址为：",'基础数据(房地产)'!B6,",本次评估以上述地址系同一地址为假设前提，提请报告使用人注意。")</f>
        <v>根据委托方提供的《房屋所有权证》界定地址为：成都市高新区交子大道199号16栋1单元9层902号,经估价人员现场查看，估价对象现地址为：成都市高新区交子大道中海城南一号16栋1单元9层，未见街道门牌号及房号,本次评估以上述地址系同一地址为假设前提，提请报告使用人注意。</v>
      </c>
      <c r="N52" s="936"/>
      <c r="O52" s="936"/>
      <c r="P52" s="936"/>
      <c r="Q52" s="936"/>
      <c r="R52" s="936"/>
      <c r="S52" s="936"/>
    </row>
    <row r="53" spans="1:21" ht="17.25" customHeight="1">
      <c r="C53" s="304" t="s">
        <v>363</v>
      </c>
      <c r="K53" s="323"/>
      <c r="M53" s="936"/>
      <c r="N53" s="936"/>
      <c r="O53" s="936"/>
      <c r="P53" s="936"/>
      <c r="Q53" s="936"/>
      <c r="R53" s="936"/>
      <c r="S53" s="936"/>
    </row>
    <row r="54" spans="1:21">
      <c r="B54" s="908" t="s">
        <v>365</v>
      </c>
      <c r="C54" s="908"/>
      <c r="D54" s="908"/>
      <c r="E54" s="908"/>
      <c r="F54" s="908"/>
      <c r="G54" s="908"/>
      <c r="H54" s="908"/>
      <c r="I54" s="908"/>
      <c r="J54" s="908"/>
      <c r="K54" s="324"/>
      <c r="M54" s="936"/>
      <c r="N54" s="936"/>
      <c r="O54" s="936"/>
      <c r="P54" s="936"/>
      <c r="Q54" s="936"/>
      <c r="R54" s="936"/>
      <c r="S54" s="936"/>
    </row>
    <row r="55" spans="1:21">
      <c r="B55" s="910" t="str">
        <f>'基础数据(房地产)'!B29</f>
        <v>二〇一七年十一月十日</v>
      </c>
      <c r="C55" s="910"/>
      <c r="D55" s="910"/>
      <c r="E55" s="910"/>
      <c r="F55" s="910"/>
      <c r="G55" s="910"/>
      <c r="H55" s="910"/>
      <c r="I55" s="910"/>
      <c r="J55" s="910"/>
      <c r="M55" s="325"/>
      <c r="N55" s="325"/>
      <c r="O55" s="325"/>
      <c r="P55" s="325"/>
      <c r="Q55" s="325"/>
      <c r="R55" s="325"/>
      <c r="S55" s="325"/>
    </row>
    <row r="56" spans="1:21" ht="14.25" customHeight="1">
      <c r="A56" s="304" t="s">
        <v>366</v>
      </c>
      <c r="K56" s="304" t="s">
        <v>367</v>
      </c>
      <c r="M56" s="936" t="e">
        <f>CONCATENATE("因估价委托人未提供估价对象《国有土地使用证》，根据估价委托人提供的《房屋所有权证》、《房地产估价委托书》等相关资料，经估价委托人介绍，估价对象所属宗地系划拨方式取得，本次评估已扣除估价对象预计处分时应缴纳的土地出让金或相当于出让金的价款￥：",#REF!,"元（人民币",#REF!,"元）。")</f>
        <v>#REF!</v>
      </c>
      <c r="N56" s="936"/>
      <c r="O56" s="936"/>
      <c r="P56" s="936"/>
      <c r="Q56" s="936"/>
      <c r="R56" s="936"/>
      <c r="S56" s="936"/>
    </row>
    <row r="57" spans="1:21" ht="24.75" customHeight="1">
      <c r="A57" s="911"/>
      <c r="B57" s="911"/>
      <c r="C57" s="911"/>
      <c r="D57" s="911"/>
      <c r="E57" s="911"/>
      <c r="F57" s="911"/>
      <c r="G57" s="911"/>
      <c r="H57" s="911"/>
      <c r="I57" s="911"/>
      <c r="M57" s="936"/>
      <c r="N57" s="936"/>
      <c r="O57" s="936"/>
      <c r="P57" s="936"/>
      <c r="Q57" s="936"/>
      <c r="R57" s="936"/>
      <c r="S57" s="936"/>
    </row>
    <row r="58" spans="1:21">
      <c r="M58" s="936"/>
      <c r="N58" s="936"/>
      <c r="O58" s="936"/>
      <c r="P58" s="936"/>
      <c r="Q58" s="936"/>
      <c r="R58" s="936"/>
      <c r="S58" s="936"/>
    </row>
    <row r="59" spans="1:21" ht="14.25" customHeight="1">
      <c r="G59" s="304" t="s">
        <v>368</v>
      </c>
      <c r="K59" s="304" t="s">
        <v>369</v>
      </c>
      <c r="M59" s="936" t="e">
        <f>CONCATENATE("根据估价委托人提供的《国有土地使用证》，估价对象所属宗地系划拨方式取得，本次评估已扣除估价对象预计处分时应缴纳的土地出让金或相当于出让金的价款￥：",#REF!,"元（人民币",#REF!,"元）。")</f>
        <v>#REF!</v>
      </c>
      <c r="N59" s="936"/>
      <c r="O59" s="936"/>
      <c r="P59" s="936"/>
    </row>
    <row r="60" spans="1:21">
      <c r="M60" s="936"/>
      <c r="N60" s="936"/>
      <c r="O60" s="936"/>
      <c r="P60" s="936"/>
    </row>
    <row r="61" spans="1:21">
      <c r="M61" s="936"/>
      <c r="N61" s="936"/>
      <c r="O61" s="936"/>
      <c r="P61" s="936"/>
    </row>
    <row r="63" spans="1:21" ht="14.25" customHeight="1">
      <c r="F63" s="326"/>
      <c r="K63" s="304" t="s">
        <v>370</v>
      </c>
      <c r="M63" s="936" t="str">
        <f>CONCATENATE("根据委托方提供的《房屋所有权证》界定地址为：",'基础数据(房地产)'!B5,",根据委托方提供的《门（楼）牌号变更证明》及经估价人员现场查看，估价对象现地址为：",'基础数据(房地产)'!B6,",本次评估以上述地址系同一地址为假设前提，提请报告使用人注意。")</f>
        <v>根据委托方提供的《房屋所有权证》界定地址为：成都市高新区交子大道199号16栋1单元9层902号,根据委托方提供的《门（楼）牌号变更证明》及经估价人员现场查看，估价对象现地址为：成都市高新区交子大道中海城南一号16栋1单元9层，未见街道门牌号及房号,本次评估以上述地址系同一地址为假设前提，提请报告使用人注意。</v>
      </c>
      <c r="N63" s="936"/>
      <c r="O63" s="936"/>
      <c r="P63" s="936"/>
      <c r="Q63" s="936"/>
    </row>
    <row r="64" spans="1:21">
      <c r="M64" s="936"/>
      <c r="N64" s="936"/>
      <c r="O64" s="936"/>
      <c r="P64" s="936"/>
      <c r="Q64" s="936"/>
    </row>
    <row r="65" spans="11:18">
      <c r="M65" s="936"/>
      <c r="N65" s="936"/>
      <c r="O65" s="936"/>
      <c r="P65" s="936"/>
      <c r="Q65" s="936"/>
    </row>
    <row r="67" spans="11:18">
      <c r="M67" s="935" t="s">
        <v>371</v>
      </c>
      <c r="N67" s="935"/>
      <c r="O67" s="935"/>
      <c r="P67" s="935"/>
      <c r="Q67" s="935"/>
      <c r="R67" s="935"/>
    </row>
    <row r="68" spans="11:18">
      <c r="K68" s="934" t="s">
        <v>372</v>
      </c>
      <c r="L68" s="934"/>
      <c r="M68" s="935"/>
      <c r="N68" s="935"/>
      <c r="O68" s="935"/>
      <c r="P68" s="935"/>
      <c r="Q68" s="935"/>
      <c r="R68" s="935"/>
    </row>
    <row r="69" spans="11:18">
      <c r="K69" s="934"/>
      <c r="L69" s="934"/>
      <c r="M69" s="935"/>
      <c r="N69" s="935"/>
      <c r="O69" s="935"/>
      <c r="P69" s="935"/>
      <c r="Q69" s="935"/>
      <c r="R69" s="935"/>
    </row>
    <row r="70" spans="11:18">
      <c r="M70" s="935"/>
      <c r="N70" s="935"/>
      <c r="O70" s="935"/>
      <c r="P70" s="935"/>
      <c r="Q70" s="935"/>
      <c r="R70" s="935"/>
    </row>
    <row r="71" spans="11:18">
      <c r="M71" s="935"/>
      <c r="N71" s="935"/>
      <c r="O71" s="935"/>
      <c r="P71" s="935"/>
      <c r="Q71" s="935"/>
      <c r="R71" s="935"/>
    </row>
    <row r="72" spans="11:18">
      <c r="M72" s="935" t="s">
        <v>373</v>
      </c>
      <c r="N72" s="935"/>
      <c r="O72" s="935"/>
      <c r="P72" s="935"/>
      <c r="Q72" s="935"/>
      <c r="R72" s="935"/>
    </row>
    <row r="73" spans="11:18">
      <c r="M73" s="935"/>
      <c r="N73" s="935"/>
      <c r="O73" s="935"/>
      <c r="P73" s="935"/>
      <c r="Q73" s="935"/>
      <c r="R73" s="935"/>
    </row>
    <row r="74" spans="11:18">
      <c r="M74" s="935"/>
      <c r="N74" s="935"/>
      <c r="O74" s="935"/>
      <c r="P74" s="935"/>
      <c r="Q74" s="935"/>
      <c r="R74" s="935"/>
    </row>
    <row r="75" spans="11:18">
      <c r="M75" s="935"/>
      <c r="N75" s="935"/>
      <c r="O75" s="935"/>
      <c r="P75" s="935"/>
      <c r="Q75" s="935"/>
      <c r="R75" s="935"/>
    </row>
  </sheetData>
  <mergeCells count="93">
    <mergeCell ref="A42:B42"/>
    <mergeCell ref="C42:J42"/>
    <mergeCell ref="L6:O6"/>
    <mergeCell ref="M67:R71"/>
    <mergeCell ref="M72:R75"/>
    <mergeCell ref="K68:L69"/>
    <mergeCell ref="M52:S54"/>
    <mergeCell ref="M56:S58"/>
    <mergeCell ref="Q63:Q65"/>
    <mergeCell ref="M59:P61"/>
    <mergeCell ref="M63:P65"/>
    <mergeCell ref="M47:U48"/>
    <mergeCell ref="A43:J43"/>
    <mergeCell ref="B44:J44"/>
    <mergeCell ref="B45:J45"/>
    <mergeCell ref="M51:U51"/>
    <mergeCell ref="B54:J54"/>
    <mergeCell ref="M46:U46"/>
    <mergeCell ref="B55:J55"/>
    <mergeCell ref="A57:I57"/>
    <mergeCell ref="C7:C8"/>
    <mergeCell ref="D7:D8"/>
    <mergeCell ref="G7:G8"/>
    <mergeCell ref="H7:H8"/>
    <mergeCell ref="I7:I8"/>
    <mergeCell ref="A21:B26"/>
    <mergeCell ref="A12:B20"/>
    <mergeCell ref="B46:J46"/>
    <mergeCell ref="B47:J47"/>
    <mergeCell ref="B48:J48"/>
    <mergeCell ref="B49:J49"/>
    <mergeCell ref="A33:C33"/>
    <mergeCell ref="D33:J33"/>
    <mergeCell ref="A36:B36"/>
    <mergeCell ref="C36:J36"/>
    <mergeCell ref="A41:B41"/>
    <mergeCell ref="C41:J41"/>
    <mergeCell ref="A34:B35"/>
    <mergeCell ref="C34:J35"/>
    <mergeCell ref="A39:B40"/>
    <mergeCell ref="C39:J40"/>
    <mergeCell ref="A37:B38"/>
    <mergeCell ref="C37:J38"/>
    <mergeCell ref="A31:C31"/>
    <mergeCell ref="D31:E31"/>
    <mergeCell ref="I31:J31"/>
    <mergeCell ref="A32:C32"/>
    <mergeCell ref="D32:E32"/>
    <mergeCell ref="I32:J32"/>
    <mergeCell ref="A29:C29"/>
    <mergeCell ref="D29:E29"/>
    <mergeCell ref="I29:J29"/>
    <mergeCell ref="A30:C30"/>
    <mergeCell ref="D30:E30"/>
    <mergeCell ref="I30:J30"/>
    <mergeCell ref="A27:B27"/>
    <mergeCell ref="C27:J27"/>
    <mergeCell ref="A28:C28"/>
    <mergeCell ref="D28:E28"/>
    <mergeCell ref="I28:J28"/>
    <mergeCell ref="D24:F24"/>
    <mergeCell ref="H24:J24"/>
    <mergeCell ref="D25:F25"/>
    <mergeCell ref="H25:J25"/>
    <mergeCell ref="D26:J26"/>
    <mergeCell ref="D21:J21"/>
    <mergeCell ref="D22:F22"/>
    <mergeCell ref="H22:J22"/>
    <mergeCell ref="D23:F23"/>
    <mergeCell ref="H23:J23"/>
    <mergeCell ref="D18:F18"/>
    <mergeCell ref="H18:J18"/>
    <mergeCell ref="D19:F19"/>
    <mergeCell ref="H19:J19"/>
    <mergeCell ref="D20:J20"/>
    <mergeCell ref="D15:F15"/>
    <mergeCell ref="H15:J15"/>
    <mergeCell ref="D16:F16"/>
    <mergeCell ref="H16:J16"/>
    <mergeCell ref="D17:F17"/>
    <mergeCell ref="H17:J17"/>
    <mergeCell ref="A11:B11"/>
    <mergeCell ref="C11:J11"/>
    <mergeCell ref="D12:J12"/>
    <mergeCell ref="D13:J13"/>
    <mergeCell ref="D14:F14"/>
    <mergeCell ref="H14:J14"/>
    <mergeCell ref="A2:J2"/>
    <mergeCell ref="A4:J4"/>
    <mergeCell ref="A6:J6"/>
    <mergeCell ref="E7:F7"/>
    <mergeCell ref="C10:D10"/>
    <mergeCell ref="E10:H10"/>
  </mergeCells>
  <phoneticPr fontId="23" type="noConversion"/>
  <dataValidations count="2">
    <dataValidation showInputMessage="1" showErrorMessage="1" sqref="F47"/>
    <dataValidation allowBlank="1" showInputMessage="1" showErrorMessage="1" promptTitle="开间进深比,户型,写字楼级别" sqref="A29:C29"/>
  </dataValidations>
  <printOptions horizontalCentered="1"/>
  <pageMargins left="0.74803149606299213" right="0.74803149606299213" top="0.78740157480314965" bottom="0.78740157480314965" header="0.51181102362204722" footer="0.51181102362204722"/>
  <pageSetup paperSize="9" firstPageNumber="12" orientation="portrait" useFirstPageNumber="1" r:id="rId1"/>
  <headerFooter alignWithMargins="0"/>
  <rowBreaks count="1" manualBreakCount="1">
    <brk id="33" max="16383" man="1"/>
  </rowBreaks>
  <legacyDrawing r:id="rId2"/>
</worksheet>
</file>

<file path=xl/worksheets/sheet8.xml><?xml version="1.0" encoding="utf-8"?>
<worksheet xmlns="http://schemas.openxmlformats.org/spreadsheetml/2006/main" xmlns:r="http://schemas.openxmlformats.org/officeDocument/2006/relationships">
  <sheetPr codeName="Sheet6"/>
  <dimension ref="A1:E27"/>
  <sheetViews>
    <sheetView view="pageBreakPreview" topLeftCell="A16" zoomScale="110" zoomScaleSheetLayoutView="110" workbookViewId="0">
      <selection activeCell="G24" sqref="G24"/>
    </sheetView>
  </sheetViews>
  <sheetFormatPr defaultColWidth="9" defaultRowHeight="14.25"/>
  <cols>
    <col min="1" max="1" width="18.25" customWidth="1"/>
    <col min="2" max="2" width="16" customWidth="1"/>
    <col min="3" max="3" width="14.875" customWidth="1"/>
    <col min="4" max="4" width="28" customWidth="1"/>
  </cols>
  <sheetData>
    <row r="1" spans="1:5" ht="30.75" customHeight="1">
      <c r="A1" s="939" t="s">
        <v>374</v>
      </c>
      <c r="B1" s="939"/>
      <c r="C1" s="939"/>
      <c r="D1" s="939"/>
    </row>
    <row r="2" spans="1:5" ht="20.25" customHeight="1">
      <c r="A2" s="940" t="str">
        <f>CONCATENATE("编号：世联预字CD2017",'基础数据(房地产)'!C2,"")</f>
        <v>编号：世联预字CD2017</v>
      </c>
      <c r="B2" s="941"/>
      <c r="C2" s="941"/>
      <c r="D2" s="941"/>
    </row>
    <row r="3" spans="1:5">
      <c r="A3" s="942" t="s">
        <v>375</v>
      </c>
      <c r="B3" s="943"/>
      <c r="C3" s="943"/>
      <c r="D3" s="944"/>
    </row>
    <row r="4" spans="1:5">
      <c r="A4" s="128" t="s">
        <v>376</v>
      </c>
      <c r="B4" s="945" t="str">
        <f>CONCATENATE("",'基础数据(房地产)'!B7,"所属的住宅房地产抵押价值评估")</f>
        <v>杜沛鸿所属的住宅房地产抵押价值评估</v>
      </c>
      <c r="C4" s="946"/>
      <c r="D4" s="947"/>
    </row>
    <row r="5" spans="1:5">
      <c r="A5" s="128" t="s">
        <v>377</v>
      </c>
      <c r="B5" s="948" t="str">
        <f>'基础数据(房地产)'!B7</f>
        <v>杜沛鸿</v>
      </c>
      <c r="C5" s="949"/>
      <c r="D5" s="129"/>
    </row>
    <row r="6" spans="1:5">
      <c r="A6" s="128" t="s">
        <v>378</v>
      </c>
      <c r="B6" s="945" t="str">
        <f>'基础数据(房地产)'!B8</f>
        <v>成房权证监证字第3796950号</v>
      </c>
      <c r="C6" s="946"/>
      <c r="D6" s="947"/>
    </row>
    <row r="7" spans="1:5">
      <c r="A7" s="128" t="s">
        <v>379</v>
      </c>
      <c r="B7" s="945" t="str">
        <f>'基础数据(房地产)'!B5</f>
        <v>成都市高新区交子大道199号16栋1单元9层902号</v>
      </c>
      <c r="C7" s="946"/>
      <c r="D7" s="947"/>
    </row>
    <row r="8" spans="1:5" ht="21.75" customHeight="1">
      <c r="A8" s="128" t="s">
        <v>380</v>
      </c>
      <c r="B8" s="945" t="str">
        <f>'基础数据(房地产)'!B6</f>
        <v>成都市高新区交子大道中海城南一号16栋1单元9层，未见街道门牌号及房号</v>
      </c>
      <c r="C8" s="946"/>
      <c r="D8" s="947"/>
    </row>
    <row r="9" spans="1:5" ht="19.5" customHeight="1">
      <c r="A9" s="128" t="s">
        <v>160</v>
      </c>
      <c r="B9" s="130">
        <f>'基础数据(房地产)'!B12</f>
        <v>248.9</v>
      </c>
      <c r="C9" s="131" t="s">
        <v>100</v>
      </c>
      <c r="D9" s="130" t="str">
        <f>'基础数据(房地产)'!B11</f>
        <v>钢混</v>
      </c>
    </row>
    <row r="10" spans="1:5" ht="19.5" customHeight="1">
      <c r="A10" s="128" t="s">
        <v>381</v>
      </c>
      <c r="B10" s="132" t="str">
        <f>'基础数据(房地产)'!D11</f>
        <v>2011-10-1</v>
      </c>
      <c r="C10" s="131" t="s">
        <v>202</v>
      </c>
      <c r="D10" s="130" t="str">
        <f>'基础数据(房地产)'!D14</f>
        <v>9</v>
      </c>
    </row>
    <row r="11" spans="1:5" ht="19.5" customHeight="1">
      <c r="A11" s="128" t="s">
        <v>382</v>
      </c>
      <c r="B11" s="130" t="str">
        <f>'基础数据(房地产)'!B10</f>
        <v>住宅</v>
      </c>
      <c r="C11" s="131" t="s">
        <v>47</v>
      </c>
      <c r="D11" s="133" t="str">
        <f>'基础数据(房地产)'!B28</f>
        <v>二〇一七年十一月十日</v>
      </c>
    </row>
    <row r="12" spans="1:5" ht="19.5" customHeight="1">
      <c r="A12" s="128" t="s">
        <v>383</v>
      </c>
      <c r="B12" s="130" t="str">
        <f>'基础数据(房地产)'!B24</f>
        <v>假设住宅</v>
      </c>
      <c r="C12" s="131" t="s">
        <v>384</v>
      </c>
      <c r="D12" s="134" t="s">
        <v>385</v>
      </c>
    </row>
    <row r="13" spans="1:5" ht="33.75" customHeight="1">
      <c r="A13" s="128" t="s">
        <v>386</v>
      </c>
      <c r="B13" s="135" t="str">
        <f>'基础数据(房地产)'!D24</f>
        <v>-</v>
      </c>
      <c r="C13" s="131" t="s">
        <v>387</v>
      </c>
      <c r="D13" s="136" t="str">
        <f>'基础数据(房地产)'!B25</f>
        <v>出让</v>
      </c>
    </row>
    <row r="14" spans="1:5" ht="27" customHeight="1">
      <c r="A14" s="128" t="s">
        <v>113</v>
      </c>
      <c r="B14" s="137" t="str">
        <f>查看表!I7</f>
        <v>自用</v>
      </c>
      <c r="C14" s="131" t="s">
        <v>54</v>
      </c>
      <c r="D14" s="130" t="s">
        <v>89</v>
      </c>
      <c r="E14" s="58" t="s">
        <v>388</v>
      </c>
    </row>
    <row r="15" spans="1:5" ht="39.75" customHeight="1">
      <c r="A15" s="961" t="s">
        <v>389</v>
      </c>
      <c r="B15" s="950" t="e">
        <f>#REF!</f>
        <v>#REF!</v>
      </c>
      <c r="C15" s="951"/>
      <c r="D15" s="952"/>
    </row>
    <row r="16" spans="1:5" ht="39.75" customHeight="1">
      <c r="A16" s="962"/>
      <c r="B16" s="953" t="e">
        <f>#REF!</f>
        <v>#REF!</v>
      </c>
      <c r="C16" s="954"/>
      <c r="D16" s="955"/>
    </row>
    <row r="17" spans="1:4" ht="39.75" customHeight="1">
      <c r="A17" s="963"/>
      <c r="B17" s="967" t="e">
        <f>#REF!</f>
        <v>#REF!</v>
      </c>
      <c r="C17" s="968"/>
      <c r="D17" s="969"/>
    </row>
    <row r="18" spans="1:4">
      <c r="A18" s="942" t="s">
        <v>390</v>
      </c>
      <c r="B18" s="943"/>
      <c r="C18" s="943"/>
      <c r="D18" s="944"/>
    </row>
    <row r="19" spans="1:4" ht="34.5" customHeight="1">
      <c r="A19" s="945" t="e">
        <f>CONCATENATE("评估总价：¥",#REF!,"万元")</f>
        <v>#REF!</v>
      </c>
      <c r="B19" s="947"/>
      <c r="C19" s="945" t="e">
        <f>CONCATENATE("评估单价：",#REF!,"元/㎡")</f>
        <v>#REF!</v>
      </c>
      <c r="D19" s="947"/>
    </row>
    <row r="20" spans="1:4">
      <c r="A20" s="945" t="s">
        <v>391</v>
      </c>
      <c r="B20" s="946"/>
      <c r="C20" s="946"/>
      <c r="D20" s="947"/>
    </row>
    <row r="22" spans="1:4">
      <c r="A22" s="964" t="s">
        <v>392</v>
      </c>
      <c r="B22" s="965"/>
      <c r="C22" s="965"/>
      <c r="D22" s="965"/>
    </row>
    <row r="23" spans="1:4">
      <c r="A23" s="966"/>
      <c r="B23" s="966"/>
      <c r="C23" s="966"/>
      <c r="D23" s="966"/>
    </row>
    <row r="24" spans="1:4">
      <c r="A24" s="966"/>
      <c r="B24" s="966"/>
      <c r="C24" s="966"/>
      <c r="D24" s="966"/>
    </row>
    <row r="25" spans="1:4" ht="25.5" customHeight="1">
      <c r="A25" s="956" t="s">
        <v>393</v>
      </c>
      <c r="B25" s="957"/>
      <c r="C25" s="957"/>
      <c r="D25" s="957"/>
    </row>
    <row r="26" spans="1:4" ht="23.25" customHeight="1">
      <c r="A26" s="57"/>
      <c r="B26" s="958" t="str">
        <f>统一初评!B54</f>
        <v>江苏海正土地房地产评估有限公司</v>
      </c>
      <c r="C26" s="959"/>
      <c r="D26" s="959"/>
    </row>
    <row r="27" spans="1:4" ht="23.25" customHeight="1">
      <c r="A27" s="57"/>
      <c r="B27" s="960" t="str">
        <f>'基础数据(房地产)'!B29</f>
        <v>二〇一七年十一月十日</v>
      </c>
      <c r="C27" s="960"/>
      <c r="D27" s="960"/>
    </row>
  </sheetData>
  <mergeCells count="20">
    <mergeCell ref="A25:D25"/>
    <mergeCell ref="B26:D26"/>
    <mergeCell ref="B27:D27"/>
    <mergeCell ref="A15:A17"/>
    <mergeCell ref="A22:D24"/>
    <mergeCell ref="B17:D17"/>
    <mergeCell ref="A18:D18"/>
    <mergeCell ref="A19:B19"/>
    <mergeCell ref="C19:D19"/>
    <mergeCell ref="A20:D20"/>
    <mergeCell ref="B6:D6"/>
    <mergeCell ref="B7:D7"/>
    <mergeCell ref="B8:D8"/>
    <mergeCell ref="B15:D15"/>
    <mergeCell ref="B16:D16"/>
    <mergeCell ref="A1:D1"/>
    <mergeCell ref="A2:D2"/>
    <mergeCell ref="A3:D3"/>
    <mergeCell ref="B4:D4"/>
    <mergeCell ref="B5:C5"/>
  </mergeCells>
  <phoneticPr fontId="23" type="noConversion"/>
  <pageMargins left="0.69930555555555596" right="0.69930555555555596"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sheetPr codeName="Sheet9"/>
  <dimension ref="A1:U74"/>
  <sheetViews>
    <sheetView view="pageBreakPreview" zoomScale="130" zoomScaleSheetLayoutView="130" workbookViewId="0">
      <selection activeCell="L6" sqref="L6"/>
    </sheetView>
  </sheetViews>
  <sheetFormatPr defaultColWidth="9" defaultRowHeight="14.25"/>
  <cols>
    <col min="1" max="2" width="4.125" style="79" customWidth="1"/>
    <col min="3" max="3" width="15.5" style="79" customWidth="1"/>
    <col min="4" max="4" width="7.75" style="79" customWidth="1"/>
    <col min="5" max="5" width="8.875" style="79" customWidth="1"/>
    <col min="6" max="6" width="8.375" style="79" customWidth="1"/>
    <col min="7" max="7" width="9.625" style="79" customWidth="1"/>
    <col min="8" max="8" width="8.875" style="79" customWidth="1"/>
    <col min="9" max="9" width="8.75" style="79" customWidth="1"/>
    <col min="10" max="10" width="4.875" style="79" customWidth="1"/>
    <col min="11" max="11" width="7.875" style="79" customWidth="1"/>
    <col min="12" max="16384" width="9" style="79"/>
  </cols>
  <sheetData>
    <row r="1" spans="1:12" ht="0.75" customHeight="1"/>
    <row r="2" spans="1:12" ht="19.5" customHeight="1">
      <c r="A2" s="976" t="s">
        <v>327</v>
      </c>
      <c r="B2" s="976"/>
      <c r="C2" s="976"/>
      <c r="D2" s="976"/>
      <c r="E2" s="976"/>
      <c r="F2" s="976"/>
      <c r="G2" s="976"/>
      <c r="H2" s="976"/>
      <c r="I2" s="976"/>
      <c r="J2" s="976"/>
    </row>
    <row r="3" spans="1:12" ht="4.5" hidden="1" customHeight="1">
      <c r="B3" s="82"/>
      <c r="C3" s="82"/>
      <c r="D3" s="82"/>
      <c r="E3" s="82"/>
      <c r="F3" s="82"/>
      <c r="G3" s="82"/>
      <c r="H3" s="82"/>
      <c r="I3" s="82"/>
      <c r="J3" s="82"/>
    </row>
    <row r="4" spans="1:12">
      <c r="A4" s="977" t="str">
        <f>CONCATENATE("初评编号：",'基础数据(房地产)'!B2,'基础数据(房地产)'!C2,"号")</f>
        <v>初评编号：苏海CD预估字[2017]号</v>
      </c>
      <c r="B4" s="977"/>
      <c r="C4" s="977"/>
      <c r="D4" s="977"/>
      <c r="E4" s="977"/>
      <c r="F4" s="977"/>
      <c r="G4" s="977"/>
      <c r="H4" s="977"/>
      <c r="I4" s="977"/>
      <c r="J4" s="977"/>
    </row>
    <row r="5" spans="1:12">
      <c r="A5" s="119" t="s">
        <v>401</v>
      </c>
      <c r="B5" s="119"/>
      <c r="C5" s="119"/>
      <c r="D5" s="119"/>
      <c r="E5" s="119"/>
      <c r="F5" s="119"/>
      <c r="G5" s="119"/>
      <c r="H5" s="119"/>
      <c r="I5" s="119"/>
      <c r="J5" s="119"/>
    </row>
    <row r="6" spans="1:12" ht="57" customHeight="1">
      <c r="A6" s="978" t="e">
        <f>CONCATENATE("        承蒙信任，我们对",'基础数据(房地产)'!B7,"所属的位于",'基础数据(房地产)'!B5,"",'基础数据(房地产)'!B10,"用房地产在价值时点",YEAR('基础数据(房地产)'!B28),"年",MONTH('基础数据(房地产)'!B28),"月",DAY('基础数据(房地产)'!B28),"日","进行初评，估价目的是：为确定房地产抵押贷款额度提供参考依据而评估房地产抵押价值，经过初步市场调查和实地查勘，选用比较法进行了分析、测算和判断，确定估价对象在未设立法定优先受偿权利下的抵押价值如下:")</f>
        <v>#VALUE!</v>
      </c>
      <c r="B6" s="978"/>
      <c r="C6" s="978"/>
      <c r="D6" s="978"/>
      <c r="E6" s="978"/>
      <c r="F6" s="978"/>
      <c r="G6" s="978"/>
      <c r="H6" s="978"/>
      <c r="I6" s="978"/>
      <c r="J6" s="978"/>
    </row>
    <row r="7" spans="1:12" ht="27.75" customHeight="1">
      <c r="A7" s="84"/>
      <c r="B7" s="84"/>
      <c r="C7" s="990" t="s">
        <v>164</v>
      </c>
      <c r="D7" s="992" t="s">
        <v>20</v>
      </c>
      <c r="E7" s="979" t="s">
        <v>328</v>
      </c>
      <c r="F7" s="979"/>
      <c r="G7" s="994" t="s">
        <v>394</v>
      </c>
      <c r="H7" s="994" t="s">
        <v>402</v>
      </c>
      <c r="I7" s="994" t="s">
        <v>403</v>
      </c>
      <c r="J7" s="105"/>
    </row>
    <row r="8" spans="1:12" ht="28.5" customHeight="1">
      <c r="A8" s="84"/>
      <c r="B8" s="84"/>
      <c r="C8" s="991"/>
      <c r="D8" s="993"/>
      <c r="E8" s="85" t="s">
        <v>396</v>
      </c>
      <c r="F8" s="85" t="s">
        <v>397</v>
      </c>
      <c r="G8" s="995"/>
      <c r="H8" s="995"/>
      <c r="I8" s="995"/>
      <c r="J8" s="106"/>
      <c r="K8" s="79" t="e">
        <f>#REF!</f>
        <v>#REF!</v>
      </c>
      <c r="L8" s="125" t="e">
        <f>I9</f>
        <v>#REF!</v>
      </c>
    </row>
    <row r="9" spans="1:12" ht="45.75" customHeight="1">
      <c r="A9" s="84"/>
      <c r="B9" s="84"/>
      <c r="C9" s="86" t="str">
        <f>'基础数据(房地产)'!B5</f>
        <v>成都市高新区交子大道199号16栋1单元9层902号</v>
      </c>
      <c r="D9" s="87">
        <f>'基础数据(房地产)'!B12</f>
        <v>248.9</v>
      </c>
      <c r="E9" s="88" t="e">
        <f>#REF!</f>
        <v>#REF!</v>
      </c>
      <c r="F9" s="120" t="e">
        <f>#REF!</f>
        <v>#REF!</v>
      </c>
      <c r="G9" s="90">
        <v>0</v>
      </c>
      <c r="H9" s="120" t="e">
        <f>'税费表（个人住宅)'!G4</f>
        <v>#REF!</v>
      </c>
      <c r="I9" s="126" t="e">
        <f>'税费表（个人住宅)'!G5</f>
        <v>#REF!</v>
      </c>
      <c r="J9" s="108"/>
      <c r="K9" s="79" t="e">
        <f>TEXT(K8,"[DBNum2][$-804]G/通用格式")</f>
        <v>#REF!</v>
      </c>
      <c r="L9" s="79" t="e">
        <f>TEXT(L8,"[DBNum2][$-804]G/通用格式")</f>
        <v>#REF!</v>
      </c>
    </row>
    <row r="10" spans="1:12" ht="16.5" customHeight="1">
      <c r="A10" s="84"/>
      <c r="B10" s="84"/>
      <c r="C10" s="980" t="s">
        <v>404</v>
      </c>
      <c r="D10" s="981"/>
      <c r="E10" s="982" t="e">
        <f>CONCATENATE("",K9,"元整")</f>
        <v>#REF!</v>
      </c>
      <c r="F10" s="983"/>
      <c r="G10" s="983"/>
      <c r="H10" s="983"/>
      <c r="I10" s="984"/>
      <c r="J10" s="108"/>
      <c r="K10" s="79" t="e">
        <f>#REF!</f>
        <v>#REF!</v>
      </c>
    </row>
    <row r="11" spans="1:12" ht="16.5" customHeight="1">
      <c r="A11" s="84"/>
      <c r="B11" s="84"/>
      <c r="C11" s="985" t="s">
        <v>405</v>
      </c>
      <c r="D11" s="986"/>
      <c r="E11" s="982" t="e">
        <f>CONCATENATE("",L9,"元整")</f>
        <v>#REF!</v>
      </c>
      <c r="F11" s="983"/>
      <c r="G11" s="983"/>
      <c r="H11" s="983"/>
      <c r="I11" s="984"/>
      <c r="J11" s="108"/>
    </row>
    <row r="12" spans="1:12" ht="17.25" customHeight="1">
      <c r="A12" s="987" t="s">
        <v>58</v>
      </c>
      <c r="B12" s="987"/>
      <c r="C12" s="988" t="s">
        <v>334</v>
      </c>
      <c r="D12" s="989"/>
      <c r="E12" s="989"/>
      <c r="F12" s="989"/>
      <c r="G12" s="989"/>
      <c r="H12" s="989"/>
      <c r="I12" s="989"/>
      <c r="J12" s="989"/>
      <c r="K12" s="79" t="e">
        <f>TEXT(K10,"[DBNum2][$-804]G/通用格式")</f>
        <v>#REF!</v>
      </c>
    </row>
    <row r="13" spans="1:12" ht="15.75" customHeight="1">
      <c r="A13" s="1017" t="s">
        <v>335</v>
      </c>
      <c r="B13" s="1018"/>
      <c r="C13" s="91" t="s">
        <v>336</v>
      </c>
      <c r="D13" s="996" t="str">
        <f>'基础数据(房地产)'!B5</f>
        <v>成都市高新区交子大道199号16栋1单元9层902号</v>
      </c>
      <c r="E13" s="1023"/>
      <c r="F13" s="1023"/>
      <c r="G13" s="997"/>
      <c r="H13" s="997"/>
      <c r="I13" s="997"/>
      <c r="J13" s="998"/>
    </row>
    <row r="14" spans="1:12" ht="18" customHeight="1">
      <c r="A14" s="1019"/>
      <c r="B14" s="1020"/>
      <c r="C14" s="91" t="s">
        <v>337</v>
      </c>
      <c r="D14" s="1024" t="str">
        <f>'基础数据(房地产)'!B6</f>
        <v>成都市高新区交子大道中海城南一号16栋1单元9层，未见街道门牌号及房号</v>
      </c>
      <c r="E14" s="1025"/>
      <c r="F14" s="1025"/>
      <c r="G14" s="1026"/>
      <c r="H14" s="1026"/>
      <c r="I14" s="1026"/>
      <c r="J14" s="1027"/>
    </row>
    <row r="15" spans="1:12" ht="15.75" customHeight="1">
      <c r="A15" s="1019"/>
      <c r="B15" s="1020"/>
      <c r="C15" s="91" t="s">
        <v>7</v>
      </c>
      <c r="D15" s="970" t="str">
        <f>'基础数据(房地产)'!B7</f>
        <v>杜沛鸿</v>
      </c>
      <c r="E15" s="970"/>
      <c r="F15" s="970"/>
      <c r="G15" s="91" t="s">
        <v>20</v>
      </c>
      <c r="H15" s="971">
        <f>'基础数据(房地产)'!B12</f>
        <v>248.9</v>
      </c>
      <c r="I15" s="971"/>
      <c r="J15" s="971"/>
    </row>
    <row r="16" spans="1:12" ht="15.75" customHeight="1">
      <c r="A16" s="1019"/>
      <c r="B16" s="1020"/>
      <c r="C16" s="91" t="s">
        <v>338</v>
      </c>
      <c r="D16" s="971" t="str">
        <f>'基础数据(房地产)'!B8</f>
        <v>成房权证监证字第3796950号</v>
      </c>
      <c r="E16" s="971"/>
      <c r="F16" s="971"/>
      <c r="G16" s="91" t="str">
        <f>'基础数据(房地产)'!C13</f>
        <v>业务件号</v>
      </c>
      <c r="H16" s="971" t="str">
        <f>'基础数据(房地产)'!D13</f>
        <v>权2459043</v>
      </c>
      <c r="I16" s="971"/>
      <c r="J16" s="971"/>
    </row>
    <row r="17" spans="1:10" ht="15.75" customHeight="1">
      <c r="A17" s="1019"/>
      <c r="B17" s="1020"/>
      <c r="C17" s="91" t="s">
        <v>16</v>
      </c>
      <c r="D17" s="971" t="str">
        <f>'基础数据(房地产)'!B11</f>
        <v>钢混</v>
      </c>
      <c r="E17" s="971"/>
      <c r="F17" s="971"/>
      <c r="G17" s="91" t="s">
        <v>12</v>
      </c>
      <c r="H17" s="972" t="str">
        <f>'基础数据(房地产)'!B10</f>
        <v>住宅</v>
      </c>
      <c r="I17" s="972"/>
      <c r="J17" s="972"/>
    </row>
    <row r="18" spans="1:10" ht="15.75" customHeight="1">
      <c r="A18" s="1019"/>
      <c r="B18" s="1020"/>
      <c r="C18" s="91" t="s">
        <v>26</v>
      </c>
      <c r="D18" s="973" t="str">
        <f>'基础数据(房地产)'!B15</f>
        <v>28</v>
      </c>
      <c r="E18" s="974"/>
      <c r="F18" s="974"/>
      <c r="G18" s="91" t="s">
        <v>25</v>
      </c>
      <c r="H18" s="975" t="str">
        <f>'基础数据(房地产)'!D14</f>
        <v>9</v>
      </c>
      <c r="I18" s="975"/>
      <c r="J18" s="975"/>
    </row>
    <row r="19" spans="1:10" ht="15.75" customHeight="1">
      <c r="A19" s="1019"/>
      <c r="B19" s="1020"/>
      <c r="C19" s="94" t="str">
        <f>'基础数据(房地产)'!A13</f>
        <v>登记日期</v>
      </c>
      <c r="D19" s="1006">
        <f>'基础数据(房地产)'!B13</f>
        <v>41593</v>
      </c>
      <c r="E19" s="1007"/>
      <c r="F19" s="1008"/>
      <c r="G19" s="91" t="str">
        <f>'基础数据(房地产)'!C12</f>
        <v>套内建筑面积（㎡）</v>
      </c>
      <c r="H19" s="1009">
        <f>'基础数据(房地产)'!D12</f>
        <v>214.82</v>
      </c>
      <c r="I19" s="1004"/>
      <c r="J19" s="1005"/>
    </row>
    <row r="20" spans="1:10" ht="15.75" customHeight="1">
      <c r="A20" s="1019"/>
      <c r="B20" s="1020"/>
      <c r="C20" s="94" t="str">
        <f>'基础数据(房地产)'!C10</f>
        <v>共有情况</v>
      </c>
      <c r="D20" s="1010" t="str">
        <f>'基础数据(房地产)'!D10</f>
        <v>单独所有</v>
      </c>
      <c r="E20" s="1011"/>
      <c r="F20" s="1011"/>
      <c r="G20" s="91" t="s">
        <v>339</v>
      </c>
      <c r="H20" s="1010" t="str">
        <f>'基础数据(房地产)'!B17</f>
        <v>无</v>
      </c>
      <c r="I20" s="1011"/>
      <c r="J20" s="1012"/>
    </row>
    <row r="21" spans="1:10" ht="16.5" customHeight="1">
      <c r="A21" s="1021"/>
      <c r="B21" s="1022"/>
      <c r="C21" s="94" t="s">
        <v>27</v>
      </c>
      <c r="D21" s="1013" t="str">
        <f>'基础数据(房地产)'!B16</f>
        <v>根据估价委托人提供的《房屋所有权证》估价对象登记地址为：成都市高新区交子大道199号16栋1单元9层902号,经估价人员现场查看，估价对象实际查看地址为：成都市高新区交子大道中海城南一号16栋1单元9层，未见街道门牌号及房号估价委托人尚未提供《地址变更证明》，本次评估以注册房地产估价师现场查看房地产与《房屋所有权证》界定房地产为同一标的物为假设前提，提请报告使用人注意。</v>
      </c>
      <c r="E21" s="1014"/>
      <c r="F21" s="1014"/>
      <c r="G21" s="1014"/>
      <c r="H21" s="1014"/>
      <c r="I21" s="1014"/>
      <c r="J21" s="1015"/>
    </row>
    <row r="22" spans="1:10" ht="15.75" customHeight="1">
      <c r="A22" s="1017" t="s">
        <v>340</v>
      </c>
      <c r="B22" s="1018"/>
      <c r="C22" s="91" t="str">
        <f>'基础数据(房地产)'!A23</f>
        <v>土地坐落</v>
      </c>
      <c r="D22" s="996" t="str">
        <f>'基础数据(房地产)'!B23</f>
        <v>成都市高新区交子大道199号16栋1单元9层902号</v>
      </c>
      <c r="E22" s="997"/>
      <c r="F22" s="997"/>
      <c r="G22" s="997"/>
      <c r="H22" s="997"/>
      <c r="I22" s="997"/>
      <c r="J22" s="998"/>
    </row>
    <row r="23" spans="1:10" ht="15.75" customHeight="1">
      <c r="A23" s="1019"/>
      <c r="B23" s="1020"/>
      <c r="C23" s="91" t="str">
        <f>'基础数据(房地产)'!A21</f>
        <v>《土地使用证》编</v>
      </c>
      <c r="D23" s="1016" t="str">
        <f>'基础数据(房地产)'!B21</f>
        <v>-</v>
      </c>
      <c r="E23" s="997"/>
      <c r="F23" s="998"/>
      <c r="G23" s="91" t="str">
        <f>'基础数据(房地产)'!A22</f>
        <v>土地使用权人</v>
      </c>
      <c r="H23" s="996" t="str">
        <f>'基础数据(房地产)'!B22</f>
        <v>杜沛鸿</v>
      </c>
      <c r="I23" s="997"/>
      <c r="J23" s="998"/>
    </row>
    <row r="24" spans="1:10" ht="15.75" customHeight="1">
      <c r="A24" s="1019"/>
      <c r="B24" s="1020"/>
      <c r="C24" s="91" t="str">
        <f>'基础数据(房地产)'!A24</f>
        <v>地类（用途）</v>
      </c>
      <c r="D24" s="996" t="str">
        <f>'基础数据(房地产)'!B24</f>
        <v>假设住宅</v>
      </c>
      <c r="E24" s="997"/>
      <c r="F24" s="998"/>
      <c r="G24" s="91" t="str">
        <f>'基础数据(房地产)'!A25</f>
        <v>使用权类型</v>
      </c>
      <c r="H24" s="1006" t="str">
        <f>'基础数据(房地产)'!B25</f>
        <v>出让</v>
      </c>
      <c r="I24" s="997"/>
      <c r="J24" s="998"/>
    </row>
    <row r="25" spans="1:10" ht="15.75" customHeight="1">
      <c r="A25" s="1019"/>
      <c r="B25" s="1020"/>
      <c r="C25" s="91" t="str">
        <f>'基础数据(房地产)'!C22</f>
        <v>地号/图号</v>
      </c>
      <c r="D25" s="996" t="str">
        <f>'基础数据(房地产)'!D22</f>
        <v>----</v>
      </c>
      <c r="E25" s="997"/>
      <c r="F25" s="998"/>
      <c r="G25" s="91" t="str">
        <f>'基础数据(房地产)'!C24</f>
        <v>终止日期</v>
      </c>
      <c r="H25" s="1006" t="str">
        <f>'基础数据(房地产)'!D24</f>
        <v>-</v>
      </c>
      <c r="I25" s="1007"/>
      <c r="J25" s="1008"/>
    </row>
    <row r="26" spans="1:10" ht="15.75" customHeight="1">
      <c r="A26" s="1019"/>
      <c r="B26" s="1020"/>
      <c r="C26" s="91" t="str">
        <f>'基础数据(房地产)'!C25</f>
        <v>使用权面积（㎡）</v>
      </c>
      <c r="D26" s="996" t="str">
        <f>'基础数据(房地产)'!D25</f>
        <v>-</v>
      </c>
      <c r="E26" s="997"/>
      <c r="F26" s="998"/>
      <c r="G26" s="91" t="str">
        <f>'基础数据(房地产)'!A26</f>
        <v>其中分摊面积（㎡）</v>
      </c>
      <c r="H26" s="996" t="str">
        <f>'基础数据(房地产)'!B26</f>
        <v>-</v>
      </c>
      <c r="I26" s="997"/>
      <c r="J26" s="998"/>
    </row>
    <row r="27" spans="1:10" ht="76.5" customHeight="1">
      <c r="A27" s="1021"/>
      <c r="B27" s="1022"/>
      <c r="C27" s="91" t="str">
        <f>'基础数据(房地产)'!A30</f>
        <v>备注</v>
      </c>
      <c r="D27" s="999" t="str">
        <f>'基础数据(房地产)'!B30</f>
        <v>因委托方未提供估价对象《国有土地使用证》复印件，根据委托方提供的《房屋所有权证》复印件记载，土地使用权取得方式：出让，提请报告使用人注意。</v>
      </c>
      <c r="E27" s="1000"/>
      <c r="F27" s="1000"/>
      <c r="G27" s="1001"/>
      <c r="H27" s="1001"/>
      <c r="I27" s="1001"/>
      <c r="J27" s="1002"/>
    </row>
    <row r="28" spans="1:10" ht="12.75" customHeight="1">
      <c r="A28" s="987" t="s">
        <v>341</v>
      </c>
      <c r="B28" s="987"/>
      <c r="C28" s="988" t="s">
        <v>342</v>
      </c>
      <c r="D28" s="989"/>
      <c r="E28" s="989"/>
      <c r="F28" s="989"/>
      <c r="G28" s="989"/>
      <c r="H28" s="989"/>
      <c r="I28" s="989"/>
      <c r="J28" s="989"/>
    </row>
    <row r="29" spans="1:10" ht="15.75" customHeight="1">
      <c r="A29" s="1003" t="str">
        <f>查看表!A5</f>
        <v>楼盘名称</v>
      </c>
      <c r="B29" s="1004"/>
      <c r="C29" s="1005"/>
      <c r="D29" s="996" t="str">
        <f>查看表!D5</f>
        <v>中海城南一号</v>
      </c>
      <c r="E29" s="998"/>
      <c r="F29" s="91" t="str">
        <f>查看表!F5</f>
        <v>建成年代</v>
      </c>
      <c r="G29" s="93" t="str">
        <f>查看表!G5</f>
        <v>2011-10-1</v>
      </c>
      <c r="H29" s="91" t="str">
        <f>查看表!H5</f>
        <v>建筑结构</v>
      </c>
      <c r="I29" s="996" t="str">
        <f>查看表!I5</f>
        <v>钢混</v>
      </c>
      <c r="J29" s="998"/>
    </row>
    <row r="30" spans="1:10" ht="15.75" customHeight="1">
      <c r="A30" s="1003" t="str">
        <f>查看表!A6</f>
        <v>户型</v>
      </c>
      <c r="B30" s="1004"/>
      <c r="C30" s="1005"/>
      <c r="D30" s="996" t="str">
        <f>查看表!D6</f>
        <v>4室2厅1厨3卫</v>
      </c>
      <c r="E30" s="998"/>
      <c r="F30" s="91" t="str">
        <f>查看表!F6</f>
        <v>朝向</v>
      </c>
      <c r="G30" s="92" t="str">
        <f>查看表!G6</f>
        <v>南</v>
      </c>
      <c r="H30" s="91" t="str">
        <f>查看表!H6</f>
        <v>空间布局</v>
      </c>
      <c r="I30" s="996" t="str">
        <f>查看表!I6</f>
        <v>平层</v>
      </c>
      <c r="J30" s="998"/>
    </row>
    <row r="31" spans="1:10" ht="15.75" customHeight="1">
      <c r="A31" s="1003" t="str">
        <f>查看表!A7</f>
        <v>位置状况</v>
      </c>
      <c r="B31" s="1004"/>
      <c r="C31" s="1005"/>
      <c r="D31" s="996" t="str">
        <f>查看表!D7</f>
        <v>不临街</v>
      </c>
      <c r="E31" s="998"/>
      <c r="F31" s="91" t="str">
        <f>查看表!F7</f>
        <v>层高</v>
      </c>
      <c r="G31" s="92" t="str">
        <f>查看表!G7</f>
        <v>约3米</v>
      </c>
      <c r="H31" s="91" t="str">
        <f>查看表!H7</f>
        <v>利用现状</v>
      </c>
      <c r="I31" s="996" t="str">
        <f>查看表!I7</f>
        <v>自用</v>
      </c>
      <c r="J31" s="998"/>
    </row>
    <row r="32" spans="1:10" ht="15.75" customHeight="1">
      <c r="A32" s="1003" t="str">
        <f>查看表!A8</f>
        <v>总层数</v>
      </c>
      <c r="B32" s="1038"/>
      <c r="C32" s="1039"/>
      <c r="D32" s="996" t="str">
        <f>查看表!D8</f>
        <v>28</v>
      </c>
      <c r="E32" s="998"/>
      <c r="F32" s="91" t="str">
        <f>查看表!F8</f>
        <v>所在层数</v>
      </c>
      <c r="G32" s="92" t="str">
        <f>查看表!G8</f>
        <v>9</v>
      </c>
      <c r="H32" s="91" t="str">
        <f>查看表!H8</f>
        <v>实际用途</v>
      </c>
      <c r="I32" s="996" t="str">
        <f>查看表!I8</f>
        <v>住宅</v>
      </c>
      <c r="J32" s="998"/>
    </row>
    <row r="33" spans="1:10" ht="15.75" customHeight="1">
      <c r="A33" s="1003" t="str">
        <f>查看表!A9</f>
        <v>单元户数</v>
      </c>
      <c r="B33" s="1038"/>
      <c r="C33" s="1039"/>
      <c r="D33" s="996" t="str">
        <f>查看表!D9</f>
        <v>两梯四户</v>
      </c>
      <c r="E33" s="998"/>
      <c r="F33" s="91" t="str">
        <f>查看表!F9</f>
        <v>成新率</v>
      </c>
      <c r="G33" s="92" t="str">
        <f>查看表!G9</f>
        <v>90%</v>
      </c>
      <c r="H33" s="91" t="str">
        <f>查看表!H9</f>
        <v>维护保养状况</v>
      </c>
      <c r="I33" s="996" t="str">
        <f>查看表!I9</f>
        <v>完好房</v>
      </c>
      <c r="J33" s="998"/>
    </row>
    <row r="34" spans="1:10" ht="17.25" customHeight="1">
      <c r="A34" s="1003" t="str">
        <f>查看表!A10</f>
        <v>设施设备</v>
      </c>
      <c r="B34" s="1004"/>
      <c r="C34" s="1005"/>
      <c r="D34" s="996" t="str">
        <f>查看表!D10</f>
        <v>2部电梯、地下停车位、电话接口、专用宽带、有线电视接口、管道天然气</v>
      </c>
      <c r="E34" s="1023"/>
      <c r="F34" s="1023"/>
      <c r="G34" s="997"/>
      <c r="H34" s="997"/>
      <c r="I34" s="997"/>
      <c r="J34" s="998"/>
    </row>
    <row r="35" spans="1:10" ht="15.75" customHeight="1">
      <c r="A35" s="1003" t="str">
        <f>查看表!A11</f>
        <v>装修状况</v>
      </c>
      <c r="B35" s="1047"/>
      <c r="C35" s="985" t="str">
        <f>查看表!C11</f>
        <v>估价对象所在建筑物外墙为条形砖，估价对象入户为防盗门，室内安装实木门分户，安装塑钢窗；室内客厅地面铺花岗石，墙面刷墙纸，顶棚为墙纸；卧室地面铺花岗石，墙面为墙纸,顶棚为墙纸；厨房及卫生间地面铺设防滑地砖、墙面为瓷砖满贴，顶棚采用塑料扣板吊顶。</v>
      </c>
      <c r="D35" s="1049"/>
      <c r="E35" s="1050"/>
      <c r="F35" s="1050"/>
      <c r="G35" s="1050"/>
      <c r="H35" s="1050"/>
      <c r="I35" s="1050"/>
      <c r="J35" s="1051"/>
    </row>
    <row r="36" spans="1:10" ht="45" customHeight="1">
      <c r="A36" s="1048"/>
      <c r="B36" s="1047"/>
      <c r="C36" s="1052"/>
      <c r="D36" s="1050"/>
      <c r="E36" s="1050"/>
      <c r="F36" s="1050"/>
      <c r="G36" s="1050"/>
      <c r="H36" s="1050"/>
      <c r="I36" s="1050"/>
      <c r="J36" s="1051"/>
    </row>
    <row r="37" spans="1:10" s="80" customFormat="1" ht="15.75" customHeight="1">
      <c r="A37" s="987" t="s">
        <v>134</v>
      </c>
      <c r="B37" s="987"/>
      <c r="C37" s="1040" t="s">
        <v>135</v>
      </c>
      <c r="D37" s="1041"/>
      <c r="E37" s="1041"/>
      <c r="F37" s="1041"/>
      <c r="G37" s="1041"/>
      <c r="H37" s="1041"/>
      <c r="I37" s="1041"/>
      <c r="J37" s="1041"/>
    </row>
    <row r="38" spans="1:10" s="81" customFormat="1" ht="15.75" customHeight="1">
      <c r="A38" s="1053" t="str">
        <f>查看表!A14</f>
        <v>位置状况</v>
      </c>
      <c r="B38" s="1054"/>
      <c r="C38" s="1057" t="str">
        <f>查看表!C14</f>
        <v>估价对象位于“中海城南一号”小区，该小区位于成都市南面，三环路外，东临益州大道，南临锦悦西二街，西临成汉南路，北临交子大道，区位条件较好。</v>
      </c>
      <c r="D38" s="1058"/>
      <c r="E38" s="1058"/>
      <c r="F38" s="1058"/>
      <c r="G38" s="1058"/>
      <c r="H38" s="1058"/>
      <c r="I38" s="1058"/>
      <c r="J38" s="1054"/>
    </row>
    <row r="39" spans="1:10" s="81" customFormat="1" ht="34.5" customHeight="1">
      <c r="A39" s="1055"/>
      <c r="B39" s="1056"/>
      <c r="C39" s="1055"/>
      <c r="D39" s="1059"/>
      <c r="E39" s="1059"/>
      <c r="F39" s="1059"/>
      <c r="G39" s="1059"/>
      <c r="H39" s="1059"/>
      <c r="I39" s="1059"/>
      <c r="J39" s="1056"/>
    </row>
    <row r="40" spans="1:10" s="81" customFormat="1" ht="15.75" customHeight="1">
      <c r="A40" s="1060" t="s">
        <v>142</v>
      </c>
      <c r="B40" s="1054"/>
      <c r="C40" s="1057" t="str">
        <f>查看表!C16</f>
        <v>区域内分布有交子大道，锦悦西二街，益州大道，成汉南路等多条道路，并通过以上道路与城市主要干道相连，形成较为发达的交通网络，区域内道路通达度较好，附近有84、115、188、236、505路等多条公交线路途经并就近设有公交站点，估价对象所在小区出入口无交通限制，公交便捷度较高。</v>
      </c>
      <c r="D40" s="1058"/>
      <c r="E40" s="1058"/>
      <c r="F40" s="1058"/>
      <c r="G40" s="1058"/>
      <c r="H40" s="1058"/>
      <c r="I40" s="1058"/>
      <c r="J40" s="1054"/>
    </row>
    <row r="41" spans="1:10" s="81" customFormat="1" ht="49.5" customHeight="1">
      <c r="A41" s="1055"/>
      <c r="B41" s="1056"/>
      <c r="C41" s="1055"/>
      <c r="D41" s="1059"/>
      <c r="E41" s="1059"/>
      <c r="F41" s="1059"/>
      <c r="G41" s="1059"/>
      <c r="H41" s="1059"/>
      <c r="I41" s="1059"/>
      <c r="J41" s="1056"/>
    </row>
    <row r="42" spans="1:10" s="81" customFormat="1" ht="49.5" customHeight="1">
      <c r="A42" s="1003" t="str">
        <f>查看表!A18</f>
        <v>生活服务设施</v>
      </c>
      <c r="B42" s="1039"/>
      <c r="C42" s="985" t="str">
        <f>查看表!C18</f>
        <v>该区域内分布有红旗超市、二十四时便利店、七十一便利店、宋庆龄国际幼稚园、泡桐树小学天府校区、成都市石室天府中学、乐山商业银行、农业银行、成都农商银行、成都市第一人民医院、成都高薪民爱医院、成都市中西医结合医院等，该区域内生活配套设施齐全。</v>
      </c>
      <c r="D42" s="1030"/>
      <c r="E42" s="1030"/>
      <c r="F42" s="1030"/>
      <c r="G42" s="1030"/>
      <c r="H42" s="1030"/>
      <c r="I42" s="1030"/>
      <c r="J42" s="1029"/>
    </row>
    <row r="43" spans="1:10" ht="25.5" customHeight="1">
      <c r="A43" s="1003" t="str">
        <f>查看表!A19</f>
        <v>居住氛围</v>
      </c>
      <c r="B43" s="1029"/>
      <c r="C43" s="985" t="str">
        <f>查看表!C19</f>
        <v>周边分布有誉峰、仁和春天国际公寓、天府新谷等住宅小区，常住人口众多，居住氛围浓厚。</v>
      </c>
      <c r="D43" s="1030"/>
      <c r="E43" s="1030"/>
      <c r="F43" s="1030"/>
      <c r="G43" s="1030"/>
      <c r="H43" s="1030"/>
      <c r="I43" s="1030"/>
      <c r="J43" s="1029"/>
    </row>
    <row r="44" spans="1:10" ht="15" customHeight="1">
      <c r="A44" s="1031" t="s">
        <v>406</v>
      </c>
      <c r="B44" s="1032"/>
      <c r="C44" s="1032"/>
      <c r="D44" s="1032"/>
      <c r="E44" s="1032"/>
      <c r="F44" s="1032"/>
      <c r="G44" s="1032"/>
      <c r="H44" s="1032"/>
      <c r="I44" s="1031"/>
      <c r="J44" s="1032"/>
    </row>
    <row r="45" spans="1:10" ht="64.5" customHeight="1">
      <c r="A45" s="1043" t="s">
        <v>407</v>
      </c>
      <c r="B45" s="1044"/>
      <c r="C45" s="980" t="s">
        <v>408</v>
      </c>
      <c r="D45" s="980"/>
      <c r="E45" s="980"/>
      <c r="F45" s="980"/>
      <c r="G45" s="980"/>
      <c r="H45" s="980"/>
      <c r="I45" s="980"/>
      <c r="J45" s="980"/>
    </row>
    <row r="46" spans="1:10" ht="48" customHeight="1">
      <c r="A46" s="1045"/>
      <c r="B46" s="1046"/>
      <c r="C46" s="980" t="s">
        <v>409</v>
      </c>
      <c r="D46" s="980"/>
      <c r="E46" s="980"/>
      <c r="F46" s="980"/>
      <c r="G46" s="980"/>
      <c r="H46" s="980"/>
      <c r="I46" s="980"/>
      <c r="J46" s="980"/>
    </row>
    <row r="47" spans="1:10" ht="57" customHeight="1">
      <c r="A47" s="1033" t="s">
        <v>410</v>
      </c>
      <c r="B47" s="1033"/>
      <c r="C47" s="980" t="s">
        <v>411</v>
      </c>
      <c r="D47" s="980"/>
      <c r="E47" s="980"/>
      <c r="F47" s="980"/>
      <c r="G47" s="980"/>
      <c r="H47" s="980"/>
      <c r="I47" s="980"/>
      <c r="J47" s="980"/>
    </row>
    <row r="48" spans="1:10" ht="15.75" customHeight="1">
      <c r="A48" s="121" t="s">
        <v>412</v>
      </c>
      <c r="B48" s="121"/>
      <c r="C48" s="122"/>
      <c r="D48" s="122"/>
      <c r="E48" s="122"/>
      <c r="F48" s="122"/>
      <c r="G48" s="122"/>
      <c r="H48" s="122"/>
      <c r="I48" s="122"/>
      <c r="J48" s="83"/>
    </row>
    <row r="49" spans="1:21" ht="15.75" customHeight="1">
      <c r="A49" s="96"/>
      <c r="B49" s="1034" t="e">
        <f>#REF!</f>
        <v>#REF!</v>
      </c>
      <c r="C49" s="1035"/>
      <c r="D49" s="97" t="e">
        <f>#REF!</f>
        <v>#REF!</v>
      </c>
      <c r="E49" s="97" t="e">
        <f>#REF!</f>
        <v>#REF!</v>
      </c>
      <c r="F49" s="97" t="e">
        <f>#REF!</f>
        <v>#REF!</v>
      </c>
      <c r="G49" s="97" t="e">
        <f>#REF!</f>
        <v>#REF!</v>
      </c>
      <c r="H49" s="97" t="e">
        <f>#REF!</f>
        <v>#REF!</v>
      </c>
      <c r="I49" s="83"/>
      <c r="J49" s="83"/>
    </row>
    <row r="50" spans="1:21" ht="15.75" customHeight="1">
      <c r="A50" s="96"/>
      <c r="B50" s="1036" t="e">
        <f>#REF!</f>
        <v>#REF!</v>
      </c>
      <c r="C50" s="1037"/>
      <c r="D50" s="98" t="e">
        <f>#REF!</f>
        <v>#REF!</v>
      </c>
      <c r="E50" s="99" t="e">
        <f>#REF!</f>
        <v>#REF!</v>
      </c>
      <c r="F50" s="99" t="e">
        <f>#REF!</f>
        <v>#REF!</v>
      </c>
      <c r="G50" s="98" t="e">
        <f>#REF!</f>
        <v>#REF!</v>
      </c>
      <c r="H50" s="100" t="e">
        <f>#REF!</f>
        <v>#REF!</v>
      </c>
      <c r="I50" s="83"/>
      <c r="J50" s="83"/>
    </row>
    <row r="51" spans="1:21" ht="15.75" customHeight="1">
      <c r="A51" s="96"/>
      <c r="B51" s="1036" t="e">
        <f>#REF!</f>
        <v>#REF!</v>
      </c>
      <c r="C51" s="1037"/>
      <c r="D51" s="98" t="e">
        <f>#REF!</f>
        <v>#REF!</v>
      </c>
      <c r="E51" s="99" t="e">
        <f>#REF!</f>
        <v>#REF!</v>
      </c>
      <c r="F51" s="99" t="e">
        <f>#REF!</f>
        <v>#REF!</v>
      </c>
      <c r="G51" s="98" t="e">
        <f>#REF!</f>
        <v>#REF!</v>
      </c>
      <c r="H51" s="100" t="e">
        <f>#REF!</f>
        <v>#REF!</v>
      </c>
      <c r="I51" s="83"/>
      <c r="J51" s="83"/>
    </row>
    <row r="52" spans="1:21" ht="12.75" customHeight="1">
      <c r="A52" s="96"/>
      <c r="B52" s="1064" t="e">
        <f>#REF!</f>
        <v>#REF!</v>
      </c>
      <c r="C52" s="1065"/>
      <c r="D52" s="101" t="e">
        <f>#REF!</f>
        <v>#REF!</v>
      </c>
      <c r="E52" s="102" t="e">
        <f>#REF!</f>
        <v>#REF!</v>
      </c>
      <c r="F52" s="102" t="e">
        <f>#REF!</f>
        <v>#REF!</v>
      </c>
      <c r="G52" s="101" t="e">
        <f>#REF!</f>
        <v>#REF!</v>
      </c>
      <c r="H52" s="103" t="e">
        <f>#REF!</f>
        <v>#REF!</v>
      </c>
      <c r="I52" s="83"/>
      <c r="J52" s="83"/>
    </row>
    <row r="53" spans="1:21" ht="8.25" customHeight="1">
      <c r="A53" s="1066" t="s">
        <v>343</v>
      </c>
      <c r="B53" s="1066"/>
      <c r="C53" s="1066"/>
      <c r="D53" s="1066"/>
      <c r="E53" s="1066"/>
      <c r="F53" s="1066"/>
      <c r="G53" s="1066"/>
      <c r="H53" s="1066"/>
      <c r="I53" s="1066"/>
      <c r="J53" s="1066"/>
    </row>
    <row r="54" spans="1:21" ht="30" customHeight="1">
      <c r="A54" s="113" t="s">
        <v>58</v>
      </c>
      <c r="B54" s="1067" t="s">
        <v>344</v>
      </c>
      <c r="C54" s="1067"/>
      <c r="D54" s="1067"/>
      <c r="E54" s="1067"/>
      <c r="F54" s="1067"/>
      <c r="G54" s="1067"/>
      <c r="H54" s="1067"/>
      <c r="I54" s="1067"/>
      <c r="J54" s="1067"/>
    </row>
    <row r="55" spans="1:21" ht="15" customHeight="1">
      <c r="A55" s="113" t="s">
        <v>341</v>
      </c>
      <c r="B55" s="1067" t="s">
        <v>398</v>
      </c>
      <c r="C55" s="1067"/>
      <c r="D55" s="1067"/>
      <c r="E55" s="1067"/>
      <c r="F55" s="1067"/>
      <c r="G55" s="1067"/>
      <c r="H55" s="1067"/>
      <c r="I55" s="1067"/>
      <c r="J55" s="1067"/>
    </row>
    <row r="56" spans="1:21" ht="30.75" customHeight="1">
      <c r="A56" s="113" t="s">
        <v>134</v>
      </c>
      <c r="B56" s="1067" t="s">
        <v>346</v>
      </c>
      <c r="C56" s="1067"/>
      <c r="D56" s="1067"/>
      <c r="E56" s="1067"/>
      <c r="F56" s="1067"/>
      <c r="G56" s="1067"/>
      <c r="H56" s="1067"/>
      <c r="I56" s="1067"/>
      <c r="J56" s="1067"/>
      <c r="K56" s="114" t="s">
        <v>347</v>
      </c>
      <c r="L56" s="117" t="s">
        <v>348</v>
      </c>
      <c r="M56" s="1068" t="str">
        <f>CONCATENATE("根据委托方提供的《房屋所有权证》复印件记载，估价对象已于",'基础数据(房地产)'!D18,"设定了抵押权，抵押期限为",'基础数据(房地产)'!D19,"，担保债权价值为",'基础数据(房地产)'!E19,"元。根据委托方提供的《房地产估价委托书》，经委托方确认，委托方拟以清偿债权后的估价对象作为抵押物再次申请贷款，并做出书面承诺：以该房地产作为抵押担保物向有关机构贷款和办理抵押登记前清偿该房地产已抵押担保的所有债权并注销抵押的他项权利登记，保证该房地产未设定他项权利。本次评估以估价对象未设定抵押权为假设前提。")</f>
        <v>根据委托方提供的《房屋所有权证》复印件记载，估价对象已于无设定了抵押权，抵押期限为无，担保债权价值为无元。根据委托方提供的《房地产估价委托书》，经委托方确认，委托方拟以清偿债权后的估价对象作为抵押物再次申请贷款，并做出书面承诺：以该房地产作为抵押担保物向有关机构贷款和办理抵押登记前清偿该房地产已抵押担保的所有债权并注销抵押的他项权利登记，保证该房地产未设定他项权利。本次评估以估价对象未设定抵押权为假设前提。</v>
      </c>
      <c r="N56" s="1068"/>
      <c r="O56" s="1068"/>
      <c r="P56" s="1068"/>
      <c r="Q56" s="1068"/>
      <c r="R56" s="1068"/>
      <c r="S56" s="1068"/>
      <c r="T56" s="1068"/>
      <c r="U56" s="1068"/>
    </row>
    <row r="57" spans="1:21" ht="15" customHeight="1">
      <c r="A57" s="113" t="s">
        <v>350</v>
      </c>
      <c r="B57" s="1061" t="s">
        <v>351</v>
      </c>
      <c r="C57" s="1061"/>
      <c r="D57" s="1061"/>
      <c r="E57" s="1061"/>
      <c r="F57" s="1061"/>
      <c r="G57" s="1061"/>
      <c r="H57" s="1061"/>
      <c r="I57" s="1061"/>
      <c r="J57" s="1061"/>
      <c r="K57" s="114" t="s">
        <v>352</v>
      </c>
      <c r="L57" s="117" t="s">
        <v>353</v>
      </c>
      <c r="M57" s="1028" t="str">
        <f>CONCATENATE("根据委托方提供的《房屋所有权证》界定地址为：",D13,"，经估价人员现场查看，估价对象现地址为:",D14,"，本次评估以上述地址系同一物业为假设前提，提请报告使用人注意。")</f>
        <v>根据委托方提供的《房屋所有权证》界定地址为：成都市高新区交子大道199号16栋1单元9层902号，经估价人员现场查看，估价对象现地址为:成都市高新区交子大道中海城南一号16栋1单元9层，未见街道门牌号及房号，本次评估以上述地址系同一物业为假设前提，提请报告使用人注意。</v>
      </c>
      <c r="N57" s="1028"/>
      <c r="O57" s="1028"/>
      <c r="P57" s="1028"/>
      <c r="Q57" s="1028"/>
      <c r="R57" s="1028"/>
      <c r="S57" s="1028"/>
      <c r="T57" s="1028"/>
      <c r="U57" s="1028"/>
    </row>
    <row r="58" spans="1:21" ht="45.75" customHeight="1">
      <c r="A58" s="117" t="s">
        <v>354</v>
      </c>
      <c r="B58" s="1061" t="e">
        <f>M60</f>
        <v>#REF!</v>
      </c>
      <c r="C58" s="1061"/>
      <c r="D58" s="1061"/>
      <c r="E58" s="1061"/>
      <c r="F58" s="1061"/>
      <c r="G58" s="1061"/>
      <c r="H58" s="1061"/>
      <c r="I58" s="1061"/>
      <c r="J58" s="1061"/>
      <c r="K58" s="124"/>
      <c r="L58" s="81"/>
      <c r="M58" s="81"/>
      <c r="N58" s="81"/>
      <c r="O58" s="81"/>
      <c r="P58" s="81"/>
      <c r="Q58" s="81"/>
      <c r="R58" s="81"/>
      <c r="S58" s="81"/>
      <c r="T58" s="81"/>
      <c r="U58" s="81"/>
    </row>
    <row r="59" spans="1:21" s="81" customFormat="1" ht="1.5" hidden="1" customHeight="1">
      <c r="A59" s="123"/>
      <c r="B59" s="124"/>
      <c r="C59" s="124"/>
      <c r="D59" s="124"/>
      <c r="E59" s="124"/>
      <c r="F59" s="124"/>
      <c r="G59" s="124"/>
      <c r="H59" s="124"/>
      <c r="I59" s="124"/>
      <c r="J59" s="124"/>
      <c r="K59" s="79"/>
      <c r="L59" s="79" t="s">
        <v>357</v>
      </c>
      <c r="M59" s="79" t="s">
        <v>358</v>
      </c>
      <c r="N59" s="79"/>
      <c r="O59" s="79"/>
      <c r="P59" s="79"/>
      <c r="Q59" s="79"/>
      <c r="R59" s="79"/>
      <c r="S59" s="79"/>
      <c r="T59" s="79"/>
      <c r="U59" s="79"/>
    </row>
    <row r="60" spans="1:21" ht="18" customHeight="1">
      <c r="C60" s="79" t="s">
        <v>359</v>
      </c>
      <c r="F60" s="79" t="s">
        <v>360</v>
      </c>
      <c r="G60" s="79" t="s">
        <v>399</v>
      </c>
      <c r="K60" s="79" t="s">
        <v>361</v>
      </c>
      <c r="L60" s="79" t="s">
        <v>353</v>
      </c>
      <c r="M60" s="1042" t="e">
        <f>CONCATENATE("评估净值是指评估价值减去预期实现抵押权的费用和税金（预计税费）后的价值。经测算，估价对象的预计税费为人民币",平安初评!H9,"元，大写人民币",'税费表（个人住宅)'!G22,"元整。评估净值为人民币",平安初评!I9,"元，大写人民币",L9,"元整。")</f>
        <v>#REF!</v>
      </c>
      <c r="N60" s="1042"/>
      <c r="O60" s="1042"/>
      <c r="P60" s="1042"/>
      <c r="Q60" s="1042"/>
      <c r="R60" s="1042"/>
      <c r="S60" s="1042"/>
      <c r="T60" s="1042"/>
      <c r="U60" s="1042"/>
    </row>
    <row r="61" spans="1:21" ht="19.5" customHeight="1">
      <c r="C61" s="79" t="s">
        <v>363</v>
      </c>
      <c r="L61" s="79" t="s">
        <v>364</v>
      </c>
      <c r="M61" s="1042" t="str">
        <f>CONCATENATE("根据委托方提供的《房屋所有权证》界定地址为：",'基础数据(房地产)'!B5,",经估价人员现场查看，估价对象现地址为：",'基础数据(房地产)'!B6,",本次评估以上述地址系同一地址为假设前提，提请报告使用人注意。")</f>
        <v>根据委托方提供的《房屋所有权证》界定地址为：成都市高新区交子大道199号16栋1单元9层902号,经估价人员现场查看，估价对象现地址为：成都市高新区交子大道中海城南一号16栋1单元9层，未见街道门牌号及房号,本次评估以上述地址系同一地址为假设前提，提请报告使用人注意。</v>
      </c>
      <c r="N61" s="1042"/>
      <c r="O61" s="1042"/>
      <c r="P61" s="1042"/>
      <c r="Q61" s="1042"/>
      <c r="R61" s="1042"/>
      <c r="S61" s="1042"/>
    </row>
    <row r="62" spans="1:21" ht="17.25" customHeight="1">
      <c r="C62" s="79" t="s">
        <v>363</v>
      </c>
      <c r="K62" s="83"/>
      <c r="M62" s="1042"/>
      <c r="N62" s="1042"/>
      <c r="O62" s="1042"/>
      <c r="P62" s="1042"/>
      <c r="Q62" s="1042"/>
      <c r="R62" s="1042"/>
      <c r="S62" s="1042"/>
    </row>
    <row r="63" spans="1:21">
      <c r="B63" s="977" t="s">
        <v>400</v>
      </c>
      <c r="C63" s="977"/>
      <c r="D63" s="977"/>
      <c r="E63" s="977"/>
      <c r="F63" s="977"/>
      <c r="G63" s="977"/>
      <c r="H63" s="977"/>
      <c r="I63" s="977"/>
      <c r="J63" s="977"/>
      <c r="K63" s="116"/>
      <c r="M63" s="1042"/>
      <c r="N63" s="1042"/>
      <c r="O63" s="1042"/>
      <c r="P63" s="1042"/>
      <c r="Q63" s="1042"/>
      <c r="R63" s="1042"/>
      <c r="S63" s="1042"/>
    </row>
    <row r="64" spans="1:21">
      <c r="B64" s="1062" t="str">
        <f>'基础数据(房地产)'!B29</f>
        <v>二〇一七年十一月十日</v>
      </c>
      <c r="C64" s="1062"/>
      <c r="D64" s="1062"/>
      <c r="E64" s="1062"/>
      <c r="F64" s="1062"/>
      <c r="G64" s="1062"/>
      <c r="H64" s="1062"/>
      <c r="I64" s="1062"/>
      <c r="J64" s="1062"/>
      <c r="M64" s="127"/>
      <c r="N64" s="127"/>
      <c r="O64" s="127"/>
      <c r="P64" s="127"/>
      <c r="Q64" s="127"/>
      <c r="R64" s="127"/>
      <c r="S64" s="127"/>
    </row>
    <row r="65" spans="1:19">
      <c r="A65" s="79" t="s">
        <v>366</v>
      </c>
      <c r="K65" s="79" t="s">
        <v>367</v>
      </c>
      <c r="M65" s="1042" t="e">
        <f>CONCATENATE("因委托方未提供估价对象《国有土地使用证》复印件，根据委托方提供的《房屋所有权证》复印件、《房地产估价委托书》等相关资料，经委托方介绍，估价对象所属宗地系划拨方式取得，本次评估已扣除估价对象预计处分时应缴纳的土地出让金或相当于出让金的价款￥：",#REF!,"元（人民币",#REF!,"元）。")</f>
        <v>#REF!</v>
      </c>
      <c r="N65" s="1042"/>
      <c r="O65" s="1042"/>
      <c r="P65" s="1042"/>
      <c r="Q65" s="1042"/>
      <c r="R65" s="1042"/>
      <c r="S65" s="1042"/>
    </row>
    <row r="66" spans="1:19" ht="24.75" customHeight="1">
      <c r="A66" s="1063"/>
      <c r="B66" s="1063"/>
      <c r="C66" s="1063"/>
      <c r="D66" s="1063"/>
      <c r="E66" s="1063"/>
      <c r="F66" s="1063"/>
      <c r="G66" s="1063"/>
      <c r="H66" s="1063"/>
      <c r="I66" s="1063"/>
      <c r="M66" s="1042"/>
      <c r="N66" s="1042"/>
      <c r="O66" s="1042"/>
      <c r="P66" s="1042"/>
      <c r="Q66" s="1042"/>
      <c r="R66" s="1042"/>
      <c r="S66" s="1042"/>
    </row>
    <row r="67" spans="1:19">
      <c r="M67" s="1042"/>
      <c r="N67" s="1042"/>
      <c r="O67" s="1042"/>
      <c r="P67" s="1042"/>
      <c r="Q67" s="1042"/>
      <c r="R67" s="1042"/>
      <c r="S67" s="1042"/>
    </row>
    <row r="68" spans="1:19">
      <c r="K68" s="79" t="s">
        <v>369</v>
      </c>
      <c r="M68" s="1042" t="e">
        <f>CONCATENATE("根据委托方提供的《国有土地使用证》复印件，估价对象所属宗地系划拨方式取得，本次评估已扣除估价对象预计处分时应缴纳的土地出让金或相当于出让金的价款￥：",#REF!,"元（人民币",#REF!,"元）。")</f>
        <v>#REF!</v>
      </c>
      <c r="N68" s="1042"/>
      <c r="O68" s="1042"/>
      <c r="P68" s="1042"/>
    </row>
    <row r="69" spans="1:19">
      <c r="M69" s="1042"/>
      <c r="N69" s="1042"/>
      <c r="O69" s="1042"/>
      <c r="P69" s="1042"/>
    </row>
    <row r="70" spans="1:19">
      <c r="M70" s="1042"/>
      <c r="N70" s="1042"/>
      <c r="O70" s="1042"/>
      <c r="P70" s="1042"/>
    </row>
    <row r="72" spans="1:19">
      <c r="F72" s="115"/>
      <c r="K72" s="79" t="s">
        <v>370</v>
      </c>
      <c r="M72" s="1042" t="str">
        <f>CONCATENATE("根据委托方提供的《房屋所有权证》界定地址为：",'基础数据(房地产)'!B5,",根据委托方提供的《门（楼）牌号变更证明》及经估价人员现场查看，估价对象现地址为：",'基础数据(房地产)'!B6,",本次评估以上述地址系同一地址为假设前提，提请报告使用人注意。")</f>
        <v>根据委托方提供的《房屋所有权证》界定地址为：成都市高新区交子大道199号16栋1单元9层902号,根据委托方提供的《门（楼）牌号变更证明》及经估价人员现场查看，估价对象现地址为：成都市高新区交子大道中海城南一号16栋1单元9层，未见街道门牌号及房号,本次评估以上述地址系同一地址为假设前提，提请报告使用人注意。</v>
      </c>
      <c r="N72" s="1042"/>
      <c r="O72" s="1042"/>
      <c r="P72" s="1042"/>
      <c r="Q72" s="1042"/>
    </row>
    <row r="73" spans="1:19">
      <c r="M73" s="1042"/>
      <c r="N73" s="1042"/>
      <c r="O73" s="1042"/>
      <c r="P73" s="1042"/>
      <c r="Q73" s="1042"/>
    </row>
    <row r="74" spans="1:19">
      <c r="M74" s="1042"/>
      <c r="N74" s="1042"/>
      <c r="O74" s="1042"/>
      <c r="P74" s="1042"/>
      <c r="Q74" s="1042"/>
    </row>
  </sheetData>
  <mergeCells count="101">
    <mergeCell ref="Q72:Q74"/>
    <mergeCell ref="M68:P70"/>
    <mergeCell ref="M72:P74"/>
    <mergeCell ref="M61:S63"/>
    <mergeCell ref="M65:S67"/>
    <mergeCell ref="A45:B46"/>
    <mergeCell ref="A35:B36"/>
    <mergeCell ref="C35:J36"/>
    <mergeCell ref="A38:B39"/>
    <mergeCell ref="C38:J39"/>
    <mergeCell ref="A40:B41"/>
    <mergeCell ref="C40:J41"/>
    <mergeCell ref="B58:J58"/>
    <mergeCell ref="M60:U60"/>
    <mergeCell ref="B63:J63"/>
    <mergeCell ref="B64:J64"/>
    <mergeCell ref="A66:I66"/>
    <mergeCell ref="B52:C52"/>
    <mergeCell ref="A53:J53"/>
    <mergeCell ref="B54:J54"/>
    <mergeCell ref="B55:J55"/>
    <mergeCell ref="B56:J56"/>
    <mergeCell ref="M56:U56"/>
    <mergeCell ref="B57:J57"/>
    <mergeCell ref="A30:C30"/>
    <mergeCell ref="D30:E30"/>
    <mergeCell ref="I30:J30"/>
    <mergeCell ref="A31:C31"/>
    <mergeCell ref="D31:E31"/>
    <mergeCell ref="I31:J31"/>
    <mergeCell ref="A32:C32"/>
    <mergeCell ref="D32:E32"/>
    <mergeCell ref="I32:J32"/>
    <mergeCell ref="A33:C33"/>
    <mergeCell ref="D33:E33"/>
    <mergeCell ref="I33:J33"/>
    <mergeCell ref="A34:C34"/>
    <mergeCell ref="D34:J34"/>
    <mergeCell ref="A37:B37"/>
    <mergeCell ref="C37:J37"/>
    <mergeCell ref="A42:B42"/>
    <mergeCell ref="C42:J42"/>
    <mergeCell ref="M57:U57"/>
    <mergeCell ref="A43:B43"/>
    <mergeCell ref="C43:J43"/>
    <mergeCell ref="A44:H44"/>
    <mergeCell ref="I44:J44"/>
    <mergeCell ref="C45:J45"/>
    <mergeCell ref="C46:J46"/>
    <mergeCell ref="A47:B47"/>
    <mergeCell ref="C47:J47"/>
    <mergeCell ref="B49:C49"/>
    <mergeCell ref="B50:C50"/>
    <mergeCell ref="B51:C51"/>
    <mergeCell ref="D26:F26"/>
    <mergeCell ref="H26:J26"/>
    <mergeCell ref="D27:J27"/>
    <mergeCell ref="A28:B28"/>
    <mergeCell ref="C28:J28"/>
    <mergeCell ref="A29:C29"/>
    <mergeCell ref="D29:E29"/>
    <mergeCell ref="I29:J29"/>
    <mergeCell ref="D19:F19"/>
    <mergeCell ref="H19:J19"/>
    <mergeCell ref="D20:F20"/>
    <mergeCell ref="H20:J20"/>
    <mergeCell ref="D21:J21"/>
    <mergeCell ref="D22:J22"/>
    <mergeCell ref="D23:F23"/>
    <mergeCell ref="H23:J23"/>
    <mergeCell ref="D24:F24"/>
    <mergeCell ref="H24:J24"/>
    <mergeCell ref="A13:B21"/>
    <mergeCell ref="A22:B27"/>
    <mergeCell ref="D25:F25"/>
    <mergeCell ref="H25:J25"/>
    <mergeCell ref="D13:J13"/>
    <mergeCell ref="D14:J14"/>
    <mergeCell ref="D15:F15"/>
    <mergeCell ref="H15:J15"/>
    <mergeCell ref="D16:F16"/>
    <mergeCell ref="H16:J16"/>
    <mergeCell ref="D17:F17"/>
    <mergeCell ref="H17:J17"/>
    <mergeCell ref="D18:F18"/>
    <mergeCell ref="H18:J18"/>
    <mergeCell ref="A2:J2"/>
    <mergeCell ref="A4:J4"/>
    <mergeCell ref="A6:J6"/>
    <mergeCell ref="E7:F7"/>
    <mergeCell ref="C10:D10"/>
    <mergeCell ref="E10:I10"/>
    <mergeCell ref="C11:D11"/>
    <mergeCell ref="E11:I11"/>
    <mergeCell ref="A12:B12"/>
    <mergeCell ref="C12:J12"/>
    <mergeCell ref="C7:C8"/>
    <mergeCell ref="D7:D8"/>
    <mergeCell ref="G7:G8"/>
    <mergeCell ref="H7:H8"/>
    <mergeCell ref="I7:I8"/>
  </mergeCells>
  <phoneticPr fontId="23" type="noConversion"/>
  <dataValidations count="1">
    <dataValidation showInputMessage="1" showErrorMessage="1" sqref="F57"/>
  </dataValidations>
  <printOptions horizontalCentered="1"/>
  <pageMargins left="0.74791666666666701" right="0.74791666666666701" top="0.78680555555555598" bottom="0.78680555555555598" header="0.51180555555555596" footer="0.51180555555555596"/>
  <pageSetup paperSize="9" scale="99" firstPageNumber="12" orientation="portrait" useFirstPageNumber="1" r:id="rId1"/>
  <headerFooter alignWithMargins="0">
    <oddHeader>&amp;C&amp;G</oddHeader>
    <oddFooter>&amp;L&amp;G</oddFooter>
  </headerFooter>
  <rowBreaks count="1" manualBreakCount="1">
    <brk id="36" max="9" man="1"/>
  </rowBreak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5</vt:i4>
      </vt:variant>
    </vt:vector>
  </HeadingPairs>
  <TitlesOfParts>
    <vt:vector size="18" baseType="lpstr">
      <vt:lpstr>基础数据（不动产）</vt:lpstr>
      <vt:lpstr>基础数据(房地产)</vt:lpstr>
      <vt:lpstr>查看表</vt:lpstr>
      <vt:lpstr>收益法测算终值</vt:lpstr>
      <vt:lpstr>收益法（确定毛收益）</vt:lpstr>
      <vt:lpstr>比较法</vt:lpstr>
      <vt:lpstr>统一初评</vt:lpstr>
      <vt:lpstr>民生初评</vt:lpstr>
      <vt:lpstr>平安初评</vt:lpstr>
      <vt:lpstr>中信初评</vt:lpstr>
      <vt:lpstr>税费表（个人住宅)</vt:lpstr>
      <vt:lpstr>引用数据</vt:lpstr>
      <vt:lpstr>税费表</vt:lpstr>
      <vt:lpstr>'基础数据(房地产)'!Print_Area</vt:lpstr>
      <vt:lpstr>民生初评!Print_Area</vt:lpstr>
      <vt:lpstr>平安初评!Print_Area</vt:lpstr>
      <vt:lpstr>'税费表（个人住宅)'!Print_Area</vt:lpstr>
      <vt:lpstr>中信初评!Print_Area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桃哥</dc:creator>
  <cp:lastModifiedBy>taoye</cp:lastModifiedBy>
  <cp:lastPrinted>2017-11-01T06:58:52Z</cp:lastPrinted>
  <dcterms:created xsi:type="dcterms:W3CDTF">2000-02-16T01:37:00Z</dcterms:created>
  <dcterms:modified xsi:type="dcterms:W3CDTF">2017-11-28T01:19:32Z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