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mc:AlternateContent xmlns:mc="http://schemas.openxmlformats.org/markup-compatibility/2006">
    <mc:Choice Requires="x15">
      <x15ac:absPath xmlns:x15ac="http://schemas.microsoft.com/office/spreadsheetml/2010/11/ac" url="/Users/zauner/LRZ Sync+Share/VHB-LuG_Projektordner/Kurserstellung/Kurs2/04-Spektralmessung/Validierung/Results_CIE_Toolbox/Nordhimmel_2022-10-20/"/>
    </mc:Choice>
  </mc:AlternateContent>
  <xr:revisionPtr revIDLastSave="0" documentId="13_ncr:1_{A2ACA0EB-610B-704A-A2DC-66E1F85EBC20}" xr6:coauthVersionLast="47" xr6:coauthVersionMax="47" xr10:uidLastSave="{00000000-0000-0000-0000-000000000000}"/>
  <bookViews>
    <workbookView xWindow="940" yWindow="760" windowWidth="14660" windowHeight="18880" activeTab="2" xr2:uid="{00000000-000D-0000-FFFF-FFFF00000000}"/>
  </bookViews>
  <sheets>
    <sheet name="Maintenance" sheetId="13" state="hidden" r:id="rId1"/>
    <sheet name="Disclaimer" sheetId="9" r:id="rId2"/>
    <sheet name="Inputs" sheetId="1" r:id="rId3"/>
    <sheet name="Outputs" sheetId="14" r:id="rId4"/>
    <sheet name="Spectra" sheetId="6" state="hidden" r:id="rId5"/>
    <sheet name="Physics" sheetId="12" state="hidden" r:id="rId6"/>
    <sheet name="Photobiology" sheetId="4" state="hidden" r:id="rId7"/>
    <sheet name="Calculations" sheetId="11" state="hidden" r:id="rId8"/>
    <sheet name="Charts" sheetId="3" r:id="rId9"/>
    <sheet name="Action spectra" sheetId="16" r:id="rId10"/>
    <sheet name="Glossary" sheetId="8" r:id="rId11"/>
    <sheet name="Advanced Inputs" sheetId="15" state="hidden" r:id="rId12"/>
    <sheet name="Advanced Outputs" sheetId="2" r:id="rId13"/>
    <sheet name="Transmittance" sheetId="5" state="hidden" r:id="rId14"/>
  </sheets>
  <definedNames>
    <definedName name="_xlnm.Print_Titles" localSheetId="9">'Action spectra'!$19:$20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1" l="1"/>
  <c r="B1" i="1" l="1"/>
  <c r="C3" i="8"/>
  <c r="C3" i="2" l="1"/>
  <c r="C3" i="16"/>
  <c r="C3" i="3"/>
  <c r="B1" i="5"/>
  <c r="I1" i="15"/>
  <c r="B1" i="11"/>
  <c r="B1" i="4"/>
  <c r="B1" i="12"/>
  <c r="B1" i="6"/>
  <c r="B1" i="2"/>
  <c r="B1" i="8"/>
  <c r="B1" i="16"/>
  <c r="B1" i="3"/>
  <c r="B1" i="14"/>
  <c r="B1" i="13"/>
  <c r="J11" i="15" l="1"/>
  <c r="J15" i="15" l="1"/>
  <c r="J16" i="15" s="1"/>
  <c r="J12" i="15"/>
  <c r="I18" i="15" l="1"/>
  <c r="L30" i="15"/>
  <c r="J25" i="15"/>
  <c r="B20" i="1"/>
  <c r="B19" i="1"/>
  <c r="B11" i="1"/>
  <c r="B13" i="1"/>
  <c r="B12" i="1"/>
  <c r="J9" i="15" l="1"/>
  <c r="B20" i="2"/>
  <c r="D20" i="2"/>
  <c r="K65" i="2" l="1"/>
  <c r="J20" i="15"/>
  <c r="I21" i="15"/>
  <c r="I22" i="15"/>
  <c r="I24" i="15"/>
  <c r="I26" i="15"/>
  <c r="I27" i="15"/>
  <c r="I28" i="15"/>
  <c r="L28" i="15"/>
  <c r="I29" i="15"/>
  <c r="I30" i="15"/>
  <c r="I31" i="15"/>
  <c r="I32" i="15"/>
  <c r="I33" i="15"/>
  <c r="I34" i="15"/>
  <c r="L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88" i="15"/>
  <c r="I89" i="15"/>
  <c r="I90" i="15"/>
  <c r="I91" i="15"/>
  <c r="I92" i="15"/>
  <c r="I93" i="15"/>
  <c r="I94" i="15"/>
  <c r="I95" i="15"/>
  <c r="I96" i="15"/>
  <c r="I97" i="15"/>
  <c r="I98" i="15"/>
  <c r="I99" i="15"/>
  <c r="I100" i="15"/>
  <c r="I101" i="15"/>
  <c r="I102" i="15"/>
  <c r="I103" i="15"/>
  <c r="I104" i="15"/>
  <c r="I105" i="15"/>
  <c r="I106" i="15"/>
  <c r="I107" i="15"/>
  <c r="I108" i="15"/>
  <c r="I109" i="15"/>
  <c r="I110" i="15"/>
  <c r="I111" i="15"/>
  <c r="I112" i="15"/>
  <c r="I113" i="15"/>
  <c r="I114" i="15"/>
  <c r="I115" i="15"/>
  <c r="I116" i="15"/>
  <c r="I117" i="15"/>
  <c r="I118" i="15"/>
  <c r="I119" i="15"/>
  <c r="I120" i="15"/>
  <c r="I121" i="15"/>
  <c r="I122" i="15"/>
  <c r="I123" i="15"/>
  <c r="I124" i="15"/>
  <c r="I125" i="15"/>
  <c r="I126" i="15"/>
  <c r="I127" i="15"/>
  <c r="I128" i="15"/>
  <c r="I129" i="15"/>
  <c r="I130" i="15"/>
  <c r="I131" i="15"/>
  <c r="I132" i="15"/>
  <c r="I133" i="15"/>
  <c r="I134" i="15"/>
  <c r="I135" i="15"/>
  <c r="I136" i="15"/>
  <c r="I137" i="15"/>
  <c r="I138" i="15"/>
  <c r="I139" i="15"/>
  <c r="I140" i="15"/>
  <c r="I141" i="15"/>
  <c r="I142" i="15"/>
  <c r="I143" i="15"/>
  <c r="I144" i="15"/>
  <c r="I145" i="15"/>
  <c r="I146" i="15"/>
  <c r="I147" i="15"/>
  <c r="I148" i="15"/>
  <c r="I149" i="15"/>
  <c r="I150" i="15"/>
  <c r="I151" i="15"/>
  <c r="I152" i="15"/>
  <c r="I153" i="15"/>
  <c r="I154" i="15"/>
  <c r="I155" i="15"/>
  <c r="I156" i="15"/>
  <c r="I157" i="15"/>
  <c r="I158" i="15"/>
  <c r="I159" i="15"/>
  <c r="I160" i="15"/>
  <c r="I161" i="15"/>
  <c r="I162" i="15"/>
  <c r="I163" i="15"/>
  <c r="I164" i="15"/>
  <c r="I165" i="15"/>
  <c r="I166" i="15"/>
  <c r="I167" i="15"/>
  <c r="I168" i="15"/>
  <c r="I169" i="15"/>
  <c r="I170" i="15"/>
  <c r="I171" i="15"/>
  <c r="I172" i="15"/>
  <c r="I173" i="15"/>
  <c r="I174" i="15"/>
  <c r="I175" i="15"/>
  <c r="I176" i="15"/>
  <c r="I177" i="15"/>
  <c r="I178" i="15"/>
  <c r="I179" i="15"/>
  <c r="I180" i="15"/>
  <c r="I181" i="15"/>
  <c r="I182" i="15"/>
  <c r="I183" i="15"/>
  <c r="I184" i="15"/>
  <c r="I185" i="15"/>
  <c r="I186" i="15"/>
  <c r="I187" i="15"/>
  <c r="I188" i="15"/>
  <c r="I189" i="15"/>
  <c r="I190" i="15"/>
  <c r="I191" i="15"/>
  <c r="I192" i="15"/>
  <c r="I193" i="15"/>
  <c r="I194" i="15"/>
  <c r="I195" i="15"/>
  <c r="I196" i="15"/>
  <c r="I197" i="15"/>
  <c r="I198" i="15"/>
  <c r="I199" i="15"/>
  <c r="I200" i="15"/>
  <c r="I201" i="15"/>
  <c r="I202" i="15"/>
  <c r="I203" i="15"/>
  <c r="I204" i="15"/>
  <c r="I205" i="15"/>
  <c r="I206" i="15"/>
  <c r="I207" i="15"/>
  <c r="I208" i="15"/>
  <c r="I209" i="15"/>
  <c r="I210" i="15"/>
  <c r="I211" i="15"/>
  <c r="I212" i="15"/>
  <c r="I213" i="15"/>
  <c r="I214" i="15"/>
  <c r="I215" i="15"/>
  <c r="I216" i="15"/>
  <c r="I217" i="15"/>
  <c r="I218" i="15"/>
  <c r="I219" i="15"/>
  <c r="I220" i="15"/>
  <c r="I221" i="15"/>
  <c r="I222" i="15"/>
  <c r="I223" i="15"/>
  <c r="I224" i="15"/>
  <c r="I225" i="15"/>
  <c r="I226" i="15"/>
  <c r="I227" i="15"/>
  <c r="I228" i="15"/>
  <c r="I229" i="15"/>
  <c r="I230" i="15"/>
  <c r="I231" i="15"/>
  <c r="I232" i="15"/>
  <c r="I233" i="15"/>
  <c r="I234" i="15"/>
  <c r="I235" i="15"/>
  <c r="I236" i="15"/>
  <c r="I237" i="15"/>
  <c r="I238" i="15"/>
  <c r="I239" i="15"/>
  <c r="I240" i="15"/>
  <c r="I241" i="15"/>
  <c r="I242" i="15"/>
  <c r="I243" i="15"/>
  <c r="I244" i="15"/>
  <c r="I245" i="15"/>
  <c r="I246" i="15"/>
  <c r="I247" i="15"/>
  <c r="I248" i="15"/>
  <c r="I249" i="15"/>
  <c r="I250" i="15"/>
  <c r="I251" i="15"/>
  <c r="I252" i="15"/>
  <c r="I253" i="15"/>
  <c r="I254" i="15"/>
  <c r="I255" i="15"/>
  <c r="I256" i="15"/>
  <c r="I257" i="15"/>
  <c r="I258" i="15"/>
  <c r="I259" i="15"/>
  <c r="I260" i="15"/>
  <c r="I261" i="15"/>
  <c r="I262" i="15"/>
  <c r="I263" i="15"/>
  <c r="I264" i="15"/>
  <c r="I265" i="15"/>
  <c r="I266" i="15"/>
  <c r="I267" i="15"/>
  <c r="I268" i="15"/>
  <c r="I269" i="15"/>
  <c r="I270" i="15"/>
  <c r="I271" i="15"/>
  <c r="I272" i="15"/>
  <c r="I273" i="15"/>
  <c r="I274" i="15"/>
  <c r="I275" i="15"/>
  <c r="I276" i="15"/>
  <c r="I277" i="15"/>
  <c r="I278" i="15"/>
  <c r="I279" i="15"/>
  <c r="I280" i="15"/>
  <c r="I281" i="15"/>
  <c r="I282" i="15"/>
  <c r="I283" i="15"/>
  <c r="I284" i="15"/>
  <c r="I285" i="15"/>
  <c r="I286" i="15"/>
  <c r="I287" i="15"/>
  <c r="I288" i="15"/>
  <c r="I289" i="15"/>
  <c r="I290" i="15"/>
  <c r="I291" i="15"/>
  <c r="I292" i="15"/>
  <c r="I293" i="15"/>
  <c r="I294" i="15"/>
  <c r="I295" i="15"/>
  <c r="I296" i="15"/>
  <c r="I297" i="15"/>
  <c r="I298" i="15"/>
  <c r="I299" i="15"/>
  <c r="I300" i="15"/>
  <c r="I301" i="15"/>
  <c r="I302" i="15"/>
  <c r="I303" i="15"/>
  <c r="I304" i="15"/>
  <c r="I305" i="15"/>
  <c r="I306" i="15"/>
  <c r="I307" i="15"/>
  <c r="I308" i="15"/>
  <c r="I309" i="15"/>
  <c r="I310" i="15"/>
  <c r="I311" i="15"/>
  <c r="I312" i="15"/>
  <c r="I313" i="15"/>
  <c r="I314" i="15"/>
  <c r="I315" i="15"/>
  <c r="I316" i="15"/>
  <c r="I317" i="15"/>
  <c r="I318" i="15"/>
  <c r="I319" i="15"/>
  <c r="I320" i="15"/>
  <c r="I321" i="15"/>
  <c r="I322" i="15"/>
  <c r="I323" i="15"/>
  <c r="I324" i="15"/>
  <c r="I325" i="15"/>
  <c r="I326" i="15"/>
  <c r="I327" i="15"/>
  <c r="I328" i="15"/>
  <c r="I329" i="15"/>
  <c r="I330" i="15"/>
  <c r="I331" i="15"/>
  <c r="I332" i="15"/>
  <c r="I333" i="15"/>
  <c r="I334" i="15"/>
  <c r="I335" i="15"/>
  <c r="I336" i="15"/>
  <c r="I337" i="15"/>
  <c r="I338" i="15"/>
  <c r="I339" i="15"/>
  <c r="I340" i="15"/>
  <c r="I341" i="15"/>
  <c r="I342" i="15"/>
  <c r="I343" i="15"/>
  <c r="I344" i="15"/>
  <c r="I345" i="15"/>
  <c r="I346" i="15"/>
  <c r="I347" i="15"/>
  <c r="I348" i="15"/>
  <c r="I349" i="15"/>
  <c r="I350" i="15"/>
  <c r="I351" i="15"/>
  <c r="I352" i="15"/>
  <c r="I353" i="15"/>
  <c r="I354" i="15"/>
  <c r="I355" i="15"/>
  <c r="I356" i="15"/>
  <c r="I357" i="15"/>
  <c r="I358" i="15"/>
  <c r="I359" i="15"/>
  <c r="I360" i="15"/>
  <c r="I361" i="15"/>
  <c r="I362" i="15"/>
  <c r="I363" i="15"/>
  <c r="I364" i="15"/>
  <c r="I365" i="15"/>
  <c r="I366" i="15"/>
  <c r="I367" i="15"/>
  <c r="I368" i="15"/>
  <c r="I369" i="15"/>
  <c r="I370" i="15"/>
  <c r="I371" i="15"/>
  <c r="I372" i="15"/>
  <c r="I373" i="15"/>
  <c r="I374" i="15"/>
  <c r="I375" i="15"/>
  <c r="I376" i="15"/>
  <c r="I377" i="15"/>
  <c r="I378" i="15"/>
  <c r="I379" i="15"/>
  <c r="I380" i="15"/>
  <c r="I381" i="15"/>
  <c r="I382" i="15"/>
  <c r="I383" i="15"/>
  <c r="I384" i="15"/>
  <c r="I385" i="15"/>
  <c r="I386" i="15"/>
  <c r="I387" i="15"/>
  <c r="I388" i="15"/>
  <c r="I389" i="15"/>
  <c r="I390" i="15"/>
  <c r="I391" i="15"/>
  <c r="I392" i="15"/>
  <c r="I393" i="15"/>
  <c r="I394" i="15"/>
  <c r="I395" i="15"/>
  <c r="I396" i="15"/>
  <c r="I397" i="15"/>
  <c r="I398" i="15"/>
  <c r="I399" i="15"/>
  <c r="I400" i="15"/>
  <c r="I401" i="15"/>
  <c r="I402" i="15"/>
  <c r="I403" i="15"/>
  <c r="I404" i="15"/>
  <c r="I405" i="15"/>
  <c r="I406" i="15"/>
  <c r="I407" i="15"/>
  <c r="I408" i="15"/>
  <c r="I409" i="15"/>
  <c r="I410" i="15"/>
  <c r="I411" i="15"/>
  <c r="I412" i="15"/>
  <c r="I413" i="15"/>
  <c r="I414" i="15"/>
  <c r="I415" i="15"/>
  <c r="I416" i="15"/>
  <c r="I417" i="15"/>
  <c r="I418" i="15"/>
  <c r="I419" i="15"/>
  <c r="I420" i="15"/>
  <c r="I421" i="15"/>
  <c r="I422" i="15"/>
  <c r="I423" i="15"/>
  <c r="I424" i="15"/>
  <c r="I425" i="15"/>
  <c r="I426" i="15"/>
  <c r="F23" i="14"/>
  <c r="B23" i="14"/>
  <c r="B6" i="14"/>
  <c r="B17" i="1"/>
  <c r="D13" i="1"/>
  <c r="E28" i="1"/>
  <c r="L32" i="15"/>
  <c r="L26" i="15" l="1"/>
  <c r="B43" i="2"/>
  <c r="B36" i="2"/>
  <c r="B22" i="2"/>
  <c r="B29" i="2"/>
  <c r="B56" i="2"/>
  <c r="B27" i="2"/>
  <c r="B34" i="2"/>
  <c r="B49" i="2"/>
  <c r="F36" i="2"/>
  <c r="B41" i="2"/>
  <c r="F37" i="2"/>
  <c r="J36" i="2"/>
  <c r="E20" i="5" l="1"/>
  <c r="C20" i="5"/>
  <c r="C7" i="2" l="1"/>
  <c r="E69" i="2" l="1"/>
  <c r="E75" i="2"/>
  <c r="E81" i="2"/>
  <c r="B81" i="2"/>
  <c r="B75" i="2"/>
  <c r="B69" i="2"/>
  <c r="AY17" i="11"/>
  <c r="AY15" i="11"/>
  <c r="AY16" i="11"/>
  <c r="J29" i="2"/>
  <c r="B32" i="2" s="1"/>
  <c r="F29" i="2"/>
  <c r="C11" i="12" l="1" a="1"/>
  <c r="C11" i="12" s="1"/>
  <c r="D11" i="12"/>
  <c r="D12" i="12"/>
  <c r="C60" i="12"/>
  <c r="C61" i="12"/>
  <c r="C62" i="12"/>
  <c r="C66" i="12"/>
  <c r="C67" i="12"/>
  <c r="E26" i="1"/>
  <c r="D11" i="1"/>
  <c r="D17" i="1"/>
  <c r="B22" i="1"/>
  <c r="B15" i="1"/>
  <c r="D12" i="1"/>
  <c r="D53" i="12" l="1"/>
  <c r="D52" i="12"/>
  <c r="F10" i="12"/>
  <c r="F11" i="12" s="1"/>
  <c r="F12" i="12" s="1"/>
  <c r="C65" i="12"/>
  <c r="C63" i="12"/>
  <c r="F53" i="12"/>
  <c r="C64" i="12"/>
  <c r="D55" i="12"/>
  <c r="D57" i="12"/>
  <c r="F54" i="12"/>
  <c r="F52" i="12"/>
  <c r="D56" i="12"/>
  <c r="D54" i="12"/>
  <c r="F55" i="12"/>
  <c r="F61" i="12" l="1"/>
  <c r="F60" i="12"/>
  <c r="E47" i="12"/>
  <c r="G47" i="12"/>
  <c r="C47" i="12"/>
  <c r="F9" i="14" s="1"/>
  <c r="F47" i="12"/>
  <c r="B47" i="12"/>
  <c r="D47" i="12"/>
  <c r="D67" i="12"/>
  <c r="AL21" i="11"/>
  <c r="L21" i="11"/>
  <c r="C16" i="1" l="1"/>
  <c r="C23" i="1"/>
  <c r="C48" i="12"/>
  <c r="J8" i="2" s="1"/>
  <c r="F48" i="12"/>
  <c r="D8" i="14"/>
  <c r="D48" i="12"/>
  <c r="B8" i="14"/>
  <c r="D9" i="14"/>
  <c r="G48" i="12"/>
  <c r="B48" i="12"/>
  <c r="J7" i="2" s="1"/>
  <c r="F8" i="14"/>
  <c r="B9" i="14"/>
  <c r="E48" i="12"/>
  <c r="C8" i="2"/>
  <c r="AN5" i="11"/>
  <c r="N5" i="11"/>
  <c r="F51" i="2" l="1"/>
  <c r="J18" i="2"/>
  <c r="B41" i="14"/>
  <c r="B43" i="14"/>
  <c r="B35" i="14"/>
  <c r="F35" i="14"/>
  <c r="F65" i="14" s="1"/>
  <c r="F14" i="14"/>
  <c r="B11" i="14"/>
  <c r="F15" i="2" s="1"/>
  <c r="B12" i="14"/>
  <c r="B36" i="14"/>
  <c r="F41" i="14"/>
  <c r="D78" i="2"/>
  <c r="F52" i="2"/>
  <c r="J51" i="2"/>
  <c r="F17" i="14"/>
  <c r="B17" i="14" s="1"/>
  <c r="B18" i="14"/>
  <c r="B14" i="14"/>
  <c r="B30" i="14"/>
  <c r="B29" i="14"/>
  <c r="F29" i="14"/>
  <c r="F59" i="14" s="1"/>
  <c r="D14" i="14"/>
  <c r="B10" i="14"/>
  <c r="Y20" i="11"/>
  <c r="AY20" i="11"/>
  <c r="AJ17" i="11"/>
  <c r="AK21" i="11"/>
  <c r="K21" i="11"/>
  <c r="AI20" i="11"/>
  <c r="I20" i="11"/>
  <c r="F53" i="14" l="1"/>
  <c r="B24" i="14"/>
  <c r="AJ18" i="11"/>
  <c r="AJ21" i="11" s="1"/>
  <c r="B55" i="2" l="1"/>
  <c r="B48" i="2"/>
  <c r="B40" i="2"/>
  <c r="B33" i="2"/>
  <c r="B26" i="2"/>
  <c r="B19" i="2"/>
  <c r="AA7" i="4" l="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E30" i="1"/>
  <c r="E24" i="1" l="1"/>
  <c r="AA8" i="4"/>
  <c r="AC417" i="4" l="1"/>
  <c r="AJ417" i="4" s="1"/>
  <c r="AC18" i="4"/>
  <c r="AE18" i="4"/>
  <c r="AA18" i="4"/>
  <c r="AD18" i="4"/>
  <c r="AB18" i="4"/>
  <c r="AE29" i="4"/>
  <c r="AD44" i="4"/>
  <c r="AA67" i="4"/>
  <c r="AA91" i="4"/>
  <c r="AE117" i="4"/>
  <c r="AD147" i="4"/>
  <c r="AC180" i="4"/>
  <c r="AB208" i="4"/>
  <c r="AC272" i="4"/>
  <c r="AD356" i="4"/>
  <c r="AD21" i="4"/>
  <c r="AQ21" i="11" s="1"/>
  <c r="AC34" i="4"/>
  <c r="AD52" i="4"/>
  <c r="AA75" i="4"/>
  <c r="AE100" i="4"/>
  <c r="AB129" i="4"/>
  <c r="AB159" i="4"/>
  <c r="AB191" i="4"/>
  <c r="AD231" i="4"/>
  <c r="AA302" i="4"/>
  <c r="AA397" i="4"/>
  <c r="AC23" i="4"/>
  <c r="AB35" i="4"/>
  <c r="AC57" i="4"/>
  <c r="AB78" i="4"/>
  <c r="AD101" i="4"/>
  <c r="AE134" i="4"/>
  <c r="AC163" i="4"/>
  <c r="AB193" i="4"/>
  <c r="AC242" i="4"/>
  <c r="AC310" i="4"/>
  <c r="AE27" i="4"/>
  <c r="AC41" i="4"/>
  <c r="AC65" i="4"/>
  <c r="AB87" i="4"/>
  <c r="AD113" i="4"/>
  <c r="AC146" i="4"/>
  <c r="AA174" i="4"/>
  <c r="AA204" i="4"/>
  <c r="AE265" i="4"/>
  <c r="AD340" i="4"/>
  <c r="AE405" i="4"/>
  <c r="AC21" i="4"/>
  <c r="AP21" i="11" s="1"/>
  <c r="AE25" i="4"/>
  <c r="AA32" i="4"/>
  <c r="AE39" i="4"/>
  <c r="AC49" i="4"/>
  <c r="AD61" i="4"/>
  <c r="AC74" i="4"/>
  <c r="AA84" i="4"/>
  <c r="AE95" i="4"/>
  <c r="AB112" i="4"/>
  <c r="AA125" i="4"/>
  <c r="AA140" i="4"/>
  <c r="AA157" i="4"/>
  <c r="AE169" i="4"/>
  <c r="AA186" i="4"/>
  <c r="AB203" i="4"/>
  <c r="AB225" i="4"/>
  <c r="AC254" i="4"/>
  <c r="AA295" i="4"/>
  <c r="AB333" i="4"/>
  <c r="AE375" i="4"/>
  <c r="AD25" i="4"/>
  <c r="AB30" i="4"/>
  <c r="AC37" i="4"/>
  <c r="AE48" i="4"/>
  <c r="AC58" i="4"/>
  <c r="AB70" i="4"/>
  <c r="AA83" i="4"/>
  <c r="AD92" i="4"/>
  <c r="AE105" i="4"/>
  <c r="AE122" i="4"/>
  <c r="AD135" i="4"/>
  <c r="AA152" i="4"/>
  <c r="AA169" i="4"/>
  <c r="AE181" i="4"/>
  <c r="AD197" i="4"/>
  <c r="AB220" i="4"/>
  <c r="AE248" i="4"/>
  <c r="AA279" i="4"/>
  <c r="AD324" i="4"/>
  <c r="AC366" i="4"/>
  <c r="AA416" i="4"/>
  <c r="AD408" i="4"/>
  <c r="AD400" i="4"/>
  <c r="AA393" i="4"/>
  <c r="AD385" i="4"/>
  <c r="AE377" i="4"/>
  <c r="AC370" i="4"/>
  <c r="AA363" i="4"/>
  <c r="AB355" i="4"/>
  <c r="AB349" i="4"/>
  <c r="AD343" i="4"/>
  <c r="AD337" i="4"/>
  <c r="AA332" i="4"/>
  <c r="AC326" i="4"/>
  <c r="AD320" i="4"/>
  <c r="AA315" i="4"/>
  <c r="AC309" i="4"/>
  <c r="AD303" i="4"/>
  <c r="AA298" i="4"/>
  <c r="AC292" i="4"/>
  <c r="AC286" i="4"/>
  <c r="AE280" i="4"/>
  <c r="AB275" i="4"/>
  <c r="AC269" i="4"/>
  <c r="AA265" i="4"/>
  <c r="AE260" i="4"/>
  <c r="AC256" i="4"/>
  <c r="AB252" i="4"/>
  <c r="AA248" i="4"/>
  <c r="AD243" i="4"/>
  <c r="AC239" i="4"/>
  <c r="AB235" i="4"/>
  <c r="AE230" i="4"/>
  <c r="AD226" i="4"/>
  <c r="AC222" i="4"/>
  <c r="AA218" i="4"/>
  <c r="AE213" i="4"/>
  <c r="AD209" i="4"/>
  <c r="AB205" i="4"/>
  <c r="AA201" i="4"/>
  <c r="AE196" i="4"/>
  <c r="AC192" i="4"/>
  <c r="AB188" i="4"/>
  <c r="AA184" i="4"/>
  <c r="AD179" i="4"/>
  <c r="AC175" i="4"/>
  <c r="AB171" i="4"/>
  <c r="AE166" i="4"/>
  <c r="AD162" i="4"/>
  <c r="AC158" i="4"/>
  <c r="AA154" i="4"/>
  <c r="AE149" i="4"/>
  <c r="AD145" i="4"/>
  <c r="AB141" i="4"/>
  <c r="AA137" i="4"/>
  <c r="AE132" i="4"/>
  <c r="AC128" i="4"/>
  <c r="AB124" i="4"/>
  <c r="AA120" i="4"/>
  <c r="AD115" i="4"/>
  <c r="AC111" i="4"/>
  <c r="AB107" i="4"/>
  <c r="AE102" i="4"/>
  <c r="AD98" i="4"/>
  <c r="AB95" i="4"/>
  <c r="AA92" i="4"/>
  <c r="AE88" i="4"/>
  <c r="AD85" i="4"/>
  <c r="AC82" i="4"/>
  <c r="AB79" i="4"/>
  <c r="AA76" i="4"/>
  <c r="AE72" i="4"/>
  <c r="AD69" i="4"/>
  <c r="AC66" i="4"/>
  <c r="AB63" i="4"/>
  <c r="AA60" i="4"/>
  <c r="AE56" i="4"/>
  <c r="AD53" i="4"/>
  <c r="AC50" i="4"/>
  <c r="AB47" i="4"/>
  <c r="AA44" i="4"/>
  <c r="AE40" i="4"/>
  <c r="AC38" i="4"/>
  <c r="AB36" i="4"/>
  <c r="AB34" i="4"/>
  <c r="AC413" i="4"/>
  <c r="AD404" i="4"/>
  <c r="AD394" i="4"/>
  <c r="AB383" i="4"/>
  <c r="AC374" i="4"/>
  <c r="AB364" i="4"/>
  <c r="AB353" i="4"/>
  <c r="AB346" i="4"/>
  <c r="AE338" i="4"/>
  <c r="AB330" i="4"/>
  <c r="AD323" i="4"/>
  <c r="AA316" i="4"/>
  <c r="AD307" i="4"/>
  <c r="AE300" i="4"/>
  <c r="AC293" i="4"/>
  <c r="AE284" i="4"/>
  <c r="AA278" i="4"/>
  <c r="AC270" i="4"/>
  <c r="AD263" i="4"/>
  <c r="AD258" i="4"/>
  <c r="AA253" i="4"/>
  <c r="AD246" i="4"/>
  <c r="AD241" i="4"/>
  <c r="AA236" i="4"/>
  <c r="AD229" i="4"/>
  <c r="AC224" i="4"/>
  <c r="AE218" i="4"/>
  <c r="AC212" i="4"/>
  <c r="AC207" i="4"/>
  <c r="AE201" i="4"/>
  <c r="AC195" i="4"/>
  <c r="AC190" i="4"/>
  <c r="AE184" i="4"/>
  <c r="AC178" i="4"/>
  <c r="AB173" i="4"/>
  <c r="AD167" i="4"/>
  <c r="AB161" i="4"/>
  <c r="AB156" i="4"/>
  <c r="AD150" i="4"/>
  <c r="AB144" i="4"/>
  <c r="AB139" i="4"/>
  <c r="AD133" i="4"/>
  <c r="AB127" i="4"/>
  <c r="AA122" i="4"/>
  <c r="AC116" i="4"/>
  <c r="AA110" i="4"/>
  <c r="AA105" i="4"/>
  <c r="AC99" i="4"/>
  <c r="AB94" i="4"/>
  <c r="AC90" i="4"/>
  <c r="AB86" i="4"/>
  <c r="AC81" i="4"/>
  <c r="AD77" i="4"/>
  <c r="AC73" i="4"/>
  <c r="AD68" i="4"/>
  <c r="AE64" i="4"/>
  <c r="AD60" i="4"/>
  <c r="AE55" i="4"/>
  <c r="AA52" i="4"/>
  <c r="AE47" i="4"/>
  <c r="AA43" i="4"/>
  <c r="AC39" i="4"/>
  <c r="AD36" i="4"/>
  <c r="AC33" i="4"/>
  <c r="AB31" i="4"/>
  <c r="AA29" i="4"/>
  <c r="AA27" i="4"/>
  <c r="AE24" i="4"/>
  <c r="AD22" i="4"/>
  <c r="AD20" i="4"/>
  <c r="AC421" i="4"/>
  <c r="AA412" i="4"/>
  <c r="AB402" i="4"/>
  <c r="AD390" i="4"/>
  <c r="AE381" i="4"/>
  <c r="AE371" i="4"/>
  <c r="AD360" i="4"/>
  <c r="AA352" i="4"/>
  <c r="AD344" i="4"/>
  <c r="AA336" i="4"/>
  <c r="AB329" i="4"/>
  <c r="AD321" i="4"/>
  <c r="AB313" i="4"/>
  <c r="AC306" i="4"/>
  <c r="AA299" i="4"/>
  <c r="AC290" i="4"/>
  <c r="AE283" i="4"/>
  <c r="AC276" i="4"/>
  <c r="AA268" i="4"/>
  <c r="AE262" i="4"/>
  <c r="AB257" i="4"/>
  <c r="AE250" i="4"/>
  <c r="AE245" i="4"/>
  <c r="AB240" i="4"/>
  <c r="AE233" i="4"/>
  <c r="AE228" i="4"/>
  <c r="AB223" i="4"/>
  <c r="AE216" i="4"/>
  <c r="AD211" i="4"/>
  <c r="AA206" i="4"/>
  <c r="AD199" i="4"/>
  <c r="AD194" i="4"/>
  <c r="AA189" i="4"/>
  <c r="AD182" i="4"/>
  <c r="AD177" i="4"/>
  <c r="AA172" i="4"/>
  <c r="AD165" i="4"/>
  <c r="AC160" i="4"/>
  <c r="AE154" i="4"/>
  <c r="AC148" i="4"/>
  <c r="AC143" i="4"/>
  <c r="AE137" i="4"/>
  <c r="AC131" i="4"/>
  <c r="AC126" i="4"/>
  <c r="AE120" i="4"/>
  <c r="AC114" i="4"/>
  <c r="AB109" i="4"/>
  <c r="AD103" i="4"/>
  <c r="AC97" i="4"/>
  <c r="AD93" i="4"/>
  <c r="AC89" i="4"/>
  <c r="AD84" i="4"/>
  <c r="AE80" i="4"/>
  <c r="AD76" i="4"/>
  <c r="AE71" i="4"/>
  <c r="AA68" i="4"/>
  <c r="AE63" i="4"/>
  <c r="AA59" i="4"/>
  <c r="AB55" i="4"/>
  <c r="AA51" i="4"/>
  <c r="AB46" i="4"/>
  <c r="AC42" i="4"/>
  <c r="AD38" i="4"/>
  <c r="AC35" i="4"/>
  <c r="AA33" i="4"/>
  <c r="AA31" i="4"/>
  <c r="AE28" i="4"/>
  <c r="AD26" i="4"/>
  <c r="AD24" i="4"/>
  <c r="AC22" i="4"/>
  <c r="AB20" i="4"/>
  <c r="AE419" i="4"/>
  <c r="AE409" i="4"/>
  <c r="AC398" i="4"/>
  <c r="AC389" i="4"/>
  <c r="AB379" i="4"/>
  <c r="AA368" i="4"/>
  <c r="AA359" i="4"/>
  <c r="AB350" i="4"/>
  <c r="AD341" i="4"/>
  <c r="AA335" i="4"/>
  <c r="AD327" i="4"/>
  <c r="AA319" i="4"/>
  <c r="AA312" i="4"/>
  <c r="AD304" i="4"/>
  <c r="AA296" i="4"/>
  <c r="AC289" i="4"/>
  <c r="AA282" i="4"/>
  <c r="AC273" i="4"/>
  <c r="AB267" i="4"/>
  <c r="AD261" i="4"/>
  <c r="AB255" i="4"/>
  <c r="AA250" i="4"/>
  <c r="AC244" i="4"/>
  <c r="AA238" i="4"/>
  <c r="AA233" i="4"/>
  <c r="AC227" i="4"/>
  <c r="AA221" i="4"/>
  <c r="AA216" i="4"/>
  <c r="AC210" i="4"/>
  <c r="AE23" i="4"/>
  <c r="AA28" i="4"/>
  <c r="AB32" i="4"/>
  <c r="AD37" i="4"/>
  <c r="AD45" i="4"/>
  <c r="AB54" i="4"/>
  <c r="AB62" i="4"/>
  <c r="AB71" i="4"/>
  <c r="AE79" i="4"/>
  <c r="AE87" i="4"/>
  <c r="AE96" i="4"/>
  <c r="AA108" i="4"/>
  <c r="AD118" i="4"/>
  <c r="AD130" i="4"/>
  <c r="AA142" i="4"/>
  <c r="AE152" i="4"/>
  <c r="AE164" i="4"/>
  <c r="AB176" i="4"/>
  <c r="AE186" i="4"/>
  <c r="AE198" i="4"/>
  <c r="AD214" i="4"/>
  <c r="AB237" i="4"/>
  <c r="AC259" i="4"/>
  <c r="AD287" i="4"/>
  <c r="AA318" i="4"/>
  <c r="AB347" i="4"/>
  <c r="AB387" i="4"/>
  <c r="AB421" i="4"/>
  <c r="AC420" i="4"/>
  <c r="AD419" i="4"/>
  <c r="AE418" i="4"/>
  <c r="AA418" i="4"/>
  <c r="AB417" i="4"/>
  <c r="AC416" i="4"/>
  <c r="AD415" i="4"/>
  <c r="AE414" i="4"/>
  <c r="AA414" i="4"/>
  <c r="AB413" i="4"/>
  <c r="AC412" i="4"/>
  <c r="AD411" i="4"/>
  <c r="AE410" i="4"/>
  <c r="AA410" i="4"/>
  <c r="AB409" i="4"/>
  <c r="AC408" i="4"/>
  <c r="AD407" i="4"/>
  <c r="AE406" i="4"/>
  <c r="AA406" i="4"/>
  <c r="AB405" i="4"/>
  <c r="AC404" i="4"/>
  <c r="AD403" i="4"/>
  <c r="AE402" i="4"/>
  <c r="AA402" i="4"/>
  <c r="AB401" i="4"/>
  <c r="AC400" i="4"/>
  <c r="AD399" i="4"/>
  <c r="AE398" i="4"/>
  <c r="AA398" i="4"/>
  <c r="AB397" i="4"/>
  <c r="AC396" i="4"/>
  <c r="AD395" i="4"/>
  <c r="AE394" i="4"/>
  <c r="AA394" i="4"/>
  <c r="AB393" i="4"/>
  <c r="AC392" i="4"/>
  <c r="AD391" i="4"/>
  <c r="AE390" i="4"/>
  <c r="AA390" i="4"/>
  <c r="AB389" i="4"/>
  <c r="AC388" i="4"/>
  <c r="AD387" i="4"/>
  <c r="AE386" i="4"/>
  <c r="AA386" i="4"/>
  <c r="AB385" i="4"/>
  <c r="AC384" i="4"/>
  <c r="AD383" i="4"/>
  <c r="AE382" i="4"/>
  <c r="AA382" i="4"/>
  <c r="AB381" i="4"/>
  <c r="AC380" i="4"/>
  <c r="AD379" i="4"/>
  <c r="AE378" i="4"/>
  <c r="AA378" i="4"/>
  <c r="AB377" i="4"/>
  <c r="AC376" i="4"/>
  <c r="AD375" i="4"/>
  <c r="AE374" i="4"/>
  <c r="AA374" i="4"/>
  <c r="AB373" i="4"/>
  <c r="AC372" i="4"/>
  <c r="AD371" i="4"/>
  <c r="AE370" i="4"/>
  <c r="AA370" i="4"/>
  <c r="AB369" i="4"/>
  <c r="AC368" i="4"/>
  <c r="AD367" i="4"/>
  <c r="AE366" i="4"/>
  <c r="AA366" i="4"/>
  <c r="AB365" i="4"/>
  <c r="AC364" i="4"/>
  <c r="AD363" i="4"/>
  <c r="AE362" i="4"/>
  <c r="AA362" i="4"/>
  <c r="AB361" i="4"/>
  <c r="AC360" i="4"/>
  <c r="AD359" i="4"/>
  <c r="AE358" i="4"/>
  <c r="AA358" i="4"/>
  <c r="AB357" i="4"/>
  <c r="AC356" i="4"/>
  <c r="AD355" i="4"/>
  <c r="AE354" i="4"/>
  <c r="AA354" i="4"/>
  <c r="AA421" i="4"/>
  <c r="AA420" i="4"/>
  <c r="AA419" i="4"/>
  <c r="AE417" i="4"/>
  <c r="AE416" i="4"/>
  <c r="AE415" i="4"/>
  <c r="AD414" i="4"/>
  <c r="AD413" i="4"/>
  <c r="AD412" i="4"/>
  <c r="AC411" i="4"/>
  <c r="AC410" i="4"/>
  <c r="AC409" i="4"/>
  <c r="AB408" i="4"/>
  <c r="AB407" i="4"/>
  <c r="AB406" i="4"/>
  <c r="AA405" i="4"/>
  <c r="AA404" i="4"/>
  <c r="AA403" i="4"/>
  <c r="AE401" i="4"/>
  <c r="AE400" i="4"/>
  <c r="AE399" i="4"/>
  <c r="AD398" i="4"/>
  <c r="AD397" i="4"/>
  <c r="AD396" i="4"/>
  <c r="AC395" i="4"/>
  <c r="AC394" i="4"/>
  <c r="AC393" i="4"/>
  <c r="AB392" i="4"/>
  <c r="AB391" i="4"/>
  <c r="AB390" i="4"/>
  <c r="AA389" i="4"/>
  <c r="AA388" i="4"/>
  <c r="AA387" i="4"/>
  <c r="AE385" i="4"/>
  <c r="AE384" i="4"/>
  <c r="AE383" i="4"/>
  <c r="AD382" i="4"/>
  <c r="AD381" i="4"/>
  <c r="AD380" i="4"/>
  <c r="AC379" i="4"/>
  <c r="AC378" i="4"/>
  <c r="AC377" i="4"/>
  <c r="AB376" i="4"/>
  <c r="AB375" i="4"/>
  <c r="AB374" i="4"/>
  <c r="AA373" i="4"/>
  <c r="AA372" i="4"/>
  <c r="AA371" i="4"/>
  <c r="AE369" i="4"/>
  <c r="AE368" i="4"/>
  <c r="AE367" i="4"/>
  <c r="AD366" i="4"/>
  <c r="AD365" i="4"/>
  <c r="AD364" i="4"/>
  <c r="AC363" i="4"/>
  <c r="AC362" i="4"/>
  <c r="AC361" i="4"/>
  <c r="AB360" i="4"/>
  <c r="AB359" i="4"/>
  <c r="AB358" i="4"/>
  <c r="AA357" i="4"/>
  <c r="AA356" i="4"/>
  <c r="AA355" i="4"/>
  <c r="AE353" i="4"/>
  <c r="AA353" i="4"/>
  <c r="AB352" i="4"/>
  <c r="AC351" i="4"/>
  <c r="AD350" i="4"/>
  <c r="AE349" i="4"/>
  <c r="AA349" i="4"/>
  <c r="AB348" i="4"/>
  <c r="AC347" i="4"/>
  <c r="AD346" i="4"/>
  <c r="AE345" i="4"/>
  <c r="AA345" i="4"/>
  <c r="AB344" i="4"/>
  <c r="AC343" i="4"/>
  <c r="AD342" i="4"/>
  <c r="AE341" i="4"/>
  <c r="AA341" i="4"/>
  <c r="AB340" i="4"/>
  <c r="AC339" i="4"/>
  <c r="AD338" i="4"/>
  <c r="AE337" i="4"/>
  <c r="AA337" i="4"/>
  <c r="AB336" i="4"/>
  <c r="AC335" i="4"/>
  <c r="AD334" i="4"/>
  <c r="AE333" i="4"/>
  <c r="AA333" i="4"/>
  <c r="AB332" i="4"/>
  <c r="AC331" i="4"/>
  <c r="AD330" i="4"/>
  <c r="AE329" i="4"/>
  <c r="AA329" i="4"/>
  <c r="AB328" i="4"/>
  <c r="AC327" i="4"/>
  <c r="AD326" i="4"/>
  <c r="AE325" i="4"/>
  <c r="AA325" i="4"/>
  <c r="AB324" i="4"/>
  <c r="AC323" i="4"/>
  <c r="AD322" i="4"/>
  <c r="AE321" i="4"/>
  <c r="AA321" i="4"/>
  <c r="AB320" i="4"/>
  <c r="AC319" i="4"/>
  <c r="AD318" i="4"/>
  <c r="AE317" i="4"/>
  <c r="AA317" i="4"/>
  <c r="AB316" i="4"/>
  <c r="AC315" i="4"/>
  <c r="AD314" i="4"/>
  <c r="AE313" i="4"/>
  <c r="AA313" i="4"/>
  <c r="AB312" i="4"/>
  <c r="AC311" i="4"/>
  <c r="AD310" i="4"/>
  <c r="AE309" i="4"/>
  <c r="AA309" i="4"/>
  <c r="AB308" i="4"/>
  <c r="AC307" i="4"/>
  <c r="AD306" i="4"/>
  <c r="AE305" i="4"/>
  <c r="AA305" i="4"/>
  <c r="AB304" i="4"/>
  <c r="AC303" i="4"/>
  <c r="AD302" i="4"/>
  <c r="AE301" i="4"/>
  <c r="AA301" i="4"/>
  <c r="AB300" i="4"/>
  <c r="AC299" i="4"/>
  <c r="AD298" i="4"/>
  <c r="AE297" i="4"/>
  <c r="AA297" i="4"/>
  <c r="AB296" i="4"/>
  <c r="AC295" i="4"/>
  <c r="AD294" i="4"/>
  <c r="AE293" i="4"/>
  <c r="AA293" i="4"/>
  <c r="AB292" i="4"/>
  <c r="AC291" i="4"/>
  <c r="AD290" i="4"/>
  <c r="AE289" i="4"/>
  <c r="AA289" i="4"/>
  <c r="AB288" i="4"/>
  <c r="AC287" i="4"/>
  <c r="AD286" i="4"/>
  <c r="AE285" i="4"/>
  <c r="AA285" i="4"/>
  <c r="AB284" i="4"/>
  <c r="AC283" i="4"/>
  <c r="AD282" i="4"/>
  <c r="AE281" i="4"/>
  <c r="AA281" i="4"/>
  <c r="AB280" i="4"/>
  <c r="AC279" i="4"/>
  <c r="AD278" i="4"/>
  <c r="AE277" i="4"/>
  <c r="AA277" i="4"/>
  <c r="AB276" i="4"/>
  <c r="AC275" i="4"/>
  <c r="AD274" i="4"/>
  <c r="AE273" i="4"/>
  <c r="AA273" i="4"/>
  <c r="AB272" i="4"/>
  <c r="AC271" i="4"/>
  <c r="AD270" i="4"/>
  <c r="AE269" i="4"/>
  <c r="AA269" i="4"/>
  <c r="AE420" i="4"/>
  <c r="AC419" i="4"/>
  <c r="AB418" i="4"/>
  <c r="AD416" i="4"/>
  <c r="AB415" i="4"/>
  <c r="AE413" i="4"/>
  <c r="AB412" i="4"/>
  <c r="AA411" i="4"/>
  <c r="AD409" i="4"/>
  <c r="AA408" i="4"/>
  <c r="AD406" i="4"/>
  <c r="AC405" i="4"/>
  <c r="AE403" i="4"/>
  <c r="AC402" i="4"/>
  <c r="AA401" i="4"/>
  <c r="AC399" i="4"/>
  <c r="AB398" i="4"/>
  <c r="AE396" i="4"/>
  <c r="AB395" i="4"/>
  <c r="AE393" i="4"/>
  <c r="AD392" i="4"/>
  <c r="AA391" i="4"/>
  <c r="AD389" i="4"/>
  <c r="AB388" i="4"/>
  <c r="AD386" i="4"/>
  <c r="AC385" i="4"/>
  <c r="AA384" i="4"/>
  <c r="AC382" i="4"/>
  <c r="AA381" i="4"/>
  <c r="AE379" i="4"/>
  <c r="AB378" i="4"/>
  <c r="AE376" i="4"/>
  <c r="AC375" i="4"/>
  <c r="AE373" i="4"/>
  <c r="AD372" i="4"/>
  <c r="AB371" i="4"/>
  <c r="AD369" i="4"/>
  <c r="AB368" i="4"/>
  <c r="AA367" i="4"/>
  <c r="AC365" i="4"/>
  <c r="AA364" i="4"/>
  <c r="AD362" i="4"/>
  <c r="AA361" i="4"/>
  <c r="AE359" i="4"/>
  <c r="AC358" i="4"/>
  <c r="AE356" i="4"/>
  <c r="AC355" i="4"/>
  <c r="AB354" i="4"/>
  <c r="AE352" i="4"/>
  <c r="AE351" i="4"/>
  <c r="AE350" i="4"/>
  <c r="AD349" i="4"/>
  <c r="AD348" i="4"/>
  <c r="AD347" i="4"/>
  <c r="AC346" i="4"/>
  <c r="AC345" i="4"/>
  <c r="AC344" i="4"/>
  <c r="AB343" i="4"/>
  <c r="AB342" i="4"/>
  <c r="AB341" i="4"/>
  <c r="AA340" i="4"/>
  <c r="AA339" i="4"/>
  <c r="AA338" i="4"/>
  <c r="AE336" i="4"/>
  <c r="AE335" i="4"/>
  <c r="AE334" i="4"/>
  <c r="AD333" i="4"/>
  <c r="AD332" i="4"/>
  <c r="AD331" i="4"/>
  <c r="AC330" i="4"/>
  <c r="AC329" i="4"/>
  <c r="AC328" i="4"/>
  <c r="AB327" i="4"/>
  <c r="AB326" i="4"/>
  <c r="AB325" i="4"/>
  <c r="AA324" i="4"/>
  <c r="AA323" i="4"/>
  <c r="AA322" i="4"/>
  <c r="AE320" i="4"/>
  <c r="AE319" i="4"/>
  <c r="AE318" i="4"/>
  <c r="AD317" i="4"/>
  <c r="AD316" i="4"/>
  <c r="AD315" i="4"/>
  <c r="AC314" i="4"/>
  <c r="AC313" i="4"/>
  <c r="AC312" i="4"/>
  <c r="AB311" i="4"/>
  <c r="AB310" i="4"/>
  <c r="AB309" i="4"/>
  <c r="AA308" i="4"/>
  <c r="AA307" i="4"/>
  <c r="AA306" i="4"/>
  <c r="AE304" i="4"/>
  <c r="AE303" i="4"/>
  <c r="AE302" i="4"/>
  <c r="AD301" i="4"/>
  <c r="AD300" i="4"/>
  <c r="AD299" i="4"/>
  <c r="AC298" i="4"/>
  <c r="AC297" i="4"/>
  <c r="AC296" i="4"/>
  <c r="AB295" i="4"/>
  <c r="AB294" i="4"/>
  <c r="AB293" i="4"/>
  <c r="AA292" i="4"/>
  <c r="AA291" i="4"/>
  <c r="AA290" i="4"/>
  <c r="AE288" i="4"/>
  <c r="AE287" i="4"/>
  <c r="AE286" i="4"/>
  <c r="AD285" i="4"/>
  <c r="AD284" i="4"/>
  <c r="AD283" i="4"/>
  <c r="AC282" i="4"/>
  <c r="AC281" i="4"/>
  <c r="AC280" i="4"/>
  <c r="AB279" i="4"/>
  <c r="AB278" i="4"/>
  <c r="AB277" i="4"/>
  <c r="AA276" i="4"/>
  <c r="AA275" i="4"/>
  <c r="AA274" i="4"/>
  <c r="AE272" i="4"/>
  <c r="AE271" i="4"/>
  <c r="AE270" i="4"/>
  <c r="AD269" i="4"/>
  <c r="AD268" i="4"/>
  <c r="AE267" i="4"/>
  <c r="AA267" i="4"/>
  <c r="AB266" i="4"/>
  <c r="AC265" i="4"/>
  <c r="AD264" i="4"/>
  <c r="AE263" i="4"/>
  <c r="AA263" i="4"/>
  <c r="AB262" i="4"/>
  <c r="AC261" i="4"/>
  <c r="AD260" i="4"/>
  <c r="AE259" i="4"/>
  <c r="AA259" i="4"/>
  <c r="AB258" i="4"/>
  <c r="AC257" i="4"/>
  <c r="AD256" i="4"/>
  <c r="AE255" i="4"/>
  <c r="AA255" i="4"/>
  <c r="AB254" i="4"/>
  <c r="AC253" i="4"/>
  <c r="AD252" i="4"/>
  <c r="AE251" i="4"/>
  <c r="AA251" i="4"/>
  <c r="AB250" i="4"/>
  <c r="AC249" i="4"/>
  <c r="AD248" i="4"/>
  <c r="AE247" i="4"/>
  <c r="AA247" i="4"/>
  <c r="AB246" i="4"/>
  <c r="AC245" i="4"/>
  <c r="AD244" i="4"/>
  <c r="AE243" i="4"/>
  <c r="AA243" i="4"/>
  <c r="AB242" i="4"/>
  <c r="AC241" i="4"/>
  <c r="AD240" i="4"/>
  <c r="AE239" i="4"/>
  <c r="AA239" i="4"/>
  <c r="AB238" i="4"/>
  <c r="AC237" i="4"/>
  <c r="AD236" i="4"/>
  <c r="AE235" i="4"/>
  <c r="AA235" i="4"/>
  <c r="AB234" i="4"/>
  <c r="AC233" i="4"/>
  <c r="AD232" i="4"/>
  <c r="AE231" i="4"/>
  <c r="AA231" i="4"/>
  <c r="AB230" i="4"/>
  <c r="AC229" i="4"/>
  <c r="AD228" i="4"/>
  <c r="AE227" i="4"/>
  <c r="AA227" i="4"/>
  <c r="AB226" i="4"/>
  <c r="AC225" i="4"/>
  <c r="AD224" i="4"/>
  <c r="AE223" i="4"/>
  <c r="AA223" i="4"/>
  <c r="AB222" i="4"/>
  <c r="AC221" i="4"/>
  <c r="AD220" i="4"/>
  <c r="AE219" i="4"/>
  <c r="AA219" i="4"/>
  <c r="AB218" i="4"/>
  <c r="AC217" i="4"/>
  <c r="AD216" i="4"/>
  <c r="AE215" i="4"/>
  <c r="AA215" i="4"/>
  <c r="AB214" i="4"/>
  <c r="AC213" i="4"/>
  <c r="AD212" i="4"/>
  <c r="AE211" i="4"/>
  <c r="AA211" i="4"/>
  <c r="AB210" i="4"/>
  <c r="AC209" i="4"/>
  <c r="AD208" i="4"/>
  <c r="AE207" i="4"/>
  <c r="AA207" i="4"/>
  <c r="AB206" i="4"/>
  <c r="AC205" i="4"/>
  <c r="AD204" i="4"/>
  <c r="AE203" i="4"/>
  <c r="AA203" i="4"/>
  <c r="AB202" i="4"/>
  <c r="AC201" i="4"/>
  <c r="AD200" i="4"/>
  <c r="AE199" i="4"/>
  <c r="AA199" i="4"/>
  <c r="AB198" i="4"/>
  <c r="AC197" i="4"/>
  <c r="AD196" i="4"/>
  <c r="AE195" i="4"/>
  <c r="AA195" i="4"/>
  <c r="AB194" i="4"/>
  <c r="AC193" i="4"/>
  <c r="AD192" i="4"/>
  <c r="AE191" i="4"/>
  <c r="AA191" i="4"/>
  <c r="AB190" i="4"/>
  <c r="AC189" i="4"/>
  <c r="AD188" i="4"/>
  <c r="AE187" i="4"/>
  <c r="AA187" i="4"/>
  <c r="AB186" i="4"/>
  <c r="AC185" i="4"/>
  <c r="AD184" i="4"/>
  <c r="AE183" i="4"/>
  <c r="AA183" i="4"/>
  <c r="AB182" i="4"/>
  <c r="AC181" i="4"/>
  <c r="AD180" i="4"/>
  <c r="AE179" i="4"/>
  <c r="AA179" i="4"/>
  <c r="AB178" i="4"/>
  <c r="AC177" i="4"/>
  <c r="AD176" i="4"/>
  <c r="AE175" i="4"/>
  <c r="AA175" i="4"/>
  <c r="AB174" i="4"/>
  <c r="AC173" i="4"/>
  <c r="AD172" i="4"/>
  <c r="AE171" i="4"/>
  <c r="AA171" i="4"/>
  <c r="AB170" i="4"/>
  <c r="AC169" i="4"/>
  <c r="AD168" i="4"/>
  <c r="AE167" i="4"/>
  <c r="AA167" i="4"/>
  <c r="AB166" i="4"/>
  <c r="AC165" i="4"/>
  <c r="AD164" i="4"/>
  <c r="AE163" i="4"/>
  <c r="AA163" i="4"/>
  <c r="AB162" i="4"/>
  <c r="AC161" i="4"/>
  <c r="AD160" i="4"/>
  <c r="AE159" i="4"/>
  <c r="AA159" i="4"/>
  <c r="AB158" i="4"/>
  <c r="AC157" i="4"/>
  <c r="AD156" i="4"/>
  <c r="AE155" i="4"/>
  <c r="AA155" i="4"/>
  <c r="AB154" i="4"/>
  <c r="AC153" i="4"/>
  <c r="AD152" i="4"/>
  <c r="AE151" i="4"/>
  <c r="AA151" i="4"/>
  <c r="AB150" i="4"/>
  <c r="AC149" i="4"/>
  <c r="AD148" i="4"/>
  <c r="AE147" i="4"/>
  <c r="AA147" i="4"/>
  <c r="AB146" i="4"/>
  <c r="AC145" i="4"/>
  <c r="AD144" i="4"/>
  <c r="AE143" i="4"/>
  <c r="AA143" i="4"/>
  <c r="AB142" i="4"/>
  <c r="AC141" i="4"/>
  <c r="AD140" i="4"/>
  <c r="AE139" i="4"/>
  <c r="AA139" i="4"/>
  <c r="AB138" i="4"/>
  <c r="AC137" i="4"/>
  <c r="AD136" i="4"/>
  <c r="AE135" i="4"/>
  <c r="AA135" i="4"/>
  <c r="AB134" i="4"/>
  <c r="AC133" i="4"/>
  <c r="AD132" i="4"/>
  <c r="AE131" i="4"/>
  <c r="AA131" i="4"/>
  <c r="AB130" i="4"/>
  <c r="AC129" i="4"/>
  <c r="AD128" i="4"/>
  <c r="AE127" i="4"/>
  <c r="AA127" i="4"/>
  <c r="AB126" i="4"/>
  <c r="AC125" i="4"/>
  <c r="AD124" i="4"/>
  <c r="AE123" i="4"/>
  <c r="AA123" i="4"/>
  <c r="AB122" i="4"/>
  <c r="AC121" i="4"/>
  <c r="AD120" i="4"/>
  <c r="AE119" i="4"/>
  <c r="AA119" i="4"/>
  <c r="AB118" i="4"/>
  <c r="AC117" i="4"/>
  <c r="AD116" i="4"/>
  <c r="AE115" i="4"/>
  <c r="AA115" i="4"/>
  <c r="AB114" i="4"/>
  <c r="AC113" i="4"/>
  <c r="AD112" i="4"/>
  <c r="AE111" i="4"/>
  <c r="AA111" i="4"/>
  <c r="AB110" i="4"/>
  <c r="AC109" i="4"/>
  <c r="AD108" i="4"/>
  <c r="AE107" i="4"/>
  <c r="AA107" i="4"/>
  <c r="AB106" i="4"/>
  <c r="AC105" i="4"/>
  <c r="AD104" i="4"/>
  <c r="AE103" i="4"/>
  <c r="AA103" i="4"/>
  <c r="AB102" i="4"/>
  <c r="AC101" i="4"/>
  <c r="AD100" i="4"/>
  <c r="AE99" i="4"/>
  <c r="AA99" i="4"/>
  <c r="AB98" i="4"/>
  <c r="AD420" i="4"/>
  <c r="AD418" i="4"/>
  <c r="AA417" i="4"/>
  <c r="AA415" i="4"/>
  <c r="AA413" i="4"/>
  <c r="AB411" i="4"/>
  <c r="AA409" i="4"/>
  <c r="AC407" i="4"/>
  <c r="AD405" i="4"/>
  <c r="AC403" i="4"/>
  <c r="AD401" i="4"/>
  <c r="AA400" i="4"/>
  <c r="AE397" i="4"/>
  <c r="AA396" i="4"/>
  <c r="AB394" i="4"/>
  <c r="AA392" i="4"/>
  <c r="AC390" i="4"/>
  <c r="AD388" i="4"/>
  <c r="AC386" i="4"/>
  <c r="AD384" i="4"/>
  <c r="AA383" i="4"/>
  <c r="AE380" i="4"/>
  <c r="AA379" i="4"/>
  <c r="AA377" i="4"/>
  <c r="AA375" i="4"/>
  <c r="AC373" i="4"/>
  <c r="AC371" i="4"/>
  <c r="AC369" i="4"/>
  <c r="AC367" i="4"/>
  <c r="AE365" i="4"/>
  <c r="AE363" i="4"/>
  <c r="AE361" i="4"/>
  <c r="AA360" i="4"/>
  <c r="AE357" i="4"/>
  <c r="AB356" i="4"/>
  <c r="AC354" i="4"/>
  <c r="AD352" i="4"/>
  <c r="AB351" i="4"/>
  <c r="AA350" i="4"/>
  <c r="AC348" i="4"/>
  <c r="AA347" i="4"/>
  <c r="AD345" i="4"/>
  <c r="AA344" i="4"/>
  <c r="AE342" i="4"/>
  <c r="AC341" i="4"/>
  <c r="AE339" i="4"/>
  <c r="AC338" i="4"/>
  <c r="AB337" i="4"/>
  <c r="AD335" i="4"/>
  <c r="AB334" i="4"/>
  <c r="AE332" i="4"/>
  <c r="AB331" i="4"/>
  <c r="AA330" i="4"/>
  <c r="AD328" i="4"/>
  <c r="AA327" i="4"/>
  <c r="AD325" i="4"/>
  <c r="AC324" i="4"/>
  <c r="AE322" i="4"/>
  <c r="AC321" i="4"/>
  <c r="AA320" i="4"/>
  <c r="AC318" i="4"/>
  <c r="AB317" i="4"/>
  <c r="AE315" i="4"/>
  <c r="AB314" i="4"/>
  <c r="AE312" i="4"/>
  <c r="AD311" i="4"/>
  <c r="AA310" i="4"/>
  <c r="AD308" i="4"/>
  <c r="AB307" i="4"/>
  <c r="AD305" i="4"/>
  <c r="AC304" i="4"/>
  <c r="AA303" i="4"/>
  <c r="AC301" i="4"/>
  <c r="AA300" i="4"/>
  <c r="AE298" i="4"/>
  <c r="AB297" i="4"/>
  <c r="AE295" i="4"/>
  <c r="AC294" i="4"/>
  <c r="AE292" i="4"/>
  <c r="AD291" i="4"/>
  <c r="AB290" i="4"/>
  <c r="AD288" i="4"/>
  <c r="AB287" i="4"/>
  <c r="AA286" i="4"/>
  <c r="AC284" i="4"/>
  <c r="AA283" i="4"/>
  <c r="AD281" i="4"/>
  <c r="AA280" i="4"/>
  <c r="AE278" i="4"/>
  <c r="AC277" i="4"/>
  <c r="AE275" i="4"/>
  <c r="AC274" i="4"/>
  <c r="AB273" i="4"/>
  <c r="AD271" i="4"/>
  <c r="AB270" i="4"/>
  <c r="AE268" i="4"/>
  <c r="AD267" i="4"/>
  <c r="AD266" i="4"/>
  <c r="AD265" i="4"/>
  <c r="AC264" i="4"/>
  <c r="AC263" i="4"/>
  <c r="AC262" i="4"/>
  <c r="AB261" i="4"/>
  <c r="AB260" i="4"/>
  <c r="AB259" i="4"/>
  <c r="AA258" i="4"/>
  <c r="AA257" i="4"/>
  <c r="AA256" i="4"/>
  <c r="AE254" i="4"/>
  <c r="AE253" i="4"/>
  <c r="AE252" i="4"/>
  <c r="AD251" i="4"/>
  <c r="AD250" i="4"/>
  <c r="AD249" i="4"/>
  <c r="AC248" i="4"/>
  <c r="AC247" i="4"/>
  <c r="AC246" i="4"/>
  <c r="AB245" i="4"/>
  <c r="AB244" i="4"/>
  <c r="AB243" i="4"/>
  <c r="AA242" i="4"/>
  <c r="AA241" i="4"/>
  <c r="AA240" i="4"/>
  <c r="AE238" i="4"/>
  <c r="AE237" i="4"/>
  <c r="AE236" i="4"/>
  <c r="AD235" i="4"/>
  <c r="AD234" i="4"/>
  <c r="AD233" i="4"/>
  <c r="AC232" i="4"/>
  <c r="AC231" i="4"/>
  <c r="AC230" i="4"/>
  <c r="AB229" i="4"/>
  <c r="AB228" i="4"/>
  <c r="AB227" i="4"/>
  <c r="AA226" i="4"/>
  <c r="AA225" i="4"/>
  <c r="AA224" i="4"/>
  <c r="AE222" i="4"/>
  <c r="AE221" i="4"/>
  <c r="AE220" i="4"/>
  <c r="AD219" i="4"/>
  <c r="AD218" i="4"/>
  <c r="AD217" i="4"/>
  <c r="AC216" i="4"/>
  <c r="AC215" i="4"/>
  <c r="AC214" i="4"/>
  <c r="AB213" i="4"/>
  <c r="AB212" i="4"/>
  <c r="AB211" i="4"/>
  <c r="AA210" i="4"/>
  <c r="AA209" i="4"/>
  <c r="AA208" i="4"/>
  <c r="AE206" i="4"/>
  <c r="AE205" i="4"/>
  <c r="AE204" i="4"/>
  <c r="AD203" i="4"/>
  <c r="AD202" i="4"/>
  <c r="AD201" i="4"/>
  <c r="AC200" i="4"/>
  <c r="AC199" i="4"/>
  <c r="AC198" i="4"/>
  <c r="AB197" i="4"/>
  <c r="AB196" i="4"/>
  <c r="AB195" i="4"/>
  <c r="AA194" i="4"/>
  <c r="AA193" i="4"/>
  <c r="AA192" i="4"/>
  <c r="AE190" i="4"/>
  <c r="AE189" i="4"/>
  <c r="AE188" i="4"/>
  <c r="AD187" i="4"/>
  <c r="AD186" i="4"/>
  <c r="AD185" i="4"/>
  <c r="AC184" i="4"/>
  <c r="AC183" i="4"/>
  <c r="AC182" i="4"/>
  <c r="AB181" i="4"/>
  <c r="AB180" i="4"/>
  <c r="AB179" i="4"/>
  <c r="AA178" i="4"/>
  <c r="AA177" i="4"/>
  <c r="AA176" i="4"/>
  <c r="AE174" i="4"/>
  <c r="AE173" i="4"/>
  <c r="AE172" i="4"/>
  <c r="AD171" i="4"/>
  <c r="AD170" i="4"/>
  <c r="AD169" i="4"/>
  <c r="AC168" i="4"/>
  <c r="AC167" i="4"/>
  <c r="AC166" i="4"/>
  <c r="AB165" i="4"/>
  <c r="AB164" i="4"/>
  <c r="AB163" i="4"/>
  <c r="AA162" i="4"/>
  <c r="AA161" i="4"/>
  <c r="AA160" i="4"/>
  <c r="AE158" i="4"/>
  <c r="AE157" i="4"/>
  <c r="AE156" i="4"/>
  <c r="AD155" i="4"/>
  <c r="AD154" i="4"/>
  <c r="AD153" i="4"/>
  <c r="AC152" i="4"/>
  <c r="AC151" i="4"/>
  <c r="AC150" i="4"/>
  <c r="AB149" i="4"/>
  <c r="AB148" i="4"/>
  <c r="AB147" i="4"/>
  <c r="AA146" i="4"/>
  <c r="AA145" i="4"/>
  <c r="AA144" i="4"/>
  <c r="AE142" i="4"/>
  <c r="AE141" i="4"/>
  <c r="AE140" i="4"/>
  <c r="AD139" i="4"/>
  <c r="AD138" i="4"/>
  <c r="AD137" i="4"/>
  <c r="AC136" i="4"/>
  <c r="AC135" i="4"/>
  <c r="AC134" i="4"/>
  <c r="AB133" i="4"/>
  <c r="AB132" i="4"/>
  <c r="AB131" i="4"/>
  <c r="AA130" i="4"/>
  <c r="AA129" i="4"/>
  <c r="AA128" i="4"/>
  <c r="AE126" i="4"/>
  <c r="AE125" i="4"/>
  <c r="AE124" i="4"/>
  <c r="AD123" i="4"/>
  <c r="AD122" i="4"/>
  <c r="AD121" i="4"/>
  <c r="AC120" i="4"/>
  <c r="AC119" i="4"/>
  <c r="AC118" i="4"/>
  <c r="AB117" i="4"/>
  <c r="AB116" i="4"/>
  <c r="AB115" i="4"/>
  <c r="AA114" i="4"/>
  <c r="AA113" i="4"/>
  <c r="AA112" i="4"/>
  <c r="AE110" i="4"/>
  <c r="AE109" i="4"/>
  <c r="AE108" i="4"/>
  <c r="AD107" i="4"/>
  <c r="AD106" i="4"/>
  <c r="AD105" i="4"/>
  <c r="AC104" i="4"/>
  <c r="AC103" i="4"/>
  <c r="AC102" i="4"/>
  <c r="AB101" i="4"/>
  <c r="AB100" i="4"/>
  <c r="AB99" i="4"/>
  <c r="AA98" i="4"/>
  <c r="AB97" i="4"/>
  <c r="AC96" i="4"/>
  <c r="AD95" i="4"/>
  <c r="AE94" i="4"/>
  <c r="AA94" i="4"/>
  <c r="AB93" i="4"/>
  <c r="AC92" i="4"/>
  <c r="AD91" i="4"/>
  <c r="AE90" i="4"/>
  <c r="AA90" i="4"/>
  <c r="AB89" i="4"/>
  <c r="AC88" i="4"/>
  <c r="AD87" i="4"/>
  <c r="AE86" i="4"/>
  <c r="AA86" i="4"/>
  <c r="AB85" i="4"/>
  <c r="AC84" i="4"/>
  <c r="AD83" i="4"/>
  <c r="AE82" i="4"/>
  <c r="AA82" i="4"/>
  <c r="AB81" i="4"/>
  <c r="AC80" i="4"/>
  <c r="AD79" i="4"/>
  <c r="AE78" i="4"/>
  <c r="AA78" i="4"/>
  <c r="AB77" i="4"/>
  <c r="AC76" i="4"/>
  <c r="AD75" i="4"/>
  <c r="AE74" i="4"/>
  <c r="AA74" i="4"/>
  <c r="AB73" i="4"/>
  <c r="AC72" i="4"/>
  <c r="AD71" i="4"/>
  <c r="AE70" i="4"/>
  <c r="AA70" i="4"/>
  <c r="AB69" i="4"/>
  <c r="AC68" i="4"/>
  <c r="AD67" i="4"/>
  <c r="AE66" i="4"/>
  <c r="AA66" i="4"/>
  <c r="AB65" i="4"/>
  <c r="AC64" i="4"/>
  <c r="AD63" i="4"/>
  <c r="AE62" i="4"/>
  <c r="AA62" i="4"/>
  <c r="AB61" i="4"/>
  <c r="AC60" i="4"/>
  <c r="AD59" i="4"/>
  <c r="AE58" i="4"/>
  <c r="AA58" i="4"/>
  <c r="AB57" i="4"/>
  <c r="AC56" i="4"/>
  <c r="AD55" i="4"/>
  <c r="AE54" i="4"/>
  <c r="AA54" i="4"/>
  <c r="AB53" i="4"/>
  <c r="AC52" i="4"/>
  <c r="AD51" i="4"/>
  <c r="AE50" i="4"/>
  <c r="AA50" i="4"/>
  <c r="AB49" i="4"/>
  <c r="AC48" i="4"/>
  <c r="AD47" i="4"/>
  <c r="AE46" i="4"/>
  <c r="AA46" i="4"/>
  <c r="AB45" i="4"/>
  <c r="AC44" i="4"/>
  <c r="AD43" i="4"/>
  <c r="AE42" i="4"/>
  <c r="AA42" i="4"/>
  <c r="AB41" i="4"/>
  <c r="AC40" i="4"/>
  <c r="AD39" i="4"/>
  <c r="AE38" i="4"/>
  <c r="AA38" i="4"/>
  <c r="AB37" i="4"/>
  <c r="AC36" i="4"/>
  <c r="AD35" i="4"/>
  <c r="AE34" i="4"/>
  <c r="AA34" i="4"/>
  <c r="AB33" i="4"/>
  <c r="AC32" i="4"/>
  <c r="AD31" i="4"/>
  <c r="AE30" i="4"/>
  <c r="AA30" i="4"/>
  <c r="AB29" i="4"/>
  <c r="AC28" i="4"/>
  <c r="AD27" i="4"/>
  <c r="AE26" i="4"/>
  <c r="AA26" i="4"/>
  <c r="AB25" i="4"/>
  <c r="AC24" i="4"/>
  <c r="AD23" i="4"/>
  <c r="AE22" i="4"/>
  <c r="AA22" i="4"/>
  <c r="AB21" i="4"/>
  <c r="AO21" i="11" s="1"/>
  <c r="AC20" i="4"/>
  <c r="AE421" i="4"/>
  <c r="AB420" i="4"/>
  <c r="AC418" i="4"/>
  <c r="AB416" i="4"/>
  <c r="AC414" i="4"/>
  <c r="AE412" i="4"/>
  <c r="AD410" i="4"/>
  <c r="AE408" i="4"/>
  <c r="AA407" i="4"/>
  <c r="AE404" i="4"/>
  <c r="AB403" i="4"/>
  <c r="AC401" i="4"/>
  <c r="AB399" i="4"/>
  <c r="AC397" i="4"/>
  <c r="AE395" i="4"/>
  <c r="AD393" i="4"/>
  <c r="AE391" i="4"/>
  <c r="AE389" i="4"/>
  <c r="AE387" i="4"/>
  <c r="AB386" i="4"/>
  <c r="AB384" i="4"/>
  <c r="AB382" i="4"/>
  <c r="AB380" i="4"/>
  <c r="AD378" i="4"/>
  <c r="AD376" i="4"/>
  <c r="AD374" i="4"/>
  <c r="AE372" i="4"/>
  <c r="AD370" i="4"/>
  <c r="AA369" i="4"/>
  <c r="AB367" i="4"/>
  <c r="AA365" i="4"/>
  <c r="AB363" i="4"/>
  <c r="AD361" i="4"/>
  <c r="AC359" i="4"/>
  <c r="AD357" i="4"/>
  <c r="AE355" i="4"/>
  <c r="AD353" i="4"/>
  <c r="AC352" i="4"/>
  <c r="AA351" i="4"/>
  <c r="AC349" i="4"/>
  <c r="AA348" i="4"/>
  <c r="AE346" i="4"/>
  <c r="AB345" i="4"/>
  <c r="AE343" i="4"/>
  <c r="AC342" i="4"/>
  <c r="AE340" i="4"/>
  <c r="AD339" i="4"/>
  <c r="AB338" i="4"/>
  <c r="AD336" i="4"/>
  <c r="AB335" i="4"/>
  <c r="AA334" i="4"/>
  <c r="AC332" i="4"/>
  <c r="AA331" i="4"/>
  <c r="AD329" i="4"/>
  <c r="AA328" i="4"/>
  <c r="AE326" i="4"/>
  <c r="AC325" i="4"/>
  <c r="AE323" i="4"/>
  <c r="AC322" i="4"/>
  <c r="AB321" i="4"/>
  <c r="AD319" i="4"/>
  <c r="AB318" i="4"/>
  <c r="AE316" i="4"/>
  <c r="AB315" i="4"/>
  <c r="AA314" i="4"/>
  <c r="AD312" i="4"/>
  <c r="AA311" i="4"/>
  <c r="AD309" i="4"/>
  <c r="AC308" i="4"/>
  <c r="AE306" i="4"/>
  <c r="AC305" i="4"/>
  <c r="AA304" i="4"/>
  <c r="AC302" i="4"/>
  <c r="AB301" i="4"/>
  <c r="AE299" i="4"/>
  <c r="AB298" i="4"/>
  <c r="AE296" i="4"/>
  <c r="AD295" i="4"/>
  <c r="AA294" i="4"/>
  <c r="AD292" i="4"/>
  <c r="AB291" i="4"/>
  <c r="AD289" i="4"/>
  <c r="AC288" i="4"/>
  <c r="AA287" i="4"/>
  <c r="AC285" i="4"/>
  <c r="AA284" i="4"/>
  <c r="AE282" i="4"/>
  <c r="AB281" i="4"/>
  <c r="AE279" i="4"/>
  <c r="AC278" i="4"/>
  <c r="AE276" i="4"/>
  <c r="AD275" i="4"/>
  <c r="AB274" i="4"/>
  <c r="AD272" i="4"/>
  <c r="AB271" i="4"/>
  <c r="AA270" i="4"/>
  <c r="AC268" i="4"/>
  <c r="AC267" i="4"/>
  <c r="AC266" i="4"/>
  <c r="AB265" i="4"/>
  <c r="AB264" i="4"/>
  <c r="AB263" i="4"/>
  <c r="AA262" i="4"/>
  <c r="AA261" i="4"/>
  <c r="AA260" i="4"/>
  <c r="AE258" i="4"/>
  <c r="AE257" i="4"/>
  <c r="AE256" i="4"/>
  <c r="AD255" i="4"/>
  <c r="AD254" i="4"/>
  <c r="AD253" i="4"/>
  <c r="AC252" i="4"/>
  <c r="AC251" i="4"/>
  <c r="AC250" i="4"/>
  <c r="AB249" i="4"/>
  <c r="AB248" i="4"/>
  <c r="AB247" i="4"/>
  <c r="AA246" i="4"/>
  <c r="AA245" i="4"/>
  <c r="AA244" i="4"/>
  <c r="AE242" i="4"/>
  <c r="AE241" i="4"/>
  <c r="AE240" i="4"/>
  <c r="AD239" i="4"/>
  <c r="AD238" i="4"/>
  <c r="AD237" i="4"/>
  <c r="AC236" i="4"/>
  <c r="AC235" i="4"/>
  <c r="AC234" i="4"/>
  <c r="AB233" i="4"/>
  <c r="AB232" i="4"/>
  <c r="AB231" i="4"/>
  <c r="AA230" i="4"/>
  <c r="AA229" i="4"/>
  <c r="AA228" i="4"/>
  <c r="AE226" i="4"/>
  <c r="AE225" i="4"/>
  <c r="AE224" i="4"/>
  <c r="AD223" i="4"/>
  <c r="AD222" i="4"/>
  <c r="AD221" i="4"/>
  <c r="AC220" i="4"/>
  <c r="AC219" i="4"/>
  <c r="AC218" i="4"/>
  <c r="AB217" i="4"/>
  <c r="AB216" i="4"/>
  <c r="AB215" i="4"/>
  <c r="AA214" i="4"/>
  <c r="AA213" i="4"/>
  <c r="AA212" i="4"/>
  <c r="AE210" i="4"/>
  <c r="AE209" i="4"/>
  <c r="AE208" i="4"/>
  <c r="AD207" i="4"/>
  <c r="AD206" i="4"/>
  <c r="AD205" i="4"/>
  <c r="AC204" i="4"/>
  <c r="AC203" i="4"/>
  <c r="AC202" i="4"/>
  <c r="AB201" i="4"/>
  <c r="AB200" i="4"/>
  <c r="AB199" i="4"/>
  <c r="AA198" i="4"/>
  <c r="AA197" i="4"/>
  <c r="AA196" i="4"/>
  <c r="AE194" i="4"/>
  <c r="AE193" i="4"/>
  <c r="AE192" i="4"/>
  <c r="AD191" i="4"/>
  <c r="AD190" i="4"/>
  <c r="AD189" i="4"/>
  <c r="AC188" i="4"/>
  <c r="AC187" i="4"/>
  <c r="AC186" i="4"/>
  <c r="AB185" i="4"/>
  <c r="AB184" i="4"/>
  <c r="AB183" i="4"/>
  <c r="AA182" i="4"/>
  <c r="AA181" i="4"/>
  <c r="AA180" i="4"/>
  <c r="AE178" i="4"/>
  <c r="AE177" i="4"/>
  <c r="AE176" i="4"/>
  <c r="AD175" i="4"/>
  <c r="AD174" i="4"/>
  <c r="AD173" i="4"/>
  <c r="AC172" i="4"/>
  <c r="AC171" i="4"/>
  <c r="AC170" i="4"/>
  <c r="AB169" i="4"/>
  <c r="AB168" i="4"/>
  <c r="AB167" i="4"/>
  <c r="AA166" i="4"/>
  <c r="AA165" i="4"/>
  <c r="AA164" i="4"/>
  <c r="AE162" i="4"/>
  <c r="AE161" i="4"/>
  <c r="AE160" i="4"/>
  <c r="AD159" i="4"/>
  <c r="AD158" i="4"/>
  <c r="AD157" i="4"/>
  <c r="AC156" i="4"/>
  <c r="AC155" i="4"/>
  <c r="AC154" i="4"/>
  <c r="AB153" i="4"/>
  <c r="AB152" i="4"/>
  <c r="AB151" i="4"/>
  <c r="AA150" i="4"/>
  <c r="AA149" i="4"/>
  <c r="AA148" i="4"/>
  <c r="AE146" i="4"/>
  <c r="AE145" i="4"/>
  <c r="AE144" i="4"/>
  <c r="AD143" i="4"/>
  <c r="AD142" i="4"/>
  <c r="AD141" i="4"/>
  <c r="AC140" i="4"/>
  <c r="AC139" i="4"/>
  <c r="AC138" i="4"/>
  <c r="AB137" i="4"/>
  <c r="AB136" i="4"/>
  <c r="AB135" i="4"/>
  <c r="AA134" i="4"/>
  <c r="AA133" i="4"/>
  <c r="AA132" i="4"/>
  <c r="AE130" i="4"/>
  <c r="AE129" i="4"/>
  <c r="AE128" i="4"/>
  <c r="AD127" i="4"/>
  <c r="AD126" i="4"/>
  <c r="AD125" i="4"/>
  <c r="AC124" i="4"/>
  <c r="AC123" i="4"/>
  <c r="AC122" i="4"/>
  <c r="AB121" i="4"/>
  <c r="AB120" i="4"/>
  <c r="AB119" i="4"/>
  <c r="AA118" i="4"/>
  <c r="AA117" i="4"/>
  <c r="AA116" i="4"/>
  <c r="AE114" i="4"/>
  <c r="AE113" i="4"/>
  <c r="AE112" i="4"/>
  <c r="AD111" i="4"/>
  <c r="AD110" i="4"/>
  <c r="AD109" i="4"/>
  <c r="AC108" i="4"/>
  <c r="AC107" i="4"/>
  <c r="AC106" i="4"/>
  <c r="AB105" i="4"/>
  <c r="AB104" i="4"/>
  <c r="AB103" i="4"/>
  <c r="AA102" i="4"/>
  <c r="AA101" i="4"/>
  <c r="AA100" i="4"/>
  <c r="AE98" i="4"/>
  <c r="AE97" i="4"/>
  <c r="AA97" i="4"/>
  <c r="AB96" i="4"/>
  <c r="AC95" i="4"/>
  <c r="AD94" i="4"/>
  <c r="AE93" i="4"/>
  <c r="AA93" i="4"/>
  <c r="AB92" i="4"/>
  <c r="AC91" i="4"/>
  <c r="AD90" i="4"/>
  <c r="AE89" i="4"/>
  <c r="AA89" i="4"/>
  <c r="AB88" i="4"/>
  <c r="AC87" i="4"/>
  <c r="AD86" i="4"/>
  <c r="AE85" i="4"/>
  <c r="AA85" i="4"/>
  <c r="AB84" i="4"/>
  <c r="AC83" i="4"/>
  <c r="AD82" i="4"/>
  <c r="AE81" i="4"/>
  <c r="AA81" i="4"/>
  <c r="AB80" i="4"/>
  <c r="AC79" i="4"/>
  <c r="AD78" i="4"/>
  <c r="AE77" i="4"/>
  <c r="AA77" i="4"/>
  <c r="AB76" i="4"/>
  <c r="AC75" i="4"/>
  <c r="AD74" i="4"/>
  <c r="AE73" i="4"/>
  <c r="AA73" i="4"/>
  <c r="AB72" i="4"/>
  <c r="AC71" i="4"/>
  <c r="AD70" i="4"/>
  <c r="AE69" i="4"/>
  <c r="AA69" i="4"/>
  <c r="AB68" i="4"/>
  <c r="AC67" i="4"/>
  <c r="AD66" i="4"/>
  <c r="AE65" i="4"/>
  <c r="AA65" i="4"/>
  <c r="AB64" i="4"/>
  <c r="AC63" i="4"/>
  <c r="AD62" i="4"/>
  <c r="AE61" i="4"/>
  <c r="AA61" i="4"/>
  <c r="AB60" i="4"/>
  <c r="AC59" i="4"/>
  <c r="AD58" i="4"/>
  <c r="AE57" i="4"/>
  <c r="AA57" i="4"/>
  <c r="AB56" i="4"/>
  <c r="AC55" i="4"/>
  <c r="AD54" i="4"/>
  <c r="AE53" i="4"/>
  <c r="AA53" i="4"/>
  <c r="AB52" i="4"/>
  <c r="AC51" i="4"/>
  <c r="AD50" i="4"/>
  <c r="AE49" i="4"/>
  <c r="AA49" i="4"/>
  <c r="AB48" i="4"/>
  <c r="AC47" i="4"/>
  <c r="AD46" i="4"/>
  <c r="AE45" i="4"/>
  <c r="AA45" i="4"/>
  <c r="AB44" i="4"/>
  <c r="AC43" i="4"/>
  <c r="AD42" i="4"/>
  <c r="AE41" i="4"/>
  <c r="AA41" i="4"/>
  <c r="AB40" i="4"/>
  <c r="AE20" i="4"/>
  <c r="AE21" i="4"/>
  <c r="AR21" i="11" s="1"/>
  <c r="AA23" i="4"/>
  <c r="AA24" i="4"/>
  <c r="AA25" i="4"/>
  <c r="AB26" i="4"/>
  <c r="AB27" i="4"/>
  <c r="AB28" i="4"/>
  <c r="AC29" i="4"/>
  <c r="AC30" i="4"/>
  <c r="AC31" i="4"/>
  <c r="AD32" i="4"/>
  <c r="AD33" i="4"/>
  <c r="AD34" i="4"/>
  <c r="AE35" i="4"/>
  <c r="AE36" i="4"/>
  <c r="AE37" i="4"/>
  <c r="AA39" i="4"/>
  <c r="AA40" i="4"/>
  <c r="AD41" i="4"/>
  <c r="AB43" i="4"/>
  <c r="AE44" i="4"/>
  <c r="AC46" i="4"/>
  <c r="AA48" i="4"/>
  <c r="AD49" i="4"/>
  <c r="AB51" i="4"/>
  <c r="AE52" i="4"/>
  <c r="AC54" i="4"/>
  <c r="AA56" i="4"/>
  <c r="AD57" i="4"/>
  <c r="AB59" i="4"/>
  <c r="AE60" i="4"/>
  <c r="AC62" i="4"/>
  <c r="AA64" i="4"/>
  <c r="AD65" i="4"/>
  <c r="AB67" i="4"/>
  <c r="AE68" i="4"/>
  <c r="AC70" i="4"/>
  <c r="AA72" i="4"/>
  <c r="AD73" i="4"/>
  <c r="AB75" i="4"/>
  <c r="AE76" i="4"/>
  <c r="AC78" i="4"/>
  <c r="AA80" i="4"/>
  <c r="AD81" i="4"/>
  <c r="AB83" i="4"/>
  <c r="AE84" i="4"/>
  <c r="AC86" i="4"/>
  <c r="AA88" i="4"/>
  <c r="AD89" i="4"/>
  <c r="AB91" i="4"/>
  <c r="AE92" i="4"/>
  <c r="AC94" i="4"/>
  <c r="AA96" i="4"/>
  <c r="AD97" i="4"/>
  <c r="AD99" i="4"/>
  <c r="AE101" i="4"/>
  <c r="AA104" i="4"/>
  <c r="AA106" i="4"/>
  <c r="AB108" i="4"/>
  <c r="AC110" i="4"/>
  <c r="AC112" i="4"/>
  <c r="AD114" i="4"/>
  <c r="AE116" i="4"/>
  <c r="AE118" i="4"/>
  <c r="AA121" i="4"/>
  <c r="AB123" i="4"/>
  <c r="AB125" i="4"/>
  <c r="AC127" i="4"/>
  <c r="AD129" i="4"/>
  <c r="AD131" i="4"/>
  <c r="AE133" i="4"/>
  <c r="AA136" i="4"/>
  <c r="AA138" i="4"/>
  <c r="AB140" i="4"/>
  <c r="AC142" i="4"/>
  <c r="AC144" i="4"/>
  <c r="AD146" i="4"/>
  <c r="AE148" i="4"/>
  <c r="AE150" i="4"/>
  <c r="AA153" i="4"/>
  <c r="AB155" i="4"/>
  <c r="AB157" i="4"/>
  <c r="AC159" i="4"/>
  <c r="AD161" i="4"/>
  <c r="AD163" i="4"/>
  <c r="AE165" i="4"/>
  <c r="AA168" i="4"/>
  <c r="AA170" i="4"/>
  <c r="AB172" i="4"/>
  <c r="AC174" i="4"/>
  <c r="AC176" i="4"/>
  <c r="AD178" i="4"/>
  <c r="AE180" i="4"/>
  <c r="AE182" i="4"/>
  <c r="AA185" i="4"/>
  <c r="AB187" i="4"/>
  <c r="AB189" i="4"/>
  <c r="AC191" i="4"/>
  <c r="AD193" i="4"/>
  <c r="AD195" i="4"/>
  <c r="AE197" i="4"/>
  <c r="AA200" i="4"/>
  <c r="AA202" i="4"/>
  <c r="AB204" i="4"/>
  <c r="AC206" i="4"/>
  <c r="AC208" i="4"/>
  <c r="AD210" i="4"/>
  <c r="AE212" i="4"/>
  <c r="AE214" i="4"/>
  <c r="AA217" i="4"/>
  <c r="AB219" i="4"/>
  <c r="AB221" i="4"/>
  <c r="AC223" i="4"/>
  <c r="AD225" i="4"/>
  <c r="AD227" i="4"/>
  <c r="AE229" i="4"/>
  <c r="AA232" i="4"/>
  <c r="AA234" i="4"/>
  <c r="AB236" i="4"/>
  <c r="AC238" i="4"/>
  <c r="AC240" i="4"/>
  <c r="AD242" i="4"/>
  <c r="AE244" i="4"/>
  <c r="AE246" i="4"/>
  <c r="AA249" i="4"/>
  <c r="AB251" i="4"/>
  <c r="AB253" i="4"/>
  <c r="AC255" i="4"/>
  <c r="AD257" i="4"/>
  <c r="AD259" i="4"/>
  <c r="AE261" i="4"/>
  <c r="AA264" i="4"/>
  <c r="AA266" i="4"/>
  <c r="AB268" i="4"/>
  <c r="AA271" i="4"/>
  <c r="AD273" i="4"/>
  <c r="AD276" i="4"/>
  <c r="AD279" i="4"/>
  <c r="AB282" i="4"/>
  <c r="AB285" i="4"/>
  <c r="AA288" i="4"/>
  <c r="AE290" i="4"/>
  <c r="AD293" i="4"/>
  <c r="AD296" i="4"/>
  <c r="AB299" i="4"/>
  <c r="AB302" i="4"/>
  <c r="AB305" i="4"/>
  <c r="AE307" i="4"/>
  <c r="AE310" i="4"/>
  <c r="AD313" i="4"/>
  <c r="AC316" i="4"/>
  <c r="AB319" i="4"/>
  <c r="AB322" i="4"/>
  <c r="AE324" i="4"/>
  <c r="AE327" i="4"/>
  <c r="AE330" i="4"/>
  <c r="AC333" i="4"/>
  <c r="AC336" i="4"/>
  <c r="AB339" i="4"/>
  <c r="AA342" i="4"/>
  <c r="AE344" i="4"/>
  <c r="AE347" i="4"/>
  <c r="AC350" i="4"/>
  <c r="AC353" i="4"/>
  <c r="AC357" i="4"/>
  <c r="AE360" i="4"/>
  <c r="AE364" i="4"/>
  <c r="AD368" i="4"/>
  <c r="AB372" i="4"/>
  <c r="AA376" i="4"/>
  <c r="AA380" i="4"/>
  <c r="AC383" i="4"/>
  <c r="AC387" i="4"/>
  <c r="AC391" i="4"/>
  <c r="AA395" i="4"/>
  <c r="AA399" i="4"/>
  <c r="AD402" i="4"/>
  <c r="AC406" i="4"/>
  <c r="AB410" i="4"/>
  <c r="AB414" i="4"/>
  <c r="AD417" i="4"/>
  <c r="AD421" i="4"/>
  <c r="AA20" i="4"/>
  <c r="AA21" i="4"/>
  <c r="AB22" i="4"/>
  <c r="AB23" i="4"/>
  <c r="AB24" i="4"/>
  <c r="AC25" i="4"/>
  <c r="AC26" i="4"/>
  <c r="AC27" i="4"/>
  <c r="AD28" i="4"/>
  <c r="AD29" i="4"/>
  <c r="AD30" i="4"/>
  <c r="AE31" i="4"/>
  <c r="AE32" i="4"/>
  <c r="AE33" i="4"/>
  <c r="AA35" i="4"/>
  <c r="AA36" i="4"/>
  <c r="AA37" i="4"/>
  <c r="AB38" i="4"/>
  <c r="AB39" i="4"/>
  <c r="AD40" i="4"/>
  <c r="AB42" i="4"/>
  <c r="AE43" i="4"/>
  <c r="AC45" i="4"/>
  <c r="AA47" i="4"/>
  <c r="AD48" i="4"/>
  <c r="AB50" i="4"/>
  <c r="AE51" i="4"/>
  <c r="AC53" i="4"/>
  <c r="AA55" i="4"/>
  <c r="AD56" i="4"/>
  <c r="AB58" i="4"/>
  <c r="AE59" i="4"/>
  <c r="AC61" i="4"/>
  <c r="AA63" i="4"/>
  <c r="AD64" i="4"/>
  <c r="AB66" i="4"/>
  <c r="AE67" i="4"/>
  <c r="AC69" i="4"/>
  <c r="AA71" i="4"/>
  <c r="AD72" i="4"/>
  <c r="AB74" i="4"/>
  <c r="AE75" i="4"/>
  <c r="AC77" i="4"/>
  <c r="AA79" i="4"/>
  <c r="AD80" i="4"/>
  <c r="AB82" i="4"/>
  <c r="AE83" i="4"/>
  <c r="AC85" i="4"/>
  <c r="AA87" i="4"/>
  <c r="AD88" i="4"/>
  <c r="AB90" i="4"/>
  <c r="AE91" i="4"/>
  <c r="AC93" i="4"/>
  <c r="AA95" i="4"/>
  <c r="AD96" i="4"/>
  <c r="AC98" i="4"/>
  <c r="AC100" i="4"/>
  <c r="AD102" i="4"/>
  <c r="AE104" i="4"/>
  <c r="AE106" i="4"/>
  <c r="AA109" i="4"/>
  <c r="AB111" i="4"/>
  <c r="AB113" i="4"/>
  <c r="AC115" i="4"/>
  <c r="AD117" i="4"/>
  <c r="AD119" i="4"/>
  <c r="AE121" i="4"/>
  <c r="AA124" i="4"/>
  <c r="AA126" i="4"/>
  <c r="AB128" i="4"/>
  <c r="AC130" i="4"/>
  <c r="AC132" i="4"/>
  <c r="AD134" i="4"/>
  <c r="AE136" i="4"/>
  <c r="AE138" i="4"/>
  <c r="AA141" i="4"/>
  <c r="AB143" i="4"/>
  <c r="AB145" i="4"/>
  <c r="AC147" i="4"/>
  <c r="AD149" i="4"/>
  <c r="AD151" i="4"/>
  <c r="AE153" i="4"/>
  <c r="AA156" i="4"/>
  <c r="AA158" i="4"/>
  <c r="AB160" i="4"/>
  <c r="AC162" i="4"/>
  <c r="AC164" i="4"/>
  <c r="AD166" i="4"/>
  <c r="AE168" i="4"/>
  <c r="AE170" i="4"/>
  <c r="AA173" i="4"/>
  <c r="AB175" i="4"/>
  <c r="AB177" i="4"/>
  <c r="AC179" i="4"/>
  <c r="AD181" i="4"/>
  <c r="AD183" i="4"/>
  <c r="AE185" i="4"/>
  <c r="AA188" i="4"/>
  <c r="AA190" i="4"/>
  <c r="AB192" i="4"/>
  <c r="AC194" i="4"/>
  <c r="AC196" i="4"/>
  <c r="AD198" i="4"/>
  <c r="AE200" i="4"/>
  <c r="AE202" i="4"/>
  <c r="AA205" i="4"/>
  <c r="AB207" i="4"/>
  <c r="AB209" i="4"/>
  <c r="AC211" i="4"/>
  <c r="AD213" i="4"/>
  <c r="AD215" i="4"/>
  <c r="AE217" i="4"/>
  <c r="AA220" i="4"/>
  <c r="AA222" i="4"/>
  <c r="AB224" i="4"/>
  <c r="AC226" i="4"/>
  <c r="AC228" i="4"/>
  <c r="AD230" i="4"/>
  <c r="AE232" i="4"/>
  <c r="AE234" i="4"/>
  <c r="AA237" i="4"/>
  <c r="AB239" i="4"/>
  <c r="AB241" i="4"/>
  <c r="AC243" i="4"/>
  <c r="AD245" i="4"/>
  <c r="AD247" i="4"/>
  <c r="AE249" i="4"/>
  <c r="AA252" i="4"/>
  <c r="AA254" i="4"/>
  <c r="AB256" i="4"/>
  <c r="AC258" i="4"/>
  <c r="AC260" i="4"/>
  <c r="AD262" i="4"/>
  <c r="AE264" i="4"/>
  <c r="AE266" i="4"/>
  <c r="AB269" i="4"/>
  <c r="AA272" i="4"/>
  <c r="AE274" i="4"/>
  <c r="AD277" i="4"/>
  <c r="AD280" i="4"/>
  <c r="AB283" i="4"/>
  <c r="AB286" i="4"/>
  <c r="AB289" i="4"/>
  <c r="AE291" i="4"/>
  <c r="AE294" i="4"/>
  <c r="AD297" i="4"/>
  <c r="AC300" i="4"/>
  <c r="AB303" i="4"/>
  <c r="AB306" i="4"/>
  <c r="AE308" i="4"/>
  <c r="AE311" i="4"/>
  <c r="AE314" i="4"/>
  <c r="AC317" i="4"/>
  <c r="AC320" i="4"/>
  <c r="AB323" i="4"/>
  <c r="AA326" i="4"/>
  <c r="AE328" i="4"/>
  <c r="AE331" i="4"/>
  <c r="AC334" i="4"/>
  <c r="AC337" i="4"/>
  <c r="AC340" i="4"/>
  <c r="AA343" i="4"/>
  <c r="AA346" i="4"/>
  <c r="AE348" i="4"/>
  <c r="AD351" i="4"/>
  <c r="AD354" i="4"/>
  <c r="AD358" i="4"/>
  <c r="AB362" i="4"/>
  <c r="AB366" i="4"/>
  <c r="AB370" i="4"/>
  <c r="AD373" i="4"/>
  <c r="AD377" i="4"/>
  <c r="AC381" i="4"/>
  <c r="AA385" i="4"/>
  <c r="AE388" i="4"/>
  <c r="AE392" i="4"/>
  <c r="AB396" i="4"/>
  <c r="AB400" i="4"/>
  <c r="AB404" i="4"/>
  <c r="AE407" i="4"/>
  <c r="AE411" i="4"/>
  <c r="AC415" i="4"/>
  <c r="AB419" i="4"/>
  <c r="F25" i="2" l="1"/>
  <c r="B38" i="14"/>
  <c r="B20" i="14"/>
  <c r="B32" i="14"/>
  <c r="B26" i="14"/>
  <c r="J25" i="2"/>
  <c r="F38" i="14"/>
  <c r="F20" i="14"/>
  <c r="F32" i="14"/>
  <c r="F26" i="14"/>
  <c r="G25" i="2"/>
  <c r="C32" i="14"/>
  <c r="C26" i="14"/>
  <c r="C38" i="14"/>
  <c r="C20" i="14"/>
  <c r="H25" i="2"/>
  <c r="D32" i="14"/>
  <c r="D26" i="14"/>
  <c r="D38" i="14"/>
  <c r="D20" i="14"/>
  <c r="I25" i="2"/>
  <c r="E38" i="14"/>
  <c r="E20" i="14"/>
  <c r="E32" i="14"/>
  <c r="E26" i="14"/>
  <c r="AP20" i="11"/>
  <c r="BB20" i="11" s="1"/>
  <c r="P20" i="11"/>
  <c r="AQ20" i="11"/>
  <c r="AW20" i="11" s="1"/>
  <c r="Q20" i="11"/>
  <c r="AO20" i="11"/>
  <c r="BA20" i="11" s="1"/>
  <c r="O20" i="11"/>
  <c r="AR20" i="11"/>
  <c r="AX20" i="11" s="1"/>
  <c r="R20" i="11"/>
  <c r="AN20" i="11"/>
  <c r="AZ20" i="11" s="1"/>
  <c r="N20" i="11"/>
  <c r="AN21" i="11"/>
  <c r="F32" i="2"/>
  <c r="F54" i="2"/>
  <c r="F47" i="2"/>
  <c r="F39" i="2"/>
  <c r="J32" i="2"/>
  <c r="J39" i="2"/>
  <c r="J54" i="2"/>
  <c r="J47" i="2"/>
  <c r="G32" i="2"/>
  <c r="G54" i="2"/>
  <c r="G47" i="2"/>
  <c r="G39" i="2"/>
  <c r="H32" i="2"/>
  <c r="H47" i="2"/>
  <c r="H39" i="2"/>
  <c r="H54" i="2"/>
  <c r="I32" i="2"/>
  <c r="I39" i="2"/>
  <c r="I47" i="2"/>
  <c r="I54" i="2"/>
  <c r="AH385" i="4"/>
  <c r="AH343" i="4"/>
  <c r="AL411" i="4"/>
  <c r="AI366" i="4"/>
  <c r="AJ340" i="4"/>
  <c r="AI306" i="4"/>
  <c r="AL407" i="4"/>
  <c r="AL392" i="4"/>
  <c r="AK377" i="4"/>
  <c r="AI362" i="4"/>
  <c r="AL348" i="4"/>
  <c r="AJ337" i="4"/>
  <c r="AH326" i="4"/>
  <c r="AL314" i="4"/>
  <c r="AI303" i="4"/>
  <c r="AL291" i="4"/>
  <c r="AK280" i="4"/>
  <c r="AI269" i="4"/>
  <c r="AJ260" i="4"/>
  <c r="AH252" i="4"/>
  <c r="AJ243" i="4"/>
  <c r="AL234" i="4"/>
  <c r="AJ226" i="4"/>
  <c r="AL217" i="4"/>
  <c r="AI209" i="4"/>
  <c r="AL200" i="4"/>
  <c r="AI192" i="4"/>
  <c r="AK183" i="4"/>
  <c r="AI175" i="4"/>
  <c r="AK166" i="4"/>
  <c r="AH158" i="4"/>
  <c r="AK149" i="4"/>
  <c r="AH141" i="4"/>
  <c r="AJ132" i="4"/>
  <c r="AH124" i="4"/>
  <c r="AJ115" i="4"/>
  <c r="AL106" i="4"/>
  <c r="AJ98" i="4"/>
  <c r="AL91" i="4"/>
  <c r="AJ85" i="4"/>
  <c r="AH79" i="4"/>
  <c r="AK72" i="4"/>
  <c r="AI66" i="4"/>
  <c r="AL59" i="4"/>
  <c r="AJ53" i="4"/>
  <c r="AH47" i="4"/>
  <c r="AK40" i="4"/>
  <c r="AH36" i="4"/>
  <c r="AL31" i="4"/>
  <c r="AK421" i="4"/>
  <c r="AJ406" i="4"/>
  <c r="AJ391" i="4"/>
  <c r="AH376" i="4"/>
  <c r="AL360" i="4"/>
  <c r="AL347" i="4"/>
  <c r="AJ336" i="4"/>
  <c r="AL324" i="4"/>
  <c r="AK313" i="4"/>
  <c r="AI302" i="4"/>
  <c r="AL290" i="4"/>
  <c r="AK279" i="4"/>
  <c r="AI268" i="4"/>
  <c r="AK259" i="4"/>
  <c r="AI251" i="4"/>
  <c r="AK242" i="4"/>
  <c r="AH234" i="4"/>
  <c r="AK225" i="4"/>
  <c r="AH217" i="4"/>
  <c r="AJ208" i="4"/>
  <c r="AH200" i="4"/>
  <c r="AJ191" i="4"/>
  <c r="AL182" i="4"/>
  <c r="AJ174" i="4"/>
  <c r="AL165" i="4"/>
  <c r="AI157" i="4"/>
  <c r="AL148" i="4"/>
  <c r="AI140" i="4"/>
  <c r="AK131" i="4"/>
  <c r="AI123" i="4"/>
  <c r="AK114" i="4"/>
  <c r="AH106" i="4"/>
  <c r="AK97" i="4"/>
  <c r="AI91" i="4"/>
  <c r="AL84" i="4"/>
  <c r="AJ78" i="4"/>
  <c r="AH72" i="4"/>
  <c r="AK65" i="4"/>
  <c r="AI59" i="4"/>
  <c r="AL52" i="4"/>
  <c r="AJ46" i="4"/>
  <c r="AH40" i="4"/>
  <c r="AL35" i="4"/>
  <c r="AJ31" i="4"/>
  <c r="AH41" i="4"/>
  <c r="AI44" i="4"/>
  <c r="AJ47" i="4"/>
  <c r="AK50" i="4"/>
  <c r="AL53" i="4"/>
  <c r="AH57" i="4"/>
  <c r="AI60" i="4"/>
  <c r="AJ63" i="4"/>
  <c r="AK66" i="4"/>
  <c r="AL69" i="4"/>
  <c r="AH73" i="4"/>
  <c r="AI76" i="4"/>
  <c r="AJ79" i="4"/>
  <c r="AK82" i="4"/>
  <c r="AL85" i="4"/>
  <c r="AH89" i="4"/>
  <c r="AI92" i="4"/>
  <c r="AJ95" i="4"/>
  <c r="AL98" i="4"/>
  <c r="AI103" i="4"/>
  <c r="AJ107" i="4"/>
  <c r="AK111" i="4"/>
  <c r="AH116" i="4"/>
  <c r="AI120" i="4"/>
  <c r="AJ124" i="4"/>
  <c r="AL128" i="4"/>
  <c r="AH133" i="4"/>
  <c r="AI137" i="4"/>
  <c r="AK141" i="4"/>
  <c r="AL145" i="4"/>
  <c r="AH150" i="4"/>
  <c r="AJ154" i="4"/>
  <c r="AK158" i="4"/>
  <c r="AL162" i="4"/>
  <c r="AI167" i="4"/>
  <c r="AJ171" i="4"/>
  <c r="AK175" i="4"/>
  <c r="AH180" i="4"/>
  <c r="AI184" i="4"/>
  <c r="AJ188" i="4"/>
  <c r="AL192" i="4"/>
  <c r="AH197" i="4"/>
  <c r="AI201" i="4"/>
  <c r="AK205" i="4"/>
  <c r="AL209" i="4"/>
  <c r="AH214" i="4"/>
  <c r="AJ218" i="4"/>
  <c r="AK222" i="4"/>
  <c r="AL226" i="4"/>
  <c r="AI231" i="4"/>
  <c r="AJ235" i="4"/>
  <c r="AK239" i="4"/>
  <c r="AH244" i="4"/>
  <c r="AI248" i="4"/>
  <c r="AJ252" i="4"/>
  <c r="AL256" i="4"/>
  <c r="AH261" i="4"/>
  <c r="AI265" i="4"/>
  <c r="AH270" i="4"/>
  <c r="AK275" i="4"/>
  <c r="AI281" i="4"/>
  <c r="AH287" i="4"/>
  <c r="AK292" i="4"/>
  <c r="AI298" i="4"/>
  <c r="AH304" i="4"/>
  <c r="AK309" i="4"/>
  <c r="AI315" i="4"/>
  <c r="AI321" i="4"/>
  <c r="AL326" i="4"/>
  <c r="AJ332" i="4"/>
  <c r="AI338" i="4"/>
  <c r="AL343" i="4"/>
  <c r="AJ349" i="4"/>
  <c r="AL355" i="4"/>
  <c r="AI363" i="4"/>
  <c r="AK370" i="4"/>
  <c r="AK378" i="4"/>
  <c r="AI386" i="4"/>
  <c r="AK393" i="4"/>
  <c r="AJ401" i="4"/>
  <c r="AL408" i="4"/>
  <c r="AI416" i="4"/>
  <c r="AH30" i="4"/>
  <c r="AI33" i="4"/>
  <c r="AJ36" i="4"/>
  <c r="AK39" i="4"/>
  <c r="AL42" i="4"/>
  <c r="AH46" i="4"/>
  <c r="AI49" i="4"/>
  <c r="AJ52" i="4"/>
  <c r="AK55" i="4"/>
  <c r="AL58" i="4"/>
  <c r="AH62" i="4"/>
  <c r="AI65" i="4"/>
  <c r="AJ68" i="4"/>
  <c r="AK71" i="4"/>
  <c r="AL74" i="4"/>
  <c r="AH78" i="4"/>
  <c r="AI81" i="4"/>
  <c r="AJ84" i="4"/>
  <c r="AK87" i="4"/>
  <c r="AL90" i="4"/>
  <c r="AH94" i="4"/>
  <c r="AI97" i="4"/>
  <c r="AI101" i="4"/>
  <c r="AK105" i="4"/>
  <c r="AL109" i="4"/>
  <c r="AH114" i="4"/>
  <c r="AJ118" i="4"/>
  <c r="AK122" i="4"/>
  <c r="AL126" i="4"/>
  <c r="AI131" i="4"/>
  <c r="AJ135" i="4"/>
  <c r="AK139" i="4"/>
  <c r="AH144" i="4"/>
  <c r="AI148" i="4"/>
  <c r="AJ152" i="4"/>
  <c r="AL156" i="4"/>
  <c r="AH161" i="4"/>
  <c r="AI165" i="4"/>
  <c r="AK169" i="4"/>
  <c r="AL173" i="4"/>
  <c r="AH178" i="4"/>
  <c r="AJ182" i="4"/>
  <c r="AK186" i="4"/>
  <c r="AL190" i="4"/>
  <c r="AI195" i="4"/>
  <c r="AJ199" i="4"/>
  <c r="AK203" i="4"/>
  <c r="AH208" i="4"/>
  <c r="AI212" i="4"/>
  <c r="AJ216" i="4"/>
  <c r="AL220" i="4"/>
  <c r="AH225" i="4"/>
  <c r="AI229" i="4"/>
  <c r="AK233" i="4"/>
  <c r="AL237" i="4"/>
  <c r="AH242" i="4"/>
  <c r="AJ246" i="4"/>
  <c r="AK250" i="4"/>
  <c r="AL254" i="4"/>
  <c r="AI259" i="4"/>
  <c r="AJ263" i="4"/>
  <c r="AK267" i="4"/>
  <c r="AI273" i="4"/>
  <c r="AL278" i="4"/>
  <c r="AJ284" i="4"/>
  <c r="AI290" i="4"/>
  <c r="AL295" i="4"/>
  <c r="AJ301" i="4"/>
  <c r="AI307" i="4"/>
  <c r="AL312" i="4"/>
  <c r="AJ318" i="4"/>
  <c r="AJ324" i="4"/>
  <c r="AH330" i="4"/>
  <c r="AK335" i="4"/>
  <c r="AJ341" i="4"/>
  <c r="AH347" i="4"/>
  <c r="AK352" i="4"/>
  <c r="AH360" i="4"/>
  <c r="AJ367" i="4"/>
  <c r="AH375" i="4"/>
  <c r="AH383" i="4"/>
  <c r="AJ390" i="4"/>
  <c r="AL397" i="4"/>
  <c r="AK405" i="4"/>
  <c r="AH413" i="4"/>
  <c r="AK420" i="4"/>
  <c r="AK100" i="4"/>
  <c r="AL103" i="4"/>
  <c r="AH107" i="4"/>
  <c r="AI110" i="4"/>
  <c r="AJ113" i="4"/>
  <c r="AK116" i="4"/>
  <c r="AL119" i="4"/>
  <c r="AH123" i="4"/>
  <c r="AI126" i="4"/>
  <c r="AJ129" i="4"/>
  <c r="AK132" i="4"/>
  <c r="AL135" i="4"/>
  <c r="AH139" i="4"/>
  <c r="AI142" i="4"/>
  <c r="AJ145" i="4"/>
  <c r="AK148" i="4"/>
  <c r="AL151" i="4"/>
  <c r="AH155" i="4"/>
  <c r="AI158" i="4"/>
  <c r="AJ161" i="4"/>
  <c r="AK164" i="4"/>
  <c r="AL167" i="4"/>
  <c r="AH171" i="4"/>
  <c r="AI174" i="4"/>
  <c r="AJ177" i="4"/>
  <c r="AK180" i="4"/>
  <c r="AL183" i="4"/>
  <c r="AH187" i="4"/>
  <c r="AI190" i="4"/>
  <c r="AJ193" i="4"/>
  <c r="AK196" i="4"/>
  <c r="AL199" i="4"/>
  <c r="AH203" i="4"/>
  <c r="AI206" i="4"/>
  <c r="AJ209" i="4"/>
  <c r="AK212" i="4"/>
  <c r="AL215" i="4"/>
  <c r="AH219" i="4"/>
  <c r="AI222" i="4"/>
  <c r="AJ225" i="4"/>
  <c r="AK228" i="4"/>
  <c r="AL231" i="4"/>
  <c r="AH235" i="4"/>
  <c r="AI238" i="4"/>
  <c r="AJ241" i="4"/>
  <c r="AK244" i="4"/>
  <c r="AL247" i="4"/>
  <c r="AH251" i="4"/>
  <c r="AI254" i="4"/>
  <c r="AJ257" i="4"/>
  <c r="AK260" i="4"/>
  <c r="AL263" i="4"/>
  <c r="AH267" i="4"/>
  <c r="AL270" i="4"/>
  <c r="AH275" i="4"/>
  <c r="AI279" i="4"/>
  <c r="AK283" i="4"/>
  <c r="AL287" i="4"/>
  <c r="AH292" i="4"/>
  <c r="AJ296" i="4"/>
  <c r="AK300" i="4"/>
  <c r="AL304" i="4"/>
  <c r="AI309" i="4"/>
  <c r="AJ313" i="4"/>
  <c r="AK317" i="4"/>
  <c r="AH322" i="4"/>
  <c r="AI326" i="4"/>
  <c r="AJ330" i="4"/>
  <c r="AL334" i="4"/>
  <c r="AH339" i="4"/>
  <c r="AI343" i="4"/>
  <c r="AK347" i="4"/>
  <c r="AL351" i="4"/>
  <c r="AL356" i="4"/>
  <c r="AK362" i="4"/>
  <c r="AI368" i="4"/>
  <c r="AL373" i="4"/>
  <c r="AL379" i="4"/>
  <c r="AJ385" i="4"/>
  <c r="AH391" i="4"/>
  <c r="AL396" i="4"/>
  <c r="AJ402" i="4"/>
  <c r="AH408" i="4"/>
  <c r="AL413" i="4"/>
  <c r="AJ419" i="4"/>
  <c r="AK270" i="4"/>
  <c r="AL273" i="4"/>
  <c r="AH277" i="4"/>
  <c r="AI280" i="4"/>
  <c r="AJ283" i="4"/>
  <c r="AK286" i="4"/>
  <c r="AL289" i="4"/>
  <c r="AH293" i="4"/>
  <c r="AI296" i="4"/>
  <c r="AJ299" i="4"/>
  <c r="AK302" i="4"/>
  <c r="AL305" i="4"/>
  <c r="AH309" i="4"/>
  <c r="AI312" i="4"/>
  <c r="AJ315" i="4"/>
  <c r="AK318" i="4"/>
  <c r="AL321" i="4"/>
  <c r="AH325" i="4"/>
  <c r="AI328" i="4"/>
  <c r="AJ331" i="4"/>
  <c r="AK334" i="4"/>
  <c r="AL337" i="4"/>
  <c r="AH341" i="4"/>
  <c r="AI344" i="4"/>
  <c r="AJ347" i="4"/>
  <c r="AK350" i="4"/>
  <c r="AL353" i="4"/>
  <c r="AI358" i="4"/>
  <c r="AJ362" i="4"/>
  <c r="AK366" i="4"/>
  <c r="AH371" i="4"/>
  <c r="AI375" i="4"/>
  <c r="AJ379" i="4"/>
  <c r="AL383" i="4"/>
  <c r="AH388" i="4"/>
  <c r="AI392" i="4"/>
  <c r="AK396" i="4"/>
  <c r="AL400" i="4"/>
  <c r="AH405" i="4"/>
  <c r="AJ409" i="4"/>
  <c r="AK413" i="4"/>
  <c r="AL417" i="4"/>
  <c r="AH354" i="4"/>
  <c r="AI357" i="4"/>
  <c r="AJ360" i="4"/>
  <c r="AK363" i="4"/>
  <c r="AL366" i="4"/>
  <c r="AH370" i="4"/>
  <c r="AI373" i="4"/>
  <c r="AJ376" i="4"/>
  <c r="AK379" i="4"/>
  <c r="AL382" i="4"/>
  <c r="AH386" i="4"/>
  <c r="AI389" i="4"/>
  <c r="AJ392" i="4"/>
  <c r="AK395" i="4"/>
  <c r="AL398" i="4"/>
  <c r="AH402" i="4"/>
  <c r="AI405" i="4"/>
  <c r="AJ408" i="4"/>
  <c r="AK411" i="4"/>
  <c r="AL414" i="4"/>
  <c r="AH418" i="4"/>
  <c r="AI421" i="4"/>
  <c r="AK287" i="4"/>
  <c r="AL198" i="4"/>
  <c r="AL152" i="4"/>
  <c r="AH108" i="4"/>
  <c r="AI71" i="4"/>
  <c r="AK37" i="4"/>
  <c r="AJ210" i="4"/>
  <c r="AH233" i="4"/>
  <c r="AI255" i="4"/>
  <c r="AH282" i="4"/>
  <c r="AH312" i="4"/>
  <c r="AK341" i="4"/>
  <c r="AI379" i="4"/>
  <c r="AL419" i="4"/>
  <c r="AJ35" i="4"/>
  <c r="AH51" i="4"/>
  <c r="AH68" i="4"/>
  <c r="AK84" i="4"/>
  <c r="AK103" i="4"/>
  <c r="AJ126" i="4"/>
  <c r="AJ148" i="4"/>
  <c r="AH172" i="4"/>
  <c r="AK194" i="4"/>
  <c r="AL216" i="4"/>
  <c r="AI240" i="4"/>
  <c r="AL262" i="4"/>
  <c r="AJ290" i="4"/>
  <c r="AK321" i="4"/>
  <c r="AH352" i="4"/>
  <c r="AK390" i="4"/>
  <c r="AJ39" i="4"/>
  <c r="AL55" i="4"/>
  <c r="AJ73" i="4"/>
  <c r="AJ90" i="4"/>
  <c r="AH110" i="4"/>
  <c r="AK133" i="4"/>
  <c r="AI156" i="4"/>
  <c r="AJ178" i="4"/>
  <c r="AL201" i="4"/>
  <c r="AJ224" i="4"/>
  <c r="AK246" i="4"/>
  <c r="AJ270" i="4"/>
  <c r="AL300" i="4"/>
  <c r="AI330" i="4"/>
  <c r="AI364" i="4"/>
  <c r="AK404" i="4"/>
  <c r="AJ38" i="4"/>
  <c r="AJ50" i="4"/>
  <c r="AI63" i="4"/>
  <c r="AH76" i="4"/>
  <c r="AL88" i="4"/>
  <c r="AL102" i="4"/>
  <c r="AH120" i="4"/>
  <c r="AH137" i="4"/>
  <c r="AH154" i="4"/>
  <c r="AI171" i="4"/>
  <c r="AI188" i="4"/>
  <c r="AI205" i="4"/>
  <c r="AJ222" i="4"/>
  <c r="AJ239" i="4"/>
  <c r="AJ256" i="4"/>
  <c r="AI275" i="4"/>
  <c r="AH298" i="4"/>
  <c r="AK320" i="4"/>
  <c r="AK343" i="4"/>
  <c r="AJ370" i="4"/>
  <c r="AK400" i="4"/>
  <c r="AK324" i="4"/>
  <c r="AK197" i="4"/>
  <c r="AK135" i="4"/>
  <c r="AH83" i="4"/>
  <c r="AJ37" i="4"/>
  <c r="AI333" i="4"/>
  <c r="AI203" i="4"/>
  <c r="AH140" i="4"/>
  <c r="AH84" i="4"/>
  <c r="AL39" i="4"/>
  <c r="AL405" i="4"/>
  <c r="AH174" i="4"/>
  <c r="AJ65" i="4"/>
  <c r="AJ242" i="4"/>
  <c r="AK101" i="4"/>
  <c r="AI191" i="4"/>
  <c r="AH75" i="4"/>
  <c r="AK356" i="4"/>
  <c r="AK147" i="4"/>
  <c r="AK44" i="4"/>
  <c r="AI370" i="4"/>
  <c r="AL331" i="4"/>
  <c r="AJ381" i="4"/>
  <c r="AK351" i="4"/>
  <c r="AJ317" i="4"/>
  <c r="AI419" i="4"/>
  <c r="AI404" i="4"/>
  <c r="AL388" i="4"/>
  <c r="AK373" i="4"/>
  <c r="AK358" i="4"/>
  <c r="AH346" i="4"/>
  <c r="AJ334" i="4"/>
  <c r="AI323" i="4"/>
  <c r="AL311" i="4"/>
  <c r="AJ300" i="4"/>
  <c r="AI289" i="4"/>
  <c r="AK277" i="4"/>
  <c r="AL266" i="4"/>
  <c r="AJ258" i="4"/>
  <c r="AL249" i="4"/>
  <c r="AI241" i="4"/>
  <c r="AL232" i="4"/>
  <c r="AI224" i="4"/>
  <c r="AK215" i="4"/>
  <c r="AI207" i="4"/>
  <c r="AK198" i="4"/>
  <c r="AH190" i="4"/>
  <c r="AK181" i="4"/>
  <c r="AH173" i="4"/>
  <c r="AJ164" i="4"/>
  <c r="AH156" i="4"/>
  <c r="AJ147" i="4"/>
  <c r="AL138" i="4"/>
  <c r="AJ130" i="4"/>
  <c r="AL121" i="4"/>
  <c r="AI113" i="4"/>
  <c r="AL104" i="4"/>
  <c r="AK96" i="4"/>
  <c r="AI90" i="4"/>
  <c r="AL83" i="4"/>
  <c r="AJ77" i="4"/>
  <c r="AH71" i="4"/>
  <c r="AK64" i="4"/>
  <c r="AI58" i="4"/>
  <c r="AL51" i="4"/>
  <c r="AJ45" i="4"/>
  <c r="AI39" i="4"/>
  <c r="AH35" i="4"/>
  <c r="AK30" i="4"/>
  <c r="AK417" i="4"/>
  <c r="AK402" i="4"/>
  <c r="AJ387" i="4"/>
  <c r="AI372" i="4"/>
  <c r="AJ357" i="4"/>
  <c r="AL344" i="4"/>
  <c r="AJ333" i="4"/>
  <c r="AI322" i="4"/>
  <c r="AL310" i="4"/>
  <c r="AI299" i="4"/>
  <c r="AH288" i="4"/>
  <c r="AK276" i="4"/>
  <c r="AH266" i="4"/>
  <c r="AK257" i="4"/>
  <c r="AH249" i="4"/>
  <c r="AJ240" i="4"/>
  <c r="AH232" i="4"/>
  <c r="AJ223" i="4"/>
  <c r="AL214" i="4"/>
  <c r="AJ206" i="4"/>
  <c r="AL197" i="4"/>
  <c r="AI189" i="4"/>
  <c r="AL180" i="4"/>
  <c r="AI172" i="4"/>
  <c r="AK163" i="4"/>
  <c r="AI155" i="4"/>
  <c r="AK146" i="4"/>
  <c r="AH138" i="4"/>
  <c r="AK129" i="4"/>
  <c r="AH121" i="4"/>
  <c r="AJ112" i="4"/>
  <c r="AH104" i="4"/>
  <c r="AH96" i="4"/>
  <c r="AK89" i="4"/>
  <c r="AI83" i="4"/>
  <c r="AL76" i="4"/>
  <c r="AJ70" i="4"/>
  <c r="AH64" i="4"/>
  <c r="AK57" i="4"/>
  <c r="AI51" i="4"/>
  <c r="AL44" i="4"/>
  <c r="AH39" i="4"/>
  <c r="AK34" i="4"/>
  <c r="AJ30" i="4"/>
  <c r="AL21" i="4"/>
  <c r="R21" i="11"/>
  <c r="AL41" i="4"/>
  <c r="AH45" i="4"/>
  <c r="AI48" i="4"/>
  <c r="AJ51" i="4"/>
  <c r="AK54" i="4"/>
  <c r="AL57" i="4"/>
  <c r="AH61" i="4"/>
  <c r="AI64" i="4"/>
  <c r="AJ67" i="4"/>
  <c r="AK70" i="4"/>
  <c r="AL73" i="4"/>
  <c r="AH77" i="4"/>
  <c r="AI80" i="4"/>
  <c r="AJ83" i="4"/>
  <c r="AK86" i="4"/>
  <c r="AL89" i="4"/>
  <c r="AH93" i="4"/>
  <c r="AI96" i="4"/>
  <c r="AH100" i="4"/>
  <c r="AI104" i="4"/>
  <c r="AJ108" i="4"/>
  <c r="AL112" i="4"/>
  <c r="AH117" i="4"/>
  <c r="AI121" i="4"/>
  <c r="AK125" i="4"/>
  <c r="AL129" i="4"/>
  <c r="AH134" i="4"/>
  <c r="AJ138" i="4"/>
  <c r="AK142" i="4"/>
  <c r="AL146" i="4"/>
  <c r="AI151" i="4"/>
  <c r="AJ155" i="4"/>
  <c r="AK159" i="4"/>
  <c r="AH164" i="4"/>
  <c r="AI168" i="4"/>
  <c r="AJ172" i="4"/>
  <c r="AL176" i="4"/>
  <c r="AH181" i="4"/>
  <c r="AI185" i="4"/>
  <c r="AK189" i="4"/>
  <c r="AL193" i="4"/>
  <c r="AH198" i="4"/>
  <c r="AJ202" i="4"/>
  <c r="AK206" i="4"/>
  <c r="AL210" i="4"/>
  <c r="AI215" i="4"/>
  <c r="AJ219" i="4"/>
  <c r="AK223" i="4"/>
  <c r="AH228" i="4"/>
  <c r="AI232" i="4"/>
  <c r="AJ236" i="4"/>
  <c r="AL240" i="4"/>
  <c r="AH245" i="4"/>
  <c r="AI249" i="4"/>
  <c r="AK253" i="4"/>
  <c r="AL257" i="4"/>
  <c r="AH262" i="4"/>
  <c r="AJ266" i="4"/>
  <c r="AI271" i="4"/>
  <c r="AL276" i="4"/>
  <c r="AL282" i="4"/>
  <c r="AJ288" i="4"/>
  <c r="AH294" i="4"/>
  <c r="AL299" i="4"/>
  <c r="AJ305" i="4"/>
  <c r="AH311" i="4"/>
  <c r="AL316" i="4"/>
  <c r="AJ322" i="4"/>
  <c r="AH328" i="4"/>
  <c r="AH334" i="4"/>
  <c r="AK339" i="4"/>
  <c r="AI345" i="4"/>
  <c r="AH351" i="4"/>
  <c r="AK357" i="4"/>
  <c r="AH365" i="4"/>
  <c r="AL372" i="4"/>
  <c r="AI380" i="4"/>
  <c r="AL387" i="4"/>
  <c r="AL395" i="4"/>
  <c r="AI403" i="4"/>
  <c r="AK410" i="4"/>
  <c r="AJ418" i="4"/>
  <c r="AI21" i="4"/>
  <c r="O21" i="11"/>
  <c r="AL30" i="4"/>
  <c r="AH34" i="4"/>
  <c r="AI37" i="4"/>
  <c r="AJ40" i="4"/>
  <c r="AK43" i="4"/>
  <c r="AL46" i="4"/>
  <c r="AH50" i="4"/>
  <c r="AI53" i="4"/>
  <c r="AJ56" i="4"/>
  <c r="AK59" i="4"/>
  <c r="AL62" i="4"/>
  <c r="AH66" i="4"/>
  <c r="AI69" i="4"/>
  <c r="AJ72" i="4"/>
  <c r="AK75" i="4"/>
  <c r="AL78" i="4"/>
  <c r="AH82" i="4"/>
  <c r="AI85" i="4"/>
  <c r="AJ88" i="4"/>
  <c r="AK91" i="4"/>
  <c r="AL94" i="4"/>
  <c r="AH98" i="4"/>
  <c r="AJ102" i="4"/>
  <c r="AK106" i="4"/>
  <c r="AL110" i="4"/>
  <c r="AI115" i="4"/>
  <c r="AJ119" i="4"/>
  <c r="AK123" i="4"/>
  <c r="AH128" i="4"/>
  <c r="AI132" i="4"/>
  <c r="AJ136" i="4"/>
  <c r="AL140" i="4"/>
  <c r="AH145" i="4"/>
  <c r="AI149" i="4"/>
  <c r="AK153" i="4"/>
  <c r="AL157" i="4"/>
  <c r="AH162" i="4"/>
  <c r="AJ166" i="4"/>
  <c r="AK170" i="4"/>
  <c r="AL174" i="4"/>
  <c r="AI179" i="4"/>
  <c r="AJ183" i="4"/>
  <c r="AK187" i="4"/>
  <c r="AH192" i="4"/>
  <c r="AI196" i="4"/>
  <c r="AJ200" i="4"/>
  <c r="AL204" i="4"/>
  <c r="AH209" i="4"/>
  <c r="AI213" i="4"/>
  <c r="AK217" i="4"/>
  <c r="AL221" i="4"/>
  <c r="AH226" i="4"/>
  <c r="AJ230" i="4"/>
  <c r="AK234" i="4"/>
  <c r="AL238" i="4"/>
  <c r="AI243" i="4"/>
  <c r="AJ247" i="4"/>
  <c r="AK251" i="4"/>
  <c r="AH256" i="4"/>
  <c r="AI260" i="4"/>
  <c r="AJ264" i="4"/>
  <c r="AL268" i="4"/>
  <c r="AJ274" i="4"/>
  <c r="AH280" i="4"/>
  <c r="AH286" i="4"/>
  <c r="AK291" i="4"/>
  <c r="AI297" i="4"/>
  <c r="AH303" i="4"/>
  <c r="AK308" i="4"/>
  <c r="AI314" i="4"/>
  <c r="AH320" i="4"/>
  <c r="AK325" i="4"/>
  <c r="AI331" i="4"/>
  <c r="AI337" i="4"/>
  <c r="AL342" i="4"/>
  <c r="AJ348" i="4"/>
  <c r="AJ354" i="4"/>
  <c r="AL361" i="4"/>
  <c r="AJ369" i="4"/>
  <c r="AH377" i="4"/>
  <c r="AK384" i="4"/>
  <c r="AH392" i="4"/>
  <c r="AH400" i="4"/>
  <c r="AJ407" i="4"/>
  <c r="AH415" i="4"/>
  <c r="AI98" i="4"/>
  <c r="AJ101" i="4"/>
  <c r="AK104" i="4"/>
  <c r="AL107" i="4"/>
  <c r="AH111" i="4"/>
  <c r="AI114" i="4"/>
  <c r="AJ117" i="4"/>
  <c r="AK120" i="4"/>
  <c r="AL123" i="4"/>
  <c r="AH127" i="4"/>
  <c r="AI130" i="4"/>
  <c r="AJ133" i="4"/>
  <c r="AK136" i="4"/>
  <c r="AL139" i="4"/>
  <c r="AH143" i="4"/>
  <c r="AI146" i="4"/>
  <c r="AJ149" i="4"/>
  <c r="AK152" i="4"/>
  <c r="AL155" i="4"/>
  <c r="AH159" i="4"/>
  <c r="AI162" i="4"/>
  <c r="AJ165" i="4"/>
  <c r="AK168" i="4"/>
  <c r="AL171" i="4"/>
  <c r="AH175" i="4"/>
  <c r="AI178" i="4"/>
  <c r="AJ181" i="4"/>
  <c r="AK184" i="4"/>
  <c r="AL187" i="4"/>
  <c r="AH191" i="4"/>
  <c r="AI194" i="4"/>
  <c r="AJ197" i="4"/>
  <c r="AK200" i="4"/>
  <c r="AL203" i="4"/>
  <c r="AH207" i="4"/>
  <c r="AI210" i="4"/>
  <c r="AJ213" i="4"/>
  <c r="AK216" i="4"/>
  <c r="AL219" i="4"/>
  <c r="AH223" i="4"/>
  <c r="AI226" i="4"/>
  <c r="AJ229" i="4"/>
  <c r="AK232" i="4"/>
  <c r="AL235" i="4"/>
  <c r="AH239" i="4"/>
  <c r="AI242" i="4"/>
  <c r="AJ245" i="4"/>
  <c r="AK248" i="4"/>
  <c r="AL251" i="4"/>
  <c r="AH255" i="4"/>
  <c r="AI258" i="4"/>
  <c r="AJ261" i="4"/>
  <c r="AK264" i="4"/>
  <c r="AL267" i="4"/>
  <c r="AL271" i="4"/>
  <c r="AH276" i="4"/>
  <c r="AJ280" i="4"/>
  <c r="AK284" i="4"/>
  <c r="AL288" i="4"/>
  <c r="AI293" i="4"/>
  <c r="AJ297" i="4"/>
  <c r="AK301" i="4"/>
  <c r="AH306" i="4"/>
  <c r="AI310" i="4"/>
  <c r="AJ314" i="4"/>
  <c r="AL318" i="4"/>
  <c r="AH323" i="4"/>
  <c r="AI327" i="4"/>
  <c r="AK331" i="4"/>
  <c r="AL335" i="4"/>
  <c r="AH340" i="4"/>
  <c r="AJ344" i="4"/>
  <c r="AK348" i="4"/>
  <c r="AL352" i="4"/>
  <c r="AJ358" i="4"/>
  <c r="AH364" i="4"/>
  <c r="AK369" i="4"/>
  <c r="AJ375" i="4"/>
  <c r="AH381" i="4"/>
  <c r="AK386" i="4"/>
  <c r="AK392" i="4"/>
  <c r="AI398" i="4"/>
  <c r="AL403" i="4"/>
  <c r="AK409" i="4"/>
  <c r="AI415" i="4"/>
  <c r="AL420" i="4"/>
  <c r="AJ271" i="4"/>
  <c r="AK274" i="4"/>
  <c r="AL277" i="4"/>
  <c r="AH281" i="4"/>
  <c r="AI284" i="4"/>
  <c r="AJ287" i="4"/>
  <c r="AK290" i="4"/>
  <c r="AL293" i="4"/>
  <c r="AH297" i="4"/>
  <c r="AI300" i="4"/>
  <c r="AJ303" i="4"/>
  <c r="AK306" i="4"/>
  <c r="AL309" i="4"/>
  <c r="AH313" i="4"/>
  <c r="AI316" i="4"/>
  <c r="AJ319" i="4"/>
  <c r="AK322" i="4"/>
  <c r="AL325" i="4"/>
  <c r="AH329" i="4"/>
  <c r="AI332" i="4"/>
  <c r="AJ335" i="4"/>
  <c r="AK338" i="4"/>
  <c r="AL341" i="4"/>
  <c r="AH345" i="4"/>
  <c r="AI348" i="4"/>
  <c r="AJ351" i="4"/>
  <c r="AH355" i="4"/>
  <c r="AI359" i="4"/>
  <c r="AJ363" i="4"/>
  <c r="AL367" i="4"/>
  <c r="AH372" i="4"/>
  <c r="AI376" i="4"/>
  <c r="AK380" i="4"/>
  <c r="AL384" i="4"/>
  <c r="AH389" i="4"/>
  <c r="AJ393" i="4"/>
  <c r="AK397" i="4"/>
  <c r="AL401" i="4"/>
  <c r="AI406" i="4"/>
  <c r="AJ410" i="4"/>
  <c r="AK414" i="4"/>
  <c r="AH419" i="4"/>
  <c r="AL354" i="4"/>
  <c r="AH358" i="4"/>
  <c r="AI361" i="4"/>
  <c r="AJ364" i="4"/>
  <c r="AK367" i="4"/>
  <c r="AL370" i="4"/>
  <c r="AH374" i="4"/>
  <c r="AI377" i="4"/>
  <c r="AJ380" i="4"/>
  <c r="AK383" i="4"/>
  <c r="AL386" i="4"/>
  <c r="AH390" i="4"/>
  <c r="AI393" i="4"/>
  <c r="AJ396" i="4"/>
  <c r="AK399" i="4"/>
  <c r="AL402" i="4"/>
  <c r="AH406" i="4"/>
  <c r="AI409" i="4"/>
  <c r="AJ412" i="4"/>
  <c r="AK415" i="4"/>
  <c r="AL418" i="4"/>
  <c r="AI387" i="4"/>
  <c r="AJ259" i="4"/>
  <c r="AL186" i="4"/>
  <c r="AH142" i="4"/>
  <c r="AL96" i="4"/>
  <c r="AI62" i="4"/>
  <c r="AI32" i="4"/>
  <c r="AH216" i="4"/>
  <c r="AH238" i="4"/>
  <c r="AK261" i="4"/>
  <c r="AJ289" i="4"/>
  <c r="AH319" i="4"/>
  <c r="AI350" i="4"/>
  <c r="AJ389" i="4"/>
  <c r="AK38" i="4"/>
  <c r="AI55" i="4"/>
  <c r="AL71" i="4"/>
  <c r="AJ89" i="4"/>
  <c r="AI109" i="4"/>
  <c r="AJ131" i="4"/>
  <c r="AL154" i="4"/>
  <c r="AK177" i="4"/>
  <c r="AK199" i="4"/>
  <c r="AI223" i="4"/>
  <c r="AL245" i="4"/>
  <c r="AH268" i="4"/>
  <c r="AH299" i="4"/>
  <c r="AI329" i="4"/>
  <c r="AK360" i="4"/>
  <c r="AI402" i="4"/>
  <c r="AI31" i="4"/>
  <c r="AH43" i="4"/>
  <c r="AK60" i="4"/>
  <c r="AK77" i="4"/>
  <c r="AI94" i="4"/>
  <c r="AJ116" i="4"/>
  <c r="AI139" i="4"/>
  <c r="AI161" i="4"/>
  <c r="AL184" i="4"/>
  <c r="AJ207" i="4"/>
  <c r="AK229" i="4"/>
  <c r="AH253" i="4"/>
  <c r="AH278" i="4"/>
  <c r="AK307" i="4"/>
  <c r="AL338" i="4"/>
  <c r="AJ374" i="4"/>
  <c r="AJ413" i="4"/>
  <c r="AL40" i="4"/>
  <c r="AK53" i="4"/>
  <c r="AJ66" i="4"/>
  <c r="AI79" i="4"/>
  <c r="AH92" i="4"/>
  <c r="AI107" i="4"/>
  <c r="AI124" i="4"/>
  <c r="AI141" i="4"/>
  <c r="AJ158" i="4"/>
  <c r="AJ175" i="4"/>
  <c r="AJ192" i="4"/>
  <c r="AK209" i="4"/>
  <c r="AK226" i="4"/>
  <c r="AK243" i="4"/>
  <c r="AL260" i="4"/>
  <c r="AL280" i="4"/>
  <c r="AK303" i="4"/>
  <c r="AJ326" i="4"/>
  <c r="AI349" i="4"/>
  <c r="AL377" i="4"/>
  <c r="AK408" i="4"/>
  <c r="AH279" i="4"/>
  <c r="AL181" i="4"/>
  <c r="AL122" i="4"/>
  <c r="AI70" i="4"/>
  <c r="AI30" i="4"/>
  <c r="AH295" i="4"/>
  <c r="AH186" i="4"/>
  <c r="AH125" i="4"/>
  <c r="AJ74" i="4"/>
  <c r="AH32" i="4"/>
  <c r="AK340" i="4"/>
  <c r="AJ146" i="4"/>
  <c r="AJ41" i="4"/>
  <c r="AI193" i="4"/>
  <c r="AI78" i="4"/>
  <c r="AH397" i="4"/>
  <c r="AI159" i="4"/>
  <c r="AK52" i="4"/>
  <c r="AJ272" i="4"/>
  <c r="AL117" i="4"/>
  <c r="AI400" i="4"/>
  <c r="AK354" i="4"/>
  <c r="AJ320" i="4"/>
  <c r="AL308" i="4"/>
  <c r="AK297" i="4"/>
  <c r="AI286" i="4"/>
  <c r="AL274" i="4"/>
  <c r="AL264" i="4"/>
  <c r="AI256" i="4"/>
  <c r="AK247" i="4"/>
  <c r="AI239" i="4"/>
  <c r="AK230" i="4"/>
  <c r="AH222" i="4"/>
  <c r="AK213" i="4"/>
  <c r="AH205" i="4"/>
  <c r="AJ196" i="4"/>
  <c r="AH188" i="4"/>
  <c r="AJ179" i="4"/>
  <c r="AL170" i="4"/>
  <c r="AJ162" i="4"/>
  <c r="AL153" i="4"/>
  <c r="AI145" i="4"/>
  <c r="AL136" i="4"/>
  <c r="AI128" i="4"/>
  <c r="AK119" i="4"/>
  <c r="AI111" i="4"/>
  <c r="AK102" i="4"/>
  <c r="AH95" i="4"/>
  <c r="AK88" i="4"/>
  <c r="AI82" i="4"/>
  <c r="AL75" i="4"/>
  <c r="AJ69" i="4"/>
  <c r="AH63" i="4"/>
  <c r="AK56" i="4"/>
  <c r="AI50" i="4"/>
  <c r="AL43" i="4"/>
  <c r="AI38" i="4"/>
  <c r="AL33" i="4"/>
  <c r="AI414" i="4"/>
  <c r="AH399" i="4"/>
  <c r="AJ383" i="4"/>
  <c r="AK368" i="4"/>
  <c r="AJ353" i="4"/>
  <c r="AH342" i="4"/>
  <c r="AL330" i="4"/>
  <c r="AI319" i="4"/>
  <c r="AL307" i="4"/>
  <c r="AK296" i="4"/>
  <c r="AI285" i="4"/>
  <c r="AK273" i="4"/>
  <c r="AH264" i="4"/>
  <c r="AJ255" i="4"/>
  <c r="AL246" i="4"/>
  <c r="AJ238" i="4"/>
  <c r="AL229" i="4"/>
  <c r="AI221" i="4"/>
  <c r="AL212" i="4"/>
  <c r="AI204" i="4"/>
  <c r="AK195" i="4"/>
  <c r="AI187" i="4"/>
  <c r="AK178" i="4"/>
  <c r="AH170" i="4"/>
  <c r="AK161" i="4"/>
  <c r="AH153" i="4"/>
  <c r="AJ144" i="4"/>
  <c r="AH136" i="4"/>
  <c r="AJ127" i="4"/>
  <c r="AL118" i="4"/>
  <c r="AJ110" i="4"/>
  <c r="AL101" i="4"/>
  <c r="AJ94" i="4"/>
  <c r="AH88" i="4"/>
  <c r="AK81" i="4"/>
  <c r="AI75" i="4"/>
  <c r="AL68" i="4"/>
  <c r="AJ62" i="4"/>
  <c r="AH56" i="4"/>
  <c r="AK49" i="4"/>
  <c r="AI43" i="4"/>
  <c r="AL37" i="4"/>
  <c r="AK33" i="4"/>
  <c r="AK42" i="4"/>
  <c r="AL45" i="4"/>
  <c r="AH49" i="4"/>
  <c r="AI52" i="4"/>
  <c r="AJ55" i="4"/>
  <c r="AK58" i="4"/>
  <c r="AL61" i="4"/>
  <c r="AH65" i="4"/>
  <c r="AI68" i="4"/>
  <c r="AJ71" i="4"/>
  <c r="AK74" i="4"/>
  <c r="AL77" i="4"/>
  <c r="AH81" i="4"/>
  <c r="AI84" i="4"/>
  <c r="AJ87" i="4"/>
  <c r="AK90" i="4"/>
  <c r="AL93" i="4"/>
  <c r="AH97" i="4"/>
  <c r="AH101" i="4"/>
  <c r="AI105" i="4"/>
  <c r="AK109" i="4"/>
  <c r="AL113" i="4"/>
  <c r="AH118" i="4"/>
  <c r="AJ122" i="4"/>
  <c r="AK126" i="4"/>
  <c r="AL130" i="4"/>
  <c r="AI135" i="4"/>
  <c r="AJ139" i="4"/>
  <c r="AK143" i="4"/>
  <c r="AH148" i="4"/>
  <c r="AI152" i="4"/>
  <c r="AJ156" i="4"/>
  <c r="AL160" i="4"/>
  <c r="AH165" i="4"/>
  <c r="AI169" i="4"/>
  <c r="AK173" i="4"/>
  <c r="AL177" i="4"/>
  <c r="AH182" i="4"/>
  <c r="AJ186" i="4"/>
  <c r="AK190" i="4"/>
  <c r="AL194" i="4"/>
  <c r="AI199" i="4"/>
  <c r="AJ203" i="4"/>
  <c r="AK207" i="4"/>
  <c r="AH212" i="4"/>
  <c r="AI216" i="4"/>
  <c r="AJ220" i="4"/>
  <c r="AL224" i="4"/>
  <c r="AH229" i="4"/>
  <c r="AI233" i="4"/>
  <c r="AK237" i="4"/>
  <c r="AL241" i="4"/>
  <c r="AH246" i="4"/>
  <c r="AJ250" i="4"/>
  <c r="AK254" i="4"/>
  <c r="AL258" i="4"/>
  <c r="AI263" i="4"/>
  <c r="AJ267" i="4"/>
  <c r="AK272" i="4"/>
  <c r="AJ278" i="4"/>
  <c r="AH284" i="4"/>
  <c r="AK289" i="4"/>
  <c r="AK295" i="4"/>
  <c r="AI301" i="4"/>
  <c r="AL306" i="4"/>
  <c r="AK312" i="4"/>
  <c r="AI318" i="4"/>
  <c r="AL323" i="4"/>
  <c r="AK329" i="4"/>
  <c r="AI335" i="4"/>
  <c r="AL340" i="4"/>
  <c r="AL346" i="4"/>
  <c r="AJ352" i="4"/>
  <c r="AJ359" i="4"/>
  <c r="AI367" i="4"/>
  <c r="AK374" i="4"/>
  <c r="AI382" i="4"/>
  <c r="AL389" i="4"/>
  <c r="AJ397" i="4"/>
  <c r="AL404" i="4"/>
  <c r="AL412" i="4"/>
  <c r="AI420" i="4"/>
  <c r="AK31" i="4"/>
  <c r="AL34" i="4"/>
  <c r="AH38" i="4"/>
  <c r="AI41" i="4"/>
  <c r="AJ44" i="4"/>
  <c r="AK47" i="4"/>
  <c r="AL50" i="4"/>
  <c r="AH54" i="4"/>
  <c r="AI57" i="4"/>
  <c r="AJ60" i="4"/>
  <c r="AK63" i="4"/>
  <c r="AL66" i="4"/>
  <c r="AH70" i="4"/>
  <c r="AI73" i="4"/>
  <c r="AJ76" i="4"/>
  <c r="AK79" i="4"/>
  <c r="AL82" i="4"/>
  <c r="AH86" i="4"/>
  <c r="AI89" i="4"/>
  <c r="AJ92" i="4"/>
  <c r="AK95" i="4"/>
  <c r="AI99" i="4"/>
  <c r="AJ103" i="4"/>
  <c r="AK107" i="4"/>
  <c r="AH112" i="4"/>
  <c r="AI116" i="4"/>
  <c r="AJ120" i="4"/>
  <c r="AL124" i="4"/>
  <c r="AH129" i="4"/>
  <c r="AI133" i="4"/>
  <c r="AK137" i="4"/>
  <c r="AL141" i="4"/>
  <c r="AH146" i="4"/>
  <c r="AJ150" i="4"/>
  <c r="AK154" i="4"/>
  <c r="AL158" i="4"/>
  <c r="AI163" i="4"/>
  <c r="AJ167" i="4"/>
  <c r="AK171" i="4"/>
  <c r="AH176" i="4"/>
  <c r="AI180" i="4"/>
  <c r="AJ184" i="4"/>
  <c r="AL188" i="4"/>
  <c r="AH193" i="4"/>
  <c r="AI197" i="4"/>
  <c r="AK201" i="4"/>
  <c r="AL205" i="4"/>
  <c r="AH210" i="4"/>
  <c r="AJ214" i="4"/>
  <c r="AK218" i="4"/>
  <c r="AL222" i="4"/>
  <c r="AI227" i="4"/>
  <c r="AJ231" i="4"/>
  <c r="AK235" i="4"/>
  <c r="AH240" i="4"/>
  <c r="AI244" i="4"/>
  <c r="AJ248" i="4"/>
  <c r="AL252" i="4"/>
  <c r="AH257" i="4"/>
  <c r="AI261" i="4"/>
  <c r="AK265" i="4"/>
  <c r="AI270" i="4"/>
  <c r="AL275" i="4"/>
  <c r="AK281" i="4"/>
  <c r="AI287" i="4"/>
  <c r="AL292" i="4"/>
  <c r="AL298" i="4"/>
  <c r="AJ304" i="4"/>
  <c r="AH310" i="4"/>
  <c r="AL315" i="4"/>
  <c r="AJ321" i="4"/>
  <c r="AH327" i="4"/>
  <c r="AL332" i="4"/>
  <c r="AJ338" i="4"/>
  <c r="AH344" i="4"/>
  <c r="AH350" i="4"/>
  <c r="AI356" i="4"/>
  <c r="AL363" i="4"/>
  <c r="AJ371" i="4"/>
  <c r="AH379" i="4"/>
  <c r="AJ386" i="4"/>
  <c r="AI394" i="4"/>
  <c r="AK401" i="4"/>
  <c r="AH409" i="4"/>
  <c r="AH417" i="4"/>
  <c r="AH99" i="4"/>
  <c r="AI102" i="4"/>
  <c r="AJ105" i="4"/>
  <c r="AK108" i="4"/>
  <c r="AL111" i="4"/>
  <c r="AH115" i="4"/>
  <c r="AI118" i="4"/>
  <c r="AJ121" i="4"/>
  <c r="AK124" i="4"/>
  <c r="AL127" i="4"/>
  <c r="AH131" i="4"/>
  <c r="AI134" i="4"/>
  <c r="AJ137" i="4"/>
  <c r="AK140" i="4"/>
  <c r="AL143" i="4"/>
  <c r="AH147" i="4"/>
  <c r="AI150" i="4"/>
  <c r="AJ153" i="4"/>
  <c r="AK156" i="4"/>
  <c r="AL159" i="4"/>
  <c r="AH163" i="4"/>
  <c r="AI166" i="4"/>
  <c r="AJ169" i="4"/>
  <c r="AK172" i="4"/>
  <c r="AL175" i="4"/>
  <c r="AH179" i="4"/>
  <c r="AI182" i="4"/>
  <c r="AJ185" i="4"/>
  <c r="AK188" i="4"/>
  <c r="AL191" i="4"/>
  <c r="AH195" i="4"/>
  <c r="AI198" i="4"/>
  <c r="AJ201" i="4"/>
  <c r="AK204" i="4"/>
  <c r="AL207" i="4"/>
  <c r="AH211" i="4"/>
  <c r="AI214" i="4"/>
  <c r="AJ217" i="4"/>
  <c r="AK220" i="4"/>
  <c r="AL223" i="4"/>
  <c r="AH227" i="4"/>
  <c r="AI230" i="4"/>
  <c r="AJ233" i="4"/>
  <c r="AK236" i="4"/>
  <c r="AL239" i="4"/>
  <c r="AH243" i="4"/>
  <c r="AI246" i="4"/>
  <c r="AJ249" i="4"/>
  <c r="AK252" i="4"/>
  <c r="AL255" i="4"/>
  <c r="AH259" i="4"/>
  <c r="AI262" i="4"/>
  <c r="AJ265" i="4"/>
  <c r="AK268" i="4"/>
  <c r="AL272" i="4"/>
  <c r="AI277" i="4"/>
  <c r="AJ281" i="4"/>
  <c r="AK285" i="4"/>
  <c r="AH290" i="4"/>
  <c r="AI294" i="4"/>
  <c r="AJ298" i="4"/>
  <c r="AL302" i="4"/>
  <c r="AH307" i="4"/>
  <c r="AI311" i="4"/>
  <c r="AK315" i="4"/>
  <c r="AL319" i="4"/>
  <c r="AH324" i="4"/>
  <c r="AJ328" i="4"/>
  <c r="AK332" i="4"/>
  <c r="AL336" i="4"/>
  <c r="AI341" i="4"/>
  <c r="AJ345" i="4"/>
  <c r="AK349" i="4"/>
  <c r="AI354" i="4"/>
  <c r="AL359" i="4"/>
  <c r="AJ365" i="4"/>
  <c r="AI371" i="4"/>
  <c r="AL376" i="4"/>
  <c r="AJ382" i="4"/>
  <c r="AI388" i="4"/>
  <c r="AL393" i="4"/>
  <c r="AJ399" i="4"/>
  <c r="AJ405" i="4"/>
  <c r="AH411" i="4"/>
  <c r="AK416" i="4"/>
  <c r="AH269" i="4"/>
  <c r="AI272" i="4"/>
  <c r="AJ275" i="4"/>
  <c r="AK278" i="4"/>
  <c r="AL281" i="4"/>
  <c r="AH285" i="4"/>
  <c r="AI288" i="4"/>
  <c r="AJ291" i="4"/>
  <c r="AK294" i="4"/>
  <c r="AL297" i="4"/>
  <c r="AH301" i="4"/>
  <c r="AI304" i="4"/>
  <c r="AJ307" i="4"/>
  <c r="AK310" i="4"/>
  <c r="AL313" i="4"/>
  <c r="AH317" i="4"/>
  <c r="AI320" i="4"/>
  <c r="AJ323" i="4"/>
  <c r="AK326" i="4"/>
  <c r="AL329" i="4"/>
  <c r="AH333" i="4"/>
  <c r="AI336" i="4"/>
  <c r="AJ339" i="4"/>
  <c r="AK342" i="4"/>
  <c r="AL345" i="4"/>
  <c r="AH349" i="4"/>
  <c r="AI352" i="4"/>
  <c r="AH356" i="4"/>
  <c r="AI360" i="4"/>
  <c r="AK364" i="4"/>
  <c r="AL368" i="4"/>
  <c r="AH373" i="4"/>
  <c r="AJ377" i="4"/>
  <c r="AK381" i="4"/>
  <c r="AL385" i="4"/>
  <c r="AI390" i="4"/>
  <c r="AJ394" i="4"/>
  <c r="AK398" i="4"/>
  <c r="AH403" i="4"/>
  <c r="AI407" i="4"/>
  <c r="AJ411" i="4"/>
  <c r="AL415" i="4"/>
  <c r="AH420" i="4"/>
  <c r="AK355" i="4"/>
  <c r="AL358" i="4"/>
  <c r="AH362" i="4"/>
  <c r="AI365" i="4"/>
  <c r="AJ368" i="4"/>
  <c r="AK371" i="4"/>
  <c r="AL374" i="4"/>
  <c r="AH378" i="4"/>
  <c r="AI381" i="4"/>
  <c r="AJ384" i="4"/>
  <c r="AK387" i="4"/>
  <c r="AL390" i="4"/>
  <c r="AH394" i="4"/>
  <c r="AI397" i="4"/>
  <c r="AJ400" i="4"/>
  <c r="AK403" i="4"/>
  <c r="AL406" i="4"/>
  <c r="AH410" i="4"/>
  <c r="AI413" i="4"/>
  <c r="AJ416" i="4"/>
  <c r="AK419" i="4"/>
  <c r="AI347" i="4"/>
  <c r="AI237" i="4"/>
  <c r="AI176" i="4"/>
  <c r="AK130" i="4"/>
  <c r="AL87" i="4"/>
  <c r="AI54" i="4"/>
  <c r="AH221" i="4"/>
  <c r="AJ244" i="4"/>
  <c r="AI267" i="4"/>
  <c r="AH296" i="4"/>
  <c r="AK327" i="4"/>
  <c r="AH359" i="4"/>
  <c r="AJ398" i="4"/>
  <c r="AH31" i="4"/>
  <c r="AJ42" i="4"/>
  <c r="AH59" i="4"/>
  <c r="AK76" i="4"/>
  <c r="AK93" i="4"/>
  <c r="AJ114" i="4"/>
  <c r="AL137" i="4"/>
  <c r="AJ160" i="4"/>
  <c r="AK182" i="4"/>
  <c r="AH206" i="4"/>
  <c r="AL228" i="4"/>
  <c r="AL250" i="4"/>
  <c r="AJ276" i="4"/>
  <c r="AJ306" i="4"/>
  <c r="AH336" i="4"/>
  <c r="AL371" i="4"/>
  <c r="AH412" i="4"/>
  <c r="AJ33" i="4"/>
  <c r="AL47" i="4"/>
  <c r="AL64" i="4"/>
  <c r="AJ81" i="4"/>
  <c r="AJ99" i="4"/>
  <c r="AH122" i="4"/>
  <c r="AI144" i="4"/>
  <c r="AK167" i="4"/>
  <c r="AJ190" i="4"/>
  <c r="AJ212" i="4"/>
  <c r="AH236" i="4"/>
  <c r="AK258" i="4"/>
  <c r="AL284" i="4"/>
  <c r="AH316" i="4"/>
  <c r="AI346" i="4"/>
  <c r="AI383" i="4"/>
  <c r="AI34" i="4"/>
  <c r="AH44" i="4"/>
  <c r="AL56" i="4"/>
  <c r="AK69" i="4"/>
  <c r="AJ82" i="4"/>
  <c r="AI95" i="4"/>
  <c r="AJ111" i="4"/>
  <c r="AJ128" i="4"/>
  <c r="AK145" i="4"/>
  <c r="AK162" i="4"/>
  <c r="AK179" i="4"/>
  <c r="AL196" i="4"/>
  <c r="AL213" i="4"/>
  <c r="AL230" i="4"/>
  <c r="AH248" i="4"/>
  <c r="AH265" i="4"/>
  <c r="AJ286" i="4"/>
  <c r="AJ309" i="4"/>
  <c r="AH332" i="4"/>
  <c r="AI355" i="4"/>
  <c r="AK385" i="4"/>
  <c r="AH416" i="4"/>
  <c r="AL248" i="4"/>
  <c r="AH169" i="4"/>
  <c r="AL105" i="4"/>
  <c r="AJ58" i="4"/>
  <c r="AJ254" i="4"/>
  <c r="AL169" i="4"/>
  <c r="AI112" i="4"/>
  <c r="AK61" i="4"/>
  <c r="AL265" i="4"/>
  <c r="AK113" i="4"/>
  <c r="AJ163" i="4"/>
  <c r="AJ57" i="4"/>
  <c r="AH302" i="4"/>
  <c r="AI129" i="4"/>
  <c r="AJ34" i="4"/>
  <c r="AI208" i="4"/>
  <c r="AH91" i="4"/>
  <c r="AJ415" i="4"/>
  <c r="AI396" i="4"/>
  <c r="AL328" i="4"/>
  <c r="AL294" i="4"/>
  <c r="AI283" i="4"/>
  <c r="AH272" i="4"/>
  <c r="AK262" i="4"/>
  <c r="AH254" i="4"/>
  <c r="AK245" i="4"/>
  <c r="AH237" i="4"/>
  <c r="AJ228" i="4"/>
  <c r="AH220" i="4"/>
  <c r="AJ211" i="4"/>
  <c r="AL202" i="4"/>
  <c r="AJ194" i="4"/>
  <c r="AL185" i="4"/>
  <c r="AI177" i="4"/>
  <c r="AL168" i="4"/>
  <c r="AI160" i="4"/>
  <c r="AK151" i="4"/>
  <c r="AI143" i="4"/>
  <c r="AK134" i="4"/>
  <c r="AH126" i="4"/>
  <c r="AK117" i="4"/>
  <c r="AH109" i="4"/>
  <c r="AJ100" i="4"/>
  <c r="AJ93" i="4"/>
  <c r="AH87" i="4"/>
  <c r="AK80" i="4"/>
  <c r="AI74" i="4"/>
  <c r="AL67" i="4"/>
  <c r="AJ61" i="4"/>
  <c r="AH55" i="4"/>
  <c r="AK48" i="4"/>
  <c r="AI42" i="4"/>
  <c r="AH37" i="4"/>
  <c r="AL32" i="4"/>
  <c r="AI410" i="4"/>
  <c r="AH395" i="4"/>
  <c r="AH380" i="4"/>
  <c r="AL364" i="4"/>
  <c r="AJ350" i="4"/>
  <c r="AI339" i="4"/>
  <c r="AL327" i="4"/>
  <c r="AJ316" i="4"/>
  <c r="AI305" i="4"/>
  <c r="AK293" i="4"/>
  <c r="AI282" i="4"/>
  <c r="AH271" i="4"/>
  <c r="AL261" i="4"/>
  <c r="AI253" i="4"/>
  <c r="AL244" i="4"/>
  <c r="AI236" i="4"/>
  <c r="AK227" i="4"/>
  <c r="AI219" i="4"/>
  <c r="AK210" i="4"/>
  <c r="AH202" i="4"/>
  <c r="AK193" i="4"/>
  <c r="AH185" i="4"/>
  <c r="AJ176" i="4"/>
  <c r="AH168" i="4"/>
  <c r="AJ159" i="4"/>
  <c r="AL150" i="4"/>
  <c r="AJ142" i="4"/>
  <c r="AL133" i="4"/>
  <c r="AI125" i="4"/>
  <c r="AL116" i="4"/>
  <c r="AI108" i="4"/>
  <c r="AK99" i="4"/>
  <c r="AL92" i="4"/>
  <c r="AJ86" i="4"/>
  <c r="AH80" i="4"/>
  <c r="AK73" i="4"/>
  <c r="AI67" i="4"/>
  <c r="AL60" i="4"/>
  <c r="AJ54" i="4"/>
  <c r="AH48" i="4"/>
  <c r="AK41" i="4"/>
  <c r="AL36" i="4"/>
  <c r="AK32" i="4"/>
  <c r="AI40" i="4"/>
  <c r="AJ43" i="4"/>
  <c r="AK46" i="4"/>
  <c r="AL49" i="4"/>
  <c r="AH53" i="4"/>
  <c r="AI56" i="4"/>
  <c r="AJ59" i="4"/>
  <c r="AK62" i="4"/>
  <c r="AL65" i="4"/>
  <c r="AH69" i="4"/>
  <c r="AI72" i="4"/>
  <c r="AJ75" i="4"/>
  <c r="AK78" i="4"/>
  <c r="AL81" i="4"/>
  <c r="AH85" i="4"/>
  <c r="AI88" i="4"/>
  <c r="AJ91" i="4"/>
  <c r="AK94" i="4"/>
  <c r="AL97" i="4"/>
  <c r="AH102" i="4"/>
  <c r="AJ106" i="4"/>
  <c r="AK110" i="4"/>
  <c r="AL114" i="4"/>
  <c r="AI119" i="4"/>
  <c r="AJ123" i="4"/>
  <c r="AK127" i="4"/>
  <c r="AH132" i="4"/>
  <c r="AI136" i="4"/>
  <c r="AJ140" i="4"/>
  <c r="AL144" i="4"/>
  <c r="AH149" i="4"/>
  <c r="AI153" i="4"/>
  <c r="AK157" i="4"/>
  <c r="AL161" i="4"/>
  <c r="AH166" i="4"/>
  <c r="AJ170" i="4"/>
  <c r="AK174" i="4"/>
  <c r="AL178" i="4"/>
  <c r="AI183" i="4"/>
  <c r="AJ187" i="4"/>
  <c r="AK191" i="4"/>
  <c r="AH196" i="4"/>
  <c r="AI200" i="4"/>
  <c r="AJ204" i="4"/>
  <c r="AL208" i="4"/>
  <c r="AH213" i="4"/>
  <c r="AI217" i="4"/>
  <c r="AK221" i="4"/>
  <c r="AL225" i="4"/>
  <c r="AH230" i="4"/>
  <c r="AJ234" i="4"/>
  <c r="AK238" i="4"/>
  <c r="AL242" i="4"/>
  <c r="AI247" i="4"/>
  <c r="AJ251" i="4"/>
  <c r="AK255" i="4"/>
  <c r="AH260" i="4"/>
  <c r="AI264" i="4"/>
  <c r="AJ268" i="4"/>
  <c r="AI274" i="4"/>
  <c r="AL279" i="4"/>
  <c r="AJ285" i="4"/>
  <c r="AI291" i="4"/>
  <c r="AL296" i="4"/>
  <c r="AJ302" i="4"/>
  <c r="AJ308" i="4"/>
  <c r="AH314" i="4"/>
  <c r="AK319" i="4"/>
  <c r="AJ325" i="4"/>
  <c r="AH331" i="4"/>
  <c r="AK336" i="4"/>
  <c r="AJ342" i="4"/>
  <c r="AH348" i="4"/>
  <c r="AK353" i="4"/>
  <c r="AK361" i="4"/>
  <c r="AH369" i="4"/>
  <c r="AK376" i="4"/>
  <c r="AI384" i="4"/>
  <c r="AL391" i="4"/>
  <c r="AI399" i="4"/>
  <c r="AH407" i="4"/>
  <c r="AJ414" i="4"/>
  <c r="AL421" i="4"/>
  <c r="AJ32" i="4"/>
  <c r="AK35" i="4"/>
  <c r="AL38" i="4"/>
  <c r="AH42" i="4"/>
  <c r="AI45" i="4"/>
  <c r="AJ48" i="4"/>
  <c r="AK51" i="4"/>
  <c r="AL54" i="4"/>
  <c r="AH58" i="4"/>
  <c r="AI61" i="4"/>
  <c r="AJ64" i="4"/>
  <c r="AK67" i="4"/>
  <c r="AL70" i="4"/>
  <c r="AH74" i="4"/>
  <c r="AI77" i="4"/>
  <c r="AJ80" i="4"/>
  <c r="AK83" i="4"/>
  <c r="AL86" i="4"/>
  <c r="AH90" i="4"/>
  <c r="AI93" i="4"/>
  <c r="AJ96" i="4"/>
  <c r="AI100" i="4"/>
  <c r="AJ104" i="4"/>
  <c r="AL108" i="4"/>
  <c r="AH113" i="4"/>
  <c r="AI117" i="4"/>
  <c r="AK121" i="4"/>
  <c r="AL125" i="4"/>
  <c r="AH130" i="4"/>
  <c r="AJ134" i="4"/>
  <c r="AK138" i="4"/>
  <c r="AL142" i="4"/>
  <c r="AI147" i="4"/>
  <c r="AJ151" i="4"/>
  <c r="AK155" i="4"/>
  <c r="AH160" i="4"/>
  <c r="AI164" i="4"/>
  <c r="AJ168" i="4"/>
  <c r="AL172" i="4"/>
  <c r="AH177" i="4"/>
  <c r="AI181" i="4"/>
  <c r="AK185" i="4"/>
  <c r="AL189" i="4"/>
  <c r="AH194" i="4"/>
  <c r="AJ198" i="4"/>
  <c r="AK202" i="4"/>
  <c r="AL206" i="4"/>
  <c r="AI211" i="4"/>
  <c r="AJ215" i="4"/>
  <c r="AK219" i="4"/>
  <c r="AH224" i="4"/>
  <c r="AI228" i="4"/>
  <c r="AJ232" i="4"/>
  <c r="AL236" i="4"/>
  <c r="AH241" i="4"/>
  <c r="AI245" i="4"/>
  <c r="AK249" i="4"/>
  <c r="AL253" i="4"/>
  <c r="AH258" i="4"/>
  <c r="AJ262" i="4"/>
  <c r="AK266" i="4"/>
  <c r="AK271" i="4"/>
  <c r="AJ277" i="4"/>
  <c r="AH283" i="4"/>
  <c r="AK288" i="4"/>
  <c r="AJ294" i="4"/>
  <c r="AH300" i="4"/>
  <c r="AK305" i="4"/>
  <c r="AK311" i="4"/>
  <c r="AI317" i="4"/>
  <c r="AL322" i="4"/>
  <c r="AK328" i="4"/>
  <c r="AI334" i="4"/>
  <c r="AL339" i="4"/>
  <c r="AK345" i="4"/>
  <c r="AI351" i="4"/>
  <c r="AL357" i="4"/>
  <c r="AL365" i="4"/>
  <c r="AJ373" i="4"/>
  <c r="AL380" i="4"/>
  <c r="AK388" i="4"/>
  <c r="AH396" i="4"/>
  <c r="AJ403" i="4"/>
  <c r="AI411" i="4"/>
  <c r="AK418" i="4"/>
  <c r="AL99" i="4"/>
  <c r="AH103" i="4"/>
  <c r="AI106" i="4"/>
  <c r="AJ109" i="4"/>
  <c r="AK112" i="4"/>
  <c r="AL115" i="4"/>
  <c r="AH119" i="4"/>
  <c r="AI122" i="4"/>
  <c r="AJ125" i="4"/>
  <c r="AK128" i="4"/>
  <c r="AL131" i="4"/>
  <c r="AH135" i="4"/>
  <c r="AI138" i="4"/>
  <c r="AJ141" i="4"/>
  <c r="AK144" i="4"/>
  <c r="AL147" i="4"/>
  <c r="AH151" i="4"/>
  <c r="AI154" i="4"/>
  <c r="AJ157" i="4"/>
  <c r="AK160" i="4"/>
  <c r="AL163" i="4"/>
  <c r="AH167" i="4"/>
  <c r="AI170" i="4"/>
  <c r="AJ173" i="4"/>
  <c r="AK176" i="4"/>
  <c r="AL179" i="4"/>
  <c r="AH183" i="4"/>
  <c r="AI186" i="4"/>
  <c r="AJ189" i="4"/>
  <c r="AK192" i="4"/>
  <c r="AL195" i="4"/>
  <c r="AH199" i="4"/>
  <c r="AI202" i="4"/>
  <c r="AJ205" i="4"/>
  <c r="AK208" i="4"/>
  <c r="AL211" i="4"/>
  <c r="AH215" i="4"/>
  <c r="AI218" i="4"/>
  <c r="AJ221" i="4"/>
  <c r="AK224" i="4"/>
  <c r="AL227" i="4"/>
  <c r="AH231" i="4"/>
  <c r="AI234" i="4"/>
  <c r="AJ237" i="4"/>
  <c r="AK240" i="4"/>
  <c r="AL243" i="4"/>
  <c r="AH247" i="4"/>
  <c r="AI250" i="4"/>
  <c r="AJ253" i="4"/>
  <c r="AK256" i="4"/>
  <c r="AL259" i="4"/>
  <c r="AH263" i="4"/>
  <c r="AI266" i="4"/>
  <c r="AK269" i="4"/>
  <c r="AH274" i="4"/>
  <c r="AI278" i="4"/>
  <c r="AJ282" i="4"/>
  <c r="AL286" i="4"/>
  <c r="AH291" i="4"/>
  <c r="AI295" i="4"/>
  <c r="AK299" i="4"/>
  <c r="AL303" i="4"/>
  <c r="AH308" i="4"/>
  <c r="AJ312" i="4"/>
  <c r="AK316" i="4"/>
  <c r="AL320" i="4"/>
  <c r="AI325" i="4"/>
  <c r="AJ329" i="4"/>
  <c r="AK333" i="4"/>
  <c r="AH338" i="4"/>
  <c r="AI342" i="4"/>
  <c r="AJ346" i="4"/>
  <c r="AL350" i="4"/>
  <c r="AJ355" i="4"/>
  <c r="AH361" i="4"/>
  <c r="AH367" i="4"/>
  <c r="AK372" i="4"/>
  <c r="AI378" i="4"/>
  <c r="AH384" i="4"/>
  <c r="AK389" i="4"/>
  <c r="AI395" i="4"/>
  <c r="AH401" i="4"/>
  <c r="AK406" i="4"/>
  <c r="AI412" i="4"/>
  <c r="AI418" i="4"/>
  <c r="AL269" i="4"/>
  <c r="AH273" i="4"/>
  <c r="AI276" i="4"/>
  <c r="AJ279" i="4"/>
  <c r="AK282" i="4"/>
  <c r="AL285" i="4"/>
  <c r="AH289" i="4"/>
  <c r="AI292" i="4"/>
  <c r="AJ295" i="4"/>
  <c r="AK298" i="4"/>
  <c r="AL301" i="4"/>
  <c r="AH305" i="4"/>
  <c r="AI308" i="4"/>
  <c r="AJ311" i="4"/>
  <c r="AK314" i="4"/>
  <c r="AL317" i="4"/>
  <c r="AH321" i="4"/>
  <c r="AI324" i="4"/>
  <c r="AJ327" i="4"/>
  <c r="AK330" i="4"/>
  <c r="AL333" i="4"/>
  <c r="AH337" i="4"/>
  <c r="AI340" i="4"/>
  <c r="AJ343" i="4"/>
  <c r="AK346" i="4"/>
  <c r="AL349" i="4"/>
  <c r="AH353" i="4"/>
  <c r="AH357" i="4"/>
  <c r="AJ361" i="4"/>
  <c r="AK365" i="4"/>
  <c r="AL369" i="4"/>
  <c r="AI374" i="4"/>
  <c r="AJ378" i="4"/>
  <c r="AK382" i="4"/>
  <c r="AH387" i="4"/>
  <c r="AI391" i="4"/>
  <c r="AJ395" i="4"/>
  <c r="AL399" i="4"/>
  <c r="AH404" i="4"/>
  <c r="AI408" i="4"/>
  <c r="AK412" i="4"/>
  <c r="AL416" i="4"/>
  <c r="AH421" i="4"/>
  <c r="AJ356" i="4"/>
  <c r="AK359" i="4"/>
  <c r="AL362" i="4"/>
  <c r="AH366" i="4"/>
  <c r="AI369" i="4"/>
  <c r="AJ372" i="4"/>
  <c r="AK375" i="4"/>
  <c r="AL378" i="4"/>
  <c r="AH382" i="4"/>
  <c r="AI385" i="4"/>
  <c r="AJ388" i="4"/>
  <c r="AK391" i="4"/>
  <c r="AL394" i="4"/>
  <c r="AH398" i="4"/>
  <c r="AI401" i="4"/>
  <c r="AJ404" i="4"/>
  <c r="AK407" i="4"/>
  <c r="AL410" i="4"/>
  <c r="AH414" i="4"/>
  <c r="AI417" i="4"/>
  <c r="AJ420" i="4"/>
  <c r="AH318" i="4"/>
  <c r="AK214" i="4"/>
  <c r="AL164" i="4"/>
  <c r="AK118" i="4"/>
  <c r="AL79" i="4"/>
  <c r="AK45" i="4"/>
  <c r="AJ227" i="4"/>
  <c r="AH250" i="4"/>
  <c r="AJ273" i="4"/>
  <c r="AK304" i="4"/>
  <c r="AH335" i="4"/>
  <c r="AH368" i="4"/>
  <c r="AL409" i="4"/>
  <c r="AH33" i="4"/>
  <c r="AI46" i="4"/>
  <c r="AL63" i="4"/>
  <c r="AL80" i="4"/>
  <c r="AJ97" i="4"/>
  <c r="AL120" i="4"/>
  <c r="AJ143" i="4"/>
  <c r="AK165" i="4"/>
  <c r="AH189" i="4"/>
  <c r="AK211" i="4"/>
  <c r="AL233" i="4"/>
  <c r="AI257" i="4"/>
  <c r="AL283" i="4"/>
  <c r="AI313" i="4"/>
  <c r="AK344" i="4"/>
  <c r="AL381" i="4"/>
  <c r="AJ421" i="4"/>
  <c r="AK36" i="4"/>
  <c r="AH52" i="4"/>
  <c r="AK68" i="4"/>
  <c r="AI86" i="4"/>
  <c r="AH105" i="4"/>
  <c r="AI127" i="4"/>
  <c r="AK150" i="4"/>
  <c r="AI173" i="4"/>
  <c r="AJ195" i="4"/>
  <c r="AL218" i="4"/>
  <c r="AK241" i="4"/>
  <c r="AK263" i="4"/>
  <c r="AJ293" i="4"/>
  <c r="AK323" i="4"/>
  <c r="AI353" i="4"/>
  <c r="AK394" i="4"/>
  <c r="AI36" i="4"/>
  <c r="AI47" i="4"/>
  <c r="AH60" i="4"/>
  <c r="AL72" i="4"/>
  <c r="AK85" i="4"/>
  <c r="AK98" i="4"/>
  <c r="AK115" i="4"/>
  <c r="AL132" i="4"/>
  <c r="AL149" i="4"/>
  <c r="AL166" i="4"/>
  <c r="AH184" i="4"/>
  <c r="AH201" i="4"/>
  <c r="AH218" i="4"/>
  <c r="AI235" i="4"/>
  <c r="AI252" i="4"/>
  <c r="AJ269" i="4"/>
  <c r="AJ292" i="4"/>
  <c r="AH315" i="4"/>
  <c r="AK337" i="4"/>
  <c r="AH363" i="4"/>
  <c r="AH393" i="4"/>
  <c r="AJ366" i="4"/>
  <c r="AI220" i="4"/>
  <c r="AH152" i="4"/>
  <c r="AK92" i="4"/>
  <c r="AL48" i="4"/>
  <c r="AL375" i="4"/>
  <c r="AI225" i="4"/>
  <c r="AH157" i="4"/>
  <c r="AL95" i="4"/>
  <c r="AJ49" i="4"/>
  <c r="AJ21" i="4"/>
  <c r="P21" i="11"/>
  <c r="AH204" i="4"/>
  <c r="AI87" i="4"/>
  <c r="AJ310" i="4"/>
  <c r="AL134" i="4"/>
  <c r="AI35" i="4"/>
  <c r="AK231" i="4"/>
  <c r="AL100" i="4"/>
  <c r="AK21" i="4"/>
  <c r="Q21" i="11"/>
  <c r="AJ180" i="4"/>
  <c r="AH67" i="4"/>
  <c r="AH21" i="4"/>
  <c r="N21" i="11"/>
  <c r="AJ29" i="4"/>
  <c r="AI28" i="4"/>
  <c r="AL23" i="4"/>
  <c r="AK24" i="4"/>
  <c r="AH27" i="4"/>
  <c r="AK29" i="4"/>
  <c r="AJ25" i="4"/>
  <c r="AH25" i="4"/>
  <c r="AJ28" i="4"/>
  <c r="AH28" i="4"/>
  <c r="AL24" i="4"/>
  <c r="AK25" i="4"/>
  <c r="AL25" i="4"/>
  <c r="AK28" i="4"/>
  <c r="AI24" i="4"/>
  <c r="AH24" i="4"/>
  <c r="AL22" i="4"/>
  <c r="AH26" i="4"/>
  <c r="AJ27" i="4"/>
  <c r="AI23" i="4"/>
  <c r="AI27" i="4"/>
  <c r="AH23" i="4"/>
  <c r="AK23" i="4"/>
  <c r="AL26" i="4"/>
  <c r="AK26" i="4"/>
  <c r="AH29" i="4"/>
  <c r="AJ23" i="4"/>
  <c r="AH22" i="4"/>
  <c r="AI25" i="4"/>
  <c r="AJ22" i="4"/>
  <c r="AL27" i="4"/>
  <c r="AI29" i="4"/>
  <c r="AJ26" i="4"/>
  <c r="AI22" i="4"/>
  <c r="AI26" i="4"/>
  <c r="AJ24" i="4"/>
  <c r="AK27" i="4"/>
  <c r="AL28" i="4"/>
  <c r="AK22" i="4"/>
  <c r="AL29" i="4"/>
  <c r="BQ421" i="6"/>
  <c r="BQ420" i="6"/>
  <c r="BQ419" i="6"/>
  <c r="BQ418" i="6"/>
  <c r="BQ417" i="6"/>
  <c r="BQ416" i="6"/>
  <c r="BQ415" i="6"/>
  <c r="BQ414" i="6"/>
  <c r="BQ413" i="6"/>
  <c r="BQ412" i="6"/>
  <c r="BQ411" i="6"/>
  <c r="BQ410" i="6"/>
  <c r="BQ409" i="6"/>
  <c r="BQ408" i="6"/>
  <c r="BQ407" i="6"/>
  <c r="BQ406" i="6"/>
  <c r="BQ405" i="6"/>
  <c r="BQ404" i="6"/>
  <c r="BQ403" i="6"/>
  <c r="BQ402" i="6"/>
  <c r="BQ401" i="6"/>
  <c r="BQ400" i="6"/>
  <c r="BQ399" i="6"/>
  <c r="BQ398" i="6"/>
  <c r="BQ397" i="6"/>
  <c r="BQ396" i="6"/>
  <c r="BQ395" i="6"/>
  <c r="BQ394" i="6"/>
  <c r="BQ393" i="6"/>
  <c r="BQ392" i="6"/>
  <c r="BQ391" i="6"/>
  <c r="BQ390" i="6"/>
  <c r="BQ389" i="6"/>
  <c r="BQ388" i="6"/>
  <c r="BQ387" i="6"/>
  <c r="BQ386" i="6"/>
  <c r="BQ385" i="6"/>
  <c r="BQ384" i="6"/>
  <c r="BQ383" i="6"/>
  <c r="BQ382" i="6"/>
  <c r="BQ381" i="6"/>
  <c r="BQ380" i="6"/>
  <c r="BQ379" i="6"/>
  <c r="BQ378" i="6"/>
  <c r="BQ377" i="6"/>
  <c r="BQ376" i="6"/>
  <c r="BQ375" i="6"/>
  <c r="BQ374" i="6"/>
  <c r="BQ373" i="6"/>
  <c r="BQ372" i="6"/>
  <c r="BQ371" i="6"/>
  <c r="BQ370" i="6"/>
  <c r="BQ369" i="6"/>
  <c r="BQ368" i="6"/>
  <c r="BQ367" i="6"/>
  <c r="BQ366" i="6"/>
  <c r="BQ365" i="6"/>
  <c r="BQ364" i="6"/>
  <c r="BQ363" i="6"/>
  <c r="BQ362" i="6"/>
  <c r="BQ361" i="6"/>
  <c r="BQ360" i="6"/>
  <c r="BQ359" i="6"/>
  <c r="BQ358" i="6"/>
  <c r="BQ357" i="6"/>
  <c r="BQ356" i="6"/>
  <c r="BQ355" i="6"/>
  <c r="BQ354" i="6"/>
  <c r="BQ353" i="6"/>
  <c r="BQ352" i="6"/>
  <c r="BQ351" i="6"/>
  <c r="BQ350" i="6"/>
  <c r="BQ349" i="6"/>
  <c r="BQ348" i="6"/>
  <c r="BQ347" i="6"/>
  <c r="BQ346" i="6"/>
  <c r="BQ345" i="6"/>
  <c r="BQ344" i="6"/>
  <c r="BQ343" i="6"/>
  <c r="BQ342" i="6"/>
  <c r="BQ341" i="6"/>
  <c r="BQ340" i="6"/>
  <c r="BQ339" i="6"/>
  <c r="BQ338" i="6"/>
  <c r="BQ337" i="6"/>
  <c r="BQ336" i="6"/>
  <c r="BQ335" i="6"/>
  <c r="BQ334" i="6"/>
  <c r="BQ333" i="6"/>
  <c r="BQ332" i="6"/>
  <c r="BQ331" i="6"/>
  <c r="BQ330" i="6"/>
  <c r="BQ329" i="6"/>
  <c r="BQ328" i="6"/>
  <c r="BQ327" i="6"/>
  <c r="BQ326" i="6"/>
  <c r="BQ325" i="6"/>
  <c r="BQ324" i="6"/>
  <c r="BQ323" i="6"/>
  <c r="BQ322" i="6"/>
  <c r="BQ321" i="6"/>
  <c r="BQ320" i="6"/>
  <c r="BQ319" i="6"/>
  <c r="BQ318" i="6"/>
  <c r="BQ317" i="6"/>
  <c r="BQ316" i="6"/>
  <c r="BQ315" i="6"/>
  <c r="BQ314" i="6"/>
  <c r="BQ313" i="6"/>
  <c r="BQ312" i="6"/>
  <c r="BQ311" i="6"/>
  <c r="BQ310" i="6"/>
  <c r="BQ309" i="6"/>
  <c r="BQ308" i="6"/>
  <c r="BQ307" i="6"/>
  <c r="BQ306" i="6"/>
  <c r="BQ305" i="6"/>
  <c r="BQ304" i="6"/>
  <c r="BQ303" i="6"/>
  <c r="BQ302" i="6"/>
  <c r="BQ301" i="6"/>
  <c r="BQ300" i="6"/>
  <c r="BQ299" i="6"/>
  <c r="BQ298" i="6"/>
  <c r="BQ297" i="6"/>
  <c r="BQ296" i="6"/>
  <c r="BQ295" i="6"/>
  <c r="BQ294" i="6"/>
  <c r="BQ293" i="6"/>
  <c r="BQ292" i="6"/>
  <c r="BQ291" i="6"/>
  <c r="BQ290" i="6"/>
  <c r="BQ289" i="6"/>
  <c r="BQ288" i="6"/>
  <c r="BQ287" i="6"/>
  <c r="BQ286" i="6"/>
  <c r="BQ285" i="6"/>
  <c r="BQ284" i="6"/>
  <c r="BQ283" i="6"/>
  <c r="BQ282" i="6"/>
  <c r="BQ281" i="6"/>
  <c r="BQ280" i="6"/>
  <c r="BQ279" i="6"/>
  <c r="BQ278" i="6"/>
  <c r="BQ277" i="6"/>
  <c r="BQ276" i="6"/>
  <c r="BQ275" i="6"/>
  <c r="BQ274" i="6"/>
  <c r="BQ273" i="6"/>
  <c r="BQ272" i="6"/>
  <c r="BQ271" i="6"/>
  <c r="BQ270" i="6"/>
  <c r="BQ269" i="6"/>
  <c r="BQ268" i="6"/>
  <c r="BQ267" i="6"/>
  <c r="BQ266" i="6"/>
  <c r="BQ265" i="6"/>
  <c r="BQ264" i="6"/>
  <c r="BQ263" i="6"/>
  <c r="BQ262" i="6"/>
  <c r="BQ261" i="6"/>
  <c r="BQ260" i="6"/>
  <c r="BQ259" i="6"/>
  <c r="BQ258" i="6"/>
  <c r="BQ257" i="6"/>
  <c r="BQ256" i="6"/>
  <c r="BQ255" i="6"/>
  <c r="BQ254" i="6"/>
  <c r="BQ253" i="6"/>
  <c r="BQ252" i="6"/>
  <c r="BQ251" i="6"/>
  <c r="BQ250" i="6"/>
  <c r="BQ249" i="6"/>
  <c r="BQ248" i="6"/>
  <c r="BQ247" i="6"/>
  <c r="BQ246" i="6"/>
  <c r="BQ245" i="6"/>
  <c r="BQ244" i="6"/>
  <c r="BQ243" i="6"/>
  <c r="BQ242" i="6"/>
  <c r="BQ241" i="6"/>
  <c r="BQ240" i="6"/>
  <c r="BQ239" i="6"/>
  <c r="BQ238" i="6"/>
  <c r="BQ237" i="6"/>
  <c r="BQ236" i="6"/>
  <c r="BQ235" i="6"/>
  <c r="BQ234" i="6"/>
  <c r="BQ233" i="6"/>
  <c r="BQ232" i="6"/>
  <c r="BQ231" i="6"/>
  <c r="BQ230" i="6"/>
  <c r="BQ229" i="6"/>
  <c r="BQ228" i="6"/>
  <c r="BQ227" i="6"/>
  <c r="BQ226" i="6"/>
  <c r="BQ225" i="6"/>
  <c r="BQ224" i="6"/>
  <c r="BQ223" i="6"/>
  <c r="BQ222" i="6"/>
  <c r="BQ221" i="6"/>
  <c r="BQ220" i="6"/>
  <c r="BQ219" i="6"/>
  <c r="BQ218" i="6"/>
  <c r="BQ217" i="6"/>
  <c r="BQ216" i="6"/>
  <c r="BQ215" i="6"/>
  <c r="BQ214" i="6"/>
  <c r="BQ213" i="6"/>
  <c r="BQ212" i="6"/>
  <c r="BQ211" i="6"/>
  <c r="BQ210" i="6"/>
  <c r="BQ209" i="6"/>
  <c r="BQ208" i="6"/>
  <c r="BQ207" i="6"/>
  <c r="BQ206" i="6"/>
  <c r="BQ205" i="6"/>
  <c r="BQ204" i="6"/>
  <c r="BQ203" i="6"/>
  <c r="BQ202" i="6"/>
  <c r="BQ201" i="6"/>
  <c r="BQ200" i="6"/>
  <c r="BQ199" i="6"/>
  <c r="BQ198" i="6"/>
  <c r="BQ197" i="6"/>
  <c r="BQ196" i="6"/>
  <c r="BQ195" i="6"/>
  <c r="BQ194" i="6"/>
  <c r="BQ193" i="6"/>
  <c r="BQ192" i="6"/>
  <c r="BQ191" i="6"/>
  <c r="BQ190" i="6"/>
  <c r="BQ189" i="6"/>
  <c r="BQ188" i="6"/>
  <c r="BQ187" i="6"/>
  <c r="BQ186" i="6"/>
  <c r="BQ185" i="6"/>
  <c r="BQ184" i="6"/>
  <c r="BQ183" i="6"/>
  <c r="BQ182" i="6"/>
  <c r="BQ181" i="6"/>
  <c r="BQ180" i="6"/>
  <c r="BQ179" i="6"/>
  <c r="BQ178" i="6"/>
  <c r="BQ177" i="6"/>
  <c r="BQ176" i="6"/>
  <c r="BQ175" i="6"/>
  <c r="BQ174" i="6"/>
  <c r="BQ173" i="6"/>
  <c r="BQ172" i="6"/>
  <c r="BQ171" i="6"/>
  <c r="BQ170" i="6"/>
  <c r="BQ169" i="6"/>
  <c r="BQ168" i="6"/>
  <c r="BQ167" i="6"/>
  <c r="BQ166" i="6"/>
  <c r="BQ165" i="6"/>
  <c r="BQ164" i="6"/>
  <c r="BQ163" i="6"/>
  <c r="BQ162" i="6"/>
  <c r="BQ161" i="6"/>
  <c r="BQ160" i="6"/>
  <c r="BQ159" i="6"/>
  <c r="BQ158" i="6"/>
  <c r="BQ157" i="6"/>
  <c r="BQ156" i="6"/>
  <c r="BQ155" i="6"/>
  <c r="BQ154" i="6"/>
  <c r="BQ153" i="6"/>
  <c r="BQ152" i="6"/>
  <c r="BQ151" i="6"/>
  <c r="BQ150" i="6"/>
  <c r="BQ149" i="6"/>
  <c r="BQ148" i="6"/>
  <c r="BQ147" i="6"/>
  <c r="BQ146" i="6"/>
  <c r="BQ145" i="6"/>
  <c r="BQ144" i="6"/>
  <c r="BQ143" i="6"/>
  <c r="BQ142" i="6"/>
  <c r="BQ141" i="6"/>
  <c r="BQ140" i="6"/>
  <c r="BQ139" i="6"/>
  <c r="BQ138" i="6"/>
  <c r="BQ137" i="6"/>
  <c r="BQ136" i="6"/>
  <c r="BQ135" i="6"/>
  <c r="BQ134" i="6"/>
  <c r="BQ133" i="6"/>
  <c r="BQ132" i="6"/>
  <c r="BQ131" i="6"/>
  <c r="BQ130" i="6"/>
  <c r="BQ129" i="6"/>
  <c r="BQ128" i="6"/>
  <c r="BQ127" i="6"/>
  <c r="BQ126" i="6"/>
  <c r="BQ125" i="6"/>
  <c r="BQ124" i="6"/>
  <c r="BQ123" i="6"/>
  <c r="BQ122" i="6"/>
  <c r="BQ121" i="6"/>
  <c r="BQ120" i="6"/>
  <c r="BQ119" i="6"/>
  <c r="BQ118" i="6"/>
  <c r="BQ117" i="6"/>
  <c r="BQ116" i="6"/>
  <c r="BQ115" i="6"/>
  <c r="BQ114" i="6"/>
  <c r="BQ113" i="6"/>
  <c r="BQ112" i="6"/>
  <c r="BQ111" i="6"/>
  <c r="BQ110" i="6"/>
  <c r="BQ109" i="6"/>
  <c r="BQ108" i="6"/>
  <c r="BQ107" i="6"/>
  <c r="BQ106" i="6"/>
  <c r="BQ105" i="6"/>
  <c r="BQ104" i="6"/>
  <c r="BQ103" i="6"/>
  <c r="BQ102" i="6"/>
  <c r="BQ101" i="6"/>
  <c r="BQ100" i="6"/>
  <c r="BQ99" i="6"/>
  <c r="BQ98" i="6"/>
  <c r="BQ97" i="6"/>
  <c r="BQ96" i="6"/>
  <c r="BQ95" i="6"/>
  <c r="BQ94" i="6"/>
  <c r="BQ93" i="6"/>
  <c r="BQ92" i="6"/>
  <c r="BQ91" i="6"/>
  <c r="BQ90" i="6"/>
  <c r="BQ89" i="6"/>
  <c r="BQ88" i="6"/>
  <c r="BQ87" i="6"/>
  <c r="BQ86" i="6"/>
  <c r="BQ85" i="6"/>
  <c r="BQ84" i="6"/>
  <c r="BQ83" i="6"/>
  <c r="BQ82" i="6"/>
  <c r="BQ81" i="6"/>
  <c r="BQ80" i="6"/>
  <c r="BQ79" i="6"/>
  <c r="BQ78" i="6"/>
  <c r="BQ77" i="6"/>
  <c r="BQ76" i="6"/>
  <c r="BQ75" i="6"/>
  <c r="BQ74" i="6"/>
  <c r="BQ73" i="6"/>
  <c r="BQ72" i="6"/>
  <c r="BQ71" i="6"/>
  <c r="BQ70" i="6"/>
  <c r="BQ69" i="6"/>
  <c r="BQ68" i="6"/>
  <c r="BQ67" i="6"/>
  <c r="BQ66" i="6"/>
  <c r="BQ65" i="6"/>
  <c r="BQ64" i="6"/>
  <c r="BQ63" i="6"/>
  <c r="BQ62" i="6"/>
  <c r="BQ61" i="6"/>
  <c r="BQ60" i="6"/>
  <c r="BQ59" i="6"/>
  <c r="BQ58" i="6"/>
  <c r="BQ57" i="6"/>
  <c r="BQ56" i="6"/>
  <c r="BQ55" i="6"/>
  <c r="BQ54" i="6"/>
  <c r="BQ53" i="6"/>
  <c r="BQ52" i="6"/>
  <c r="BQ51" i="6"/>
  <c r="BQ50" i="6"/>
  <c r="BQ49" i="6"/>
  <c r="BQ48" i="6"/>
  <c r="BQ47" i="6"/>
  <c r="BQ46" i="6"/>
  <c r="BQ45" i="6"/>
  <c r="BQ44" i="6"/>
  <c r="BQ43" i="6"/>
  <c r="BQ42" i="6"/>
  <c r="BQ41" i="6"/>
  <c r="BQ40" i="6"/>
  <c r="BQ39" i="6"/>
  <c r="BQ38" i="6"/>
  <c r="BQ37" i="6"/>
  <c r="BQ36" i="6"/>
  <c r="BQ35" i="6"/>
  <c r="BQ34" i="6"/>
  <c r="BQ33" i="6"/>
  <c r="BQ32" i="6"/>
  <c r="BQ31" i="6"/>
  <c r="BQ30" i="6"/>
  <c r="BQ29" i="6"/>
  <c r="BQ28" i="6"/>
  <c r="BQ27" i="6"/>
  <c r="BQ26" i="6"/>
  <c r="BQ25" i="6"/>
  <c r="BQ24" i="6"/>
  <c r="BQ23" i="6"/>
  <c r="BQ22" i="6"/>
  <c r="BQ21" i="6"/>
  <c r="I21" i="11" s="1"/>
  <c r="AT20" i="11" l="1"/>
  <c r="X20" i="11"/>
  <c r="AD20" i="11"/>
  <c r="W20" i="11"/>
  <c r="AC20" i="11"/>
  <c r="AV20" i="11"/>
  <c r="U20" i="11"/>
  <c r="AA20" i="11"/>
  <c r="V20" i="11"/>
  <c r="AB20" i="11"/>
  <c r="T20" i="11"/>
  <c r="Z20" i="11"/>
  <c r="AU20" i="11"/>
  <c r="BD20" i="11"/>
  <c r="BC20" i="11"/>
  <c r="J17" i="11"/>
  <c r="C11" i="2"/>
  <c r="J16" i="11"/>
  <c r="C10" i="2"/>
  <c r="AL17" i="11" l="1"/>
  <c r="L17" i="11"/>
  <c r="J18" i="11"/>
  <c r="J21" i="11" s="1"/>
  <c r="AL16" i="11"/>
  <c r="AL18" i="11"/>
  <c r="L18" i="11"/>
  <c r="L16" i="11"/>
  <c r="L15" i="11" l="1"/>
  <c r="AL15" i="11"/>
  <c r="S18" i="11"/>
  <c r="BT22" i="6"/>
  <c r="BT23" i="6"/>
  <c r="BT24" i="6"/>
  <c r="BT25" i="6"/>
  <c r="BT26" i="6"/>
  <c r="BT27" i="6"/>
  <c r="BT28" i="6"/>
  <c r="BT29" i="6"/>
  <c r="BT30" i="6"/>
  <c r="BT31" i="6"/>
  <c r="BT32" i="6"/>
  <c r="BT33" i="6"/>
  <c r="BT34" i="6"/>
  <c r="BT35" i="6"/>
  <c r="BT36" i="6"/>
  <c r="BT37" i="6"/>
  <c r="BT38" i="6"/>
  <c r="BT39" i="6"/>
  <c r="BT40" i="6"/>
  <c r="BT41" i="6"/>
  <c r="BT42" i="6"/>
  <c r="BT43" i="6"/>
  <c r="BT44" i="6"/>
  <c r="BT45" i="6"/>
  <c r="BT46" i="6"/>
  <c r="BT47" i="6"/>
  <c r="BT48" i="6"/>
  <c r="BT49" i="6"/>
  <c r="BT50" i="6"/>
  <c r="BT51" i="6"/>
  <c r="BT52" i="6"/>
  <c r="BT53" i="6"/>
  <c r="BT54" i="6"/>
  <c r="BT55" i="6"/>
  <c r="BT56" i="6"/>
  <c r="BT57" i="6"/>
  <c r="BT58" i="6"/>
  <c r="BT59" i="6"/>
  <c r="BT60" i="6"/>
  <c r="BT61" i="6"/>
  <c r="BT62" i="6"/>
  <c r="BT63" i="6"/>
  <c r="BT64" i="6"/>
  <c r="BT65" i="6"/>
  <c r="BT66" i="6"/>
  <c r="BT67" i="6"/>
  <c r="BT68" i="6"/>
  <c r="BT69" i="6"/>
  <c r="BT70" i="6"/>
  <c r="BT71" i="6"/>
  <c r="BT72" i="6"/>
  <c r="BT73" i="6"/>
  <c r="BT74" i="6"/>
  <c r="BT75" i="6"/>
  <c r="BT76" i="6"/>
  <c r="BT77" i="6"/>
  <c r="BT78" i="6"/>
  <c r="BT79" i="6"/>
  <c r="BT80" i="6"/>
  <c r="BT81" i="6"/>
  <c r="BT82" i="6"/>
  <c r="BT83" i="6"/>
  <c r="BT84" i="6"/>
  <c r="BT85" i="6"/>
  <c r="BT86" i="6"/>
  <c r="BT87" i="6"/>
  <c r="BT88" i="6"/>
  <c r="BT89" i="6"/>
  <c r="BT90" i="6"/>
  <c r="BT91" i="6"/>
  <c r="BT92" i="6"/>
  <c r="BT93" i="6"/>
  <c r="BT94" i="6"/>
  <c r="BT95" i="6"/>
  <c r="BT96" i="6"/>
  <c r="BT97" i="6"/>
  <c r="BT98" i="6"/>
  <c r="BT99" i="6"/>
  <c r="BT100" i="6"/>
  <c r="BT101" i="6"/>
  <c r="BT102" i="6"/>
  <c r="BT103" i="6"/>
  <c r="BT104" i="6"/>
  <c r="BT105" i="6"/>
  <c r="BT106" i="6"/>
  <c r="BT107" i="6"/>
  <c r="BT108" i="6"/>
  <c r="BT109" i="6"/>
  <c r="BT110" i="6"/>
  <c r="BT111" i="6"/>
  <c r="BT112" i="6"/>
  <c r="BT113" i="6"/>
  <c r="BT114" i="6"/>
  <c r="BT115" i="6"/>
  <c r="BT116" i="6"/>
  <c r="BT117" i="6"/>
  <c r="BT118" i="6"/>
  <c r="BT119" i="6"/>
  <c r="BT120" i="6"/>
  <c r="BT121" i="6"/>
  <c r="BT122" i="6"/>
  <c r="BT123" i="6"/>
  <c r="BT124" i="6"/>
  <c r="BT125" i="6"/>
  <c r="BT126" i="6"/>
  <c r="BT127" i="6"/>
  <c r="BT128" i="6"/>
  <c r="BT129" i="6"/>
  <c r="BT130" i="6"/>
  <c r="BT131" i="6"/>
  <c r="BT132" i="6"/>
  <c r="BT133" i="6"/>
  <c r="BT134" i="6"/>
  <c r="BT135" i="6"/>
  <c r="BT136" i="6"/>
  <c r="BT137" i="6"/>
  <c r="BT138" i="6"/>
  <c r="BT139" i="6"/>
  <c r="BT140" i="6"/>
  <c r="BT141" i="6"/>
  <c r="BT142" i="6"/>
  <c r="BT143" i="6"/>
  <c r="BT144" i="6"/>
  <c r="BT145" i="6"/>
  <c r="BT146" i="6"/>
  <c r="BT147" i="6"/>
  <c r="BT148" i="6"/>
  <c r="BT149" i="6"/>
  <c r="BT150" i="6"/>
  <c r="BT151" i="6"/>
  <c r="BT152" i="6"/>
  <c r="BT153" i="6"/>
  <c r="BT154" i="6"/>
  <c r="BT155" i="6"/>
  <c r="BT156" i="6"/>
  <c r="BT157" i="6"/>
  <c r="BT158" i="6"/>
  <c r="BT159" i="6"/>
  <c r="BT160" i="6"/>
  <c r="BT161" i="6"/>
  <c r="BT162" i="6"/>
  <c r="BT163" i="6"/>
  <c r="BT164" i="6"/>
  <c r="BT165" i="6"/>
  <c r="BT166" i="6"/>
  <c r="BT167" i="6"/>
  <c r="BT168" i="6"/>
  <c r="BT169" i="6"/>
  <c r="BT170" i="6"/>
  <c r="BT171" i="6"/>
  <c r="BT172" i="6"/>
  <c r="BT173" i="6"/>
  <c r="BT174" i="6"/>
  <c r="BT175" i="6"/>
  <c r="BT176" i="6"/>
  <c r="BT177" i="6"/>
  <c r="BT178" i="6"/>
  <c r="BT179" i="6"/>
  <c r="BT180" i="6"/>
  <c r="BT181" i="6"/>
  <c r="BT182" i="6"/>
  <c r="BT183" i="6"/>
  <c r="BT184" i="6"/>
  <c r="BT185" i="6"/>
  <c r="BT186" i="6"/>
  <c r="BT187" i="6"/>
  <c r="BT188" i="6"/>
  <c r="BT189" i="6"/>
  <c r="BT190" i="6"/>
  <c r="BT191" i="6"/>
  <c r="BT192" i="6"/>
  <c r="BT193" i="6"/>
  <c r="BT194" i="6"/>
  <c r="BT195" i="6"/>
  <c r="BT196" i="6"/>
  <c r="BT197" i="6"/>
  <c r="BT198" i="6"/>
  <c r="BT199" i="6"/>
  <c r="BT200" i="6"/>
  <c r="BT201" i="6"/>
  <c r="BT202" i="6"/>
  <c r="BT203" i="6"/>
  <c r="BT204" i="6"/>
  <c r="BT205" i="6"/>
  <c r="BT206" i="6"/>
  <c r="BT207" i="6"/>
  <c r="BT208" i="6"/>
  <c r="BT209" i="6"/>
  <c r="BT210" i="6"/>
  <c r="BT211" i="6"/>
  <c r="BT212" i="6"/>
  <c r="BT213" i="6"/>
  <c r="BT214" i="6"/>
  <c r="BT215" i="6"/>
  <c r="BT216" i="6"/>
  <c r="BT217" i="6"/>
  <c r="BT218" i="6"/>
  <c r="BT219" i="6"/>
  <c r="BT220" i="6"/>
  <c r="BT221" i="6"/>
  <c r="BT222" i="6"/>
  <c r="BT223" i="6"/>
  <c r="BT224" i="6"/>
  <c r="BT225" i="6"/>
  <c r="BT226" i="6"/>
  <c r="BT227" i="6"/>
  <c r="BT228" i="6"/>
  <c r="BT229" i="6"/>
  <c r="BT230" i="6"/>
  <c r="BT231" i="6"/>
  <c r="BT232" i="6"/>
  <c r="BT233" i="6"/>
  <c r="BT234" i="6"/>
  <c r="BT235" i="6"/>
  <c r="BT236" i="6"/>
  <c r="BT237" i="6"/>
  <c r="BT238" i="6"/>
  <c r="BT239" i="6"/>
  <c r="BT240" i="6"/>
  <c r="BT241" i="6"/>
  <c r="BT242" i="6"/>
  <c r="BT243" i="6"/>
  <c r="BT244" i="6"/>
  <c r="BT245" i="6"/>
  <c r="BT246" i="6"/>
  <c r="BT247" i="6"/>
  <c r="BT248" i="6"/>
  <c r="BT249" i="6"/>
  <c r="BT250" i="6"/>
  <c r="BT251" i="6"/>
  <c r="BT252" i="6"/>
  <c r="BT253" i="6"/>
  <c r="BT254" i="6"/>
  <c r="BT255" i="6"/>
  <c r="BT256" i="6"/>
  <c r="BT257" i="6"/>
  <c r="BT258" i="6"/>
  <c r="BT259" i="6"/>
  <c r="BT260" i="6"/>
  <c r="BT261" i="6"/>
  <c r="BT262" i="6"/>
  <c r="BT263" i="6"/>
  <c r="BT264" i="6"/>
  <c r="BT265" i="6"/>
  <c r="BT266" i="6"/>
  <c r="BT267" i="6"/>
  <c r="BT268" i="6"/>
  <c r="BT269" i="6"/>
  <c r="BT270" i="6"/>
  <c r="BT271" i="6"/>
  <c r="BT272" i="6"/>
  <c r="BT273" i="6"/>
  <c r="BT274" i="6"/>
  <c r="BT275" i="6"/>
  <c r="BT276" i="6"/>
  <c r="BT277" i="6"/>
  <c r="BT278" i="6"/>
  <c r="BT279" i="6"/>
  <c r="BT280" i="6"/>
  <c r="BT281" i="6"/>
  <c r="BT282" i="6"/>
  <c r="BT283" i="6"/>
  <c r="BT284" i="6"/>
  <c r="BT285" i="6"/>
  <c r="BT286" i="6"/>
  <c r="BT287" i="6"/>
  <c r="BT288" i="6"/>
  <c r="BT289" i="6"/>
  <c r="BT290" i="6"/>
  <c r="BT291" i="6"/>
  <c r="BT292" i="6"/>
  <c r="BT293" i="6"/>
  <c r="BT294" i="6"/>
  <c r="BT295" i="6"/>
  <c r="BT296" i="6"/>
  <c r="BT297" i="6"/>
  <c r="BT298" i="6"/>
  <c r="BT299" i="6"/>
  <c r="BT300" i="6"/>
  <c r="BT301" i="6"/>
  <c r="BT302" i="6"/>
  <c r="BT303" i="6"/>
  <c r="BT304" i="6"/>
  <c r="BT305" i="6"/>
  <c r="BT306" i="6"/>
  <c r="BT307" i="6"/>
  <c r="BT308" i="6"/>
  <c r="BT309" i="6"/>
  <c r="BT310" i="6"/>
  <c r="BT311" i="6"/>
  <c r="BT312" i="6"/>
  <c r="BT313" i="6"/>
  <c r="BT314" i="6"/>
  <c r="BT315" i="6"/>
  <c r="BT316" i="6"/>
  <c r="BT317" i="6"/>
  <c r="BT318" i="6"/>
  <c r="BT319" i="6"/>
  <c r="BT320" i="6"/>
  <c r="BT321" i="6"/>
  <c r="BT322" i="6"/>
  <c r="BT323" i="6"/>
  <c r="BT324" i="6"/>
  <c r="BT325" i="6"/>
  <c r="BT326" i="6"/>
  <c r="BT327" i="6"/>
  <c r="BT328" i="6"/>
  <c r="BT329" i="6"/>
  <c r="BT330" i="6"/>
  <c r="BT331" i="6"/>
  <c r="BT332" i="6"/>
  <c r="BT333" i="6"/>
  <c r="BT334" i="6"/>
  <c r="BT335" i="6"/>
  <c r="BT336" i="6"/>
  <c r="BT337" i="6"/>
  <c r="BT338" i="6"/>
  <c r="BT339" i="6"/>
  <c r="BT340" i="6"/>
  <c r="BT341" i="6"/>
  <c r="BT342" i="6"/>
  <c r="BT343" i="6"/>
  <c r="BT344" i="6"/>
  <c r="BT345" i="6"/>
  <c r="BT346" i="6"/>
  <c r="BT347" i="6"/>
  <c r="BT348" i="6"/>
  <c r="BT349" i="6"/>
  <c r="BT350" i="6"/>
  <c r="BT351" i="6"/>
  <c r="BT352" i="6"/>
  <c r="BT353" i="6"/>
  <c r="BT354" i="6"/>
  <c r="BT355" i="6"/>
  <c r="BT356" i="6"/>
  <c r="BT357" i="6"/>
  <c r="BT358" i="6"/>
  <c r="BT359" i="6"/>
  <c r="BT360" i="6"/>
  <c r="BT361" i="6"/>
  <c r="BT362" i="6"/>
  <c r="BT363" i="6"/>
  <c r="BT364" i="6"/>
  <c r="BT365" i="6"/>
  <c r="BT366" i="6"/>
  <c r="BT367" i="6"/>
  <c r="BT368" i="6"/>
  <c r="BT369" i="6"/>
  <c r="BT370" i="6"/>
  <c r="BT371" i="6"/>
  <c r="BT372" i="6"/>
  <c r="BT373" i="6"/>
  <c r="BT374" i="6"/>
  <c r="BT375" i="6"/>
  <c r="BT376" i="6"/>
  <c r="BT377" i="6"/>
  <c r="BT378" i="6"/>
  <c r="BT379" i="6"/>
  <c r="BT380" i="6"/>
  <c r="BT381" i="6"/>
  <c r="BT382" i="6"/>
  <c r="BT383" i="6"/>
  <c r="BT384" i="6"/>
  <c r="BT385" i="6"/>
  <c r="BT386" i="6"/>
  <c r="BT387" i="6"/>
  <c r="BT388" i="6"/>
  <c r="BT389" i="6"/>
  <c r="BT390" i="6"/>
  <c r="BT391" i="6"/>
  <c r="BT392" i="6"/>
  <c r="BT393" i="6"/>
  <c r="BT394" i="6"/>
  <c r="BT395" i="6"/>
  <c r="BT396" i="6"/>
  <c r="BT397" i="6"/>
  <c r="BT398" i="6"/>
  <c r="BT399" i="6"/>
  <c r="BT400" i="6"/>
  <c r="BT401" i="6"/>
  <c r="BT402" i="6"/>
  <c r="BT403" i="6"/>
  <c r="BT404" i="6"/>
  <c r="BT405" i="6"/>
  <c r="BT406" i="6"/>
  <c r="BT407" i="6"/>
  <c r="BT408" i="6"/>
  <c r="BT409" i="6"/>
  <c r="BT410" i="6"/>
  <c r="BT411" i="6"/>
  <c r="BT412" i="6"/>
  <c r="BT413" i="6"/>
  <c r="BT414" i="6"/>
  <c r="BT415" i="6"/>
  <c r="BT416" i="6"/>
  <c r="BT417" i="6"/>
  <c r="BT418" i="6"/>
  <c r="BT419" i="6"/>
  <c r="BT420" i="6"/>
  <c r="BT421" i="6"/>
  <c r="BT21" i="6"/>
  <c r="AI21" i="11" s="1"/>
  <c r="AS18" i="11" l="1"/>
  <c r="AM18" i="11"/>
  <c r="AY18" i="11" s="1"/>
  <c r="M18" i="11"/>
  <c r="Y18" i="11" s="1"/>
  <c r="BS421" i="6"/>
  <c r="BS420" i="6"/>
  <c r="BS419" i="6"/>
  <c r="BS418" i="6"/>
  <c r="BS417" i="6"/>
  <c r="BS416" i="6"/>
  <c r="BS415" i="6"/>
  <c r="BS414" i="6"/>
  <c r="BS413" i="6"/>
  <c r="BS412" i="6"/>
  <c r="BS411" i="6"/>
  <c r="BS410" i="6"/>
  <c r="BS409" i="6"/>
  <c r="BS408" i="6"/>
  <c r="BS407" i="6"/>
  <c r="BS406" i="6"/>
  <c r="BS405" i="6"/>
  <c r="BS404" i="6"/>
  <c r="BS403" i="6"/>
  <c r="BS402" i="6"/>
  <c r="BS401" i="6"/>
  <c r="BS400" i="6"/>
  <c r="BS399" i="6"/>
  <c r="BS398" i="6"/>
  <c r="BS397" i="6"/>
  <c r="BS396" i="6"/>
  <c r="BS395" i="6"/>
  <c r="BS394" i="6"/>
  <c r="BS393" i="6"/>
  <c r="BS392" i="6"/>
  <c r="BS391" i="6"/>
  <c r="BS390" i="6"/>
  <c r="BS389" i="6"/>
  <c r="BS388" i="6"/>
  <c r="BS387" i="6"/>
  <c r="BS386" i="6"/>
  <c r="BS385" i="6"/>
  <c r="BS384" i="6"/>
  <c r="BS383" i="6"/>
  <c r="BS382" i="6"/>
  <c r="BS381" i="6"/>
  <c r="BS380" i="6"/>
  <c r="BS379" i="6"/>
  <c r="BS378" i="6"/>
  <c r="BS377" i="6"/>
  <c r="BS376" i="6"/>
  <c r="BS375" i="6"/>
  <c r="BS374" i="6"/>
  <c r="BS373" i="6"/>
  <c r="BS372" i="6"/>
  <c r="BS371" i="6"/>
  <c r="BS370" i="6"/>
  <c r="BS369" i="6"/>
  <c r="BS368" i="6"/>
  <c r="BS367" i="6"/>
  <c r="BS366" i="6"/>
  <c r="BS365" i="6"/>
  <c r="BS364" i="6"/>
  <c r="BS363" i="6"/>
  <c r="BS362" i="6"/>
  <c r="BS361" i="6"/>
  <c r="BS360" i="6"/>
  <c r="BS359" i="6"/>
  <c r="BS358" i="6"/>
  <c r="BS357" i="6"/>
  <c r="BS356" i="6"/>
  <c r="BS355" i="6"/>
  <c r="BS354" i="6"/>
  <c r="BS353" i="6"/>
  <c r="BS352" i="6"/>
  <c r="BS351" i="6"/>
  <c r="BS350" i="6"/>
  <c r="BS349" i="6"/>
  <c r="BS348" i="6"/>
  <c r="BS347" i="6"/>
  <c r="BS346" i="6"/>
  <c r="BS345" i="6"/>
  <c r="BS344" i="6"/>
  <c r="BS343" i="6"/>
  <c r="BS342" i="6"/>
  <c r="BS341" i="6"/>
  <c r="BS340" i="6"/>
  <c r="BS339" i="6"/>
  <c r="BS338" i="6"/>
  <c r="BS337" i="6"/>
  <c r="BS336" i="6"/>
  <c r="BS335" i="6"/>
  <c r="BS334" i="6"/>
  <c r="BS333" i="6"/>
  <c r="BS332" i="6"/>
  <c r="BS331" i="6"/>
  <c r="BS330" i="6"/>
  <c r="BS329" i="6"/>
  <c r="BS328" i="6"/>
  <c r="BS327" i="6"/>
  <c r="BS326" i="6"/>
  <c r="BS325" i="6"/>
  <c r="BS324" i="6"/>
  <c r="BS323" i="6"/>
  <c r="BS322" i="6"/>
  <c r="BS321" i="6"/>
  <c r="BS320" i="6"/>
  <c r="BS319" i="6"/>
  <c r="BS318" i="6"/>
  <c r="BS317" i="6"/>
  <c r="BS316" i="6"/>
  <c r="BS315" i="6"/>
  <c r="BS314" i="6"/>
  <c r="BS313" i="6"/>
  <c r="BS312" i="6"/>
  <c r="BS311" i="6"/>
  <c r="BS310" i="6"/>
  <c r="BS309" i="6"/>
  <c r="BS308" i="6"/>
  <c r="BS307" i="6"/>
  <c r="BS306" i="6"/>
  <c r="BS305" i="6"/>
  <c r="BS304" i="6"/>
  <c r="BS303" i="6"/>
  <c r="BS302" i="6"/>
  <c r="BS301" i="6"/>
  <c r="BS300" i="6"/>
  <c r="BS299" i="6"/>
  <c r="BS298" i="6"/>
  <c r="BS297" i="6"/>
  <c r="BS296" i="6"/>
  <c r="BS295" i="6"/>
  <c r="BS294" i="6"/>
  <c r="BS293" i="6"/>
  <c r="BS292" i="6"/>
  <c r="BS291" i="6"/>
  <c r="BS290" i="6"/>
  <c r="BS289" i="6"/>
  <c r="BS288" i="6"/>
  <c r="BS287" i="6"/>
  <c r="BS286" i="6"/>
  <c r="BS285" i="6"/>
  <c r="BS284" i="6"/>
  <c r="BS283" i="6"/>
  <c r="BS282" i="6"/>
  <c r="BS281" i="6"/>
  <c r="BS280" i="6"/>
  <c r="BS279" i="6"/>
  <c r="BS278" i="6"/>
  <c r="BS277" i="6"/>
  <c r="BS276" i="6"/>
  <c r="BS275" i="6"/>
  <c r="BS274" i="6"/>
  <c r="BS273" i="6"/>
  <c r="BS272" i="6"/>
  <c r="BS271" i="6"/>
  <c r="BS270" i="6"/>
  <c r="BS269" i="6"/>
  <c r="BS268" i="6"/>
  <c r="BS267" i="6"/>
  <c r="BS266" i="6"/>
  <c r="BS265" i="6"/>
  <c r="BS264" i="6"/>
  <c r="BS263" i="6"/>
  <c r="BS262" i="6"/>
  <c r="BS261" i="6"/>
  <c r="BS260" i="6"/>
  <c r="BS259" i="6"/>
  <c r="BS258" i="6"/>
  <c r="BS257" i="6"/>
  <c r="BS256" i="6"/>
  <c r="BS255" i="6"/>
  <c r="BS254" i="6"/>
  <c r="BS253" i="6"/>
  <c r="BS252" i="6"/>
  <c r="BS251" i="6"/>
  <c r="BS250" i="6"/>
  <c r="BS249" i="6"/>
  <c r="BS248" i="6"/>
  <c r="BS247" i="6"/>
  <c r="BS246" i="6"/>
  <c r="BS245" i="6"/>
  <c r="BS244" i="6"/>
  <c r="BS243" i="6"/>
  <c r="BS242" i="6"/>
  <c r="BS241" i="6"/>
  <c r="BS240" i="6"/>
  <c r="BS239" i="6"/>
  <c r="BS238" i="6"/>
  <c r="BS237" i="6"/>
  <c r="BS236" i="6"/>
  <c r="BS235" i="6"/>
  <c r="BS234" i="6"/>
  <c r="BS233" i="6"/>
  <c r="BS232" i="6"/>
  <c r="BS231" i="6"/>
  <c r="BS230" i="6"/>
  <c r="BS229" i="6"/>
  <c r="BS228" i="6"/>
  <c r="BS227" i="6"/>
  <c r="BS226" i="6"/>
  <c r="BS225" i="6"/>
  <c r="BS224" i="6"/>
  <c r="BS223" i="6"/>
  <c r="BS222" i="6"/>
  <c r="BS221" i="6"/>
  <c r="BS220" i="6"/>
  <c r="BS219" i="6"/>
  <c r="BS218" i="6"/>
  <c r="BS217" i="6"/>
  <c r="BS216" i="6"/>
  <c r="BS215" i="6"/>
  <c r="BS214" i="6"/>
  <c r="BS213" i="6"/>
  <c r="BS212" i="6"/>
  <c r="BS211" i="6"/>
  <c r="BS210" i="6"/>
  <c r="BS209" i="6"/>
  <c r="BS208" i="6"/>
  <c r="BS207" i="6"/>
  <c r="BS206" i="6"/>
  <c r="BS205" i="6"/>
  <c r="BS204" i="6"/>
  <c r="BS203" i="6"/>
  <c r="BS202" i="6"/>
  <c r="BS201" i="6"/>
  <c r="BS200" i="6"/>
  <c r="BS199" i="6"/>
  <c r="BS198" i="6"/>
  <c r="BS197" i="6"/>
  <c r="BS196" i="6"/>
  <c r="BS195" i="6"/>
  <c r="BS194" i="6"/>
  <c r="BS193" i="6"/>
  <c r="BS192" i="6"/>
  <c r="BS191" i="6"/>
  <c r="BS190" i="6"/>
  <c r="BS189" i="6"/>
  <c r="BS188" i="6"/>
  <c r="BS187" i="6"/>
  <c r="BS186" i="6"/>
  <c r="BS185" i="6"/>
  <c r="BS184" i="6"/>
  <c r="BS183" i="6"/>
  <c r="BS182" i="6"/>
  <c r="BS181" i="6"/>
  <c r="BS180" i="6"/>
  <c r="BS179" i="6"/>
  <c r="BS178" i="6"/>
  <c r="BS177" i="6"/>
  <c r="BS176" i="6"/>
  <c r="BS175" i="6"/>
  <c r="BS174" i="6"/>
  <c r="BS173" i="6"/>
  <c r="BS172" i="6"/>
  <c r="BS171" i="6"/>
  <c r="BS170" i="6"/>
  <c r="BS169" i="6"/>
  <c r="BS168" i="6"/>
  <c r="BS167" i="6"/>
  <c r="BS166" i="6"/>
  <c r="BS165" i="6"/>
  <c r="BS164" i="6"/>
  <c r="BS163" i="6"/>
  <c r="BS162" i="6"/>
  <c r="BS161" i="6"/>
  <c r="BS160" i="6"/>
  <c r="BS159" i="6"/>
  <c r="BS158" i="6"/>
  <c r="BS157" i="6"/>
  <c r="BS156" i="6"/>
  <c r="BS155" i="6"/>
  <c r="BS154" i="6"/>
  <c r="BS153" i="6"/>
  <c r="BS152" i="6"/>
  <c r="BS151" i="6"/>
  <c r="BS150" i="6"/>
  <c r="BS149" i="6"/>
  <c r="BS148" i="6"/>
  <c r="BS147" i="6"/>
  <c r="BS146" i="6"/>
  <c r="BS145" i="6"/>
  <c r="BS144" i="6"/>
  <c r="BS143" i="6"/>
  <c r="BS142" i="6"/>
  <c r="BS141" i="6"/>
  <c r="BS140" i="6"/>
  <c r="BS139" i="6"/>
  <c r="BS138" i="6"/>
  <c r="BS137" i="6"/>
  <c r="BS136" i="6"/>
  <c r="BS135" i="6"/>
  <c r="BS134" i="6"/>
  <c r="BS133" i="6"/>
  <c r="BS132" i="6"/>
  <c r="BS131" i="6"/>
  <c r="BS130" i="6"/>
  <c r="BS129" i="6"/>
  <c r="BS128" i="6"/>
  <c r="BS127" i="6"/>
  <c r="BS126" i="6"/>
  <c r="BS125" i="6"/>
  <c r="BS124" i="6"/>
  <c r="BS123" i="6"/>
  <c r="BS122" i="6"/>
  <c r="BS121" i="6"/>
  <c r="BS120" i="6"/>
  <c r="BS119" i="6"/>
  <c r="BS118" i="6"/>
  <c r="BS117" i="6"/>
  <c r="BS116" i="6"/>
  <c r="BS115" i="6"/>
  <c r="BS114" i="6"/>
  <c r="BS113" i="6"/>
  <c r="BS112" i="6"/>
  <c r="BS111" i="6"/>
  <c r="BS110" i="6"/>
  <c r="BS109" i="6"/>
  <c r="BS108" i="6"/>
  <c r="BS107" i="6"/>
  <c r="BS106" i="6"/>
  <c r="BS105" i="6"/>
  <c r="BS104" i="6"/>
  <c r="BS103" i="6"/>
  <c r="BS102" i="6"/>
  <c r="BS101" i="6"/>
  <c r="BS100" i="6"/>
  <c r="BS99" i="6"/>
  <c r="BS98" i="6"/>
  <c r="BS97" i="6"/>
  <c r="BS96" i="6"/>
  <c r="BS95" i="6"/>
  <c r="BS94" i="6"/>
  <c r="BS93" i="6"/>
  <c r="BS92" i="6"/>
  <c r="BS91" i="6"/>
  <c r="BS90" i="6"/>
  <c r="BS89" i="6"/>
  <c r="BS88" i="6"/>
  <c r="BS87" i="6"/>
  <c r="BS86" i="6"/>
  <c r="BS85" i="6"/>
  <c r="BS84" i="6"/>
  <c r="BS83" i="6"/>
  <c r="BS82" i="6"/>
  <c r="BS81" i="6"/>
  <c r="BS80" i="6"/>
  <c r="BS79" i="6"/>
  <c r="BS78" i="6"/>
  <c r="BS77" i="6"/>
  <c r="BS76" i="6"/>
  <c r="BS75" i="6"/>
  <c r="BS74" i="6"/>
  <c r="BS73" i="6"/>
  <c r="BS72" i="6"/>
  <c r="BS71" i="6"/>
  <c r="BS70" i="6"/>
  <c r="BS69" i="6"/>
  <c r="BS68" i="6"/>
  <c r="BS67" i="6"/>
  <c r="BS66" i="6"/>
  <c r="BS65" i="6"/>
  <c r="BS64" i="6"/>
  <c r="BS63" i="6"/>
  <c r="BS62" i="6"/>
  <c r="BS61" i="6"/>
  <c r="BS60" i="6"/>
  <c r="BS59" i="6"/>
  <c r="BS58" i="6"/>
  <c r="BS57" i="6"/>
  <c r="BS56" i="6"/>
  <c r="BS55" i="6"/>
  <c r="BS54" i="6"/>
  <c r="BS53" i="6"/>
  <c r="BS52" i="6"/>
  <c r="BS51" i="6"/>
  <c r="BS50" i="6"/>
  <c r="BS49" i="6"/>
  <c r="BS48" i="6"/>
  <c r="BS47" i="6"/>
  <c r="BS46" i="6"/>
  <c r="BS45" i="6"/>
  <c r="BS44" i="6"/>
  <c r="BS43" i="6"/>
  <c r="BS42" i="6"/>
  <c r="BS41" i="6"/>
  <c r="BS40" i="6"/>
  <c r="BS39" i="6"/>
  <c r="BS38" i="6"/>
  <c r="BS37" i="6"/>
  <c r="BS36" i="6"/>
  <c r="BS35" i="6"/>
  <c r="BS34" i="6"/>
  <c r="BS33" i="6"/>
  <c r="BS32" i="6"/>
  <c r="BS31" i="6"/>
  <c r="BS30" i="6"/>
  <c r="BS29" i="6"/>
  <c r="BS28" i="6"/>
  <c r="BS27" i="6"/>
  <c r="BS26" i="6"/>
  <c r="BS25" i="6"/>
  <c r="BS24" i="6"/>
  <c r="BS23" i="6"/>
  <c r="BS22" i="6"/>
  <c r="BS21" i="6"/>
  <c r="BT15" i="6" l="1"/>
  <c r="AJ14" i="11" s="1"/>
  <c r="C14" i="1"/>
  <c r="F8" i="2"/>
  <c r="F7" i="2"/>
  <c r="H8" i="2"/>
  <c r="H7" i="2"/>
  <c r="G11" i="2" l="1"/>
  <c r="F45" i="2"/>
  <c r="F14" i="2"/>
  <c r="F16" i="2"/>
  <c r="AH22" i="11"/>
  <c r="AJ22" i="11" s="1"/>
  <c r="F44" i="2"/>
  <c r="D72" i="2" s="1"/>
  <c r="F43" i="2"/>
  <c r="J43" i="2"/>
  <c r="J71" i="2" s="1"/>
  <c r="J77" i="2"/>
  <c r="D66" i="2"/>
  <c r="F23" i="2"/>
  <c r="J22" i="2"/>
  <c r="C6" i="2"/>
  <c r="K78" i="2"/>
  <c r="K72" i="2"/>
  <c r="K66" i="2"/>
  <c r="K15" i="2"/>
  <c r="K14" i="2"/>
  <c r="D421" i="5"/>
  <c r="C421" i="5"/>
  <c r="D420" i="5"/>
  <c r="C420" i="5"/>
  <c r="D419" i="5"/>
  <c r="C419" i="5"/>
  <c r="D418" i="5"/>
  <c r="C418" i="5"/>
  <c r="D417" i="5"/>
  <c r="C417" i="5"/>
  <c r="D416" i="5"/>
  <c r="C416" i="5"/>
  <c r="D415" i="5"/>
  <c r="C415" i="5"/>
  <c r="D414" i="5"/>
  <c r="C414" i="5"/>
  <c r="D413" i="5"/>
  <c r="C413" i="5"/>
  <c r="D412" i="5"/>
  <c r="C412" i="5"/>
  <c r="D411" i="5"/>
  <c r="C411" i="5"/>
  <c r="D410" i="5"/>
  <c r="C410" i="5"/>
  <c r="D409" i="5"/>
  <c r="C409" i="5"/>
  <c r="D408" i="5"/>
  <c r="C408" i="5"/>
  <c r="D407" i="5"/>
  <c r="C407" i="5"/>
  <c r="D406" i="5"/>
  <c r="C406" i="5"/>
  <c r="D405" i="5"/>
  <c r="C405" i="5"/>
  <c r="D404" i="5"/>
  <c r="C404" i="5"/>
  <c r="D403" i="5"/>
  <c r="C403" i="5"/>
  <c r="D402" i="5"/>
  <c r="C402" i="5"/>
  <c r="D401" i="5"/>
  <c r="C401" i="5"/>
  <c r="D400" i="5"/>
  <c r="C400" i="5"/>
  <c r="D399" i="5"/>
  <c r="C399" i="5"/>
  <c r="D398" i="5"/>
  <c r="C398" i="5"/>
  <c r="D397" i="5"/>
  <c r="C397" i="5"/>
  <c r="D396" i="5"/>
  <c r="C396" i="5"/>
  <c r="D395" i="5"/>
  <c r="C395" i="5"/>
  <c r="D394" i="5"/>
  <c r="C394" i="5"/>
  <c r="D393" i="5"/>
  <c r="C393" i="5"/>
  <c r="D392" i="5"/>
  <c r="C392" i="5"/>
  <c r="D391" i="5"/>
  <c r="C391" i="5"/>
  <c r="D390" i="5"/>
  <c r="C390" i="5"/>
  <c r="D389" i="5"/>
  <c r="C389" i="5"/>
  <c r="D388" i="5"/>
  <c r="C388" i="5"/>
  <c r="D387" i="5"/>
  <c r="C387" i="5"/>
  <c r="D386" i="5"/>
  <c r="C386" i="5"/>
  <c r="D385" i="5"/>
  <c r="C385" i="5"/>
  <c r="D384" i="5"/>
  <c r="C384" i="5"/>
  <c r="D383" i="5"/>
  <c r="C383" i="5"/>
  <c r="D382" i="5"/>
  <c r="C382" i="5"/>
  <c r="D381" i="5"/>
  <c r="C381" i="5"/>
  <c r="D380" i="5"/>
  <c r="C380" i="5"/>
  <c r="D379" i="5"/>
  <c r="C379" i="5"/>
  <c r="D378" i="5"/>
  <c r="C378" i="5"/>
  <c r="D377" i="5"/>
  <c r="C377" i="5"/>
  <c r="D376" i="5"/>
  <c r="C376" i="5"/>
  <c r="D375" i="5"/>
  <c r="C375" i="5"/>
  <c r="D374" i="5"/>
  <c r="C374" i="5"/>
  <c r="D373" i="5"/>
  <c r="C373" i="5"/>
  <c r="D372" i="5"/>
  <c r="C372" i="5"/>
  <c r="D371" i="5"/>
  <c r="C371" i="5"/>
  <c r="D370" i="5"/>
  <c r="C370" i="5"/>
  <c r="D369" i="5"/>
  <c r="C369" i="5"/>
  <c r="D368" i="5"/>
  <c r="C368" i="5"/>
  <c r="D367" i="5"/>
  <c r="C367" i="5"/>
  <c r="D366" i="5"/>
  <c r="C366" i="5"/>
  <c r="D365" i="5"/>
  <c r="C365" i="5"/>
  <c r="D364" i="5"/>
  <c r="C364" i="5"/>
  <c r="D363" i="5"/>
  <c r="C363" i="5"/>
  <c r="D362" i="5"/>
  <c r="C362" i="5"/>
  <c r="D361" i="5"/>
  <c r="C361" i="5"/>
  <c r="D360" i="5"/>
  <c r="C360" i="5"/>
  <c r="D359" i="5"/>
  <c r="C359" i="5"/>
  <c r="D358" i="5"/>
  <c r="C358" i="5"/>
  <c r="D357" i="5"/>
  <c r="C357" i="5"/>
  <c r="D356" i="5"/>
  <c r="C356" i="5"/>
  <c r="D355" i="5"/>
  <c r="C355" i="5"/>
  <c r="D354" i="5"/>
  <c r="C354" i="5"/>
  <c r="D353" i="5"/>
  <c r="C353" i="5"/>
  <c r="D352" i="5"/>
  <c r="C352" i="5"/>
  <c r="D351" i="5"/>
  <c r="C351" i="5"/>
  <c r="D350" i="5"/>
  <c r="C350" i="5"/>
  <c r="D349" i="5"/>
  <c r="C349" i="5"/>
  <c r="D348" i="5"/>
  <c r="C348" i="5"/>
  <c r="D347" i="5"/>
  <c r="C347" i="5"/>
  <c r="D346" i="5"/>
  <c r="C346" i="5"/>
  <c r="D345" i="5"/>
  <c r="C345" i="5"/>
  <c r="D344" i="5"/>
  <c r="C344" i="5"/>
  <c r="D343" i="5"/>
  <c r="C343" i="5"/>
  <c r="D342" i="5"/>
  <c r="C342" i="5"/>
  <c r="D341" i="5"/>
  <c r="C341" i="5"/>
  <c r="D340" i="5"/>
  <c r="C340" i="5"/>
  <c r="D339" i="5"/>
  <c r="C339" i="5"/>
  <c r="D338" i="5"/>
  <c r="C338" i="5"/>
  <c r="D337" i="5"/>
  <c r="C337" i="5"/>
  <c r="D336" i="5"/>
  <c r="C336" i="5"/>
  <c r="D335" i="5"/>
  <c r="C335" i="5"/>
  <c r="D334" i="5"/>
  <c r="C334" i="5"/>
  <c r="D333" i="5"/>
  <c r="C333" i="5"/>
  <c r="D332" i="5"/>
  <c r="C332" i="5"/>
  <c r="D331" i="5"/>
  <c r="C331" i="5"/>
  <c r="D330" i="5"/>
  <c r="C330" i="5"/>
  <c r="D329" i="5"/>
  <c r="C329" i="5"/>
  <c r="D328" i="5"/>
  <c r="C328" i="5"/>
  <c r="D327" i="5"/>
  <c r="C327" i="5"/>
  <c r="D326" i="5"/>
  <c r="C326" i="5"/>
  <c r="D325" i="5"/>
  <c r="C325" i="5"/>
  <c r="D324" i="5"/>
  <c r="C324" i="5"/>
  <c r="D323" i="5"/>
  <c r="C323" i="5"/>
  <c r="D322" i="5"/>
  <c r="C322" i="5"/>
  <c r="D321" i="5"/>
  <c r="C321" i="5"/>
  <c r="D320" i="5"/>
  <c r="C320" i="5"/>
  <c r="D319" i="5"/>
  <c r="C319" i="5"/>
  <c r="D318" i="5"/>
  <c r="C318" i="5"/>
  <c r="D317" i="5"/>
  <c r="C317" i="5"/>
  <c r="D316" i="5"/>
  <c r="C316" i="5"/>
  <c r="D315" i="5"/>
  <c r="C315" i="5"/>
  <c r="D314" i="5"/>
  <c r="C314" i="5"/>
  <c r="D313" i="5"/>
  <c r="C313" i="5"/>
  <c r="D312" i="5"/>
  <c r="C312" i="5"/>
  <c r="D311" i="5"/>
  <c r="C311" i="5"/>
  <c r="D310" i="5"/>
  <c r="C310" i="5"/>
  <c r="D309" i="5"/>
  <c r="C309" i="5"/>
  <c r="D308" i="5"/>
  <c r="C308" i="5"/>
  <c r="D307" i="5"/>
  <c r="C307" i="5"/>
  <c r="D306" i="5"/>
  <c r="C306" i="5"/>
  <c r="D305" i="5"/>
  <c r="C305" i="5"/>
  <c r="D304" i="5"/>
  <c r="C304" i="5"/>
  <c r="D303" i="5"/>
  <c r="C303" i="5"/>
  <c r="D302" i="5"/>
  <c r="C302" i="5"/>
  <c r="D301" i="5"/>
  <c r="C301" i="5"/>
  <c r="D300" i="5"/>
  <c r="C300" i="5"/>
  <c r="D299" i="5"/>
  <c r="C299" i="5"/>
  <c r="D298" i="5"/>
  <c r="C298" i="5"/>
  <c r="D297" i="5"/>
  <c r="C297" i="5"/>
  <c r="D296" i="5"/>
  <c r="C296" i="5"/>
  <c r="D295" i="5"/>
  <c r="C295" i="5"/>
  <c r="D294" i="5"/>
  <c r="C294" i="5"/>
  <c r="D293" i="5"/>
  <c r="C293" i="5"/>
  <c r="D292" i="5"/>
  <c r="C292" i="5"/>
  <c r="D291" i="5"/>
  <c r="C291" i="5"/>
  <c r="D290" i="5"/>
  <c r="C290" i="5"/>
  <c r="D289" i="5"/>
  <c r="C289" i="5"/>
  <c r="D288" i="5"/>
  <c r="C288" i="5"/>
  <c r="D287" i="5"/>
  <c r="C287" i="5"/>
  <c r="D286" i="5"/>
  <c r="C286" i="5"/>
  <c r="D285" i="5"/>
  <c r="C285" i="5"/>
  <c r="D284" i="5"/>
  <c r="C284" i="5"/>
  <c r="D283" i="5"/>
  <c r="C283" i="5"/>
  <c r="D282" i="5"/>
  <c r="C282" i="5"/>
  <c r="D281" i="5"/>
  <c r="C281" i="5"/>
  <c r="D280" i="5"/>
  <c r="C280" i="5"/>
  <c r="D279" i="5"/>
  <c r="C279" i="5"/>
  <c r="D278" i="5"/>
  <c r="C278" i="5"/>
  <c r="D277" i="5"/>
  <c r="C277" i="5"/>
  <c r="D276" i="5"/>
  <c r="C276" i="5"/>
  <c r="D275" i="5"/>
  <c r="C275" i="5"/>
  <c r="D274" i="5"/>
  <c r="C274" i="5"/>
  <c r="D273" i="5"/>
  <c r="C273" i="5"/>
  <c r="D272" i="5"/>
  <c r="C272" i="5"/>
  <c r="D271" i="5"/>
  <c r="C271" i="5"/>
  <c r="D270" i="5"/>
  <c r="C270" i="5"/>
  <c r="D269" i="5"/>
  <c r="C269" i="5"/>
  <c r="D268" i="5"/>
  <c r="C268" i="5"/>
  <c r="D267" i="5"/>
  <c r="C267" i="5"/>
  <c r="D266" i="5"/>
  <c r="C266" i="5"/>
  <c r="D265" i="5"/>
  <c r="C265" i="5"/>
  <c r="D264" i="5"/>
  <c r="C264" i="5"/>
  <c r="D263" i="5"/>
  <c r="C263" i="5"/>
  <c r="D262" i="5"/>
  <c r="C262" i="5"/>
  <c r="D261" i="5"/>
  <c r="C261" i="5"/>
  <c r="D260" i="5"/>
  <c r="C260" i="5"/>
  <c r="D259" i="5"/>
  <c r="C259" i="5"/>
  <c r="D258" i="5"/>
  <c r="C258" i="5"/>
  <c r="D257" i="5"/>
  <c r="C257" i="5"/>
  <c r="D256" i="5"/>
  <c r="C256" i="5"/>
  <c r="D255" i="5"/>
  <c r="C255" i="5"/>
  <c r="D254" i="5"/>
  <c r="C254" i="5"/>
  <c r="D253" i="5"/>
  <c r="C253" i="5"/>
  <c r="D252" i="5"/>
  <c r="C252" i="5"/>
  <c r="D251" i="5"/>
  <c r="C251" i="5"/>
  <c r="D250" i="5"/>
  <c r="C250" i="5"/>
  <c r="D249" i="5"/>
  <c r="C249" i="5"/>
  <c r="D248" i="5"/>
  <c r="C248" i="5"/>
  <c r="D247" i="5"/>
  <c r="C247" i="5"/>
  <c r="D246" i="5"/>
  <c r="C246" i="5"/>
  <c r="D245" i="5"/>
  <c r="C245" i="5"/>
  <c r="D244" i="5"/>
  <c r="C244" i="5"/>
  <c r="D243" i="5"/>
  <c r="C243" i="5"/>
  <c r="D242" i="5"/>
  <c r="C242" i="5"/>
  <c r="D241" i="5"/>
  <c r="C241" i="5"/>
  <c r="D240" i="5"/>
  <c r="C240" i="5"/>
  <c r="D239" i="5"/>
  <c r="C239" i="5"/>
  <c r="D238" i="5"/>
  <c r="C238" i="5"/>
  <c r="D237" i="5"/>
  <c r="C237" i="5"/>
  <c r="D236" i="5"/>
  <c r="C236" i="5"/>
  <c r="D235" i="5"/>
  <c r="C235" i="5"/>
  <c r="D234" i="5"/>
  <c r="C234" i="5"/>
  <c r="D233" i="5"/>
  <c r="C233" i="5"/>
  <c r="D232" i="5"/>
  <c r="C232" i="5"/>
  <c r="D231" i="5"/>
  <c r="C231" i="5"/>
  <c r="D230" i="5"/>
  <c r="C230" i="5"/>
  <c r="D229" i="5"/>
  <c r="C229" i="5"/>
  <c r="D228" i="5"/>
  <c r="C228" i="5"/>
  <c r="D227" i="5"/>
  <c r="C227" i="5"/>
  <c r="D226" i="5"/>
  <c r="C226" i="5"/>
  <c r="D225" i="5"/>
  <c r="C225" i="5"/>
  <c r="D224" i="5"/>
  <c r="C224" i="5"/>
  <c r="D223" i="5"/>
  <c r="C223" i="5"/>
  <c r="D222" i="5"/>
  <c r="C222" i="5"/>
  <c r="D221" i="5"/>
  <c r="C221" i="5"/>
  <c r="D220" i="5"/>
  <c r="C220" i="5"/>
  <c r="D219" i="5"/>
  <c r="C219" i="5"/>
  <c r="D218" i="5"/>
  <c r="C218" i="5"/>
  <c r="D217" i="5"/>
  <c r="C217" i="5"/>
  <c r="D216" i="5"/>
  <c r="C216" i="5"/>
  <c r="D215" i="5"/>
  <c r="C215" i="5"/>
  <c r="D214" i="5"/>
  <c r="C214" i="5"/>
  <c r="D213" i="5"/>
  <c r="C213" i="5"/>
  <c r="D212" i="5"/>
  <c r="C212" i="5"/>
  <c r="D211" i="5"/>
  <c r="C211" i="5"/>
  <c r="D210" i="5"/>
  <c r="C210" i="5"/>
  <c r="D209" i="5"/>
  <c r="C209" i="5"/>
  <c r="D208" i="5"/>
  <c r="C208" i="5"/>
  <c r="D207" i="5"/>
  <c r="C207" i="5"/>
  <c r="D206" i="5"/>
  <c r="C206" i="5"/>
  <c r="D205" i="5"/>
  <c r="C205" i="5"/>
  <c r="D204" i="5"/>
  <c r="C204" i="5"/>
  <c r="D203" i="5"/>
  <c r="C203" i="5"/>
  <c r="D202" i="5"/>
  <c r="C202" i="5"/>
  <c r="D201" i="5"/>
  <c r="C201" i="5"/>
  <c r="D200" i="5"/>
  <c r="C200" i="5"/>
  <c r="D199" i="5"/>
  <c r="C199" i="5"/>
  <c r="D198" i="5"/>
  <c r="C198" i="5"/>
  <c r="D197" i="5"/>
  <c r="C197" i="5"/>
  <c r="D196" i="5"/>
  <c r="C196" i="5"/>
  <c r="D195" i="5"/>
  <c r="C195" i="5"/>
  <c r="D194" i="5"/>
  <c r="C194" i="5"/>
  <c r="D193" i="5"/>
  <c r="C193" i="5"/>
  <c r="D192" i="5"/>
  <c r="C192" i="5"/>
  <c r="D191" i="5"/>
  <c r="C191" i="5"/>
  <c r="D190" i="5"/>
  <c r="C190" i="5"/>
  <c r="D189" i="5"/>
  <c r="C189" i="5"/>
  <c r="D188" i="5"/>
  <c r="C188" i="5"/>
  <c r="D187" i="5"/>
  <c r="C187" i="5"/>
  <c r="D186" i="5"/>
  <c r="C186" i="5"/>
  <c r="D185" i="5"/>
  <c r="C185" i="5"/>
  <c r="D184" i="5"/>
  <c r="C184" i="5"/>
  <c r="D183" i="5"/>
  <c r="C183" i="5"/>
  <c r="D182" i="5"/>
  <c r="C182" i="5"/>
  <c r="D181" i="5"/>
  <c r="C181" i="5"/>
  <c r="D180" i="5"/>
  <c r="C180" i="5"/>
  <c r="D179" i="5"/>
  <c r="C179" i="5"/>
  <c r="D178" i="5"/>
  <c r="C178" i="5"/>
  <c r="D177" i="5"/>
  <c r="C177" i="5"/>
  <c r="D176" i="5"/>
  <c r="C176" i="5"/>
  <c r="D175" i="5"/>
  <c r="C175" i="5"/>
  <c r="D174" i="5"/>
  <c r="C174" i="5"/>
  <c r="D173" i="5"/>
  <c r="C173" i="5"/>
  <c r="D172" i="5"/>
  <c r="C172" i="5"/>
  <c r="D171" i="5"/>
  <c r="C171" i="5"/>
  <c r="D170" i="5"/>
  <c r="C170" i="5"/>
  <c r="D169" i="5"/>
  <c r="C169" i="5"/>
  <c r="D168" i="5"/>
  <c r="C168" i="5"/>
  <c r="D167" i="5"/>
  <c r="C167" i="5"/>
  <c r="D166" i="5"/>
  <c r="C166" i="5"/>
  <c r="D165" i="5"/>
  <c r="C165" i="5"/>
  <c r="D164" i="5"/>
  <c r="C164" i="5"/>
  <c r="D163" i="5"/>
  <c r="C163" i="5"/>
  <c r="D162" i="5"/>
  <c r="C162" i="5"/>
  <c r="D161" i="5"/>
  <c r="C161" i="5"/>
  <c r="D160" i="5"/>
  <c r="C160" i="5"/>
  <c r="D159" i="5"/>
  <c r="C159" i="5"/>
  <c r="D158" i="5"/>
  <c r="C158" i="5"/>
  <c r="D157" i="5"/>
  <c r="C157" i="5"/>
  <c r="D156" i="5"/>
  <c r="C156" i="5"/>
  <c r="D155" i="5"/>
  <c r="C155" i="5"/>
  <c r="D154" i="5"/>
  <c r="C154" i="5"/>
  <c r="D153" i="5"/>
  <c r="C153" i="5"/>
  <c r="D152" i="5"/>
  <c r="C152" i="5"/>
  <c r="D151" i="5"/>
  <c r="C151" i="5"/>
  <c r="D150" i="5"/>
  <c r="C150" i="5"/>
  <c r="D149" i="5"/>
  <c r="C149" i="5"/>
  <c r="D148" i="5"/>
  <c r="C148" i="5"/>
  <c r="D147" i="5"/>
  <c r="C147" i="5"/>
  <c r="D146" i="5"/>
  <c r="C146" i="5"/>
  <c r="D145" i="5"/>
  <c r="C145" i="5"/>
  <c r="D144" i="5"/>
  <c r="C144" i="5"/>
  <c r="D143" i="5"/>
  <c r="C143" i="5"/>
  <c r="D142" i="5"/>
  <c r="C142" i="5"/>
  <c r="D141" i="5"/>
  <c r="C141" i="5"/>
  <c r="D140" i="5"/>
  <c r="C140" i="5"/>
  <c r="D139" i="5"/>
  <c r="C139" i="5"/>
  <c r="D138" i="5"/>
  <c r="C138" i="5"/>
  <c r="D137" i="5"/>
  <c r="C137" i="5"/>
  <c r="D136" i="5"/>
  <c r="C136" i="5"/>
  <c r="D135" i="5"/>
  <c r="C135" i="5"/>
  <c r="D134" i="5"/>
  <c r="C134" i="5"/>
  <c r="D133" i="5"/>
  <c r="C133" i="5"/>
  <c r="D132" i="5"/>
  <c r="C132" i="5"/>
  <c r="D131" i="5"/>
  <c r="C131" i="5"/>
  <c r="D130" i="5"/>
  <c r="C130" i="5"/>
  <c r="D129" i="5"/>
  <c r="C129" i="5"/>
  <c r="D128" i="5"/>
  <c r="C128" i="5"/>
  <c r="D127" i="5"/>
  <c r="C127" i="5"/>
  <c r="D126" i="5"/>
  <c r="C126" i="5"/>
  <c r="D125" i="5"/>
  <c r="C125" i="5"/>
  <c r="D124" i="5"/>
  <c r="C124" i="5"/>
  <c r="D123" i="5"/>
  <c r="C123" i="5"/>
  <c r="D122" i="5"/>
  <c r="C122" i="5"/>
  <c r="D121" i="5"/>
  <c r="C121" i="5"/>
  <c r="D120" i="5"/>
  <c r="C120" i="5"/>
  <c r="D119" i="5"/>
  <c r="C119" i="5"/>
  <c r="D118" i="5"/>
  <c r="C118" i="5"/>
  <c r="D117" i="5"/>
  <c r="C117" i="5"/>
  <c r="D116" i="5"/>
  <c r="C116" i="5"/>
  <c r="D115" i="5"/>
  <c r="C115" i="5"/>
  <c r="D114" i="5"/>
  <c r="C114" i="5"/>
  <c r="D113" i="5"/>
  <c r="C113" i="5"/>
  <c r="D112" i="5"/>
  <c r="C112" i="5"/>
  <c r="D111" i="5"/>
  <c r="C111" i="5"/>
  <c r="D110" i="5"/>
  <c r="C110" i="5"/>
  <c r="D109" i="5"/>
  <c r="C109" i="5"/>
  <c r="D108" i="5"/>
  <c r="C108" i="5"/>
  <c r="D107" i="5"/>
  <c r="C107" i="5"/>
  <c r="D106" i="5"/>
  <c r="C106" i="5"/>
  <c r="D105" i="5"/>
  <c r="C105" i="5"/>
  <c r="D104" i="5"/>
  <c r="C104" i="5"/>
  <c r="D103" i="5"/>
  <c r="C103" i="5"/>
  <c r="D102" i="5"/>
  <c r="C102" i="5"/>
  <c r="D101" i="5"/>
  <c r="C101" i="5"/>
  <c r="D100" i="5"/>
  <c r="C100" i="5"/>
  <c r="D99" i="5"/>
  <c r="C99" i="5"/>
  <c r="D98" i="5"/>
  <c r="C98" i="5"/>
  <c r="D97" i="5"/>
  <c r="C97" i="5"/>
  <c r="D96" i="5"/>
  <c r="C96" i="5"/>
  <c r="D95" i="5"/>
  <c r="C95" i="5"/>
  <c r="D94" i="5"/>
  <c r="C94" i="5"/>
  <c r="D93" i="5"/>
  <c r="C93" i="5"/>
  <c r="D92" i="5"/>
  <c r="C92" i="5"/>
  <c r="D91" i="5"/>
  <c r="C91" i="5"/>
  <c r="D90" i="5"/>
  <c r="C90" i="5"/>
  <c r="D89" i="5"/>
  <c r="C89" i="5"/>
  <c r="D88" i="5"/>
  <c r="C88" i="5"/>
  <c r="D87" i="5"/>
  <c r="C87" i="5"/>
  <c r="D86" i="5"/>
  <c r="C86" i="5"/>
  <c r="D85" i="5"/>
  <c r="C85" i="5"/>
  <c r="D84" i="5"/>
  <c r="C84" i="5"/>
  <c r="D83" i="5"/>
  <c r="C83" i="5"/>
  <c r="D82" i="5"/>
  <c r="C82" i="5"/>
  <c r="D81" i="5"/>
  <c r="C81" i="5"/>
  <c r="D80" i="5"/>
  <c r="C80" i="5"/>
  <c r="D79" i="5"/>
  <c r="C79" i="5"/>
  <c r="D78" i="5"/>
  <c r="C78" i="5"/>
  <c r="D77" i="5"/>
  <c r="C77" i="5"/>
  <c r="D76" i="5"/>
  <c r="C76" i="5"/>
  <c r="D75" i="5"/>
  <c r="C75" i="5"/>
  <c r="D74" i="5"/>
  <c r="C74" i="5"/>
  <c r="D73" i="5"/>
  <c r="C73" i="5"/>
  <c r="D72" i="5"/>
  <c r="C72" i="5"/>
  <c r="D71" i="5"/>
  <c r="C71" i="5"/>
  <c r="D70" i="5"/>
  <c r="C70" i="5"/>
  <c r="D69" i="5"/>
  <c r="C69" i="5"/>
  <c r="D68" i="5"/>
  <c r="C68" i="5"/>
  <c r="D67" i="5"/>
  <c r="C67" i="5"/>
  <c r="D66" i="5"/>
  <c r="C66" i="5"/>
  <c r="D65" i="5"/>
  <c r="C65" i="5"/>
  <c r="D64" i="5"/>
  <c r="C64" i="5"/>
  <c r="D63" i="5"/>
  <c r="C63" i="5"/>
  <c r="D62" i="5"/>
  <c r="C62" i="5"/>
  <c r="D61" i="5"/>
  <c r="C61" i="5"/>
  <c r="D60" i="5"/>
  <c r="C60" i="5"/>
  <c r="D59" i="5"/>
  <c r="C59" i="5"/>
  <c r="D58" i="5"/>
  <c r="C58" i="5"/>
  <c r="D57" i="5"/>
  <c r="C57" i="5"/>
  <c r="D56" i="5"/>
  <c r="C56" i="5"/>
  <c r="D55" i="5"/>
  <c r="C55" i="5"/>
  <c r="D54" i="5"/>
  <c r="C54" i="5"/>
  <c r="D53" i="5"/>
  <c r="C53" i="5"/>
  <c r="D52" i="5"/>
  <c r="C52" i="5"/>
  <c r="D51" i="5"/>
  <c r="C51" i="5"/>
  <c r="D50" i="5"/>
  <c r="C50" i="5"/>
  <c r="D49" i="5"/>
  <c r="C49" i="5"/>
  <c r="D48" i="5"/>
  <c r="C48" i="5"/>
  <c r="D47" i="5"/>
  <c r="C47" i="5"/>
  <c r="D46" i="5"/>
  <c r="C46" i="5"/>
  <c r="D45" i="5"/>
  <c r="C45" i="5"/>
  <c r="D44" i="5"/>
  <c r="C44" i="5"/>
  <c r="D43" i="5"/>
  <c r="C43" i="5"/>
  <c r="D42" i="5"/>
  <c r="C42" i="5"/>
  <c r="D41" i="5"/>
  <c r="C41" i="5"/>
  <c r="D40" i="5"/>
  <c r="C40" i="5"/>
  <c r="D39" i="5"/>
  <c r="C39" i="5"/>
  <c r="D38" i="5"/>
  <c r="C38" i="5"/>
  <c r="D37" i="5"/>
  <c r="C37" i="5"/>
  <c r="D36" i="5"/>
  <c r="C36" i="5"/>
  <c r="D35" i="5"/>
  <c r="C35" i="5"/>
  <c r="D34" i="5"/>
  <c r="C34" i="5"/>
  <c r="D33" i="5"/>
  <c r="C33" i="5"/>
  <c r="D32" i="5"/>
  <c r="C32" i="5"/>
  <c r="D31" i="5"/>
  <c r="C31" i="5"/>
  <c r="D30" i="5"/>
  <c r="C30" i="5"/>
  <c r="D29" i="5"/>
  <c r="C29" i="5"/>
  <c r="D28" i="5"/>
  <c r="C28" i="5"/>
  <c r="D27" i="5"/>
  <c r="C27" i="5"/>
  <c r="D26" i="5"/>
  <c r="C26" i="5"/>
  <c r="D25" i="5"/>
  <c r="C25" i="5"/>
  <c r="D24" i="5"/>
  <c r="C24" i="5"/>
  <c r="D23" i="5"/>
  <c r="C23" i="5"/>
  <c r="D22" i="5"/>
  <c r="C22" i="5"/>
  <c r="D21" i="5"/>
  <c r="C21" i="5"/>
  <c r="AL20" i="4"/>
  <c r="AK20" i="4"/>
  <c r="AJ20" i="4"/>
  <c r="AI20" i="4"/>
  <c r="AH20" i="4"/>
  <c r="AK22" i="11" l="1"/>
  <c r="AL22" i="11"/>
  <c r="AH23" i="11"/>
  <c r="AJ23" i="11" s="1"/>
  <c r="AQ22" i="11"/>
  <c r="AN22" i="11"/>
  <c r="AO22" i="11"/>
  <c r="AR22" i="11"/>
  <c r="AP22" i="11"/>
  <c r="AI22" i="11"/>
  <c r="B25" i="2"/>
  <c r="F22" i="2"/>
  <c r="J64" i="2"/>
  <c r="B68" i="2" s="1"/>
  <c r="B80" i="2"/>
  <c r="B74" i="2"/>
  <c r="E120" i="5"/>
  <c r="E121" i="5"/>
  <c r="E123" i="5"/>
  <c r="E125" i="5"/>
  <c r="E127" i="5"/>
  <c r="E129" i="5"/>
  <c r="E153" i="5"/>
  <c r="E155" i="5"/>
  <c r="E157" i="5"/>
  <c r="E159" i="5"/>
  <c r="E161" i="5"/>
  <c r="E181" i="5"/>
  <c r="E183" i="5"/>
  <c r="E213" i="5"/>
  <c r="E215" i="5"/>
  <c r="E221" i="5"/>
  <c r="E223" i="5"/>
  <c r="E225" i="5"/>
  <c r="E237" i="5"/>
  <c r="E239" i="5"/>
  <c r="E241" i="5"/>
  <c r="E257" i="5"/>
  <c r="E263" i="5"/>
  <c r="E265" i="5"/>
  <c r="E269" i="5"/>
  <c r="E271" i="5"/>
  <c r="E273" i="5"/>
  <c r="E285" i="5"/>
  <c r="E287" i="5"/>
  <c r="E289" i="5"/>
  <c r="E309" i="5"/>
  <c r="E311" i="5"/>
  <c r="E317" i="5"/>
  <c r="E319" i="5"/>
  <c r="E321" i="5"/>
  <c r="E329" i="5"/>
  <c r="E333" i="5"/>
  <c r="E335" i="5"/>
  <c r="E341" i="5"/>
  <c r="E343" i="5"/>
  <c r="E349" i="5"/>
  <c r="E351" i="5"/>
  <c r="E353" i="5"/>
  <c r="E365" i="5"/>
  <c r="E367" i="5"/>
  <c r="E369" i="5"/>
  <c r="E385" i="5"/>
  <c r="E391" i="5"/>
  <c r="E393" i="5"/>
  <c r="E397" i="5"/>
  <c r="E399" i="5"/>
  <c r="E401" i="5"/>
  <c r="E413" i="5"/>
  <c r="E415" i="5"/>
  <c r="E417" i="5"/>
  <c r="E51" i="5"/>
  <c r="E53" i="5"/>
  <c r="E57" i="5"/>
  <c r="E59" i="5"/>
  <c r="E61" i="5"/>
  <c r="E67" i="5"/>
  <c r="E69" i="5"/>
  <c r="E73" i="5"/>
  <c r="E75" i="5"/>
  <c r="E77" i="5"/>
  <c r="E81" i="5"/>
  <c r="E85" i="5"/>
  <c r="E87" i="5"/>
  <c r="E101" i="5"/>
  <c r="E103" i="5"/>
  <c r="E105" i="5"/>
  <c r="E107" i="5"/>
  <c r="E109" i="5"/>
  <c r="E111" i="5"/>
  <c r="E113" i="5"/>
  <c r="E124" i="5"/>
  <c r="E128" i="5"/>
  <c r="E152" i="5"/>
  <c r="E312" i="5"/>
  <c r="E26" i="5"/>
  <c r="E34" i="5"/>
  <c r="E42" i="5"/>
  <c r="E46" i="5"/>
  <c r="E50" i="5"/>
  <c r="E58" i="5"/>
  <c r="E102" i="5"/>
  <c r="E114" i="5"/>
  <c r="E116" i="5"/>
  <c r="E336" i="5"/>
  <c r="E340" i="5"/>
  <c r="E348" i="5"/>
  <c r="E350" i="5"/>
  <c r="E360" i="5"/>
  <c r="E366" i="5"/>
  <c r="E372" i="5"/>
  <c r="E376" i="5"/>
  <c r="E380" i="5"/>
  <c r="E382" i="5"/>
  <c r="E384" i="5"/>
  <c r="E390" i="5"/>
  <c r="E400" i="5"/>
  <c r="E402" i="5"/>
  <c r="E404" i="5"/>
  <c r="E408" i="5"/>
  <c r="E410" i="5"/>
  <c r="E412" i="5"/>
  <c r="E414" i="5"/>
  <c r="E418" i="5"/>
  <c r="E420" i="5"/>
  <c r="E37" i="5"/>
  <c r="E320" i="5"/>
  <c r="E328" i="5"/>
  <c r="E207" i="5"/>
  <c r="E178" i="5"/>
  <c r="E180" i="5"/>
  <c r="E184" i="5"/>
  <c r="E206" i="5"/>
  <c r="E208" i="5"/>
  <c r="E212" i="5"/>
  <c r="E220" i="5"/>
  <c r="E222" i="5"/>
  <c r="E232" i="5"/>
  <c r="E238" i="5"/>
  <c r="E244" i="5"/>
  <c r="E248" i="5"/>
  <c r="E252" i="5"/>
  <c r="E254" i="5"/>
  <c r="E256" i="5"/>
  <c r="E262" i="5"/>
  <c r="E272" i="5"/>
  <c r="E276" i="5"/>
  <c r="E280" i="5"/>
  <c r="E284" i="5"/>
  <c r="E286" i="5"/>
  <c r="E292" i="5"/>
  <c r="E294" i="5"/>
  <c r="E296" i="5"/>
  <c r="E302" i="5"/>
  <c r="E304" i="5"/>
  <c r="E308" i="5"/>
  <c r="E45" i="5"/>
  <c r="E93" i="5"/>
  <c r="E97" i="5"/>
  <c r="E156" i="5"/>
  <c r="E251" i="5"/>
  <c r="E255" i="5"/>
  <c r="E303" i="5"/>
  <c r="E352" i="5"/>
  <c r="E356" i="5"/>
  <c r="E396" i="5"/>
  <c r="E141" i="5"/>
  <c r="E192" i="5"/>
  <c r="E200" i="5"/>
  <c r="E25" i="5"/>
  <c r="E27" i="5"/>
  <c r="E29" i="5"/>
  <c r="E35" i="5"/>
  <c r="E72" i="5"/>
  <c r="E76" i="5"/>
  <c r="E130" i="5"/>
  <c r="E132" i="5"/>
  <c r="E136" i="5"/>
  <c r="E146" i="5"/>
  <c r="E148" i="5"/>
  <c r="E150" i="5"/>
  <c r="E177" i="5"/>
  <c r="E189" i="5"/>
  <c r="E191" i="5"/>
  <c r="E193" i="5"/>
  <c r="E201" i="5"/>
  <c r="E205" i="5"/>
  <c r="E224" i="5"/>
  <c r="E228" i="5"/>
  <c r="E268" i="5"/>
  <c r="E334" i="5"/>
  <c r="E379" i="5"/>
  <c r="E383" i="5"/>
  <c r="E151" i="5"/>
  <c r="E236" i="5"/>
  <c r="E307" i="5"/>
  <c r="E24" i="5"/>
  <c r="E32" i="5"/>
  <c r="E49" i="5"/>
  <c r="E219" i="5"/>
  <c r="E288" i="5"/>
  <c r="E82" i="5"/>
  <c r="E84" i="5"/>
  <c r="E88" i="5"/>
  <c r="E99" i="5"/>
  <c r="E119" i="5"/>
  <c r="E162" i="5"/>
  <c r="E164" i="5"/>
  <c r="E166" i="5"/>
  <c r="E168" i="5"/>
  <c r="E179" i="5"/>
  <c r="E204" i="5"/>
  <c r="E332" i="5"/>
  <c r="E347" i="5"/>
  <c r="E364" i="5"/>
  <c r="E416" i="5"/>
  <c r="E40" i="5"/>
  <c r="E65" i="5"/>
  <c r="E92" i="5"/>
  <c r="E172" i="5"/>
  <c r="E187" i="5"/>
  <c r="E199" i="5"/>
  <c r="E300" i="5"/>
  <c r="E315" i="5"/>
  <c r="E327" i="5"/>
  <c r="E21" i="5"/>
  <c r="E33" i="5"/>
  <c r="E43" i="5"/>
  <c r="E56" i="5"/>
  <c r="E62" i="5"/>
  <c r="E66" i="5"/>
  <c r="E78" i="5"/>
  <c r="E83" i="5"/>
  <c r="E95" i="5"/>
  <c r="E100" i="5"/>
  <c r="E112" i="5"/>
  <c r="E131" i="5"/>
  <c r="E133" i="5"/>
  <c r="E135" i="5"/>
  <c r="E137" i="5"/>
  <c r="E139" i="5"/>
  <c r="E144" i="5"/>
  <c r="E163" i="5"/>
  <c r="E167" i="5"/>
  <c r="E169" i="5"/>
  <c r="E171" i="5"/>
  <c r="E173" i="5"/>
  <c r="E190" i="5"/>
  <c r="E196" i="5"/>
  <c r="E198" i="5"/>
  <c r="E209" i="5"/>
  <c r="E216" i="5"/>
  <c r="E231" i="5"/>
  <c r="E235" i="5"/>
  <c r="E245" i="5"/>
  <c r="E247" i="5"/>
  <c r="E260" i="5"/>
  <c r="E264" i="5"/>
  <c r="E283" i="5"/>
  <c r="E295" i="5"/>
  <c r="E297" i="5"/>
  <c r="E301" i="5"/>
  <c r="E318" i="5"/>
  <c r="E324" i="5"/>
  <c r="E326" i="5"/>
  <c r="E337" i="5"/>
  <c r="E344" i="5"/>
  <c r="E359" i="5"/>
  <c r="E363" i="5"/>
  <c r="E373" i="5"/>
  <c r="E375" i="5"/>
  <c r="E388" i="5"/>
  <c r="E392" i="5"/>
  <c r="E411" i="5"/>
  <c r="E60" i="5"/>
  <c r="E80" i="5"/>
  <c r="E160" i="5"/>
  <c r="E176" i="5"/>
  <c r="E211" i="5"/>
  <c r="E267" i="5"/>
  <c r="E339" i="5"/>
  <c r="E395" i="5"/>
  <c r="E44" i="5"/>
  <c r="E64" i="5"/>
  <c r="E243" i="5"/>
  <c r="E299" i="5"/>
  <c r="E371" i="5"/>
  <c r="E28" i="5"/>
  <c r="E30" i="5"/>
  <c r="E41" i="5"/>
  <c r="E48" i="5"/>
  <c r="E74" i="5"/>
  <c r="E104" i="5"/>
  <c r="E134" i="5"/>
  <c r="E145" i="5"/>
  <c r="E165" i="5"/>
  <c r="E188" i="5"/>
  <c r="E203" i="5"/>
  <c r="E230" i="5"/>
  <c r="E233" i="5"/>
  <c r="E240" i="5"/>
  <c r="E253" i="5"/>
  <c r="E270" i="5"/>
  <c r="E275" i="5"/>
  <c r="E277" i="5"/>
  <c r="E279" i="5"/>
  <c r="E305" i="5"/>
  <c r="E316" i="5"/>
  <c r="E331" i="5"/>
  <c r="E358" i="5"/>
  <c r="E361" i="5"/>
  <c r="E368" i="5"/>
  <c r="E381" i="5"/>
  <c r="E398" i="5"/>
  <c r="E403" i="5"/>
  <c r="E405" i="5"/>
  <c r="E407" i="5"/>
  <c r="E22" i="5"/>
  <c r="E36" i="5"/>
  <c r="E38" i="5"/>
  <c r="E52" i="5"/>
  <c r="E54" i="5"/>
  <c r="E68" i="5"/>
  <c r="E70" i="5"/>
  <c r="E86" i="5"/>
  <c r="E89" i="5"/>
  <c r="E91" i="5"/>
  <c r="E96" i="5"/>
  <c r="E98" i="5"/>
  <c r="E108" i="5"/>
  <c r="E115" i="5"/>
  <c r="E117" i="5"/>
  <c r="E140" i="5"/>
  <c r="E147" i="5"/>
  <c r="E149" i="5"/>
  <c r="E175" i="5"/>
  <c r="E185" i="5"/>
  <c r="E195" i="5"/>
  <c r="E197" i="5"/>
  <c r="E217" i="5"/>
  <c r="E227" i="5"/>
  <c r="E229" i="5"/>
  <c r="E249" i="5"/>
  <c r="E259" i="5"/>
  <c r="E261" i="5"/>
  <c r="E278" i="5"/>
  <c r="E281" i="5"/>
  <c r="E291" i="5"/>
  <c r="E293" i="5"/>
  <c r="E310" i="5"/>
  <c r="E313" i="5"/>
  <c r="E323" i="5"/>
  <c r="E325" i="5"/>
  <c r="E342" i="5"/>
  <c r="E345" i="5"/>
  <c r="E355" i="5"/>
  <c r="E357" i="5"/>
  <c r="E374" i="5"/>
  <c r="E377" i="5"/>
  <c r="E387" i="5"/>
  <c r="E389" i="5"/>
  <c r="E406" i="5"/>
  <c r="E409" i="5"/>
  <c r="E419" i="5"/>
  <c r="E421" i="5"/>
  <c r="E23" i="5"/>
  <c r="E31" i="5"/>
  <c r="E39" i="5"/>
  <c r="E47" i="5"/>
  <c r="E55" i="5"/>
  <c r="E63" i="5"/>
  <c r="E71" i="5"/>
  <c r="E79" i="5"/>
  <c r="E118" i="5"/>
  <c r="E143" i="5"/>
  <c r="E182" i="5"/>
  <c r="E214" i="5"/>
  <c r="E246" i="5"/>
  <c r="E94" i="5"/>
  <c r="E110" i="5"/>
  <c r="E126" i="5"/>
  <c r="E142" i="5"/>
  <c r="E158" i="5"/>
  <c r="E174" i="5"/>
  <c r="E186" i="5"/>
  <c r="E194" i="5"/>
  <c r="E202" i="5"/>
  <c r="E210" i="5"/>
  <c r="E218" i="5"/>
  <c r="E226" i="5"/>
  <c r="E234" i="5"/>
  <c r="E242" i="5"/>
  <c r="E250" i="5"/>
  <c r="E258" i="5"/>
  <c r="E266" i="5"/>
  <c r="E274" i="5"/>
  <c r="E282" i="5"/>
  <c r="E290" i="5"/>
  <c r="E298" i="5"/>
  <c r="E306" i="5"/>
  <c r="E314" i="5"/>
  <c r="E322" i="5"/>
  <c r="E330" i="5"/>
  <c r="E338" i="5"/>
  <c r="E346" i="5"/>
  <c r="E354" i="5"/>
  <c r="E362" i="5"/>
  <c r="E370" i="5"/>
  <c r="E378" i="5"/>
  <c r="E386" i="5"/>
  <c r="E394" i="5"/>
  <c r="E90" i="5"/>
  <c r="E106" i="5"/>
  <c r="E122" i="5"/>
  <c r="E138" i="5"/>
  <c r="E154" i="5"/>
  <c r="E170" i="5"/>
  <c r="AL23" i="11" l="1"/>
  <c r="AK23" i="11"/>
  <c r="AH24" i="11"/>
  <c r="AJ24" i="11" s="1"/>
  <c r="AN23" i="11"/>
  <c r="AQ23" i="11"/>
  <c r="AR23" i="11"/>
  <c r="AP23" i="11"/>
  <c r="AO23" i="11"/>
  <c r="AI23" i="11"/>
  <c r="AK24" i="11" l="1"/>
  <c r="AH25" i="11"/>
  <c r="AJ25" i="11" s="1"/>
  <c r="AL24" i="11"/>
  <c r="AP24" i="11"/>
  <c r="AR24" i="11"/>
  <c r="AN24" i="11"/>
  <c r="AQ24" i="11"/>
  <c r="AO24" i="11"/>
  <c r="AI24" i="11"/>
  <c r="AI11" i="4"/>
  <c r="AP253" i="4" s="1"/>
  <c r="AJ11" i="4"/>
  <c r="AQ95" i="4" s="1"/>
  <c r="AH11" i="4"/>
  <c r="AK11" i="4"/>
  <c r="AR295" i="4" s="1"/>
  <c r="AL11" i="4"/>
  <c r="AS191" i="4" s="1"/>
  <c r="AH26" i="11" l="1"/>
  <c r="AJ26" i="11" s="1"/>
  <c r="AK25" i="11"/>
  <c r="AL25" i="11"/>
  <c r="AP25" i="11"/>
  <c r="AO25" i="11"/>
  <c r="AQ25" i="11"/>
  <c r="AN25" i="11"/>
  <c r="AR25" i="11"/>
  <c r="AI25" i="11"/>
  <c r="AP28" i="4"/>
  <c r="AP22" i="4"/>
  <c r="AP21" i="4"/>
  <c r="AQ28" i="4"/>
  <c r="AQ21" i="4"/>
  <c r="AP29" i="4"/>
  <c r="AP24" i="4"/>
  <c r="AO115" i="4"/>
  <c r="AO281" i="4"/>
  <c r="AO393" i="4"/>
  <c r="AO280" i="4"/>
  <c r="AO339" i="4"/>
  <c r="AO274" i="4"/>
  <c r="AO395" i="4"/>
  <c r="AO288" i="4"/>
  <c r="AO28" i="4"/>
  <c r="AO294" i="4"/>
  <c r="AO285" i="4"/>
  <c r="AO404" i="4"/>
  <c r="AO367" i="4"/>
  <c r="AO23" i="4"/>
  <c r="AO380" i="4"/>
  <c r="AO264" i="4"/>
  <c r="AO365" i="4"/>
  <c r="AO263" i="4"/>
  <c r="AO306" i="4"/>
  <c r="AO382" i="4"/>
  <c r="AO375" i="4"/>
  <c r="AO383" i="4"/>
  <c r="AO334" i="4"/>
  <c r="AO275" i="4"/>
  <c r="AO348" i="4"/>
  <c r="AO362" i="4"/>
  <c r="AO330" i="4"/>
  <c r="AO416" i="4"/>
  <c r="AO350" i="4"/>
  <c r="AO347" i="4"/>
  <c r="AO357" i="4"/>
  <c r="AO268" i="4"/>
  <c r="AO359" i="4"/>
  <c r="AO257" i="4"/>
  <c r="AO385" i="4"/>
  <c r="AO342" i="4"/>
  <c r="AO267" i="4"/>
  <c r="AO316" i="4"/>
  <c r="AO24" i="4"/>
  <c r="AO377" i="4"/>
  <c r="AO403" i="4"/>
  <c r="AO351" i="4"/>
  <c r="AO399" i="4"/>
  <c r="AO320" i="4"/>
  <c r="AO390" i="4"/>
  <c r="AO340" i="4"/>
  <c r="AO332" i="4"/>
  <c r="AO311" i="4"/>
  <c r="AO315" i="4"/>
  <c r="AO415" i="4"/>
  <c r="AO303" i="4"/>
  <c r="AO333" i="4"/>
  <c r="AO295" i="4"/>
  <c r="AO283" i="4"/>
  <c r="AO27" i="4"/>
  <c r="AO25" i="4"/>
  <c r="AO356" i="4"/>
  <c r="AO272" i="4"/>
  <c r="AO405" i="4"/>
  <c r="AO323" i="4"/>
  <c r="AO266" i="4"/>
  <c r="AO364" i="4"/>
  <c r="AO414" i="4"/>
  <c r="AO278" i="4"/>
  <c r="AO417" i="4"/>
  <c r="AO418" i="4"/>
  <c r="AO371" i="4"/>
  <c r="AO296" i="4"/>
  <c r="AO353" i="4"/>
  <c r="AO22" i="4"/>
  <c r="AO261" i="4"/>
  <c r="AO322" i="4"/>
  <c r="AO398" i="4"/>
  <c r="AO290" i="4"/>
  <c r="AO329" i="4"/>
  <c r="AO328" i="4"/>
  <c r="AO387" i="4"/>
  <c r="AO392" i="4"/>
  <c r="AO273" i="4"/>
  <c r="AO321" i="4"/>
  <c r="AO259" i="4"/>
  <c r="AO358" i="4"/>
  <c r="AO319" i="4"/>
  <c r="AO381" i="4"/>
  <c r="AP23" i="4"/>
  <c r="AP25" i="4"/>
  <c r="AP27" i="4"/>
  <c r="AO338" i="4"/>
  <c r="AO410" i="4"/>
  <c r="AO265" i="4"/>
  <c r="AQ25" i="4"/>
  <c r="AO419" i="4"/>
  <c r="AO30" i="4"/>
  <c r="AO289" i="4"/>
  <c r="AQ27" i="4"/>
  <c r="AO346" i="4"/>
  <c r="AP26" i="4"/>
  <c r="AO310" i="4"/>
  <c r="AO326" i="4"/>
  <c r="AQ29" i="4"/>
  <c r="AO327" i="4"/>
  <c r="AO276" i="4"/>
  <c r="AO394" i="4"/>
  <c r="AO297" i="4"/>
  <c r="AO282" i="4"/>
  <c r="AO271" i="4"/>
  <c r="AO409" i="4"/>
  <c r="AP30" i="4"/>
  <c r="AO300" i="4"/>
  <c r="AO325" i="4"/>
  <c r="AO402" i="4"/>
  <c r="AO354" i="4"/>
  <c r="AO291" i="4"/>
  <c r="AO304" i="4"/>
  <c r="AO397" i="4"/>
  <c r="AO372" i="4"/>
  <c r="AO379" i="4"/>
  <c r="AO258" i="4"/>
  <c r="AO331" i="4"/>
  <c r="AO284" i="4"/>
  <c r="AO388" i="4"/>
  <c r="AQ30" i="4"/>
  <c r="AO286" i="4"/>
  <c r="AO277" i="4"/>
  <c r="AO373" i="4"/>
  <c r="AO314" i="4"/>
  <c r="AO400" i="4"/>
  <c r="AO412" i="4"/>
  <c r="AO378" i="4"/>
  <c r="AO317" i="4"/>
  <c r="AO279" i="4"/>
  <c r="AO369" i="4"/>
  <c r="AQ26" i="4"/>
  <c r="AO407" i="4"/>
  <c r="AO270" i="4"/>
  <c r="AQ23" i="4"/>
  <c r="AQ22" i="4"/>
  <c r="AO413" i="4"/>
  <c r="AO391" i="4"/>
  <c r="AO336" i="4"/>
  <c r="AO21" i="4"/>
  <c r="AO298" i="4"/>
  <c r="AO341" i="4"/>
  <c r="AO408" i="4"/>
  <c r="AO360" i="4"/>
  <c r="AO343" i="4"/>
  <c r="AO301" i="4"/>
  <c r="AO312" i="4"/>
  <c r="AO376" i="4"/>
  <c r="AO345" i="4"/>
  <c r="AO260" i="4"/>
  <c r="AO313" i="4"/>
  <c r="AO420" i="4"/>
  <c r="AO293" i="4"/>
  <c r="AO363" i="4"/>
  <c r="AO344" i="4"/>
  <c r="AO421" i="4"/>
  <c r="AO352" i="4"/>
  <c r="AO305" i="4"/>
  <c r="AO335" i="4"/>
  <c r="AO370" i="4"/>
  <c r="AO308" i="4"/>
  <c r="AO299" i="4"/>
  <c r="AO287" i="4"/>
  <c r="AO262" i="4"/>
  <c r="AO366" i="4"/>
  <c r="AO361" i="4"/>
  <c r="AO26" i="4"/>
  <c r="AO386" i="4"/>
  <c r="AO29" i="4"/>
  <c r="AO401" i="4"/>
  <c r="AO292" i="4"/>
  <c r="AO368" i="4"/>
  <c r="AO302" i="4"/>
  <c r="AO396" i="4"/>
  <c r="AO269" i="4"/>
  <c r="AO307" i="4"/>
  <c r="AO318" i="4"/>
  <c r="AQ24" i="4"/>
  <c r="AO406" i="4"/>
  <c r="AO411" i="4"/>
  <c r="AO309" i="4"/>
  <c r="AO337" i="4"/>
  <c r="AO374" i="4"/>
  <c r="AO355" i="4"/>
  <c r="AO389" i="4"/>
  <c r="AO324" i="4"/>
  <c r="AO349" i="4"/>
  <c r="AO384" i="4"/>
  <c r="AP183" i="4"/>
  <c r="AP99" i="4"/>
  <c r="AP186" i="4"/>
  <c r="AP148" i="4"/>
  <c r="AP50" i="4"/>
  <c r="AP165" i="4"/>
  <c r="AP66" i="4"/>
  <c r="AP136" i="4"/>
  <c r="AP176" i="4"/>
  <c r="AP345" i="4"/>
  <c r="AP352" i="4"/>
  <c r="AP115" i="4"/>
  <c r="AP414" i="4"/>
  <c r="AP398" i="4"/>
  <c r="AP204" i="4"/>
  <c r="AP374" i="4"/>
  <c r="AP230" i="4"/>
  <c r="AP44" i="4"/>
  <c r="AP180" i="4"/>
  <c r="AP222" i="4"/>
  <c r="AP215" i="4"/>
  <c r="AP166" i="4"/>
  <c r="AP177" i="4"/>
  <c r="AP91" i="4"/>
  <c r="AP252" i="4"/>
  <c r="AP290" i="4"/>
  <c r="AP390" i="4"/>
  <c r="AP149" i="4"/>
  <c r="AP128" i="4"/>
  <c r="AP319" i="4"/>
  <c r="AP200" i="4"/>
  <c r="AP284" i="4"/>
  <c r="AP131" i="4"/>
  <c r="AP360" i="4"/>
  <c r="AP54" i="4"/>
  <c r="AP67" i="4"/>
  <c r="AP383" i="4"/>
  <c r="AP85" i="4"/>
  <c r="AP251" i="4"/>
  <c r="AP379" i="4"/>
  <c r="AP358" i="4"/>
  <c r="AP42" i="4"/>
  <c r="AP267" i="4"/>
  <c r="AP396" i="4"/>
  <c r="AP95" i="4"/>
  <c r="AP305" i="4"/>
  <c r="AP227" i="4"/>
  <c r="AP402" i="4"/>
  <c r="AP70" i="4"/>
  <c r="AP369" i="4"/>
  <c r="AP112" i="4"/>
  <c r="AP249" i="4"/>
  <c r="AP126" i="4"/>
  <c r="AP266" i="4"/>
  <c r="AP89" i="4"/>
  <c r="AP124" i="4"/>
  <c r="AP110" i="4"/>
  <c r="AP190" i="4"/>
  <c r="AP313" i="4"/>
  <c r="AP77" i="4"/>
  <c r="AP271" i="4"/>
  <c r="AP120" i="4"/>
  <c r="AP410" i="4"/>
  <c r="AP195" i="4"/>
  <c r="AP212" i="4"/>
  <c r="AP102" i="4"/>
  <c r="AP119" i="4"/>
  <c r="AP286" i="4"/>
  <c r="AP260" i="4"/>
  <c r="AP277" i="4"/>
  <c r="AP122" i="4"/>
  <c r="AP372" i="4"/>
  <c r="AP327" i="4"/>
  <c r="AP114" i="4"/>
  <c r="AP43" i="4"/>
  <c r="AP74" i="4"/>
  <c r="AP300" i="4"/>
  <c r="AP33" i="4"/>
  <c r="AP213" i="4"/>
  <c r="AP373" i="4"/>
  <c r="AP231" i="4"/>
  <c r="AR382" i="4"/>
  <c r="AR358" i="4"/>
  <c r="AQ282" i="4"/>
  <c r="AR255" i="4"/>
  <c r="AQ104" i="4"/>
  <c r="AQ100" i="4"/>
  <c r="AP350" i="4"/>
  <c r="AP60" i="4"/>
  <c r="AP116" i="4"/>
  <c r="AP261" i="4"/>
  <c r="AP262" i="4"/>
  <c r="AR54" i="4"/>
  <c r="AP87" i="4"/>
  <c r="AP35" i="4"/>
  <c r="AP337" i="4"/>
  <c r="AP182" i="4"/>
  <c r="AR63" i="4"/>
  <c r="AP407" i="4"/>
  <c r="AP56" i="4"/>
  <c r="AP155" i="4"/>
  <c r="AP140" i="4"/>
  <c r="AP178" i="4"/>
  <c r="AP39" i="4"/>
  <c r="AP199" i="4"/>
  <c r="AP377" i="4"/>
  <c r="AP283" i="4"/>
  <c r="AP317" i="4"/>
  <c r="AP221" i="4"/>
  <c r="AP217" i="4"/>
  <c r="AP282" i="4"/>
  <c r="AP367" i="4"/>
  <c r="AP269" i="4"/>
  <c r="AP63" i="4"/>
  <c r="AP273" i="4"/>
  <c r="AP363" i="4"/>
  <c r="AP36" i="4"/>
  <c r="AQ265" i="4"/>
  <c r="AQ330" i="4"/>
  <c r="AQ326" i="4"/>
  <c r="AR115" i="4"/>
  <c r="AR33" i="4"/>
  <c r="AQ237" i="4"/>
  <c r="AQ151" i="4"/>
  <c r="AR378" i="4"/>
  <c r="AR149" i="4"/>
  <c r="AR123" i="4"/>
  <c r="AQ223" i="4"/>
  <c r="AO250" i="4"/>
  <c r="AP223" i="4"/>
  <c r="AP421" i="4"/>
  <c r="AP342" i="4"/>
  <c r="AP65" i="4"/>
  <c r="AP380" i="4"/>
  <c r="AP237" i="4"/>
  <c r="AP232" i="4"/>
  <c r="AP386" i="4"/>
  <c r="AP235" i="4"/>
  <c r="AP45" i="4"/>
  <c r="AP243" i="4"/>
  <c r="AP203" i="4"/>
  <c r="AQ403" i="4"/>
  <c r="AQ200" i="4"/>
  <c r="AO98" i="4"/>
  <c r="AO240" i="4"/>
  <c r="AQ303" i="4"/>
  <c r="AO177" i="4"/>
  <c r="AQ238" i="4"/>
  <c r="AQ34" i="4"/>
  <c r="AQ192" i="4"/>
  <c r="AO162" i="4"/>
  <c r="AQ106" i="4"/>
  <c r="AR49" i="4"/>
  <c r="AQ367" i="4"/>
  <c r="AQ215" i="4"/>
  <c r="AR353" i="4"/>
  <c r="AO124" i="4"/>
  <c r="AQ406" i="4"/>
  <c r="AR347" i="4"/>
  <c r="AR141" i="4"/>
  <c r="AO215" i="4"/>
  <c r="AQ304" i="4"/>
  <c r="AQ144" i="4"/>
  <c r="AQ209" i="4"/>
  <c r="AO168" i="4"/>
  <c r="AQ111" i="4"/>
  <c r="AQ299" i="4"/>
  <c r="AR110" i="4"/>
  <c r="AQ170" i="4"/>
  <c r="AQ173" i="4"/>
  <c r="AQ332" i="4"/>
  <c r="AO166" i="4"/>
  <c r="AO207" i="4"/>
  <c r="AO36" i="4"/>
  <c r="AO48" i="4"/>
  <c r="AR218" i="4"/>
  <c r="AQ254" i="4"/>
  <c r="AQ268" i="4"/>
  <c r="AO154" i="4"/>
  <c r="AQ338" i="4"/>
  <c r="AQ350" i="4"/>
  <c r="AR351" i="4"/>
  <c r="AR47" i="4"/>
  <c r="AR292" i="4"/>
  <c r="AR188" i="4"/>
  <c r="AR154" i="4"/>
  <c r="AR238" i="4"/>
  <c r="AR202" i="4"/>
  <c r="AR204" i="4"/>
  <c r="AR344" i="4"/>
  <c r="AR270" i="4"/>
  <c r="AR156" i="4"/>
  <c r="AR418" i="4"/>
  <c r="AR214" i="4"/>
  <c r="AR396" i="4"/>
  <c r="AR160" i="4"/>
  <c r="AR365" i="4"/>
  <c r="AR211" i="4"/>
  <c r="AR113" i="4"/>
  <c r="AR107" i="4"/>
  <c r="AR137" i="4"/>
  <c r="AR165" i="4"/>
  <c r="AR269" i="4"/>
  <c r="AQ252" i="4"/>
  <c r="AQ291" i="4"/>
  <c r="AQ191" i="4"/>
  <c r="AQ321" i="4"/>
  <c r="AQ88" i="4"/>
  <c r="AQ251" i="4"/>
  <c r="AQ113" i="4"/>
  <c r="AQ378" i="4"/>
  <c r="AQ232" i="4"/>
  <c r="AQ51" i="4"/>
  <c r="AQ87" i="4"/>
  <c r="AQ46" i="4"/>
  <c r="AQ217" i="4"/>
  <c r="AQ221" i="4"/>
  <c r="AQ283" i="4"/>
  <c r="AQ139" i="4"/>
  <c r="AQ72" i="4"/>
  <c r="AQ362" i="4"/>
  <c r="AQ222" i="4"/>
  <c r="AQ419" i="4"/>
  <c r="AQ228" i="4"/>
  <c r="AQ115" i="4"/>
  <c r="AQ341" i="4"/>
  <c r="AQ273" i="4"/>
  <c r="AP55" i="4"/>
  <c r="AP331" i="4"/>
  <c r="AO52" i="4"/>
  <c r="AP163" i="4"/>
  <c r="AP264" i="4"/>
  <c r="AO132" i="4"/>
  <c r="AP244" i="4"/>
  <c r="AP419" i="4"/>
  <c r="AO230" i="4"/>
  <c r="AO141" i="4"/>
  <c r="AP151" i="4"/>
  <c r="AP247" i="4"/>
  <c r="AP382" i="4"/>
  <c r="AP256" i="4"/>
  <c r="AP280" i="4"/>
  <c r="AP240" i="4"/>
  <c r="AP68" i="4"/>
  <c r="AP40" i="4"/>
  <c r="AP326" i="4"/>
  <c r="AP108" i="4"/>
  <c r="AP293" i="4"/>
  <c r="AP245" i="4"/>
  <c r="AP392" i="4"/>
  <c r="AP365" i="4"/>
  <c r="AP46" i="4"/>
  <c r="AP135" i="4"/>
  <c r="AP404" i="4"/>
  <c r="AP310" i="4"/>
  <c r="AP48" i="4"/>
  <c r="AP314" i="4"/>
  <c r="AP311" i="4"/>
  <c r="AP175" i="4"/>
  <c r="AP192" i="4"/>
  <c r="AP381" i="4"/>
  <c r="AP265" i="4"/>
  <c r="AP49" i="4"/>
  <c r="AP255" i="4"/>
  <c r="AP351" i="4"/>
  <c r="AP409" i="4"/>
  <c r="AP109" i="4"/>
  <c r="AP289" i="4"/>
  <c r="AP275" i="4"/>
  <c r="AP418" i="4"/>
  <c r="AP281" i="4"/>
  <c r="AP218" i="4"/>
  <c r="AP171" i="4"/>
  <c r="AP356" i="4"/>
  <c r="AP220" i="4"/>
  <c r="AP306" i="4"/>
  <c r="AP315" i="4"/>
  <c r="AR28" i="4"/>
  <c r="AR404" i="4"/>
  <c r="AQ295" i="4"/>
  <c r="AP52" i="4"/>
  <c r="AP164" i="4"/>
  <c r="AP329" i="4"/>
  <c r="AP80" i="4"/>
  <c r="AP209" i="4"/>
  <c r="AP411" i="4"/>
  <c r="AP303" i="4"/>
  <c r="AP226" i="4"/>
  <c r="AR286" i="4"/>
  <c r="AR216" i="4"/>
  <c r="AR229" i="4"/>
  <c r="AP78" i="4"/>
  <c r="AP144" i="4"/>
  <c r="AR187" i="4"/>
  <c r="AP297" i="4"/>
  <c r="AP375" i="4"/>
  <c r="AR101" i="4"/>
  <c r="AP309" i="4"/>
  <c r="AP263" i="4"/>
  <c r="AR155" i="4"/>
  <c r="AR75" i="4"/>
  <c r="AP34" i="4"/>
  <c r="AO61" i="4"/>
  <c r="AO139" i="4"/>
  <c r="AO87" i="4"/>
  <c r="AO78" i="4"/>
  <c r="AO243" i="4"/>
  <c r="AO160" i="4"/>
  <c r="AO108" i="4"/>
  <c r="AO40" i="4"/>
  <c r="AO68" i="4"/>
  <c r="AO159" i="4"/>
  <c r="AO51" i="4"/>
  <c r="AO55" i="4"/>
  <c r="AO245" i="4"/>
  <c r="AO220" i="4"/>
  <c r="AO92" i="4"/>
  <c r="AO174" i="4"/>
  <c r="AO59" i="4"/>
  <c r="AO161" i="4"/>
  <c r="AO196" i="4"/>
  <c r="AO39" i="4"/>
  <c r="AO111" i="4"/>
  <c r="AO95" i="4"/>
  <c r="AO182" i="4"/>
  <c r="AO247" i="4"/>
  <c r="AO46" i="4"/>
  <c r="AO73" i="4"/>
  <c r="AO179" i="4"/>
  <c r="AO34" i="4"/>
  <c r="AO171" i="4"/>
  <c r="AO187" i="4"/>
  <c r="AO186" i="4"/>
  <c r="AO144" i="4"/>
  <c r="AO106" i="4"/>
  <c r="AO214" i="4"/>
  <c r="AO189" i="4"/>
  <c r="AO223" i="4"/>
  <c r="AO75" i="4"/>
  <c r="AO42" i="4"/>
  <c r="AO221" i="4"/>
  <c r="AO238" i="4"/>
  <c r="AR196" i="4"/>
  <c r="AR414" i="4"/>
  <c r="AR36" i="4"/>
  <c r="AR291" i="4"/>
  <c r="AR306" i="4"/>
  <c r="AR97" i="4"/>
  <c r="AR230" i="4"/>
  <c r="AR348" i="4"/>
  <c r="AR384" i="4"/>
  <c r="AR296" i="4"/>
  <c r="AR203" i="4"/>
  <c r="AR90" i="4"/>
  <c r="AR249" i="4"/>
  <c r="AR283" i="4"/>
  <c r="AR31" i="4"/>
  <c r="AR95" i="4"/>
  <c r="AR120" i="4"/>
  <c r="AR330" i="4"/>
  <c r="AR237" i="4"/>
  <c r="AR284" i="4"/>
  <c r="AR264" i="4"/>
  <c r="AR297" i="4"/>
  <c r="AR217" i="4"/>
  <c r="AR341" i="4"/>
  <c r="AR224" i="4"/>
  <c r="AR338" i="4"/>
  <c r="AR289" i="4"/>
  <c r="AR234" i="4"/>
  <c r="AR293" i="4"/>
  <c r="AR37" i="4"/>
  <c r="AR186" i="4"/>
  <c r="AR277" i="4"/>
  <c r="AR127" i="4"/>
  <c r="AR395" i="4"/>
  <c r="AR34" i="4"/>
  <c r="AR126" i="4"/>
  <c r="AR400" i="4"/>
  <c r="AR124" i="4"/>
  <c r="AR77" i="4"/>
  <c r="AR273" i="4"/>
  <c r="AR99" i="4"/>
  <c r="AR280" i="4"/>
  <c r="AR369" i="4"/>
  <c r="AR248" i="4"/>
  <c r="AR70" i="4"/>
  <c r="AR22" i="4"/>
  <c r="AR114" i="4"/>
  <c r="AR409" i="4"/>
  <c r="AR287" i="4"/>
  <c r="AR65" i="4"/>
  <c r="AR410" i="4"/>
  <c r="AR339" i="4"/>
  <c r="AR143" i="4"/>
  <c r="AR71" i="4"/>
  <c r="AO57" i="4"/>
  <c r="AR290" i="4"/>
  <c r="AO119" i="4"/>
  <c r="AO120" i="4"/>
  <c r="AO203" i="4"/>
  <c r="AO218" i="4"/>
  <c r="AO251" i="4"/>
  <c r="AR119" i="4"/>
  <c r="AQ207" i="4"/>
  <c r="AQ418" i="4"/>
  <c r="AQ74" i="4"/>
  <c r="AQ311" i="4"/>
  <c r="AQ269" i="4"/>
  <c r="AQ69" i="4"/>
  <c r="AQ296" i="4"/>
  <c r="AQ36" i="4"/>
  <c r="AQ319" i="4"/>
  <c r="AQ302" i="4"/>
  <c r="AQ83" i="4"/>
  <c r="AQ162" i="4"/>
  <c r="AQ184" i="4"/>
  <c r="AQ359" i="4"/>
  <c r="AQ342" i="4"/>
  <c r="AQ257" i="4"/>
  <c r="AQ417" i="4"/>
  <c r="AQ411" i="4"/>
  <c r="AQ270" i="4"/>
  <c r="AQ77" i="4"/>
  <c r="AQ45" i="4"/>
  <c r="AQ235" i="4"/>
  <c r="AQ171" i="4"/>
  <c r="AQ107" i="4"/>
  <c r="AQ80" i="4"/>
  <c r="AQ189" i="4"/>
  <c r="AQ329" i="4"/>
  <c r="AQ101" i="4"/>
  <c r="AQ187" i="4"/>
  <c r="AQ293" i="4"/>
  <c r="AQ227" i="4"/>
  <c r="AQ52" i="4"/>
  <c r="AQ391" i="4"/>
  <c r="AQ248" i="4"/>
  <c r="AQ43" i="4"/>
  <c r="AQ135" i="4"/>
  <c r="AQ70" i="4"/>
  <c r="AQ161" i="4"/>
  <c r="AQ375" i="4"/>
  <c r="AQ364" i="4"/>
  <c r="AQ110" i="4"/>
  <c r="AQ344" i="4"/>
  <c r="AQ316" i="4"/>
  <c r="AQ92" i="4"/>
  <c r="AQ122" i="4"/>
  <c r="AQ148" i="4"/>
  <c r="AQ383" i="4"/>
  <c r="AQ259" i="4"/>
  <c r="AQ199" i="4"/>
  <c r="AQ290" i="4"/>
  <c r="AQ343" i="4"/>
  <c r="AQ331" i="4"/>
  <c r="AQ61" i="4"/>
  <c r="AQ314" i="4"/>
  <c r="AQ203" i="4"/>
  <c r="AQ274" i="4"/>
  <c r="AQ56" i="4"/>
  <c r="AQ149" i="4"/>
  <c r="AQ397" i="4"/>
  <c r="AQ315" i="4"/>
  <c r="AQ63" i="4"/>
  <c r="AQ301" i="4"/>
  <c r="AQ102" i="4"/>
  <c r="AQ262" i="4"/>
  <c r="AQ49" i="4"/>
  <c r="AQ179" i="4"/>
  <c r="AQ202" i="4"/>
  <c r="AQ394" i="4"/>
  <c r="AQ410" i="4"/>
  <c r="AQ348" i="4"/>
  <c r="AQ90" i="4"/>
  <c r="AQ386" i="4"/>
  <c r="AQ389" i="4"/>
  <c r="AQ346" i="4"/>
  <c r="AQ312" i="4"/>
  <c r="AQ167" i="4"/>
  <c r="AQ157" i="4"/>
  <c r="AQ226" i="4"/>
  <c r="AQ393" i="4"/>
  <c r="AQ317" i="4"/>
  <c r="AQ357" i="4"/>
  <c r="AQ286" i="4"/>
  <c r="AQ168" i="4"/>
  <c r="AQ67" i="4"/>
  <c r="AQ247" i="4"/>
  <c r="AQ183" i="4"/>
  <c r="AQ119" i="4"/>
  <c r="AQ62" i="4"/>
  <c r="AQ230" i="4"/>
  <c r="AQ399" i="4"/>
  <c r="AQ387" i="4"/>
  <c r="AQ300" i="4"/>
  <c r="AQ175" i="4"/>
  <c r="AQ93" i="4"/>
  <c r="AQ210" i="4"/>
  <c r="AQ166" i="4"/>
  <c r="AQ347" i="4"/>
  <c r="AQ376" i="4"/>
  <c r="AQ205" i="4"/>
  <c r="AQ339" i="4"/>
  <c r="AQ377" i="4"/>
  <c r="AQ334" i="4"/>
  <c r="AQ310" i="4"/>
  <c r="AQ41" i="4"/>
  <c r="AQ413" i="4"/>
  <c r="AQ415" i="4"/>
  <c r="AQ190" i="4"/>
  <c r="AQ224" i="4"/>
  <c r="AQ412" i="4"/>
  <c r="AQ220" i="4"/>
  <c r="AQ420" i="4"/>
  <c r="AQ99" i="4"/>
  <c r="AQ225" i="4"/>
  <c r="AQ239" i="4"/>
  <c r="AQ353" i="4"/>
  <c r="AQ366" i="4"/>
  <c r="AQ335" i="4"/>
  <c r="AQ164" i="4"/>
  <c r="AQ65" i="4"/>
  <c r="AQ328" i="4"/>
  <c r="AQ243" i="4"/>
  <c r="AQ147" i="4"/>
  <c r="AQ138" i="4"/>
  <c r="AQ414" i="4"/>
  <c r="AQ253" i="4"/>
  <c r="AQ373" i="4"/>
  <c r="AQ229" i="4"/>
  <c r="AQ323" i="4"/>
  <c r="AQ216" i="4"/>
  <c r="AQ59" i="4"/>
  <c r="AQ96" i="4"/>
  <c r="AQ143" i="4"/>
  <c r="AQ320" i="4"/>
  <c r="AQ384" i="4"/>
  <c r="AQ313" i="4"/>
  <c r="AQ307" i="4"/>
  <c r="AQ35" i="4"/>
  <c r="AQ109" i="4"/>
  <c r="AQ213" i="4"/>
  <c r="AQ356" i="4"/>
  <c r="AQ408" i="4"/>
  <c r="AQ214" i="4"/>
  <c r="AQ298" i="4"/>
  <c r="AQ66" i="4"/>
  <c r="AQ64" i="4"/>
  <c r="AQ53" i="4"/>
  <c r="AQ155" i="4"/>
  <c r="AQ404" i="4"/>
  <c r="AQ75" i="4"/>
  <c r="AQ71" i="4"/>
  <c r="AQ156" i="4"/>
  <c r="AQ154" i="4"/>
  <c r="AQ208" i="4"/>
  <c r="AQ31" i="4"/>
  <c r="AQ58" i="4"/>
  <c r="AQ114" i="4"/>
  <c r="AQ284" i="4"/>
  <c r="AQ132" i="4"/>
  <c r="AQ33" i="4"/>
  <c r="AQ211" i="4"/>
  <c r="AQ60" i="4"/>
  <c r="AQ333" i="4"/>
  <c r="AQ285" i="4"/>
  <c r="AQ152" i="4"/>
  <c r="AQ231" i="4"/>
  <c r="AQ103" i="4"/>
  <c r="AQ38" i="4"/>
  <c r="AQ50" i="4"/>
  <c r="AQ401" i="4"/>
  <c r="AQ98" i="4"/>
  <c r="AR386" i="4"/>
  <c r="AR23" i="4"/>
  <c r="AR168" i="4"/>
  <c r="AR374" i="4"/>
  <c r="AR402" i="4"/>
  <c r="AR250" i="4"/>
  <c r="AR89" i="4"/>
  <c r="AR346" i="4"/>
  <c r="AR30" i="4"/>
  <c r="AR303" i="4"/>
  <c r="AR73" i="4"/>
  <c r="AR305" i="4"/>
  <c r="AR106" i="4"/>
  <c r="AR372" i="4"/>
  <c r="AR256" i="4"/>
  <c r="AR309" i="4"/>
  <c r="AR167" i="4"/>
  <c r="AR125" i="4"/>
  <c r="AR157" i="4"/>
  <c r="AR67" i="4"/>
  <c r="AR417" i="4"/>
  <c r="AR40" i="4"/>
  <c r="AR360" i="4"/>
  <c r="AR100" i="4"/>
  <c r="AR334" i="4"/>
  <c r="AR53" i="4"/>
  <c r="AR407" i="4"/>
  <c r="AR83" i="4"/>
  <c r="AR66" i="4"/>
  <c r="AR79" i="4"/>
  <c r="AR135" i="4"/>
  <c r="AR74" i="4"/>
  <c r="AR240" i="4"/>
  <c r="AR32" i="4"/>
  <c r="AR163" i="4"/>
  <c r="AR25" i="4"/>
  <c r="AR302" i="4"/>
  <c r="AR136" i="4"/>
  <c r="AR355" i="4"/>
  <c r="AR371" i="4"/>
  <c r="AR222" i="4"/>
  <c r="AP157" i="4"/>
  <c r="AP384" i="4"/>
  <c r="AP229" i="4"/>
  <c r="AP259" i="4"/>
  <c r="AP312" i="4"/>
  <c r="AP288" i="4"/>
  <c r="AP412" i="4"/>
  <c r="AP397" i="4"/>
  <c r="AP207" i="4"/>
  <c r="AP73" i="4"/>
  <c r="AP316" i="4"/>
  <c r="AP340" i="4"/>
  <c r="AP208" i="4"/>
  <c r="AP321" i="4"/>
  <c r="AP97" i="4"/>
  <c r="AP103" i="4"/>
  <c r="AP196" i="4"/>
  <c r="AP179" i="4"/>
  <c r="AP118" i="4"/>
  <c r="AP274" i="4"/>
  <c r="AP90" i="4"/>
  <c r="AP336" i="4"/>
  <c r="AP238" i="4"/>
  <c r="AP349" i="4"/>
  <c r="AP318" i="4"/>
  <c r="AP31" i="4"/>
  <c r="AP159" i="4"/>
  <c r="AP246" i="4"/>
  <c r="AP307" i="4"/>
  <c r="AP104" i="4"/>
  <c r="AP330" i="4"/>
  <c r="AP415" i="4"/>
  <c r="AP173" i="4"/>
  <c r="AP224" i="4"/>
  <c r="AP400" i="4"/>
  <c r="AP69" i="4"/>
  <c r="AP323" i="4"/>
  <c r="AP216" i="4"/>
  <c r="AP161" i="4"/>
  <c r="AP47" i="4"/>
  <c r="AP123" i="4"/>
  <c r="AP388" i="4"/>
  <c r="AP343" i="4"/>
  <c r="AP139" i="4"/>
  <c r="AP64" i="4"/>
  <c r="AP225" i="4"/>
  <c r="AP304" i="4"/>
  <c r="AP361" i="4"/>
  <c r="AP228" i="4"/>
  <c r="AP100" i="4"/>
  <c r="AP328" i="4"/>
  <c r="AP211" i="4"/>
  <c r="AP138" i="4"/>
  <c r="AP71" i="4"/>
  <c r="AP347" i="4"/>
  <c r="AP61" i="4"/>
  <c r="AP333" i="4"/>
  <c r="AR80" i="4"/>
  <c r="AP298" i="4"/>
  <c r="AR96" i="4"/>
  <c r="AP341" i="4"/>
  <c r="AP394" i="4"/>
  <c r="AP162" i="4"/>
  <c r="AP234" i="4"/>
  <c r="AP83" i="4"/>
  <c r="AR179" i="4"/>
  <c r="AR243" i="4"/>
  <c r="AP84" i="4"/>
  <c r="AR164" i="4"/>
  <c r="AR228" i="4"/>
  <c r="AP302" i="4"/>
  <c r="AP364" i="4"/>
  <c r="AR388" i="4"/>
  <c r="AP38" i="4"/>
  <c r="AP354" i="4"/>
  <c r="AP366" i="4"/>
  <c r="AP51" i="4"/>
  <c r="AP346" i="4"/>
  <c r="AP353" i="4"/>
  <c r="AP389" i="4"/>
  <c r="AR398" i="4"/>
  <c r="AP125" i="4"/>
  <c r="AR159" i="4"/>
  <c r="AR321" i="4"/>
  <c r="AR318" i="4"/>
  <c r="AR310" i="4"/>
  <c r="AP285" i="4"/>
  <c r="AP98" i="4"/>
  <c r="AP72" i="4"/>
  <c r="AP250" i="4"/>
  <c r="AR139" i="4"/>
  <c r="AR235" i="4"/>
  <c r="AP296" i="4"/>
  <c r="AR45" i="4"/>
  <c r="AP172" i="4"/>
  <c r="AP236" i="4"/>
  <c r="AR316" i="4"/>
  <c r="AP348" i="4"/>
  <c r="AP401" i="4"/>
  <c r="AP101" i="4"/>
  <c r="AP338" i="4"/>
  <c r="AP191" i="4"/>
  <c r="AR192" i="4"/>
  <c r="AR380" i="4"/>
  <c r="AR161" i="4"/>
  <c r="AP62" i="4"/>
  <c r="AR354" i="4"/>
  <c r="AP75" i="4"/>
  <c r="AR232" i="4"/>
  <c r="AR166" i="4"/>
  <c r="AP189" i="4"/>
  <c r="AR98" i="4"/>
  <c r="AP420" i="4"/>
  <c r="AR251" i="4"/>
  <c r="AR21" i="4"/>
  <c r="AP188" i="4"/>
  <c r="AP210" i="4"/>
  <c r="AP93" i="4"/>
  <c r="AP111" i="4"/>
  <c r="AR298" i="4"/>
  <c r="AP368" i="4"/>
  <c r="AP408" i="4"/>
  <c r="AR328" i="4"/>
  <c r="AR212" i="4"/>
  <c r="AP287" i="4"/>
  <c r="AR364" i="4"/>
  <c r="AP385" i="4"/>
  <c r="AR43" i="4"/>
  <c r="AP168" i="4"/>
  <c r="AP332" i="4"/>
  <c r="AR361" i="4"/>
  <c r="AP113" i="4"/>
  <c r="AR189" i="4"/>
  <c r="AP239" i="4"/>
  <c r="AR225" i="4"/>
  <c r="AP107" i="4"/>
  <c r="AR279" i="4"/>
  <c r="AP79" i="4"/>
  <c r="AP202" i="4"/>
  <c r="AR227" i="4"/>
  <c r="AR116" i="4"/>
  <c r="AR315" i="4"/>
  <c r="AP154" i="4"/>
  <c r="AP156" i="4"/>
  <c r="AP170" i="4"/>
  <c r="AR343" i="4"/>
  <c r="AP393" i="4"/>
  <c r="AP141" i="4"/>
  <c r="AR246" i="4"/>
  <c r="AP355" i="4"/>
  <c r="AR111" i="4"/>
  <c r="AP362" i="4"/>
  <c r="AO89" i="4"/>
  <c r="AO103" i="4"/>
  <c r="AO149" i="4"/>
  <c r="AO102" i="4"/>
  <c r="AO184" i="4"/>
  <c r="AO85" i="4"/>
  <c r="AO99" i="4"/>
  <c r="AO254" i="4"/>
  <c r="AO114" i="4"/>
  <c r="AO35" i="4"/>
  <c r="AO56" i="4"/>
  <c r="AO155" i="4"/>
  <c r="AS210" i="4"/>
  <c r="AS338" i="4"/>
  <c r="AS96" i="4"/>
  <c r="AS331" i="4"/>
  <c r="AS131" i="4"/>
  <c r="AS41" i="4"/>
  <c r="AS73" i="4"/>
  <c r="AS302" i="4"/>
  <c r="AS165" i="4"/>
  <c r="AS222" i="4"/>
  <c r="AS120" i="4"/>
  <c r="AS216" i="4"/>
  <c r="AS268" i="4"/>
  <c r="AS376" i="4"/>
  <c r="AS182" i="4"/>
  <c r="AS189" i="4"/>
  <c r="AS207" i="4"/>
  <c r="AS47" i="4"/>
  <c r="AS362" i="4"/>
  <c r="AS373" i="4"/>
  <c r="AS155" i="4"/>
  <c r="AS398" i="4"/>
  <c r="AS107" i="4"/>
  <c r="AS270" i="4"/>
  <c r="AS110" i="4"/>
  <c r="AS52" i="4"/>
  <c r="AS265" i="4"/>
  <c r="AS116" i="4"/>
  <c r="AS419" i="4"/>
  <c r="AS388" i="4"/>
  <c r="AS114" i="4"/>
  <c r="AS70" i="4"/>
  <c r="AS35" i="4"/>
  <c r="AS346" i="4"/>
  <c r="AS240" i="4"/>
  <c r="AS149" i="4"/>
  <c r="AS313" i="4"/>
  <c r="AS48" i="4"/>
  <c r="AS414" i="4"/>
  <c r="AS282" i="4"/>
  <c r="AS65" i="4"/>
  <c r="AS269" i="4"/>
  <c r="AS232" i="4"/>
  <c r="AS347" i="4"/>
  <c r="AS44" i="4"/>
  <c r="AS196" i="4"/>
  <c r="AS197" i="4"/>
  <c r="AS237" i="4"/>
  <c r="AS199" i="4"/>
  <c r="AS166" i="4"/>
  <c r="AS253" i="4"/>
  <c r="AS333" i="4"/>
  <c r="AS344" i="4"/>
  <c r="AS83" i="4"/>
  <c r="AS227" i="4"/>
  <c r="AS343" i="4"/>
  <c r="AS375" i="4"/>
  <c r="AS102" i="4"/>
  <c r="AS22" i="4"/>
  <c r="AS301" i="4"/>
  <c r="AS289" i="4"/>
  <c r="AS88" i="4"/>
  <c r="AS184" i="4"/>
  <c r="AS259" i="4"/>
  <c r="AS323" i="4"/>
  <c r="AS377" i="4"/>
  <c r="AS246" i="4"/>
  <c r="AS58" i="4"/>
  <c r="AS127" i="4"/>
  <c r="AS397" i="4"/>
  <c r="AS85" i="4"/>
  <c r="AS374" i="4"/>
  <c r="AS123" i="4"/>
  <c r="AS21" i="4"/>
  <c r="AS53" i="4"/>
  <c r="AS339" i="4"/>
  <c r="AS245" i="4"/>
  <c r="AS412" i="4"/>
  <c r="AS257" i="4"/>
  <c r="AS275" i="4"/>
  <c r="AS326" i="4"/>
  <c r="AS203" i="4"/>
  <c r="AS314" i="4"/>
  <c r="AS137" i="4"/>
  <c r="AS93" i="4"/>
  <c r="AS175" i="4"/>
  <c r="AS365" i="4"/>
  <c r="AS28" i="4"/>
  <c r="AS408" i="4"/>
  <c r="AS356" i="4"/>
  <c r="AS84" i="4"/>
  <c r="AS180" i="4"/>
  <c r="AS325" i="4"/>
  <c r="AS402" i="4"/>
  <c r="AS190" i="4"/>
  <c r="AS183" i="4"/>
  <c r="AS395" i="4"/>
  <c r="AS413" i="4"/>
  <c r="AS113" i="4"/>
  <c r="AS176" i="4"/>
  <c r="AS36" i="4"/>
  <c r="AS285" i="4"/>
  <c r="AS32" i="4"/>
  <c r="AS90" i="4"/>
  <c r="AS218" i="4"/>
  <c r="AO129" i="4"/>
  <c r="AO193" i="4"/>
  <c r="AO130" i="4"/>
  <c r="AO117" i="4"/>
  <c r="AO134" i="4"/>
  <c r="AO133" i="4"/>
  <c r="AO105" i="4"/>
  <c r="AO233" i="4"/>
  <c r="AO158" i="4"/>
  <c r="AO121" i="4"/>
  <c r="AO206" i="4"/>
  <c r="AO150" i="4"/>
  <c r="AO81" i="4"/>
  <c r="AO146" i="4"/>
  <c r="AO198" i="4"/>
  <c r="AO145" i="4"/>
  <c r="AO242" i="4"/>
  <c r="AO194" i="4"/>
  <c r="AO185" i="4"/>
  <c r="AO241" i="4"/>
  <c r="AO86" i="4"/>
  <c r="AO94" i="4"/>
  <c r="AO201" i="4"/>
  <c r="AO169" i="4"/>
  <c r="AO82" i="4"/>
  <c r="AO181" i="4"/>
  <c r="AO142" i="4"/>
  <c r="AO31" i="4"/>
  <c r="AO97" i="4"/>
  <c r="AO118" i="4"/>
  <c r="AO143" i="4"/>
  <c r="AO50" i="4"/>
  <c r="AO77" i="4"/>
  <c r="AO136" i="4"/>
  <c r="AO167" i="4"/>
  <c r="AO126" i="4"/>
  <c r="AO33" i="4"/>
  <c r="AO192" i="4"/>
  <c r="AO79" i="4"/>
  <c r="AO200" i="4"/>
  <c r="AO104" i="4"/>
  <c r="AO135" i="4"/>
  <c r="AO54" i="4"/>
  <c r="AO226" i="4"/>
  <c r="AO252" i="4"/>
  <c r="AO45" i="4"/>
  <c r="AO91" i="4"/>
  <c r="AO195" i="4"/>
  <c r="AO131" i="4"/>
  <c r="AO235" i="4"/>
  <c r="AO256" i="4"/>
  <c r="AO244" i="4"/>
  <c r="AO84" i="4"/>
  <c r="AO93" i="4"/>
  <c r="AO101" i="4"/>
  <c r="AO69" i="4"/>
  <c r="AS108" i="4"/>
  <c r="AS172" i="4"/>
  <c r="AS236" i="4"/>
  <c r="AS406" i="4"/>
  <c r="AS226" i="4"/>
  <c r="AS157" i="4"/>
  <c r="AS128" i="4"/>
  <c r="AO44" i="4"/>
  <c r="AO138" i="4"/>
  <c r="AS179" i="4"/>
  <c r="AS33" i="4"/>
  <c r="AO148" i="4"/>
  <c r="AO212" i="4"/>
  <c r="AS396" i="4"/>
  <c r="AO58" i="4"/>
  <c r="AS159" i="4"/>
  <c r="AS77" i="4"/>
  <c r="AO204" i="4"/>
  <c r="AS368" i="4"/>
  <c r="AS234" i="4"/>
  <c r="AO83" i="4"/>
  <c r="AO227" i="4"/>
  <c r="AO49" i="4"/>
  <c r="AS260" i="4"/>
  <c r="AO63" i="4"/>
  <c r="AS417" i="4"/>
  <c r="AO70" i="4"/>
  <c r="AO199" i="4"/>
  <c r="AS75" i="4"/>
  <c r="AS378" i="4"/>
  <c r="AS389" i="4"/>
  <c r="AS72" i="4"/>
  <c r="AS293" i="4"/>
  <c r="AS327" i="4"/>
  <c r="AS384" i="4"/>
  <c r="AS143" i="4"/>
  <c r="AS39" i="4"/>
  <c r="AS254" i="4"/>
  <c r="AS341" i="4"/>
  <c r="AR253" i="4"/>
  <c r="AR320" i="4"/>
  <c r="AR50" i="4"/>
  <c r="AR93" i="4"/>
  <c r="AR333" i="4"/>
  <c r="AO175" i="4"/>
  <c r="AQ55" i="4"/>
  <c r="AQ128" i="4"/>
  <c r="AS224" i="4"/>
  <c r="AS267" i="4"/>
  <c r="AR381" i="4"/>
  <c r="AS394" i="4"/>
  <c r="AQ368" i="4"/>
  <c r="AR138" i="4"/>
  <c r="AO234" i="4"/>
  <c r="AQ352" i="4"/>
  <c r="AR147" i="4"/>
  <c r="AS195" i="4"/>
  <c r="AQ305" i="4"/>
  <c r="AS25" i="4"/>
  <c r="AS57" i="4"/>
  <c r="AO100" i="4"/>
  <c r="AO164" i="4"/>
  <c r="AR325" i="4"/>
  <c r="AR319" i="4"/>
  <c r="AQ351" i="4"/>
  <c r="AS385" i="4"/>
  <c r="AS409" i="4"/>
  <c r="AR190" i="4"/>
  <c r="AR288" i="4"/>
  <c r="AR370" i="4"/>
  <c r="AR38" i="4"/>
  <c r="AQ78" i="4"/>
  <c r="AO205" i="4"/>
  <c r="AR301" i="4"/>
  <c r="AQ289" i="4"/>
  <c r="AS403" i="4"/>
  <c r="AO43" i="4"/>
  <c r="AR88" i="4"/>
  <c r="AQ136" i="4"/>
  <c r="AR184" i="4"/>
  <c r="AS248" i="4"/>
  <c r="AQ275" i="4"/>
  <c r="AR337" i="4"/>
  <c r="AS361" i="4"/>
  <c r="AR389" i="4"/>
  <c r="AQ390" i="4"/>
  <c r="AQ246" i="4"/>
  <c r="AO153" i="4"/>
  <c r="AO74" i="4"/>
  <c r="AR260" i="4"/>
  <c r="AO127" i="4"/>
  <c r="AR239" i="4"/>
  <c r="AS391" i="4"/>
  <c r="AO80" i="4"/>
  <c r="AO208" i="4"/>
  <c r="AS349" i="4"/>
  <c r="AR405" i="4"/>
  <c r="AS177" i="4"/>
  <c r="AQ281" i="4"/>
  <c r="AQ174" i="4"/>
  <c r="AQ336" i="4"/>
  <c r="AO122" i="4"/>
  <c r="AR274" i="4"/>
  <c r="AS91" i="4"/>
  <c r="AO123" i="4"/>
  <c r="AR171" i="4"/>
  <c r="AS219" i="4"/>
  <c r="AQ340" i="4"/>
  <c r="AR29" i="4"/>
  <c r="AR61" i="4"/>
  <c r="AR92" i="4"/>
  <c r="AO188" i="4"/>
  <c r="AR220" i="4"/>
  <c r="AR263" i="4"/>
  <c r="AS400" i="4"/>
  <c r="AS355" i="4"/>
  <c r="AS392" i="4"/>
  <c r="AR226" i="4"/>
  <c r="AR363" i="4"/>
  <c r="AS126" i="4"/>
  <c r="AS320" i="4"/>
  <c r="AQ79" i="4"/>
  <c r="AS350" i="4"/>
  <c r="AR128" i="4"/>
  <c r="AS299" i="4"/>
  <c r="AQ380" i="4"/>
  <c r="AS329" i="4"/>
  <c r="AR78" i="4"/>
  <c r="AO237" i="4"/>
  <c r="AS415" i="4"/>
  <c r="AS366" i="4"/>
  <c r="AS200" i="4"/>
  <c r="AS309" i="4"/>
  <c r="AS307" i="4"/>
  <c r="AQ395" i="4"/>
  <c r="AQ153" i="4"/>
  <c r="AS304" i="4"/>
  <c r="AR324" i="4"/>
  <c r="AS239" i="4"/>
  <c r="AO112" i="4"/>
  <c r="AR209" i="4"/>
  <c r="AO72" i="4"/>
  <c r="AQ218" i="4"/>
  <c r="AQ374" i="4"/>
  <c r="AS139" i="4"/>
  <c r="AR219" i="4"/>
  <c r="AS61" i="4"/>
  <c r="AR140" i="4"/>
  <c r="AO236" i="4"/>
  <c r="AQ363" i="4"/>
  <c r="AO210" i="4"/>
  <c r="AS111" i="4"/>
  <c r="AR257" i="4"/>
  <c r="AS23" i="4"/>
  <c r="AO96" i="4"/>
  <c r="AO224" i="4"/>
  <c r="AR299" i="4"/>
  <c r="AR368" i="4"/>
  <c r="AQ44" i="4"/>
  <c r="AR76" i="4"/>
  <c r="AS202" i="4"/>
  <c r="AR352" i="4"/>
  <c r="AO147" i="4"/>
  <c r="AO211" i="4"/>
  <c r="AR399" i="4"/>
  <c r="AO41" i="4"/>
  <c r="AR84" i="4"/>
  <c r="AS148" i="4"/>
  <c r="AQ196" i="4"/>
  <c r="AS244" i="4"/>
  <c r="AQ325" i="4"/>
  <c r="AQ271" i="4"/>
  <c r="AS319" i="4"/>
  <c r="AR416" i="4"/>
  <c r="AQ396" i="4"/>
  <c r="AR197" i="4"/>
  <c r="AQ370" i="4"/>
  <c r="AS54" i="4"/>
  <c r="AS173" i="4"/>
  <c r="AS358" i="4"/>
  <c r="AR103" i="4"/>
  <c r="AS151" i="4"/>
  <c r="AO183" i="4"/>
  <c r="AR231" i="4"/>
  <c r="AS312" i="4"/>
  <c r="AR403" i="4"/>
  <c r="AS51" i="4"/>
  <c r="AO88" i="4"/>
  <c r="AO152" i="4"/>
  <c r="AO248" i="4"/>
  <c r="AQ337" i="4"/>
  <c r="AQ369" i="4"/>
  <c r="AO246" i="4"/>
  <c r="AQ182" i="4"/>
  <c r="AQ97" i="4"/>
  <c r="AR42" i="4"/>
  <c r="AS74" i="4"/>
  <c r="AQ324" i="4"/>
  <c r="AQ159" i="4"/>
  <c r="AS321" i="4"/>
  <c r="AO47" i="4"/>
  <c r="AS112" i="4"/>
  <c r="AR176" i="4"/>
  <c r="AQ318" i="4"/>
  <c r="AR362" i="4"/>
  <c r="AS386" i="4"/>
  <c r="AQ89" i="4"/>
  <c r="AS281" i="4"/>
  <c r="AQ68" i="4"/>
  <c r="AR285" i="4"/>
  <c r="AS209" i="4"/>
  <c r="AR336" i="4"/>
  <c r="AQ40" i="4"/>
  <c r="AR64" i="4"/>
  <c r="AR314" i="4"/>
  <c r="AO53" i="4"/>
  <c r="AQ124" i="4"/>
  <c r="AQ188" i="4"/>
  <c r="AS252" i="4"/>
  <c r="AQ263" i="4"/>
  <c r="AS311" i="4"/>
  <c r="AQ137" i="4"/>
  <c r="AQ292" i="4"/>
  <c r="AR350" i="4"/>
  <c r="AS192" i="4"/>
  <c r="AQ267" i="4"/>
  <c r="AQ421" i="4"/>
  <c r="AO110" i="4"/>
  <c r="AQ297" i="4"/>
  <c r="AR131" i="4"/>
  <c r="AR41" i="4"/>
  <c r="AO255" i="4"/>
  <c r="AQ416" i="4"/>
  <c r="AS367" i="4"/>
  <c r="AO190" i="4"/>
  <c r="AQ197" i="4"/>
  <c r="AR46" i="4"/>
  <c r="AO173" i="4"/>
  <c r="AQ266" i="4"/>
  <c r="AO67" i="4"/>
  <c r="AS168" i="4"/>
  <c r="AQ309" i="4"/>
  <c r="AS229" i="4"/>
  <c r="AS125" i="4"/>
  <c r="AS280" i="4"/>
  <c r="AQ349" i="4"/>
  <c r="AR281" i="4"/>
  <c r="AS249" i="4"/>
  <c r="AO90" i="4"/>
  <c r="AR91" i="4"/>
  <c r="AQ372" i="4"/>
  <c r="AR108" i="4"/>
  <c r="AR406" i="4"/>
  <c r="AS162" i="4"/>
  <c r="AR387" i="4"/>
  <c r="AQ76" i="4"/>
  <c r="AQ163" i="4"/>
  <c r="AO65" i="4"/>
  <c r="AR132" i="4"/>
  <c r="AQ244" i="4"/>
  <c r="AS271" i="4"/>
  <c r="AS364" i="4"/>
  <c r="AS230" i="4"/>
  <c r="AS98" i="4"/>
  <c r="AR72" i="4"/>
  <c r="AS156" i="4"/>
  <c r="AQ256" i="4"/>
  <c r="AQ127" i="4"/>
  <c r="AS208" i="4"/>
  <c r="AR357" i="4"/>
  <c r="AS30" i="4"/>
  <c r="AQ358" i="4"/>
  <c r="AR151" i="4"/>
  <c r="AO231" i="4"/>
  <c r="AR35" i="4"/>
  <c r="AR104" i="4"/>
  <c r="AQ345" i="4"/>
  <c r="AR390" i="4"/>
  <c r="AR153" i="4"/>
  <c r="AR24" i="4"/>
  <c r="AQ250" i="4"/>
  <c r="AP146" i="4"/>
  <c r="AP272" i="4"/>
  <c r="AP201" i="4"/>
  <c r="AP129" i="4"/>
  <c r="AP121" i="4"/>
  <c r="AP258" i="4"/>
  <c r="AP185" i="4"/>
  <c r="AP198" i="4"/>
  <c r="AP82" i="4"/>
  <c r="AP94" i="4"/>
  <c r="AP181" i="4"/>
  <c r="AP233" i="4"/>
  <c r="AP242" i="4"/>
  <c r="AP193" i="4"/>
  <c r="AP105" i="4"/>
  <c r="AP278" i="4"/>
  <c r="AP133" i="4"/>
  <c r="AP276" i="4"/>
  <c r="AP322" i="4"/>
  <c r="AP150" i="4"/>
  <c r="AP81" i="4"/>
  <c r="AP194" i="4"/>
  <c r="AP294" i="4"/>
  <c r="AP158" i="4"/>
  <c r="AP130" i="4"/>
  <c r="AP142" i="4"/>
  <c r="AP308" i="4"/>
  <c r="AP169" i="4"/>
  <c r="AP86" i="4"/>
  <c r="AP206" i="4"/>
  <c r="AP145" i="4"/>
  <c r="AP241" i="4"/>
  <c r="AP134" i="4"/>
  <c r="AP117" i="4"/>
  <c r="AP357" i="4"/>
  <c r="AP299" i="4"/>
  <c r="AP254" i="4"/>
  <c r="AP160" i="4"/>
  <c r="AP137" i="4"/>
  <c r="AP219" i="4"/>
  <c r="AP395" i="4"/>
  <c r="AP291" i="4"/>
  <c r="AP248" i="4"/>
  <c r="AP184" i="4"/>
  <c r="AP88" i="4"/>
  <c r="AP403" i="4"/>
  <c r="AP301" i="4"/>
  <c r="AP205" i="4"/>
  <c r="AP58" i="4"/>
  <c r="AP406" i="4"/>
  <c r="AP37" i="4"/>
  <c r="AP187" i="4"/>
  <c r="AP359" i="4"/>
  <c r="AP416" i="4"/>
  <c r="AP57" i="4"/>
  <c r="AP106" i="4"/>
  <c r="AP127" i="4"/>
  <c r="AP257" i="4"/>
  <c r="AP292" i="4"/>
  <c r="AP371" i="4"/>
  <c r="AP339" i="4"/>
  <c r="AP295" i="4"/>
  <c r="AP334" i="4"/>
  <c r="AP53" i="4"/>
  <c r="AP153" i="4"/>
  <c r="AP413" i="4"/>
  <c r="AP376" i="4"/>
  <c r="AP268" i="4"/>
  <c r="AP152" i="4"/>
  <c r="AP197" i="4"/>
  <c r="AP391" i="4"/>
  <c r="AP174" i="4"/>
  <c r="AP335" i="4"/>
  <c r="AP41" i="4"/>
  <c r="AP214" i="4"/>
  <c r="AP279" i="4"/>
  <c r="AP270" i="4"/>
  <c r="AP92" i="4"/>
  <c r="AP32" i="4"/>
  <c r="AP324" i="4"/>
  <c r="AP378" i="4"/>
  <c r="AP59" i="4"/>
  <c r="AP167" i="4"/>
  <c r="AP370" i="4"/>
  <c r="AP325" i="4"/>
  <c r="AP132" i="4"/>
  <c r="AP399" i="4"/>
  <c r="AP147" i="4"/>
  <c r="AP76" i="4"/>
  <c r="AP387" i="4"/>
  <c r="AP143" i="4"/>
  <c r="AQ140" i="4"/>
  <c r="AS263" i="4"/>
  <c r="AQ400" i="4"/>
  <c r="AQ371" i="4"/>
  <c r="AP417" i="4"/>
  <c r="AP320" i="4"/>
  <c r="AS292" i="4"/>
  <c r="AP96" i="4"/>
  <c r="AP344" i="4"/>
  <c r="AR421" i="4"/>
  <c r="AR304" i="4"/>
  <c r="AR208" i="4"/>
  <c r="AS308" i="4"/>
  <c r="AS241" i="4"/>
  <c r="AS158" i="4"/>
  <c r="AS278" i="4"/>
  <c r="AS129" i="4"/>
  <c r="AS198" i="4"/>
  <c r="AS276" i="4"/>
  <c r="AS193" i="4"/>
  <c r="AS146" i="4"/>
  <c r="AS81" i="4"/>
  <c r="AS117" i="4"/>
  <c r="AS86" i="4"/>
  <c r="AS181" i="4"/>
  <c r="AS194" i="4"/>
  <c r="AS142" i="4"/>
  <c r="AS105" i="4"/>
  <c r="AS130" i="4"/>
  <c r="AS150" i="4"/>
  <c r="AS242" i="4"/>
  <c r="AS272" i="4"/>
  <c r="AS82" i="4"/>
  <c r="AS206" i="4"/>
  <c r="AS185" i="4"/>
  <c r="AS294" i="4"/>
  <c r="AS322" i="4"/>
  <c r="AS258" i="4"/>
  <c r="AS201" i="4"/>
  <c r="AS121" i="4"/>
  <c r="AS133" i="4"/>
  <c r="AS134" i="4"/>
  <c r="AS145" i="4"/>
  <c r="AS233" i="4"/>
  <c r="AS94" i="4"/>
  <c r="AS169" i="4"/>
  <c r="AS407" i="4"/>
  <c r="AS144" i="4"/>
  <c r="AS26" i="4"/>
  <c r="AS79" i="4"/>
  <c r="AS178" i="4"/>
  <c r="AS393" i="4"/>
  <c r="AS295" i="4"/>
  <c r="AS316" i="4"/>
  <c r="AS122" i="4"/>
  <c r="AS40" i="4"/>
  <c r="AS404" i="4"/>
  <c r="AS266" i="4"/>
  <c r="AS135" i="4"/>
  <c r="AS78" i="4"/>
  <c r="AS46" i="4"/>
  <c r="AS290" i="4"/>
  <c r="AS288" i="4"/>
  <c r="AS379" i="4"/>
  <c r="AS418" i="4"/>
  <c r="AS220" i="4"/>
  <c r="AS92" i="4"/>
  <c r="AS317" i="4"/>
  <c r="AS68" i="4"/>
  <c r="AS335" i="4"/>
  <c r="AS164" i="4"/>
  <c r="AS315" i="4"/>
  <c r="AS256" i="4"/>
  <c r="AS71" i="4"/>
  <c r="AS66" i="4"/>
  <c r="AS401" i="4"/>
  <c r="AS348" i="4"/>
  <c r="AS251" i="4"/>
  <c r="AS186" i="4"/>
  <c r="AS174" i="4"/>
  <c r="AS369" i="4"/>
  <c r="AS337" i="4"/>
  <c r="AS59" i="4"/>
  <c r="AS27" i="4"/>
  <c r="AS231" i="4"/>
  <c r="AS103" i="4"/>
  <c r="AS383" i="4"/>
  <c r="AS124" i="4"/>
  <c r="AS372" i="4"/>
  <c r="AS250" i="4"/>
  <c r="AS56" i="4"/>
  <c r="AS336" i="4"/>
  <c r="AS303" i="4"/>
  <c r="AS284" i="4"/>
  <c r="AS228" i="4"/>
  <c r="AS132" i="4"/>
  <c r="AS305" i="4"/>
  <c r="AS297" i="4"/>
  <c r="AS170" i="4"/>
  <c r="AS60" i="4"/>
  <c r="AS363" i="4"/>
  <c r="AS29" i="4"/>
  <c r="AS171" i="4"/>
  <c r="AS357" i="4"/>
  <c r="AS318" i="4"/>
  <c r="AS63" i="4"/>
  <c r="AS390" i="4"/>
  <c r="AS354" i="4"/>
  <c r="AS351" i="4"/>
  <c r="AS49" i="4"/>
  <c r="AS243" i="4"/>
  <c r="AS115" i="4"/>
  <c r="AS421" i="4"/>
  <c r="AS300" i="4"/>
  <c r="AS334" i="4"/>
  <c r="AS411" i="4"/>
  <c r="AS136" i="4"/>
  <c r="AS31" i="4"/>
  <c r="AS223" i="4"/>
  <c r="AS55" i="4"/>
  <c r="AS138" i="4"/>
  <c r="AS255" i="4"/>
  <c r="AS38" i="4"/>
  <c r="AS141" i="4"/>
  <c r="AS87" i="4"/>
  <c r="AS215" i="4"/>
  <c r="AS67" i="4"/>
  <c r="AS286" i="4"/>
  <c r="AS283" i="4"/>
  <c r="AS118" i="4"/>
  <c r="AS104" i="4"/>
  <c r="AS382" i="4"/>
  <c r="AS99" i="4"/>
  <c r="AS296" i="4"/>
  <c r="AS214" i="4"/>
  <c r="AS100" i="4"/>
  <c r="AS24" i="4"/>
  <c r="AS62" i="4"/>
  <c r="AS80" i="4"/>
  <c r="AO137" i="4"/>
  <c r="AS50" i="4"/>
  <c r="AO157" i="4"/>
  <c r="AO71" i="4"/>
  <c r="AS160" i="4"/>
  <c r="AS381" i="4"/>
  <c r="AO76" i="4"/>
  <c r="AO170" i="4"/>
  <c r="AS342" i="4"/>
  <c r="AS163" i="4"/>
  <c r="AS328" i="4"/>
  <c r="AO228" i="4"/>
  <c r="AS359" i="4"/>
  <c r="AO197" i="4"/>
  <c r="AS370" i="4"/>
  <c r="AS152" i="4"/>
  <c r="AS291" i="4"/>
  <c r="AS345" i="4"/>
  <c r="AO229" i="4"/>
  <c r="AS405" i="4"/>
  <c r="AS89" i="4"/>
  <c r="AS310" i="4"/>
  <c r="AO32" i="4"/>
  <c r="AO64" i="4"/>
  <c r="AS306" i="4"/>
  <c r="AS187" i="4"/>
  <c r="AO219" i="4"/>
  <c r="AS37" i="4"/>
  <c r="AS69" i="4"/>
  <c r="AO156" i="4"/>
  <c r="AS371" i="4"/>
  <c r="AO178" i="4"/>
  <c r="AS101" i="4"/>
  <c r="AS410" i="4"/>
  <c r="AS262" i="4"/>
  <c r="AO213" i="4"/>
  <c r="AO109" i="4"/>
  <c r="AS332" i="4"/>
  <c r="AO113" i="4"/>
  <c r="AS95" i="4"/>
  <c r="AO239" i="4"/>
  <c r="AO176" i="4"/>
  <c r="AS225" i="4"/>
  <c r="AS274" i="4"/>
  <c r="AR145" i="4"/>
  <c r="AR258" i="4"/>
  <c r="AR193" i="4"/>
  <c r="AR121" i="4"/>
  <c r="AR117" i="4"/>
  <c r="AR276" i="4"/>
  <c r="AR81" i="4"/>
  <c r="AR130" i="4"/>
  <c r="AR242" i="4"/>
  <c r="AR322" i="4"/>
  <c r="AR272" i="4"/>
  <c r="AR241" i="4"/>
  <c r="AR142" i="4"/>
  <c r="AR94" i="4"/>
  <c r="AR133" i="4"/>
  <c r="AR105" i="4"/>
  <c r="AR146" i="4"/>
  <c r="AR82" i="4"/>
  <c r="AR198" i="4"/>
  <c r="AR294" i="4"/>
  <c r="AR185" i="4"/>
  <c r="AR150" i="4"/>
  <c r="AR134" i="4"/>
  <c r="AR233" i="4"/>
  <c r="AR206" i="4"/>
  <c r="AR308" i="4"/>
  <c r="AR194" i="4"/>
  <c r="AR129" i="4"/>
  <c r="AR278" i="4"/>
  <c r="AR201" i="4"/>
  <c r="AR158" i="4"/>
  <c r="AR181" i="4"/>
  <c r="AR169" i="4"/>
  <c r="AR86" i="4"/>
  <c r="AR177" i="4"/>
  <c r="AR55" i="4"/>
  <c r="AR223" i="4"/>
  <c r="AR221" i="4"/>
  <c r="AR411" i="4"/>
  <c r="AR327" i="4"/>
  <c r="AR68" i="4"/>
  <c r="AR182" i="4"/>
  <c r="AR413" i="4"/>
  <c r="AR332" i="4"/>
  <c r="AR51" i="4"/>
  <c r="AR215" i="4"/>
  <c r="AR87" i="4"/>
  <c r="AR102" i="4"/>
  <c r="AR245" i="4"/>
  <c r="AR392" i="4"/>
  <c r="AR383" i="4"/>
  <c r="AR340" i="4"/>
  <c r="AR420" i="4"/>
  <c r="AR342" i="4"/>
  <c r="AR60" i="4"/>
  <c r="AR397" i="4"/>
  <c r="AR58" i="4"/>
  <c r="AR394" i="4"/>
  <c r="AR331" i="4"/>
  <c r="AR300" i="4"/>
  <c r="AR175" i="4"/>
  <c r="AR210" i="4"/>
  <c r="AR412" i="4"/>
  <c r="AR56" i="4"/>
  <c r="AR317" i="4"/>
  <c r="AR307" i="4"/>
  <c r="AR266" i="4"/>
  <c r="AR183" i="4"/>
  <c r="AR205" i="4"/>
  <c r="AR109" i="4"/>
  <c r="AR329" i="4"/>
  <c r="AR213" i="4"/>
  <c r="AR401" i="4"/>
  <c r="AR349" i="4"/>
  <c r="AR144" i="4"/>
  <c r="AR359" i="4"/>
  <c r="AR419" i="4"/>
  <c r="AR408" i="4"/>
  <c r="AR44" i="4"/>
  <c r="AR172" i="4"/>
  <c r="AR326" i="4"/>
  <c r="AR122" i="4"/>
  <c r="AR174" i="4"/>
  <c r="AR85" i="4"/>
  <c r="AR207" i="4"/>
  <c r="AR376" i="4"/>
  <c r="AR200" i="4"/>
  <c r="AR312" i="4"/>
  <c r="AR262" i="4"/>
  <c r="AR367" i="4"/>
  <c r="AR335" i="4"/>
  <c r="AR180" i="4"/>
  <c r="AR282" i="4"/>
  <c r="AR195" i="4"/>
  <c r="AR265" i="4"/>
  <c r="AR170" i="4"/>
  <c r="AR162" i="4"/>
  <c r="AR379" i="4"/>
  <c r="AR69" i="4"/>
  <c r="AO172" i="4"/>
  <c r="AR252" i="4"/>
  <c r="AO253" i="4"/>
  <c r="AO66" i="4"/>
  <c r="AS221" i="4"/>
  <c r="AR191" i="4"/>
  <c r="AS298" i="4"/>
  <c r="AR39" i="4"/>
  <c r="AR254" i="4"/>
  <c r="AR118" i="4"/>
  <c r="AR52" i="4"/>
  <c r="AS76" i="4"/>
  <c r="AS399" i="4"/>
  <c r="AR148" i="4"/>
  <c r="AS212" i="4"/>
  <c r="AR244" i="4"/>
  <c r="AS360" i="4"/>
  <c r="AS287" i="4"/>
  <c r="AR385" i="4"/>
  <c r="AS380" i="4"/>
  <c r="AO165" i="4"/>
  <c r="AS213" i="4"/>
  <c r="AO222" i="4"/>
  <c r="AO62" i="4"/>
  <c r="AS109" i="4"/>
  <c r="AS119" i="4"/>
  <c r="AO151" i="4"/>
  <c r="AR199" i="4"/>
  <c r="AS247" i="4"/>
  <c r="AS330" i="4"/>
  <c r="AR27" i="4"/>
  <c r="AR59" i="4"/>
  <c r="AR152" i="4"/>
  <c r="AO216" i="4"/>
  <c r="AR268" i="4"/>
  <c r="AR259" i="4"/>
  <c r="AR323" i="4"/>
  <c r="AR345" i="4"/>
  <c r="AR377" i="4"/>
  <c r="AS153" i="4"/>
  <c r="AS97" i="4"/>
  <c r="AS42" i="4"/>
  <c r="AO125" i="4"/>
  <c r="AS324" i="4"/>
  <c r="AR112" i="4"/>
  <c r="AR373" i="4"/>
  <c r="AS238" i="4"/>
  <c r="AO249" i="4"/>
  <c r="AR48" i="4"/>
  <c r="AS64" i="4"/>
  <c r="AS154" i="4"/>
  <c r="AS420" i="4"/>
  <c r="AS273" i="4"/>
  <c r="AS340" i="4"/>
  <c r="AO37" i="4"/>
  <c r="AS140" i="4"/>
  <c r="AS204" i="4"/>
  <c r="AS279" i="4"/>
  <c r="AR311" i="4"/>
  <c r="AS34" i="4"/>
  <c r="AO217" i="4"/>
  <c r="AO60" i="4"/>
  <c r="AO202" i="4"/>
  <c r="AS147" i="4"/>
  <c r="AS211" i="4"/>
  <c r="AS264" i="4"/>
  <c r="AR57" i="4"/>
  <c r="AO116" i="4"/>
  <c r="AO180" i="4"/>
  <c r="AR261" i="4"/>
  <c r="AR271" i="4"/>
  <c r="AR62" i="4"/>
  <c r="AS205" i="4"/>
  <c r="AR366" i="4"/>
  <c r="AR313" i="4"/>
  <c r="AO107" i="4"/>
  <c r="AS235" i="4"/>
  <c r="AS45" i="4"/>
  <c r="AO140" i="4"/>
  <c r="AR236" i="4"/>
  <c r="AS387" i="4"/>
  <c r="AS106" i="4"/>
  <c r="AS352" i="4"/>
  <c r="AO163" i="4"/>
  <c r="AR356" i="4"/>
  <c r="AS261" i="4"/>
  <c r="AS416" i="4"/>
  <c r="AR375" i="4"/>
  <c r="AO209" i="4"/>
  <c r="AQ94" i="4"/>
  <c r="AQ185" i="4"/>
  <c r="AQ272" i="4"/>
  <c r="AQ130" i="4"/>
  <c r="AQ233" i="4"/>
  <c r="AQ150" i="4"/>
  <c r="AQ242" i="4"/>
  <c r="AQ201" i="4"/>
  <c r="AQ105" i="4"/>
  <c r="AQ294" i="4"/>
  <c r="AQ86" i="4"/>
  <c r="AQ193" i="4"/>
  <c r="AQ278" i="4"/>
  <c r="AQ81" i="4"/>
  <c r="AQ158" i="4"/>
  <c r="AQ276" i="4"/>
  <c r="AQ206" i="4"/>
  <c r="AQ194" i="4"/>
  <c r="AQ129" i="4"/>
  <c r="AQ121" i="4"/>
  <c r="AQ169" i="4"/>
  <c r="AQ198" i="4"/>
  <c r="AQ241" i="4"/>
  <c r="AQ181" i="4"/>
  <c r="AQ134" i="4"/>
  <c r="AQ117" i="4"/>
  <c r="AQ133" i="4"/>
  <c r="AQ145" i="4"/>
  <c r="AQ146" i="4"/>
  <c r="AQ258" i="4"/>
  <c r="AQ322" i="4"/>
  <c r="AQ82" i="4"/>
  <c r="AQ142" i="4"/>
  <c r="AQ308" i="4"/>
  <c r="AQ260" i="4"/>
  <c r="AQ365" i="4"/>
  <c r="AQ392" i="4"/>
  <c r="AQ355" i="4"/>
  <c r="AQ204" i="4"/>
  <c r="AQ37" i="4"/>
  <c r="AQ91" i="4"/>
  <c r="AQ249" i="4"/>
  <c r="AQ361" i="4"/>
  <c r="AQ405" i="4"/>
  <c r="AQ277" i="4"/>
  <c r="AQ112" i="4"/>
  <c r="AQ280" i="4"/>
  <c r="AQ186" i="4"/>
  <c r="AQ48" i="4"/>
  <c r="AQ165" i="4"/>
  <c r="AQ388" i="4"/>
  <c r="AQ385" i="4"/>
  <c r="AQ287" i="4"/>
  <c r="AQ360" i="4"/>
  <c r="AQ261" i="4"/>
  <c r="AQ212" i="4"/>
  <c r="AQ116" i="4"/>
  <c r="AQ73" i="4"/>
  <c r="AQ264" i="4"/>
  <c r="AQ195" i="4"/>
  <c r="AQ131" i="4"/>
  <c r="AQ234" i="4"/>
  <c r="AQ176" i="4"/>
  <c r="AQ47" i="4"/>
  <c r="AQ118" i="4"/>
  <c r="AQ178" i="4"/>
  <c r="AQ236" i="4"/>
  <c r="AQ108" i="4"/>
  <c r="AQ123" i="4"/>
  <c r="AQ382" i="4"/>
  <c r="AQ354" i="4"/>
  <c r="AQ126" i="4"/>
  <c r="AQ379" i="4"/>
  <c r="AQ177" i="4"/>
  <c r="AQ407" i="4"/>
  <c r="AQ125" i="4"/>
  <c r="AQ279" i="4"/>
  <c r="AQ219" i="4"/>
  <c r="AQ85" i="4"/>
  <c r="AQ409" i="4"/>
  <c r="AQ402" i="4"/>
  <c r="AQ255" i="4"/>
  <c r="AQ180" i="4"/>
  <c r="AQ84" i="4"/>
  <c r="AQ57" i="4"/>
  <c r="AQ120" i="4"/>
  <c r="AQ141" i="4"/>
  <c r="AQ54" i="4"/>
  <c r="AQ288" i="4"/>
  <c r="AQ381" i="4"/>
  <c r="AQ160" i="4"/>
  <c r="AQ39" i="4"/>
  <c r="AQ327" i="4"/>
  <c r="AS188" i="4"/>
  <c r="AQ42" i="4"/>
  <c r="AQ240" i="4"/>
  <c r="AR178" i="4"/>
  <c r="AS161" i="4"/>
  <c r="AO38" i="4"/>
  <c r="AR173" i="4"/>
  <c r="AR415" i="4"/>
  <c r="AS167" i="4"/>
  <c r="AR247" i="4"/>
  <c r="AS43" i="4"/>
  <c r="AO232" i="4"/>
  <c r="AR275" i="4"/>
  <c r="AS353" i="4"/>
  <c r="AQ398" i="4"/>
  <c r="AO225" i="4"/>
  <c r="AQ32" i="4"/>
  <c r="AQ306" i="4"/>
  <c r="AQ172" i="4"/>
  <c r="AR393" i="4"/>
  <c r="AQ245" i="4"/>
  <c r="AO191" i="4"/>
  <c r="AO128" i="4"/>
  <c r="AR267" i="4"/>
  <c r="AS217" i="4"/>
  <c r="AR26" i="4"/>
  <c r="AR391" i="4"/>
  <c r="AS277" i="4"/>
  <c r="AP405" i="4"/>
  <c r="AK26" i="11" l="1"/>
  <c r="AL26" i="11"/>
  <c r="AH27" i="11"/>
  <c r="AV27" i="11" s="1"/>
  <c r="AN26" i="11"/>
  <c r="AQ26" i="11"/>
  <c r="AR26" i="11"/>
  <c r="AP26" i="11"/>
  <c r="AO26" i="11"/>
  <c r="AI26" i="11"/>
  <c r="AW24" i="11"/>
  <c r="AW23" i="11"/>
  <c r="AV26" i="11"/>
  <c r="AX25" i="11"/>
  <c r="AT26" i="11"/>
  <c r="AV23" i="11"/>
  <c r="AT25" i="11"/>
  <c r="AU24" i="11"/>
  <c r="U21" i="11"/>
  <c r="AU21" i="11"/>
  <c r="AW22" i="11"/>
  <c r="AU26" i="11"/>
  <c r="AU23" i="11"/>
  <c r="AW26" i="11"/>
  <c r="AX23" i="11"/>
  <c r="AX22" i="11"/>
  <c r="W21" i="11"/>
  <c r="AW21" i="11"/>
  <c r="AW25" i="11"/>
  <c r="AV24" i="11"/>
  <c r="AV25" i="11"/>
  <c r="AT24" i="11"/>
  <c r="AU22" i="11"/>
  <c r="AV22" i="11"/>
  <c r="AX24" i="11"/>
  <c r="AX26" i="11"/>
  <c r="X21" i="11"/>
  <c r="AX21" i="11"/>
  <c r="AU25" i="11"/>
  <c r="AT22" i="11"/>
  <c r="AT23" i="11"/>
  <c r="V21" i="11"/>
  <c r="AV21" i="11"/>
  <c r="T21" i="11"/>
  <c r="AT21" i="11"/>
  <c r="K45" i="2"/>
  <c r="K44" i="2"/>
  <c r="K52" i="2"/>
  <c r="AU27" i="11" l="1"/>
  <c r="AJ27" i="11"/>
  <c r="AW27" i="11"/>
  <c r="AT27" i="11"/>
  <c r="AX27" i="11"/>
  <c r="AL27" i="11"/>
  <c r="AH28" i="11"/>
  <c r="AJ28" i="11" s="1"/>
  <c r="AK27" i="11"/>
  <c r="AO27" i="11"/>
  <c r="AR27" i="11"/>
  <c r="AQ27" i="11"/>
  <c r="AP27" i="11"/>
  <c r="AN27" i="11"/>
  <c r="AI27" i="11"/>
  <c r="BP421" i="6"/>
  <c r="BP420" i="6"/>
  <c r="BP419" i="6"/>
  <c r="BP418" i="6"/>
  <c r="BP417" i="6"/>
  <c r="BP416" i="6"/>
  <c r="BP415" i="6"/>
  <c r="BP414" i="6"/>
  <c r="BP413" i="6"/>
  <c r="BP412" i="6"/>
  <c r="BP411" i="6"/>
  <c r="BP410" i="6"/>
  <c r="BP409" i="6"/>
  <c r="BP408" i="6"/>
  <c r="BP407" i="6"/>
  <c r="BP406" i="6"/>
  <c r="BP405" i="6"/>
  <c r="BP404" i="6"/>
  <c r="BP403" i="6"/>
  <c r="BP402" i="6"/>
  <c r="BP401" i="6"/>
  <c r="BP400" i="6"/>
  <c r="BP399" i="6"/>
  <c r="BP398" i="6"/>
  <c r="BP397" i="6"/>
  <c r="BP396" i="6"/>
  <c r="BP395" i="6"/>
  <c r="BP394" i="6"/>
  <c r="BP393" i="6"/>
  <c r="BP392" i="6"/>
  <c r="BP391" i="6"/>
  <c r="BP390" i="6"/>
  <c r="BP389" i="6"/>
  <c r="BP388" i="6"/>
  <c r="BP387" i="6"/>
  <c r="BP386" i="6"/>
  <c r="BP385" i="6"/>
  <c r="BP384" i="6"/>
  <c r="BP383" i="6"/>
  <c r="BP382" i="6"/>
  <c r="BP381" i="6"/>
  <c r="BP380" i="6"/>
  <c r="BP379" i="6"/>
  <c r="BP378" i="6"/>
  <c r="BP377" i="6"/>
  <c r="BP376" i="6"/>
  <c r="BP375" i="6"/>
  <c r="BP374" i="6"/>
  <c r="BP373" i="6"/>
  <c r="BP372" i="6"/>
  <c r="BP371" i="6"/>
  <c r="BP370" i="6"/>
  <c r="BP369" i="6"/>
  <c r="BP368" i="6"/>
  <c r="BP367" i="6"/>
  <c r="BP366" i="6"/>
  <c r="BP365" i="6"/>
  <c r="BP364" i="6"/>
  <c r="BP363" i="6"/>
  <c r="BP362" i="6"/>
  <c r="BP361" i="6"/>
  <c r="BP360" i="6"/>
  <c r="BP359" i="6"/>
  <c r="BP358" i="6"/>
  <c r="BP357" i="6"/>
  <c r="BP356" i="6"/>
  <c r="BP355" i="6"/>
  <c r="BP354" i="6"/>
  <c r="BP353" i="6"/>
  <c r="BP352" i="6"/>
  <c r="BP351" i="6"/>
  <c r="BP350" i="6"/>
  <c r="BP349" i="6"/>
  <c r="BP348" i="6"/>
  <c r="BP347" i="6"/>
  <c r="BP346" i="6"/>
  <c r="BP345" i="6"/>
  <c r="BP344" i="6"/>
  <c r="BP343" i="6"/>
  <c r="BP342" i="6"/>
  <c r="BP341" i="6"/>
  <c r="BP340" i="6"/>
  <c r="BP339" i="6"/>
  <c r="BP338" i="6"/>
  <c r="BP337" i="6"/>
  <c r="BP336" i="6"/>
  <c r="BP335" i="6"/>
  <c r="BP334" i="6"/>
  <c r="BP333" i="6"/>
  <c r="BP332" i="6"/>
  <c r="BP331" i="6"/>
  <c r="BP330" i="6"/>
  <c r="BP329" i="6"/>
  <c r="BP328" i="6"/>
  <c r="BP327" i="6"/>
  <c r="BP326" i="6"/>
  <c r="BP325" i="6"/>
  <c r="BP324" i="6"/>
  <c r="BP323" i="6"/>
  <c r="BP322" i="6"/>
  <c r="BP321" i="6"/>
  <c r="BP320" i="6"/>
  <c r="BP319" i="6"/>
  <c r="BP318" i="6"/>
  <c r="BP317" i="6"/>
  <c r="BP316" i="6"/>
  <c r="BP315" i="6"/>
  <c r="BP314" i="6"/>
  <c r="BP313" i="6"/>
  <c r="BP312" i="6"/>
  <c r="BP311" i="6"/>
  <c r="BP310" i="6"/>
  <c r="BP309" i="6"/>
  <c r="BP308" i="6"/>
  <c r="BP307" i="6"/>
  <c r="BP306" i="6"/>
  <c r="BP305" i="6"/>
  <c r="BP304" i="6"/>
  <c r="BP303" i="6"/>
  <c r="BP302" i="6"/>
  <c r="BP301" i="6"/>
  <c r="BP300" i="6"/>
  <c r="BP299" i="6"/>
  <c r="BP298" i="6"/>
  <c r="BP297" i="6"/>
  <c r="BP296" i="6"/>
  <c r="BP295" i="6"/>
  <c r="BP294" i="6"/>
  <c r="BP293" i="6"/>
  <c r="BP292" i="6"/>
  <c r="BP291" i="6"/>
  <c r="BP290" i="6"/>
  <c r="BP289" i="6"/>
  <c r="BP288" i="6"/>
  <c r="BP287" i="6"/>
  <c r="BP286" i="6"/>
  <c r="BP285" i="6"/>
  <c r="BP284" i="6"/>
  <c r="BP283" i="6"/>
  <c r="BP282" i="6"/>
  <c r="BP281" i="6"/>
  <c r="BP280" i="6"/>
  <c r="BP279" i="6"/>
  <c r="BP278" i="6"/>
  <c r="BP277" i="6"/>
  <c r="BP276" i="6"/>
  <c r="BP275" i="6"/>
  <c r="BP274" i="6"/>
  <c r="BP273" i="6"/>
  <c r="BP272" i="6"/>
  <c r="BP271" i="6"/>
  <c r="BP270" i="6"/>
  <c r="BP269" i="6"/>
  <c r="BP268" i="6"/>
  <c r="BP267" i="6"/>
  <c r="BP266" i="6"/>
  <c r="BP265" i="6"/>
  <c r="BP264" i="6"/>
  <c r="BP263" i="6"/>
  <c r="BP262" i="6"/>
  <c r="BP261" i="6"/>
  <c r="BP260" i="6"/>
  <c r="BP259" i="6"/>
  <c r="BP258" i="6"/>
  <c r="BP257" i="6"/>
  <c r="BP256" i="6"/>
  <c r="BP255" i="6"/>
  <c r="BP254" i="6"/>
  <c r="BP253" i="6"/>
  <c r="BP252" i="6"/>
  <c r="BP251" i="6"/>
  <c r="BP250" i="6"/>
  <c r="BP249" i="6"/>
  <c r="BP248" i="6"/>
  <c r="BP247" i="6"/>
  <c r="BP246" i="6"/>
  <c r="BP245" i="6"/>
  <c r="BP244" i="6"/>
  <c r="BP243" i="6"/>
  <c r="BP242" i="6"/>
  <c r="BP241" i="6"/>
  <c r="BP240" i="6"/>
  <c r="BP239" i="6"/>
  <c r="BP238" i="6"/>
  <c r="BP237" i="6"/>
  <c r="BP236" i="6"/>
  <c r="BP235" i="6"/>
  <c r="BP234" i="6"/>
  <c r="BP233" i="6"/>
  <c r="BP232" i="6"/>
  <c r="BP231" i="6"/>
  <c r="BP230" i="6"/>
  <c r="BP229" i="6"/>
  <c r="BP228" i="6"/>
  <c r="BP227" i="6"/>
  <c r="BP226" i="6"/>
  <c r="BP225" i="6"/>
  <c r="BP224" i="6"/>
  <c r="BP223" i="6"/>
  <c r="BP222" i="6"/>
  <c r="BP221" i="6"/>
  <c r="BP220" i="6"/>
  <c r="BP219" i="6"/>
  <c r="BP218" i="6"/>
  <c r="BP217" i="6"/>
  <c r="BP216" i="6"/>
  <c r="BP215" i="6"/>
  <c r="BP214" i="6"/>
  <c r="BP213" i="6"/>
  <c r="BP212" i="6"/>
  <c r="BP211" i="6"/>
  <c r="BP210" i="6"/>
  <c r="BP209" i="6"/>
  <c r="BP208" i="6"/>
  <c r="BP207" i="6"/>
  <c r="BP206" i="6"/>
  <c r="BP205" i="6"/>
  <c r="BP204" i="6"/>
  <c r="BP203" i="6"/>
  <c r="BP202" i="6"/>
  <c r="BP201" i="6"/>
  <c r="BP200" i="6"/>
  <c r="BP199" i="6"/>
  <c r="BP198" i="6"/>
  <c r="BP197" i="6"/>
  <c r="BP196" i="6"/>
  <c r="BP195" i="6"/>
  <c r="BP194" i="6"/>
  <c r="BP193" i="6"/>
  <c r="BP192" i="6"/>
  <c r="BP191" i="6"/>
  <c r="BP190" i="6"/>
  <c r="BP189" i="6"/>
  <c r="BP188" i="6"/>
  <c r="BP187" i="6"/>
  <c r="BP186" i="6"/>
  <c r="BP185" i="6"/>
  <c r="BP184" i="6"/>
  <c r="BP183" i="6"/>
  <c r="BP182" i="6"/>
  <c r="BP181" i="6"/>
  <c r="BP180" i="6"/>
  <c r="BP179" i="6"/>
  <c r="BP178" i="6"/>
  <c r="BP177" i="6"/>
  <c r="BP176" i="6"/>
  <c r="BP175" i="6"/>
  <c r="BP174" i="6"/>
  <c r="BP173" i="6"/>
  <c r="BP172" i="6"/>
  <c r="BP171" i="6"/>
  <c r="BP170" i="6"/>
  <c r="BP169" i="6"/>
  <c r="BP168" i="6"/>
  <c r="BP167" i="6"/>
  <c r="BP166" i="6"/>
  <c r="BP165" i="6"/>
  <c r="BP164" i="6"/>
  <c r="BP163" i="6"/>
  <c r="BP162" i="6"/>
  <c r="BP161" i="6"/>
  <c r="BP160" i="6"/>
  <c r="BP159" i="6"/>
  <c r="BP158" i="6"/>
  <c r="BP157" i="6"/>
  <c r="BP156" i="6"/>
  <c r="BP155" i="6"/>
  <c r="BP154" i="6"/>
  <c r="BP153" i="6"/>
  <c r="BP152" i="6"/>
  <c r="BP151" i="6"/>
  <c r="BP150" i="6"/>
  <c r="BP149" i="6"/>
  <c r="BP148" i="6"/>
  <c r="BP147" i="6"/>
  <c r="BP146" i="6"/>
  <c r="BP145" i="6"/>
  <c r="BP144" i="6"/>
  <c r="BP143" i="6"/>
  <c r="BP142" i="6"/>
  <c r="BP141" i="6"/>
  <c r="BP140" i="6"/>
  <c r="BP139" i="6"/>
  <c r="BP138" i="6"/>
  <c r="BP137" i="6"/>
  <c r="BP136" i="6"/>
  <c r="BP135" i="6"/>
  <c r="BP134" i="6"/>
  <c r="BP133" i="6"/>
  <c r="BP132" i="6"/>
  <c r="BP131" i="6"/>
  <c r="BP130" i="6"/>
  <c r="BP129" i="6"/>
  <c r="BP128" i="6"/>
  <c r="BP127" i="6"/>
  <c r="BP126" i="6"/>
  <c r="BP125" i="6"/>
  <c r="BP124" i="6"/>
  <c r="BP123" i="6"/>
  <c r="BP122" i="6"/>
  <c r="BP121" i="6"/>
  <c r="BP120" i="6"/>
  <c r="BP119" i="6"/>
  <c r="BP118" i="6"/>
  <c r="BP117" i="6"/>
  <c r="BP116" i="6"/>
  <c r="BP115" i="6"/>
  <c r="BP114" i="6"/>
  <c r="BP113" i="6"/>
  <c r="BP112" i="6"/>
  <c r="BP111" i="6"/>
  <c r="BP110" i="6"/>
  <c r="BP109" i="6"/>
  <c r="BP108" i="6"/>
  <c r="BP107" i="6"/>
  <c r="BP106" i="6"/>
  <c r="BP105" i="6"/>
  <c r="BP104" i="6"/>
  <c r="BP103" i="6"/>
  <c r="BP102" i="6"/>
  <c r="BP101" i="6"/>
  <c r="BP100" i="6"/>
  <c r="BP99" i="6"/>
  <c r="BP98" i="6"/>
  <c r="BP97" i="6"/>
  <c r="BP96" i="6"/>
  <c r="BP95" i="6"/>
  <c r="BP94" i="6"/>
  <c r="BP93" i="6"/>
  <c r="BP92" i="6"/>
  <c r="BP91" i="6"/>
  <c r="BP90" i="6"/>
  <c r="BP89" i="6"/>
  <c r="BP88" i="6"/>
  <c r="BP87" i="6"/>
  <c r="BP86" i="6"/>
  <c r="BP85" i="6"/>
  <c r="BP84" i="6"/>
  <c r="BP83" i="6"/>
  <c r="BP82" i="6"/>
  <c r="BP81" i="6"/>
  <c r="BP80" i="6"/>
  <c r="BP79" i="6"/>
  <c r="BP78" i="6"/>
  <c r="BP77" i="6"/>
  <c r="BP76" i="6"/>
  <c r="BP75" i="6"/>
  <c r="BP74" i="6"/>
  <c r="BP73" i="6"/>
  <c r="BP72" i="6"/>
  <c r="BP71" i="6"/>
  <c r="BP70" i="6"/>
  <c r="BP69" i="6"/>
  <c r="BP68" i="6"/>
  <c r="BP67" i="6"/>
  <c r="BP66" i="6"/>
  <c r="BP65" i="6"/>
  <c r="BP64" i="6"/>
  <c r="BP63" i="6"/>
  <c r="BP62" i="6"/>
  <c r="BP60" i="6"/>
  <c r="BP59" i="6"/>
  <c r="BP58" i="6"/>
  <c r="BP57" i="6"/>
  <c r="BP56" i="6"/>
  <c r="BP55" i="6"/>
  <c r="BP54" i="6"/>
  <c r="BP53" i="6"/>
  <c r="BP52" i="6"/>
  <c r="BP51" i="6"/>
  <c r="BP50" i="6"/>
  <c r="BP49" i="6"/>
  <c r="BP48" i="6"/>
  <c r="BP47" i="6"/>
  <c r="BP46" i="6"/>
  <c r="BP45" i="6"/>
  <c r="BP44" i="6"/>
  <c r="BP43" i="6"/>
  <c r="BP42" i="6"/>
  <c r="BP41" i="6"/>
  <c r="BP40" i="6"/>
  <c r="BP39" i="6"/>
  <c r="BP38" i="6"/>
  <c r="BP37" i="6"/>
  <c r="BP36" i="6"/>
  <c r="BP35" i="6"/>
  <c r="BP34" i="6"/>
  <c r="BP33" i="6"/>
  <c r="BP32" i="6"/>
  <c r="BP31" i="6"/>
  <c r="BP30" i="6"/>
  <c r="BP29" i="6"/>
  <c r="BP28" i="6"/>
  <c r="BP27" i="6"/>
  <c r="BP26" i="6"/>
  <c r="BP25" i="6"/>
  <c r="BP24" i="6"/>
  <c r="BP23" i="6"/>
  <c r="BP22" i="6"/>
  <c r="BP21" i="6"/>
  <c r="BP61" i="6"/>
  <c r="AL28" i="11" l="1"/>
  <c r="AK28" i="11"/>
  <c r="AH29" i="11"/>
  <c r="AJ29" i="11" s="1"/>
  <c r="AO28" i="11"/>
  <c r="AP28" i="11"/>
  <c r="AR28" i="11"/>
  <c r="AN28" i="11"/>
  <c r="AQ28" i="11"/>
  <c r="AI28" i="11"/>
  <c r="AT28" i="11"/>
  <c r="AW28" i="11"/>
  <c r="AX28" i="11"/>
  <c r="AV28" i="11"/>
  <c r="AU28" i="11"/>
  <c r="BQ15" i="6"/>
  <c r="J14" i="11" s="1"/>
  <c r="K37" i="2"/>
  <c r="K30" i="2"/>
  <c r="K23" i="2"/>
  <c r="K16" i="2"/>
  <c r="B39" i="2"/>
  <c r="AL29" i="11" l="1"/>
  <c r="AK29" i="11"/>
  <c r="AH30" i="11"/>
  <c r="AJ30" i="11" s="1"/>
  <c r="AR29" i="11"/>
  <c r="AN29" i="11"/>
  <c r="AO29" i="11"/>
  <c r="AP29" i="11"/>
  <c r="AQ29" i="11"/>
  <c r="AI29" i="11"/>
  <c r="AV29" i="11"/>
  <c r="AW29" i="11"/>
  <c r="AX29" i="11"/>
  <c r="AU29" i="11"/>
  <c r="AT29" i="11"/>
  <c r="H22" i="11"/>
  <c r="F64" i="2"/>
  <c r="F30" i="2"/>
  <c r="F18" i="2"/>
  <c r="H18" i="2"/>
  <c r="B54" i="2"/>
  <c r="D77" i="2"/>
  <c r="D71" i="2"/>
  <c r="B47" i="2"/>
  <c r="H23" i="11" l="1"/>
  <c r="J23" i="11" s="1"/>
  <c r="J22" i="11"/>
  <c r="AL30" i="11"/>
  <c r="AK30" i="11"/>
  <c r="AH31" i="11"/>
  <c r="AJ31" i="11" s="1"/>
  <c r="AP30" i="11"/>
  <c r="AQ30" i="11"/>
  <c r="AO30" i="11"/>
  <c r="AR30" i="11"/>
  <c r="AN30" i="11"/>
  <c r="AI30" i="11"/>
  <c r="AX30" i="11"/>
  <c r="AV30" i="11"/>
  <c r="AT30" i="11"/>
  <c r="AW30" i="11"/>
  <c r="AU30" i="11"/>
  <c r="I22" i="11"/>
  <c r="I23" i="11" s="1"/>
  <c r="K22" i="11"/>
  <c r="P23" i="11"/>
  <c r="W23" i="11"/>
  <c r="L22" i="11"/>
  <c r="O22" i="11"/>
  <c r="R22" i="11"/>
  <c r="N22" i="11"/>
  <c r="Q22" i="11"/>
  <c r="P22" i="11"/>
  <c r="X22" i="11"/>
  <c r="U22" i="11"/>
  <c r="W22" i="11"/>
  <c r="V22" i="11"/>
  <c r="T22" i="11"/>
  <c r="H24" i="11"/>
  <c r="J24" i="11" s="1"/>
  <c r="V23" i="11" l="1"/>
  <c r="K23" i="11"/>
  <c r="T23" i="11"/>
  <c r="Q23" i="11"/>
  <c r="X23" i="11"/>
  <c r="L23" i="11"/>
  <c r="U23" i="11"/>
  <c r="R23" i="11"/>
  <c r="N23" i="11"/>
  <c r="O23" i="11"/>
  <c r="AH32" i="11"/>
  <c r="AJ32" i="11" s="1"/>
  <c r="AL31" i="11"/>
  <c r="AK31" i="11"/>
  <c r="AP31" i="11"/>
  <c r="AN31" i="11"/>
  <c r="AQ31" i="11"/>
  <c r="AR31" i="11"/>
  <c r="AO31" i="11"/>
  <c r="AI31" i="11"/>
  <c r="AX31" i="11"/>
  <c r="AW31" i="11"/>
  <c r="AV31" i="11"/>
  <c r="AT31" i="11"/>
  <c r="AU31" i="11"/>
  <c r="L24" i="11"/>
  <c r="P24" i="11"/>
  <c r="R24" i="11"/>
  <c r="Q24" i="11"/>
  <c r="N24" i="11"/>
  <c r="O24" i="11"/>
  <c r="U24" i="11"/>
  <c r="V24" i="11"/>
  <c r="W24" i="11"/>
  <c r="T24" i="11"/>
  <c r="X24" i="11"/>
  <c r="I24" i="11"/>
  <c r="H25" i="11"/>
  <c r="J25" i="11" s="1"/>
  <c r="K24" i="11"/>
  <c r="AK32" i="11" l="1"/>
  <c r="AQ32" i="11"/>
  <c r="AL32" i="11"/>
  <c r="AO32" i="11"/>
  <c r="AR32" i="11"/>
  <c r="AN32" i="11"/>
  <c r="AH33" i="11"/>
  <c r="AJ33" i="11" s="1"/>
  <c r="AP32" i="11"/>
  <c r="AI32" i="11"/>
  <c r="AV32" i="11"/>
  <c r="AT32" i="11"/>
  <c r="AW32" i="11"/>
  <c r="AX32" i="11"/>
  <c r="AU32" i="11"/>
  <c r="L25" i="11"/>
  <c r="P25" i="11"/>
  <c r="N25" i="11"/>
  <c r="O25" i="11"/>
  <c r="R25" i="11"/>
  <c r="Q25" i="11"/>
  <c r="T25" i="11"/>
  <c r="V25" i="11"/>
  <c r="W25" i="11"/>
  <c r="U25" i="11"/>
  <c r="X25" i="11"/>
  <c r="K25" i="11"/>
  <c r="H26" i="11"/>
  <c r="J26" i="11" s="1"/>
  <c r="I25" i="11"/>
  <c r="AN33" i="11" l="1"/>
  <c r="AQ33" i="11"/>
  <c r="AR33" i="11"/>
  <c r="AK33" i="11"/>
  <c r="AO33" i="11"/>
  <c r="AH34" i="11"/>
  <c r="AJ34" i="11" s="1"/>
  <c r="AL33" i="11"/>
  <c r="AP33" i="11"/>
  <c r="AI33" i="11"/>
  <c r="AX33" i="11"/>
  <c r="AV33" i="11"/>
  <c r="AT33" i="11"/>
  <c r="AW33" i="11"/>
  <c r="AU33" i="11"/>
  <c r="I26" i="11"/>
  <c r="L26" i="11"/>
  <c r="R26" i="11"/>
  <c r="P26" i="11"/>
  <c r="O26" i="11"/>
  <c r="N26" i="11"/>
  <c r="Q26" i="11"/>
  <c r="T26" i="11"/>
  <c r="U26" i="11"/>
  <c r="W26" i="11"/>
  <c r="V26" i="11"/>
  <c r="X26" i="11"/>
  <c r="H27" i="11"/>
  <c r="J27" i="11" s="1"/>
  <c r="K26" i="11"/>
  <c r="AQ34" i="11" l="1"/>
  <c r="AK34" i="11"/>
  <c r="AL34" i="11"/>
  <c r="AO34" i="11"/>
  <c r="AH35" i="11"/>
  <c r="AJ35" i="11" s="1"/>
  <c r="AR34" i="11"/>
  <c r="AP34" i="11"/>
  <c r="AN34" i="11"/>
  <c r="AI34" i="11"/>
  <c r="AT34" i="11"/>
  <c r="AW34" i="11"/>
  <c r="AV34" i="11"/>
  <c r="AX34" i="11"/>
  <c r="AU34" i="11"/>
  <c r="L27" i="11"/>
  <c r="Q27" i="11"/>
  <c r="O27" i="11"/>
  <c r="R27" i="11"/>
  <c r="P27" i="11"/>
  <c r="N27" i="11"/>
  <c r="X27" i="11"/>
  <c r="U27" i="11"/>
  <c r="V27" i="11"/>
  <c r="T27" i="11"/>
  <c r="W27" i="11"/>
  <c r="H28" i="11"/>
  <c r="J28" i="11" s="1"/>
  <c r="K27" i="11"/>
  <c r="I27" i="11"/>
  <c r="AL35" i="11" l="1"/>
  <c r="AN35" i="11"/>
  <c r="AH36" i="11"/>
  <c r="AJ36" i="11" s="1"/>
  <c r="AR35" i="11"/>
  <c r="AP35" i="11"/>
  <c r="AK35" i="11"/>
  <c r="AQ35" i="11"/>
  <c r="AO35" i="11"/>
  <c r="AI35" i="11"/>
  <c r="AX35" i="11"/>
  <c r="AV35" i="11"/>
  <c r="AT35" i="11"/>
  <c r="AW35" i="11"/>
  <c r="AU35" i="11"/>
  <c r="L28" i="11"/>
  <c r="R28" i="11"/>
  <c r="N28" i="11"/>
  <c r="Q28" i="11"/>
  <c r="O28" i="11"/>
  <c r="P28" i="11"/>
  <c r="X28" i="11"/>
  <c r="T28" i="11"/>
  <c r="W28" i="11"/>
  <c r="U28" i="11"/>
  <c r="V28" i="11"/>
  <c r="K28" i="11"/>
  <c r="H29" i="11"/>
  <c r="J29" i="11" s="1"/>
  <c r="I28" i="11"/>
  <c r="AQ36" i="11" l="1"/>
  <c r="AK36" i="11"/>
  <c r="AL36" i="11"/>
  <c r="AO36" i="11"/>
  <c r="AN36" i="11"/>
  <c r="AR36" i="11"/>
  <c r="AH37" i="11"/>
  <c r="AJ37" i="11" s="1"/>
  <c r="AP36" i="11"/>
  <c r="AI36" i="11"/>
  <c r="AX36" i="11"/>
  <c r="AV36" i="11"/>
  <c r="AT36" i="11"/>
  <c r="AU36" i="11"/>
  <c r="AW36" i="11"/>
  <c r="I29" i="11"/>
  <c r="L29" i="11"/>
  <c r="R29" i="11"/>
  <c r="N29" i="11"/>
  <c r="O29" i="11"/>
  <c r="P29" i="11"/>
  <c r="Q29" i="11"/>
  <c r="X29" i="11"/>
  <c r="V29" i="11"/>
  <c r="T29" i="11"/>
  <c r="U29" i="11"/>
  <c r="W29" i="11"/>
  <c r="K29" i="11"/>
  <c r="H30" i="11"/>
  <c r="J30" i="11" s="1"/>
  <c r="AO37" i="11" l="1"/>
  <c r="AH38" i="11"/>
  <c r="AJ38" i="11" s="1"/>
  <c r="AI37" i="11"/>
  <c r="AQ37" i="11"/>
  <c r="AK37" i="11"/>
  <c r="AL37" i="11"/>
  <c r="AP37" i="11"/>
  <c r="AR37" i="11"/>
  <c r="AN37" i="11"/>
  <c r="AX37" i="11"/>
  <c r="AT37" i="11"/>
  <c r="AU37" i="11"/>
  <c r="AV37" i="11"/>
  <c r="AW37" i="11"/>
  <c r="L30" i="11"/>
  <c r="N30" i="11"/>
  <c r="Q30" i="11"/>
  <c r="P30" i="11"/>
  <c r="R30" i="11"/>
  <c r="O30" i="11"/>
  <c r="X30" i="11"/>
  <c r="V30" i="11"/>
  <c r="U30" i="11"/>
  <c r="T30" i="11"/>
  <c r="W30" i="11"/>
  <c r="H31" i="11"/>
  <c r="J31" i="11" s="1"/>
  <c r="K30" i="11"/>
  <c r="I30" i="11"/>
  <c r="AN38" i="11" l="1"/>
  <c r="AI38" i="11"/>
  <c r="AL38" i="11"/>
  <c r="AQ38" i="11"/>
  <c r="AK38" i="11"/>
  <c r="AO38" i="11"/>
  <c r="AP38" i="11"/>
  <c r="AR38" i="11"/>
  <c r="AH39" i="11"/>
  <c r="AJ39" i="11" s="1"/>
  <c r="AV38" i="11"/>
  <c r="AX38" i="11"/>
  <c r="AT38" i="11"/>
  <c r="AW38" i="11"/>
  <c r="AU38" i="11"/>
  <c r="L31" i="11"/>
  <c r="R31" i="11"/>
  <c r="P31" i="11"/>
  <c r="Q31" i="11"/>
  <c r="O31" i="11"/>
  <c r="N31" i="11"/>
  <c r="X31" i="11"/>
  <c r="V31" i="11"/>
  <c r="W31" i="11"/>
  <c r="T31" i="11"/>
  <c r="U31" i="11"/>
  <c r="I31" i="11"/>
  <c r="H32" i="11"/>
  <c r="J32" i="11" s="1"/>
  <c r="K31" i="11"/>
  <c r="AN39" i="11" l="1"/>
  <c r="AO39" i="11"/>
  <c r="AH40" i="11"/>
  <c r="AJ40" i="11" s="1"/>
  <c r="AL39" i="11"/>
  <c r="AR39" i="11"/>
  <c r="AI39" i="11"/>
  <c r="AQ39" i="11"/>
  <c r="AP39" i="11"/>
  <c r="AK39" i="11"/>
  <c r="AW39" i="11"/>
  <c r="AX39" i="11"/>
  <c r="AT39" i="11"/>
  <c r="AU39" i="11"/>
  <c r="AV39" i="11"/>
  <c r="L32" i="11"/>
  <c r="N32" i="11"/>
  <c r="O32" i="11"/>
  <c r="Q32" i="11"/>
  <c r="P32" i="11"/>
  <c r="R32" i="11"/>
  <c r="W32" i="11"/>
  <c r="X32" i="11"/>
  <c r="T32" i="11"/>
  <c r="U32" i="11"/>
  <c r="V32" i="11"/>
  <c r="I32" i="11"/>
  <c r="K32" i="11"/>
  <c r="H33" i="11"/>
  <c r="J33" i="11" s="1"/>
  <c r="AO40" i="11" l="1"/>
  <c r="AI40" i="11"/>
  <c r="AN40" i="11"/>
  <c r="AL40" i="11"/>
  <c r="AR40" i="11"/>
  <c r="AK40" i="11"/>
  <c r="AP40" i="11"/>
  <c r="AQ40" i="11"/>
  <c r="AH41" i="11"/>
  <c r="AJ41" i="11" s="1"/>
  <c r="AU40" i="11"/>
  <c r="AX40" i="11"/>
  <c r="AV40" i="11"/>
  <c r="AT40" i="11"/>
  <c r="AW40" i="11"/>
  <c r="L33" i="11"/>
  <c r="O33" i="11"/>
  <c r="R33" i="11"/>
  <c r="Q33" i="11"/>
  <c r="N33" i="11"/>
  <c r="P33" i="11"/>
  <c r="V33" i="11"/>
  <c r="U33" i="11"/>
  <c r="X33" i="11"/>
  <c r="T33" i="11"/>
  <c r="W33" i="11"/>
  <c r="H34" i="11"/>
  <c r="J34" i="11" s="1"/>
  <c r="K33" i="11"/>
  <c r="I33" i="11"/>
  <c r="AN41" i="11" l="1"/>
  <c r="AR41" i="11"/>
  <c r="AO41" i="11"/>
  <c r="AH42" i="11"/>
  <c r="AJ42" i="11" s="1"/>
  <c r="AQ41" i="11"/>
  <c r="AI41" i="11"/>
  <c r="AL41" i="11"/>
  <c r="AP41" i="11"/>
  <c r="AK41" i="11"/>
  <c r="AT41" i="11"/>
  <c r="AX41" i="11"/>
  <c r="AW41" i="11"/>
  <c r="AU41" i="11"/>
  <c r="AV41" i="11"/>
  <c r="L34" i="11"/>
  <c r="N34" i="11"/>
  <c r="Q34" i="11"/>
  <c r="R34" i="11"/>
  <c r="P34" i="11"/>
  <c r="O34" i="11"/>
  <c r="X34" i="11"/>
  <c r="U34" i="11"/>
  <c r="V34" i="11"/>
  <c r="T34" i="11"/>
  <c r="W34" i="11"/>
  <c r="K34" i="11"/>
  <c r="I34" i="11"/>
  <c r="H35" i="11"/>
  <c r="J35" i="11" s="1"/>
  <c r="AO42" i="11" l="1"/>
  <c r="AP42" i="11"/>
  <c r="AR42" i="11"/>
  <c r="AH43" i="11"/>
  <c r="AJ43" i="11" s="1"/>
  <c r="AN42" i="11"/>
  <c r="AI42" i="11"/>
  <c r="AL42" i="11"/>
  <c r="AQ42" i="11"/>
  <c r="AK42" i="11"/>
  <c r="AU42" i="11"/>
  <c r="AT42" i="11"/>
  <c r="AX42" i="11"/>
  <c r="AV42" i="11"/>
  <c r="AW42" i="11"/>
  <c r="L35" i="11"/>
  <c r="R35" i="11"/>
  <c r="P35" i="11"/>
  <c r="N35" i="11"/>
  <c r="O35" i="11"/>
  <c r="Q35" i="11"/>
  <c r="W35" i="11"/>
  <c r="U35" i="11"/>
  <c r="V35" i="11"/>
  <c r="X35" i="11"/>
  <c r="T35" i="11"/>
  <c r="I35" i="11"/>
  <c r="H36" i="11"/>
  <c r="J36" i="11" s="1"/>
  <c r="K35" i="11"/>
  <c r="AQ43" i="11" l="1"/>
  <c r="AN43" i="11"/>
  <c r="AU43" i="11"/>
  <c r="AR43" i="11"/>
  <c r="AP43" i="11"/>
  <c r="AW43" i="11"/>
  <c r="AV43" i="11"/>
  <c r="AX43" i="11"/>
  <c r="AI43" i="11"/>
  <c r="AL43" i="11"/>
  <c r="AO43" i="11"/>
  <c r="AT43" i="11"/>
  <c r="AK43" i="11"/>
  <c r="AH44" i="11"/>
  <c r="AJ44" i="11" s="1"/>
  <c r="L36" i="11"/>
  <c r="N36" i="11"/>
  <c r="P36" i="11"/>
  <c r="Q36" i="11"/>
  <c r="O36" i="11"/>
  <c r="R36" i="11"/>
  <c r="V36" i="11"/>
  <c r="T36" i="11"/>
  <c r="U36" i="11"/>
  <c r="X36" i="11"/>
  <c r="W36" i="11"/>
  <c r="H37" i="11"/>
  <c r="J37" i="11" s="1"/>
  <c r="K36" i="11"/>
  <c r="I36" i="11"/>
  <c r="AX44" i="11" l="1"/>
  <c r="AR44" i="11"/>
  <c r="AQ44" i="11"/>
  <c r="AW44" i="11"/>
  <c r="AO44" i="11"/>
  <c r="AT44" i="11"/>
  <c r="AH45" i="11"/>
  <c r="AJ45" i="11" s="1"/>
  <c r="AP44" i="11"/>
  <c r="AU44" i="11"/>
  <c r="AI44" i="11"/>
  <c r="AL44" i="11"/>
  <c r="AN44" i="11"/>
  <c r="AV44" i="11"/>
  <c r="AK44" i="11"/>
  <c r="L37" i="11"/>
  <c r="Q37" i="11"/>
  <c r="P37" i="11"/>
  <c r="R37" i="11"/>
  <c r="O37" i="11"/>
  <c r="N37" i="11"/>
  <c r="U37" i="11"/>
  <c r="V37" i="11"/>
  <c r="X37" i="11"/>
  <c r="W37" i="11"/>
  <c r="T37" i="11"/>
  <c r="K37" i="11"/>
  <c r="I37" i="11"/>
  <c r="H38" i="11"/>
  <c r="J38" i="11" s="1"/>
  <c r="AL45" i="11" l="1"/>
  <c r="AR45" i="11"/>
  <c r="AX45" i="11"/>
  <c r="AH46" i="11"/>
  <c r="AJ46" i="11" s="1"/>
  <c r="AN45" i="11"/>
  <c r="AQ45" i="11"/>
  <c r="AV45" i="11"/>
  <c r="AI45" i="11"/>
  <c r="AP45" i="11"/>
  <c r="AT45" i="11"/>
  <c r="AW45" i="11"/>
  <c r="AK45" i="11"/>
  <c r="AO45" i="11"/>
  <c r="AU45" i="11"/>
  <c r="L38" i="11"/>
  <c r="N38" i="11"/>
  <c r="P38" i="11"/>
  <c r="Q38" i="11"/>
  <c r="O38" i="11"/>
  <c r="R38" i="11"/>
  <c r="X38" i="11"/>
  <c r="W38" i="11"/>
  <c r="V38" i="11"/>
  <c r="T38" i="11"/>
  <c r="U38" i="11"/>
  <c r="K38" i="11"/>
  <c r="I38" i="11"/>
  <c r="H39" i="11"/>
  <c r="J39" i="11" s="1"/>
  <c r="AL46" i="11" l="1"/>
  <c r="AN46" i="11"/>
  <c r="AU46" i="11"/>
  <c r="AH47" i="11"/>
  <c r="AJ47" i="11" s="1"/>
  <c r="AO46" i="11"/>
  <c r="AW46" i="11"/>
  <c r="AK46" i="11"/>
  <c r="AP46" i="11"/>
  <c r="AR46" i="11"/>
  <c r="AT46" i="11"/>
  <c r="AX46" i="11"/>
  <c r="AQ46" i="11"/>
  <c r="AV46" i="11"/>
  <c r="AI46" i="11"/>
  <c r="L39" i="11"/>
  <c r="Q39" i="11"/>
  <c r="O39" i="11"/>
  <c r="N39" i="11"/>
  <c r="P39" i="11"/>
  <c r="R39" i="11"/>
  <c r="V39" i="11"/>
  <c r="W39" i="11"/>
  <c r="T39" i="11"/>
  <c r="X39" i="11"/>
  <c r="U39" i="11"/>
  <c r="I39" i="11"/>
  <c r="H40" i="11"/>
  <c r="J40" i="11" s="1"/>
  <c r="K39" i="11"/>
  <c r="AP47" i="11" l="1"/>
  <c r="AU47" i="11"/>
  <c r="AV47" i="11"/>
  <c r="AK47" i="11"/>
  <c r="AH48" i="11"/>
  <c r="AJ48" i="11" s="1"/>
  <c r="AR47" i="11"/>
  <c r="AW47" i="11"/>
  <c r="AL47" i="11"/>
  <c r="AO47" i="11"/>
  <c r="AT47" i="11"/>
  <c r="AI47" i="11"/>
  <c r="AQ47" i="11"/>
  <c r="AN47" i="11"/>
  <c r="AX47" i="11"/>
  <c r="L40" i="11"/>
  <c r="Q40" i="11"/>
  <c r="N40" i="11"/>
  <c r="P40" i="11"/>
  <c r="R40" i="11"/>
  <c r="O40" i="11"/>
  <c r="W40" i="11"/>
  <c r="T40" i="11"/>
  <c r="U40" i="11"/>
  <c r="X40" i="11"/>
  <c r="V40" i="11"/>
  <c r="H41" i="11"/>
  <c r="J41" i="11" s="1"/>
  <c r="K40" i="11"/>
  <c r="I40" i="11"/>
  <c r="AL48" i="11" l="1"/>
  <c r="AP48" i="11"/>
  <c r="AV48" i="11"/>
  <c r="AI48" i="11"/>
  <c r="AW48" i="11"/>
  <c r="AO48" i="11"/>
  <c r="AR48" i="11"/>
  <c r="AX48" i="11"/>
  <c r="AN48" i="11"/>
  <c r="AT48" i="11"/>
  <c r="AU48" i="11"/>
  <c r="AK48" i="11"/>
  <c r="AQ48" i="11"/>
  <c r="AH49" i="11"/>
  <c r="AJ49" i="11" s="1"/>
  <c r="L41" i="11"/>
  <c r="N41" i="11"/>
  <c r="R41" i="11"/>
  <c r="P41" i="11"/>
  <c r="O41" i="11"/>
  <c r="Q41" i="11"/>
  <c r="W41" i="11"/>
  <c r="V41" i="11"/>
  <c r="U41" i="11"/>
  <c r="T41" i="11"/>
  <c r="X41" i="11"/>
  <c r="H42" i="11"/>
  <c r="J42" i="11" s="1"/>
  <c r="K41" i="11"/>
  <c r="I41" i="11"/>
  <c r="AR49" i="11" l="1"/>
  <c r="AX49" i="11"/>
  <c r="AI49" i="11"/>
  <c r="AN49" i="11"/>
  <c r="AP49" i="11"/>
  <c r="AV49" i="11"/>
  <c r="AO49" i="11"/>
  <c r="AU49" i="11"/>
  <c r="AW49" i="11"/>
  <c r="AL49" i="11"/>
  <c r="AQ49" i="11"/>
  <c r="AT49" i="11"/>
  <c r="AH50" i="11"/>
  <c r="AJ50" i="11" s="1"/>
  <c r="AK49" i="11"/>
  <c r="L42" i="11"/>
  <c r="R42" i="11"/>
  <c r="Q42" i="11"/>
  <c r="P42" i="11"/>
  <c r="O42" i="11"/>
  <c r="N42" i="11"/>
  <c r="X42" i="11"/>
  <c r="W42" i="11"/>
  <c r="V42" i="11"/>
  <c r="T42" i="11"/>
  <c r="U42" i="11"/>
  <c r="K42" i="11"/>
  <c r="I42" i="11"/>
  <c r="H43" i="11"/>
  <c r="J43" i="11" s="1"/>
  <c r="AN50" i="11" l="1"/>
  <c r="AW50" i="11"/>
  <c r="AK50" i="11"/>
  <c r="AI50" i="11"/>
  <c r="AL50" i="11"/>
  <c r="AO50" i="11"/>
  <c r="AV50" i="11"/>
  <c r="AQ50" i="11"/>
  <c r="AP50" i="11"/>
  <c r="AX50" i="11"/>
  <c r="AH51" i="11"/>
  <c r="AJ51" i="11" s="1"/>
  <c r="AR50" i="11"/>
  <c r="AT50" i="11"/>
  <c r="AU50" i="11"/>
  <c r="L43" i="11"/>
  <c r="N43" i="11"/>
  <c r="R43" i="11"/>
  <c r="Q43" i="11"/>
  <c r="O43" i="11"/>
  <c r="P43" i="11"/>
  <c r="U43" i="11"/>
  <c r="V43" i="11"/>
  <c r="X43" i="11"/>
  <c r="W43" i="11"/>
  <c r="T43" i="11"/>
  <c r="K43" i="11"/>
  <c r="I43" i="11"/>
  <c r="H44" i="11"/>
  <c r="J44" i="11" s="1"/>
  <c r="AK51" i="11" l="1"/>
  <c r="AQ51" i="11"/>
  <c r="AW51" i="11"/>
  <c r="AV51" i="11"/>
  <c r="AP51" i="11"/>
  <c r="AX51" i="11"/>
  <c r="AH52" i="11"/>
  <c r="AJ52" i="11" s="1"/>
  <c r="AL51" i="11"/>
  <c r="AN51" i="11"/>
  <c r="AU51" i="11"/>
  <c r="AI51" i="11"/>
  <c r="AR51" i="11"/>
  <c r="AO51" i="11"/>
  <c r="AT51" i="11"/>
  <c r="L44" i="11"/>
  <c r="O44" i="11"/>
  <c r="P44" i="11"/>
  <c r="Q44" i="11"/>
  <c r="R44" i="11"/>
  <c r="N44" i="11"/>
  <c r="V44" i="11"/>
  <c r="W44" i="11"/>
  <c r="X44" i="11"/>
  <c r="T44" i="11"/>
  <c r="U44" i="11"/>
  <c r="K44" i="11"/>
  <c r="I44" i="11"/>
  <c r="H45" i="11"/>
  <c r="J45" i="11" s="1"/>
  <c r="AL52" i="11" l="1"/>
  <c r="AN52" i="11"/>
  <c r="AW52" i="11"/>
  <c r="AK52" i="11"/>
  <c r="AI52" i="11"/>
  <c r="AO52" i="11"/>
  <c r="AQ52" i="11"/>
  <c r="AX52" i="11"/>
  <c r="AP52" i="11"/>
  <c r="AT52" i="11"/>
  <c r="AU52" i="11"/>
  <c r="AH53" i="11"/>
  <c r="AJ53" i="11" s="1"/>
  <c r="AR52" i="11"/>
  <c r="AV52" i="11"/>
  <c r="L45" i="11"/>
  <c r="P45" i="11"/>
  <c r="N45" i="11"/>
  <c r="R45" i="11"/>
  <c r="O45" i="11"/>
  <c r="Q45" i="11"/>
  <c r="U45" i="11"/>
  <c r="X45" i="11"/>
  <c r="W45" i="11"/>
  <c r="V45" i="11"/>
  <c r="T45" i="11"/>
  <c r="H46" i="11"/>
  <c r="J46" i="11" s="1"/>
  <c r="K45" i="11"/>
  <c r="I45" i="11"/>
  <c r="AO53" i="11" l="1"/>
  <c r="AT53" i="11"/>
  <c r="AK53" i="11"/>
  <c r="AN53" i="11"/>
  <c r="AW53" i="11"/>
  <c r="AU53" i="11"/>
  <c r="AI53" i="11"/>
  <c r="AL53" i="11"/>
  <c r="AR53" i="11"/>
  <c r="AX53" i="11"/>
  <c r="AP53" i="11"/>
  <c r="AQ53" i="11"/>
  <c r="AV53" i="11"/>
  <c r="AH54" i="11"/>
  <c r="AJ54" i="11" s="1"/>
  <c r="L46" i="11"/>
  <c r="P46" i="11"/>
  <c r="N46" i="11"/>
  <c r="R46" i="11"/>
  <c r="O46" i="11"/>
  <c r="Q46" i="11"/>
  <c r="U46" i="11"/>
  <c r="X46" i="11"/>
  <c r="V46" i="11"/>
  <c r="T46" i="11"/>
  <c r="W46" i="11"/>
  <c r="I46" i="11"/>
  <c r="H47" i="11"/>
  <c r="J47" i="11" s="1"/>
  <c r="K46" i="11"/>
  <c r="AL54" i="11" l="1"/>
  <c r="AO54" i="11"/>
  <c r="AU54" i="11"/>
  <c r="AK54" i="11"/>
  <c r="AN54" i="11"/>
  <c r="AI54" i="11"/>
  <c r="AP54" i="11"/>
  <c r="AQ54" i="11"/>
  <c r="AX54" i="11"/>
  <c r="AV54" i="11"/>
  <c r="AR54" i="11"/>
  <c r="AT54" i="11"/>
  <c r="AW54" i="11"/>
  <c r="AH55" i="11"/>
  <c r="AJ55" i="11" s="1"/>
  <c r="L47" i="11"/>
  <c r="N47" i="11"/>
  <c r="P47" i="11"/>
  <c r="Q47" i="11"/>
  <c r="R47" i="11"/>
  <c r="O47" i="11"/>
  <c r="T47" i="11"/>
  <c r="X47" i="11"/>
  <c r="W47" i="11"/>
  <c r="U47" i="11"/>
  <c r="V47" i="11"/>
  <c r="I47" i="11"/>
  <c r="H48" i="11"/>
  <c r="J48" i="11" s="1"/>
  <c r="K47" i="11"/>
  <c r="AL55" i="11" l="1"/>
  <c r="AR55" i="11"/>
  <c r="AX55" i="11"/>
  <c r="AK55" i="11"/>
  <c r="AH56" i="11"/>
  <c r="AJ56" i="11" s="1"/>
  <c r="AQ55" i="11"/>
  <c r="AO55" i="11"/>
  <c r="AU55" i="11"/>
  <c r="AI55" i="11"/>
  <c r="AN55" i="11"/>
  <c r="AT55" i="11"/>
  <c r="AP55" i="11"/>
  <c r="AV55" i="11"/>
  <c r="AW55" i="11"/>
  <c r="L48" i="11"/>
  <c r="O48" i="11"/>
  <c r="P48" i="11"/>
  <c r="R48" i="11"/>
  <c r="Q48" i="11"/>
  <c r="N48" i="11"/>
  <c r="V48" i="11"/>
  <c r="W48" i="11"/>
  <c r="T48" i="11"/>
  <c r="U48" i="11"/>
  <c r="X48" i="11"/>
  <c r="I48" i="11"/>
  <c r="H49" i="11"/>
  <c r="J49" i="11" s="1"/>
  <c r="K48" i="11"/>
  <c r="AL56" i="11" l="1"/>
  <c r="AQ56" i="11"/>
  <c r="AX56" i="11"/>
  <c r="AK56" i="11"/>
  <c r="AW56" i="11"/>
  <c r="AH57" i="11"/>
  <c r="AJ57" i="11" s="1"/>
  <c r="AO56" i="11"/>
  <c r="AT56" i="11"/>
  <c r="AI56" i="11"/>
  <c r="AP56" i="11"/>
  <c r="AR56" i="11"/>
  <c r="AU56" i="11"/>
  <c r="AN56" i="11"/>
  <c r="AV56" i="11"/>
  <c r="L49" i="11"/>
  <c r="O49" i="11"/>
  <c r="Q49" i="11"/>
  <c r="N49" i="11"/>
  <c r="P49" i="11"/>
  <c r="R49" i="11"/>
  <c r="T49" i="11"/>
  <c r="X49" i="11"/>
  <c r="V49" i="11"/>
  <c r="U49" i="11"/>
  <c r="W49" i="11"/>
  <c r="I49" i="11"/>
  <c r="H50" i="11"/>
  <c r="J50" i="11" s="1"/>
  <c r="K49" i="11"/>
  <c r="AR57" i="11" l="1"/>
  <c r="AO57" i="11"/>
  <c r="AW57" i="11"/>
  <c r="AQ57" i="11"/>
  <c r="AV57" i="11"/>
  <c r="AT57" i="11"/>
  <c r="AN57" i="11"/>
  <c r="AU57" i="11"/>
  <c r="AI57" i="11"/>
  <c r="AL57" i="11"/>
  <c r="AP57" i="11"/>
  <c r="AX57" i="11"/>
  <c r="AK57" i="11"/>
  <c r="AH58" i="11"/>
  <c r="AJ58" i="11" s="1"/>
  <c r="L50" i="11"/>
  <c r="Q50" i="11"/>
  <c r="P50" i="11"/>
  <c r="R50" i="11"/>
  <c r="N50" i="11"/>
  <c r="O50" i="11"/>
  <c r="T50" i="11"/>
  <c r="W50" i="11"/>
  <c r="V50" i="11"/>
  <c r="X50" i="11"/>
  <c r="U50" i="11"/>
  <c r="I50" i="11"/>
  <c r="H51" i="11"/>
  <c r="J51" i="11" s="1"/>
  <c r="K50" i="11"/>
  <c r="AN58" i="11" l="1"/>
  <c r="AO58" i="11"/>
  <c r="AW58" i="11"/>
  <c r="AH59" i="11"/>
  <c r="AJ59" i="11" s="1"/>
  <c r="AQ58" i="11"/>
  <c r="AV58" i="11"/>
  <c r="AP58" i="11"/>
  <c r="AR58" i="11"/>
  <c r="AX58" i="11"/>
  <c r="AU58" i="11"/>
  <c r="AI58" i="11"/>
  <c r="AL58" i="11"/>
  <c r="AT58" i="11"/>
  <c r="AK58" i="11"/>
  <c r="L51" i="11"/>
  <c r="N51" i="11"/>
  <c r="R51" i="11"/>
  <c r="O51" i="11"/>
  <c r="P51" i="11"/>
  <c r="Q51" i="11"/>
  <c r="U51" i="11"/>
  <c r="V51" i="11"/>
  <c r="X51" i="11"/>
  <c r="T51" i="11"/>
  <c r="W51" i="11"/>
  <c r="H52" i="11"/>
  <c r="J52" i="11" s="1"/>
  <c r="K51" i="11"/>
  <c r="I51" i="11"/>
  <c r="AO59" i="11" l="1"/>
  <c r="AU59" i="11"/>
  <c r="AV59" i="11"/>
  <c r="AQ59" i="11"/>
  <c r="AT59" i="11"/>
  <c r="AI59" i="11"/>
  <c r="AL59" i="11"/>
  <c r="AP59" i="11"/>
  <c r="AW59" i="11"/>
  <c r="AH60" i="11"/>
  <c r="AJ60" i="11" s="1"/>
  <c r="AR59" i="11"/>
  <c r="AN59" i="11"/>
  <c r="AX59" i="11"/>
  <c r="AK59" i="11"/>
  <c r="L52" i="11"/>
  <c r="R52" i="11"/>
  <c r="P52" i="11"/>
  <c r="Q52" i="11"/>
  <c r="O52" i="11"/>
  <c r="N52" i="11"/>
  <c r="T52" i="11"/>
  <c r="V52" i="11"/>
  <c r="W52" i="11"/>
  <c r="X52" i="11"/>
  <c r="U52" i="11"/>
  <c r="I52" i="11"/>
  <c r="H53" i="11"/>
  <c r="J53" i="11" s="1"/>
  <c r="K52" i="11"/>
  <c r="AP60" i="11" l="1"/>
  <c r="AQ60" i="11"/>
  <c r="AU60" i="11"/>
  <c r="AK60" i="11"/>
  <c r="AO60" i="11"/>
  <c r="AT60" i="11"/>
  <c r="AV60" i="11"/>
  <c r="AL60" i="11"/>
  <c r="AR60" i="11"/>
  <c r="AX60" i="11"/>
  <c r="AH61" i="11"/>
  <c r="AJ61" i="11" s="1"/>
  <c r="AN60" i="11"/>
  <c r="AW60" i="11"/>
  <c r="AI60" i="11"/>
  <c r="L53" i="11"/>
  <c r="R53" i="11"/>
  <c r="P53" i="11"/>
  <c r="O53" i="11"/>
  <c r="Q53" i="11"/>
  <c r="N53" i="11"/>
  <c r="T53" i="11"/>
  <c r="X53" i="11"/>
  <c r="V53" i="11"/>
  <c r="U53" i="11"/>
  <c r="W53" i="11"/>
  <c r="I53" i="11"/>
  <c r="K53" i="11"/>
  <c r="H54" i="11"/>
  <c r="J54" i="11" s="1"/>
  <c r="AR61" i="11" l="1"/>
  <c r="AO61" i="11"/>
  <c r="AW61" i="11"/>
  <c r="AK61" i="11"/>
  <c r="AN61" i="11"/>
  <c r="AX61" i="11"/>
  <c r="AV61" i="11"/>
  <c r="AP61" i="11"/>
  <c r="AU61" i="11"/>
  <c r="AH62" i="11"/>
  <c r="AJ62" i="11" s="1"/>
  <c r="AL61" i="11"/>
  <c r="AT61" i="11"/>
  <c r="AQ61" i="11"/>
  <c r="AI61" i="11"/>
  <c r="L54" i="11"/>
  <c r="Q54" i="11"/>
  <c r="N54" i="11"/>
  <c r="O54" i="11"/>
  <c r="P54" i="11"/>
  <c r="R54" i="11"/>
  <c r="U54" i="11"/>
  <c r="X54" i="11"/>
  <c r="W54" i="11"/>
  <c r="V54" i="11"/>
  <c r="T54" i="11"/>
  <c r="K54" i="11"/>
  <c r="I54" i="11"/>
  <c r="H55" i="11"/>
  <c r="J55" i="11" s="1"/>
  <c r="AN62" i="11" l="1"/>
  <c r="AO62" i="11"/>
  <c r="AX62" i="11"/>
  <c r="AK62" i="11"/>
  <c r="AP62" i="11"/>
  <c r="AV62" i="11"/>
  <c r="AU62" i="11"/>
  <c r="AR62" i="11"/>
  <c r="AW62" i="11"/>
  <c r="AH63" i="11"/>
  <c r="AJ63" i="11" s="1"/>
  <c r="AL62" i="11"/>
  <c r="AQ62" i="11"/>
  <c r="AT62" i="11"/>
  <c r="AI62" i="11"/>
  <c r="L55" i="11"/>
  <c r="Q55" i="11"/>
  <c r="R55" i="11"/>
  <c r="O55" i="11"/>
  <c r="P55" i="11"/>
  <c r="N55" i="11"/>
  <c r="X55" i="11"/>
  <c r="U55" i="11"/>
  <c r="W55" i="11"/>
  <c r="V55" i="11"/>
  <c r="T55" i="11"/>
  <c r="I55" i="11"/>
  <c r="H56" i="11"/>
  <c r="J56" i="11" s="1"/>
  <c r="K55" i="11"/>
  <c r="AL63" i="11" l="1"/>
  <c r="AR63" i="11"/>
  <c r="AW63" i="11"/>
  <c r="AK63" i="11"/>
  <c r="AQ63" i="11"/>
  <c r="AX63" i="11"/>
  <c r="AV63" i="11"/>
  <c r="AP63" i="11"/>
  <c r="AO63" i="11"/>
  <c r="AT63" i="11"/>
  <c r="AH64" i="11"/>
  <c r="AJ64" i="11" s="1"/>
  <c r="AN63" i="11"/>
  <c r="AU63" i="11"/>
  <c r="AI63" i="11"/>
  <c r="L56" i="11"/>
  <c r="Q56" i="11"/>
  <c r="P56" i="11"/>
  <c r="N56" i="11"/>
  <c r="R56" i="11"/>
  <c r="O56" i="11"/>
  <c r="X56" i="11"/>
  <c r="T56" i="11"/>
  <c r="V56" i="11"/>
  <c r="U56" i="11"/>
  <c r="W56" i="11"/>
  <c r="I56" i="11"/>
  <c r="H57" i="11"/>
  <c r="J57" i="11" s="1"/>
  <c r="K56" i="11"/>
  <c r="AL64" i="11" l="1"/>
  <c r="AO64" i="11"/>
  <c r="AU64" i="11"/>
  <c r="AK64" i="11"/>
  <c r="AQ64" i="11"/>
  <c r="AW64" i="11"/>
  <c r="AI64" i="11"/>
  <c r="AP64" i="11"/>
  <c r="AR64" i="11"/>
  <c r="AT64" i="11"/>
  <c r="AN64" i="11"/>
  <c r="AX64" i="11"/>
  <c r="AV64" i="11"/>
  <c r="AH65" i="11"/>
  <c r="AJ65" i="11" s="1"/>
  <c r="L57" i="11"/>
  <c r="N57" i="11"/>
  <c r="O57" i="11"/>
  <c r="Q57" i="11"/>
  <c r="R57" i="11"/>
  <c r="P57" i="11"/>
  <c r="U57" i="11"/>
  <c r="X57" i="11"/>
  <c r="W57" i="11"/>
  <c r="T57" i="11"/>
  <c r="V57" i="11"/>
  <c r="I57" i="11"/>
  <c r="H58" i="11"/>
  <c r="J58" i="11" s="1"/>
  <c r="K57" i="11"/>
  <c r="AO65" i="11" l="1"/>
  <c r="AT65" i="11"/>
  <c r="AK65" i="11"/>
  <c r="AL65" i="11"/>
  <c r="AP65" i="11"/>
  <c r="AV65" i="11"/>
  <c r="AI65" i="11"/>
  <c r="AR65" i="11"/>
  <c r="AQ65" i="11"/>
  <c r="AW65" i="11"/>
  <c r="AN65" i="11"/>
  <c r="AX65" i="11"/>
  <c r="AU65" i="11"/>
  <c r="AH66" i="11"/>
  <c r="AJ66" i="11" s="1"/>
  <c r="L58" i="11"/>
  <c r="R58" i="11"/>
  <c r="O58" i="11"/>
  <c r="Q58" i="11"/>
  <c r="P58" i="11"/>
  <c r="N58" i="11"/>
  <c r="T58" i="11"/>
  <c r="W58" i="11"/>
  <c r="U58" i="11"/>
  <c r="X58" i="11"/>
  <c r="V58" i="11"/>
  <c r="H59" i="11"/>
  <c r="J59" i="11" s="1"/>
  <c r="K58" i="11"/>
  <c r="I58" i="11"/>
  <c r="AL66" i="11" l="1"/>
  <c r="AP66" i="11"/>
  <c r="AW66" i="11"/>
  <c r="AK66" i="11"/>
  <c r="AR66" i="11"/>
  <c r="AX66" i="11"/>
  <c r="AI66" i="11"/>
  <c r="AQ66" i="11"/>
  <c r="AN66" i="11"/>
  <c r="AV66" i="11"/>
  <c r="AO66" i="11"/>
  <c r="AU66" i="11"/>
  <c r="AT66" i="11"/>
  <c r="AH67" i="11"/>
  <c r="AJ67" i="11" s="1"/>
  <c r="L59" i="11"/>
  <c r="R59" i="11"/>
  <c r="O59" i="11"/>
  <c r="Q59" i="11"/>
  <c r="N59" i="11"/>
  <c r="P59" i="11"/>
  <c r="X59" i="11"/>
  <c r="V59" i="11"/>
  <c r="U59" i="11"/>
  <c r="T59" i="11"/>
  <c r="W59" i="11"/>
  <c r="K59" i="11"/>
  <c r="H60" i="11"/>
  <c r="J60" i="11" s="1"/>
  <c r="I59" i="11"/>
  <c r="AR67" i="11" l="1"/>
  <c r="AN67" i="11"/>
  <c r="AW67" i="11"/>
  <c r="AK67" i="11"/>
  <c r="AT67" i="11"/>
  <c r="AO67" i="11"/>
  <c r="AV67" i="11"/>
  <c r="AH68" i="11"/>
  <c r="AJ68" i="11" s="1"/>
  <c r="AI67" i="11"/>
  <c r="AQ67" i="11"/>
  <c r="AU67" i="11"/>
  <c r="AL67" i="11"/>
  <c r="AP67" i="11"/>
  <c r="AX67" i="11"/>
  <c r="L60" i="11"/>
  <c r="O60" i="11"/>
  <c r="Q60" i="11"/>
  <c r="P60" i="11"/>
  <c r="N60" i="11"/>
  <c r="R60" i="11"/>
  <c r="W60" i="11"/>
  <c r="X60" i="11"/>
  <c r="V60" i="11"/>
  <c r="U60" i="11"/>
  <c r="T60" i="11"/>
  <c r="I60" i="11"/>
  <c r="K60" i="11"/>
  <c r="H61" i="11"/>
  <c r="J61" i="11" s="1"/>
  <c r="AO68" i="11" l="1"/>
  <c r="AT68" i="11"/>
  <c r="AV68" i="11"/>
  <c r="AR68" i="11"/>
  <c r="AW68" i="11"/>
  <c r="AN68" i="11"/>
  <c r="AU68" i="11"/>
  <c r="AP68" i="11"/>
  <c r="AH69" i="11"/>
  <c r="AJ69" i="11" s="1"/>
  <c r="AI68" i="11"/>
  <c r="AX68" i="11"/>
  <c r="AL68" i="11"/>
  <c r="AQ68" i="11"/>
  <c r="AK68" i="11"/>
  <c r="L61" i="11"/>
  <c r="N61" i="11"/>
  <c r="R61" i="11"/>
  <c r="Q61" i="11"/>
  <c r="P61" i="11"/>
  <c r="O61" i="11"/>
  <c r="U61" i="11"/>
  <c r="W61" i="11"/>
  <c r="T61" i="11"/>
  <c r="V61" i="11"/>
  <c r="X61" i="11"/>
  <c r="I61" i="11"/>
  <c r="K61" i="11"/>
  <c r="H62" i="11"/>
  <c r="J62" i="11" s="1"/>
  <c r="AO69" i="11" l="1"/>
  <c r="AQ69" i="11"/>
  <c r="AU69" i="11"/>
  <c r="AN69" i="11"/>
  <c r="AX69" i="11"/>
  <c r="AT69" i="11"/>
  <c r="AH70" i="11"/>
  <c r="AJ70" i="11" s="1"/>
  <c r="AR69" i="11"/>
  <c r="AP69" i="11"/>
  <c r="AW69" i="11"/>
  <c r="AI69" i="11"/>
  <c r="AL69" i="11"/>
  <c r="AV69" i="11"/>
  <c r="AK69" i="11"/>
  <c r="L62" i="11"/>
  <c r="N62" i="11"/>
  <c r="O62" i="11"/>
  <c r="P62" i="11"/>
  <c r="R62" i="11"/>
  <c r="Q62" i="11"/>
  <c r="V62" i="11"/>
  <c r="W62" i="11"/>
  <c r="X62" i="11"/>
  <c r="U62" i="11"/>
  <c r="T62" i="11"/>
  <c r="I62" i="11"/>
  <c r="H63" i="11"/>
  <c r="J63" i="11" s="1"/>
  <c r="K62" i="11"/>
  <c r="AL70" i="11" l="1"/>
  <c r="AN70" i="11"/>
  <c r="AW70" i="11"/>
  <c r="AK70" i="11"/>
  <c r="AQ70" i="11"/>
  <c r="AU70" i="11"/>
  <c r="AH71" i="11"/>
  <c r="AJ71" i="11" s="1"/>
  <c r="AR70" i="11"/>
  <c r="AX70" i="11"/>
  <c r="AI70" i="11"/>
  <c r="AP70" i="11"/>
  <c r="AO70" i="11"/>
  <c r="AV70" i="11"/>
  <c r="AT70" i="11"/>
  <c r="L63" i="11"/>
  <c r="P63" i="11"/>
  <c r="Q63" i="11"/>
  <c r="O63" i="11"/>
  <c r="N63" i="11"/>
  <c r="R63" i="11"/>
  <c r="T63" i="11"/>
  <c r="W63" i="11"/>
  <c r="U63" i="11"/>
  <c r="V63" i="11"/>
  <c r="X63" i="11"/>
  <c r="I63" i="11"/>
  <c r="H64" i="11"/>
  <c r="J64" i="11" s="1"/>
  <c r="K63" i="11"/>
  <c r="AL71" i="11" l="1"/>
  <c r="AP71" i="11"/>
  <c r="AV71" i="11"/>
  <c r="AK71" i="11"/>
  <c r="AQ71" i="11"/>
  <c r="AO71" i="11"/>
  <c r="AW71" i="11"/>
  <c r="AN71" i="11"/>
  <c r="AT71" i="11"/>
  <c r="AU71" i="11"/>
  <c r="AH72" i="11"/>
  <c r="AJ72" i="11" s="1"/>
  <c r="AR71" i="11"/>
  <c r="AX71" i="11"/>
  <c r="AI71" i="11"/>
  <c r="L64" i="11"/>
  <c r="Q64" i="11"/>
  <c r="N64" i="11"/>
  <c r="O64" i="11"/>
  <c r="R64" i="11"/>
  <c r="P64" i="11"/>
  <c r="U64" i="11"/>
  <c r="T64" i="11"/>
  <c r="V64" i="11"/>
  <c r="X64" i="11"/>
  <c r="W64" i="11"/>
  <c r="K64" i="11"/>
  <c r="I64" i="11"/>
  <c r="H65" i="11"/>
  <c r="J65" i="11" s="1"/>
  <c r="AL72" i="11" l="1"/>
  <c r="AO72" i="11"/>
  <c r="AW72" i="11"/>
  <c r="AQ72" i="11"/>
  <c r="AR72" i="11"/>
  <c r="AX72" i="11"/>
  <c r="AH73" i="11"/>
  <c r="AJ73" i="11" s="1"/>
  <c r="AN72" i="11"/>
  <c r="AT72" i="11"/>
  <c r="AU72" i="11"/>
  <c r="AP72" i="11"/>
  <c r="AV72" i="11"/>
  <c r="AK72" i="11"/>
  <c r="AI72" i="11"/>
  <c r="L65" i="11"/>
  <c r="Q65" i="11"/>
  <c r="O65" i="11"/>
  <c r="P65" i="11"/>
  <c r="N65" i="11"/>
  <c r="R65" i="11"/>
  <c r="V65" i="11"/>
  <c r="T65" i="11"/>
  <c r="W65" i="11"/>
  <c r="U65" i="11"/>
  <c r="X65" i="11"/>
  <c r="H66" i="11"/>
  <c r="J66" i="11" s="1"/>
  <c r="K65" i="11"/>
  <c r="I65" i="11"/>
  <c r="AO73" i="11" l="1"/>
  <c r="AP73" i="11"/>
  <c r="AU73" i="11"/>
  <c r="AT73" i="11"/>
  <c r="AW73" i="11"/>
  <c r="AN73" i="11"/>
  <c r="AH74" i="11"/>
  <c r="AJ74" i="11" s="1"/>
  <c r="AR73" i="11"/>
  <c r="AX73" i="11"/>
  <c r="AI73" i="11"/>
  <c r="AL73" i="11"/>
  <c r="AQ73" i="11"/>
  <c r="AV73" i="11"/>
  <c r="AK73" i="11"/>
  <c r="L66" i="11"/>
  <c r="Q66" i="11"/>
  <c r="O66" i="11"/>
  <c r="N66" i="11"/>
  <c r="P66" i="11"/>
  <c r="R66" i="11"/>
  <c r="X66" i="11"/>
  <c r="W66" i="11"/>
  <c r="V66" i="11"/>
  <c r="T66" i="11"/>
  <c r="U66" i="11"/>
  <c r="H67" i="11"/>
  <c r="J67" i="11" s="1"/>
  <c r="I66" i="11"/>
  <c r="K66" i="11"/>
  <c r="AL74" i="11" l="1"/>
  <c r="AO74" i="11"/>
  <c r="AW74" i="11"/>
  <c r="AK74" i="11"/>
  <c r="AH75" i="11"/>
  <c r="AJ75" i="11" s="1"/>
  <c r="AR74" i="11"/>
  <c r="AN74" i="11"/>
  <c r="AT74" i="11"/>
  <c r="AQ74" i="11"/>
  <c r="AV74" i="11"/>
  <c r="AX74" i="11"/>
  <c r="AP74" i="11"/>
  <c r="AU74" i="11"/>
  <c r="AI74" i="11"/>
  <c r="L67" i="11"/>
  <c r="P67" i="11"/>
  <c r="O67" i="11"/>
  <c r="Q67" i="11"/>
  <c r="R67" i="11"/>
  <c r="N67" i="11"/>
  <c r="V67" i="11"/>
  <c r="W67" i="11"/>
  <c r="X67" i="11"/>
  <c r="U67" i="11"/>
  <c r="T67" i="11"/>
  <c r="K67" i="11"/>
  <c r="I67" i="11"/>
  <c r="H68" i="11"/>
  <c r="J68" i="11" s="1"/>
  <c r="AL75" i="11" l="1"/>
  <c r="AN75" i="11"/>
  <c r="AW75" i="11"/>
  <c r="AK75" i="11"/>
  <c r="AI75" i="11"/>
  <c r="AR75" i="11"/>
  <c r="AP75" i="11"/>
  <c r="AX75" i="11"/>
  <c r="AQ75" i="11"/>
  <c r="AU75" i="11"/>
  <c r="AV75" i="11"/>
  <c r="AH76" i="11"/>
  <c r="AJ76" i="11" s="1"/>
  <c r="AO75" i="11"/>
  <c r="AT75" i="11"/>
  <c r="L68" i="11"/>
  <c r="P68" i="11"/>
  <c r="O68" i="11"/>
  <c r="N68" i="11"/>
  <c r="R68" i="11"/>
  <c r="Q68" i="11"/>
  <c r="U68" i="11"/>
  <c r="X68" i="11"/>
  <c r="V68" i="11"/>
  <c r="W68" i="11"/>
  <c r="T68" i="11"/>
  <c r="K68" i="11"/>
  <c r="H69" i="11"/>
  <c r="J69" i="11" s="1"/>
  <c r="I68" i="11"/>
  <c r="AO76" i="11" l="1"/>
  <c r="AN76" i="11"/>
  <c r="AU76" i="11"/>
  <c r="AK76" i="11"/>
  <c r="AV76" i="11"/>
  <c r="AH77" i="11"/>
  <c r="AJ77" i="11" s="1"/>
  <c r="AI76" i="11"/>
  <c r="AP76" i="11"/>
  <c r="AT76" i="11"/>
  <c r="AW76" i="11"/>
  <c r="AR76" i="11"/>
  <c r="AL76" i="11"/>
  <c r="AQ76" i="11"/>
  <c r="AX76" i="11"/>
  <c r="L69" i="11"/>
  <c r="R69" i="11"/>
  <c r="P69" i="11"/>
  <c r="O69" i="11"/>
  <c r="Q69" i="11"/>
  <c r="N69" i="11"/>
  <c r="U69" i="11"/>
  <c r="X69" i="11"/>
  <c r="V69" i="11"/>
  <c r="W69" i="11"/>
  <c r="T69" i="11"/>
  <c r="I69" i="11"/>
  <c r="K69" i="11"/>
  <c r="H70" i="11"/>
  <c r="J70" i="11" s="1"/>
  <c r="AL77" i="11" l="1"/>
  <c r="AT77" i="11"/>
  <c r="AH78" i="11"/>
  <c r="AJ78" i="11" s="1"/>
  <c r="AP77" i="11"/>
  <c r="AQ77" i="11"/>
  <c r="AW77" i="11"/>
  <c r="AO77" i="11"/>
  <c r="AV77" i="11"/>
  <c r="AU77" i="11"/>
  <c r="AR77" i="11"/>
  <c r="AX77" i="11"/>
  <c r="AI77" i="11"/>
  <c r="AN77" i="11"/>
  <c r="AK77" i="11"/>
  <c r="L70" i="11"/>
  <c r="O70" i="11"/>
  <c r="N70" i="11"/>
  <c r="P70" i="11"/>
  <c r="Q70" i="11"/>
  <c r="R70" i="11"/>
  <c r="X70" i="11"/>
  <c r="W70" i="11"/>
  <c r="T70" i="11"/>
  <c r="V70" i="11"/>
  <c r="U70" i="11"/>
  <c r="K70" i="11"/>
  <c r="I70" i="11"/>
  <c r="H71" i="11"/>
  <c r="J71" i="11" s="1"/>
  <c r="AL78" i="11" l="1"/>
  <c r="AR78" i="11"/>
  <c r="AU78" i="11"/>
  <c r="AK78" i="11"/>
  <c r="AN78" i="11"/>
  <c r="AW78" i="11"/>
  <c r="AV78" i="11"/>
  <c r="AH79" i="11"/>
  <c r="AJ79" i="11" s="1"/>
  <c r="AI78" i="11"/>
  <c r="AQ78" i="11"/>
  <c r="AO78" i="11"/>
  <c r="AX78" i="11"/>
  <c r="AP78" i="11"/>
  <c r="AT78" i="11"/>
  <c r="L71" i="11"/>
  <c r="Q71" i="11"/>
  <c r="O71" i="11"/>
  <c r="N71" i="11"/>
  <c r="R71" i="11"/>
  <c r="P71" i="11"/>
  <c r="W71" i="11"/>
  <c r="T71" i="11"/>
  <c r="X71" i="11"/>
  <c r="U71" i="11"/>
  <c r="V71" i="11"/>
  <c r="I71" i="11"/>
  <c r="K71" i="11"/>
  <c r="H72" i="11"/>
  <c r="J72" i="11" s="1"/>
  <c r="AL79" i="11" l="1"/>
  <c r="AO79" i="11"/>
  <c r="AV79" i="11"/>
  <c r="AK79" i="11"/>
  <c r="AU79" i="11"/>
  <c r="AP79" i="11"/>
  <c r="AR79" i="11"/>
  <c r="AW79" i="11"/>
  <c r="AQ79" i="11"/>
  <c r="AX79" i="11"/>
  <c r="AN79" i="11"/>
  <c r="AT79" i="11"/>
  <c r="AI79" i="11"/>
  <c r="AH80" i="11"/>
  <c r="AJ80" i="11" s="1"/>
  <c r="L72" i="11"/>
  <c r="Q72" i="11"/>
  <c r="N72" i="11"/>
  <c r="P72" i="11"/>
  <c r="O72" i="11"/>
  <c r="R72" i="11"/>
  <c r="T72" i="11"/>
  <c r="V72" i="11"/>
  <c r="W72" i="11"/>
  <c r="X72" i="11"/>
  <c r="U72" i="11"/>
  <c r="H73" i="11"/>
  <c r="J73" i="11" s="1"/>
  <c r="K72" i="11"/>
  <c r="I72" i="11"/>
  <c r="AP80" i="11" l="1"/>
  <c r="AT80" i="11"/>
  <c r="AW80" i="11"/>
  <c r="AH81" i="11"/>
  <c r="AJ81" i="11" s="1"/>
  <c r="AL80" i="11"/>
  <c r="AO80" i="11"/>
  <c r="AX80" i="11"/>
  <c r="AI80" i="11"/>
  <c r="AN80" i="11"/>
  <c r="AR80" i="11"/>
  <c r="AV80" i="11"/>
  <c r="AK80" i="11"/>
  <c r="AQ80" i="11"/>
  <c r="AU80" i="11"/>
  <c r="L73" i="11"/>
  <c r="N73" i="11"/>
  <c r="R73" i="11"/>
  <c r="P73" i="11"/>
  <c r="O73" i="11"/>
  <c r="Q73" i="11"/>
  <c r="V73" i="11"/>
  <c r="X73" i="11"/>
  <c r="U73" i="11"/>
  <c r="W73" i="11"/>
  <c r="T73" i="11"/>
  <c r="H74" i="11"/>
  <c r="J74" i="11" s="1"/>
  <c r="K73" i="11"/>
  <c r="I73" i="11"/>
  <c r="AQ81" i="11" l="1"/>
  <c r="AP81" i="11"/>
  <c r="AK81" i="11"/>
  <c r="AR81" i="11"/>
  <c r="AU81" i="11"/>
  <c r="AT81" i="11"/>
  <c r="AO81" i="11"/>
  <c r="AW81" i="11"/>
  <c r="AH82" i="11"/>
  <c r="AJ82" i="11" s="1"/>
  <c r="AN81" i="11"/>
  <c r="AX81" i="11"/>
  <c r="AL81" i="11"/>
  <c r="AI81" i="11"/>
  <c r="AV81" i="11"/>
  <c r="L74" i="11"/>
  <c r="R74" i="11"/>
  <c r="Q74" i="11"/>
  <c r="P74" i="11"/>
  <c r="O74" i="11"/>
  <c r="N74" i="11"/>
  <c r="W74" i="11"/>
  <c r="U74" i="11"/>
  <c r="T74" i="11"/>
  <c r="V74" i="11"/>
  <c r="X74" i="11"/>
  <c r="K74" i="11"/>
  <c r="H75" i="11"/>
  <c r="J75" i="11" s="1"/>
  <c r="I74" i="11"/>
  <c r="AL82" i="11" l="1"/>
  <c r="AP82" i="11"/>
  <c r="AT82" i="11"/>
  <c r="AI82" i="11"/>
  <c r="AN82" i="11"/>
  <c r="AR82" i="11"/>
  <c r="AW82" i="11"/>
  <c r="AO82" i="11"/>
  <c r="AV82" i="11"/>
  <c r="AX82" i="11"/>
  <c r="AH83" i="11"/>
  <c r="AJ83" i="11" s="1"/>
  <c r="AK82" i="11"/>
  <c r="AQ82" i="11"/>
  <c r="AU82" i="11"/>
  <c r="L75" i="11"/>
  <c r="N75" i="11"/>
  <c r="O75" i="11"/>
  <c r="Q75" i="11"/>
  <c r="R75" i="11"/>
  <c r="P75" i="11"/>
  <c r="U75" i="11"/>
  <c r="T75" i="11"/>
  <c r="W75" i="11"/>
  <c r="X75" i="11"/>
  <c r="V75" i="11"/>
  <c r="H76" i="11"/>
  <c r="J76" i="11" s="1"/>
  <c r="K75" i="11"/>
  <c r="I75" i="11"/>
  <c r="AX83" i="11" l="1"/>
  <c r="AI83" i="11"/>
  <c r="AW83" i="11"/>
  <c r="AH84" i="11"/>
  <c r="AJ84" i="11" s="1"/>
  <c r="AO83" i="11"/>
  <c r="AV83" i="11"/>
  <c r="AT83" i="11"/>
  <c r="AQ83" i="11"/>
  <c r="AL83" i="11"/>
  <c r="AR83" i="11"/>
  <c r="AU83" i="11"/>
  <c r="AK83" i="11"/>
  <c r="AP83" i="11"/>
  <c r="AN83" i="11"/>
  <c r="L76" i="11"/>
  <c r="O76" i="11"/>
  <c r="N76" i="11"/>
  <c r="R76" i="11"/>
  <c r="P76" i="11"/>
  <c r="Q76" i="11"/>
  <c r="V76" i="11"/>
  <c r="X76" i="11"/>
  <c r="U76" i="11"/>
  <c r="W76" i="11"/>
  <c r="T76" i="11"/>
  <c r="K76" i="11"/>
  <c r="H77" i="11"/>
  <c r="J77" i="11" s="1"/>
  <c r="I76" i="11"/>
  <c r="AL84" i="11" l="1"/>
  <c r="AO84" i="11"/>
  <c r="AX84" i="11"/>
  <c r="AH85" i="11"/>
  <c r="AJ85" i="11" s="1"/>
  <c r="AP84" i="11"/>
  <c r="AV84" i="11"/>
  <c r="AT84" i="11"/>
  <c r="AN84" i="11"/>
  <c r="AW84" i="11"/>
  <c r="AI84" i="11"/>
  <c r="AU84" i="11"/>
  <c r="AK84" i="11"/>
  <c r="AR84" i="11"/>
  <c r="AQ84" i="11"/>
  <c r="L77" i="11"/>
  <c r="P77" i="11"/>
  <c r="Q77" i="11"/>
  <c r="N77" i="11"/>
  <c r="R77" i="11"/>
  <c r="O77" i="11"/>
  <c r="X77" i="11"/>
  <c r="T77" i="11"/>
  <c r="W77" i="11"/>
  <c r="V77" i="11"/>
  <c r="U77" i="11"/>
  <c r="I77" i="11"/>
  <c r="K77" i="11"/>
  <c r="H78" i="11"/>
  <c r="J78" i="11" s="1"/>
  <c r="AL85" i="11" l="1"/>
  <c r="AN85" i="11"/>
  <c r="AU85" i="11"/>
  <c r="AP85" i="11"/>
  <c r="AQ85" i="11"/>
  <c r="AT85" i="11"/>
  <c r="AR85" i="11"/>
  <c r="AV85" i="11"/>
  <c r="AW85" i="11"/>
  <c r="AH86" i="11"/>
  <c r="AJ86" i="11" s="1"/>
  <c r="AK85" i="11"/>
  <c r="AI85" i="11"/>
  <c r="AO85" i="11"/>
  <c r="AX85" i="11"/>
  <c r="L78" i="11"/>
  <c r="P78" i="11"/>
  <c r="N78" i="11"/>
  <c r="R78" i="11"/>
  <c r="O78" i="11"/>
  <c r="Q78" i="11"/>
  <c r="U78" i="11"/>
  <c r="X78" i="11"/>
  <c r="T78" i="11"/>
  <c r="W78" i="11"/>
  <c r="V78" i="11"/>
  <c r="I78" i="11"/>
  <c r="K78" i="11"/>
  <c r="H79" i="11"/>
  <c r="J79" i="11" s="1"/>
  <c r="AL86" i="11" l="1"/>
  <c r="AP86" i="11"/>
  <c r="AV86" i="11"/>
  <c r="AI86" i="11"/>
  <c r="AH87" i="11"/>
  <c r="AJ87" i="11" s="1"/>
  <c r="AN86" i="11"/>
  <c r="AO86" i="11"/>
  <c r="AW86" i="11"/>
  <c r="AK86" i="11"/>
  <c r="AQ86" i="11"/>
  <c r="AU86" i="11"/>
  <c r="AT86" i="11"/>
  <c r="AR86" i="11"/>
  <c r="AX86" i="11"/>
  <c r="L79" i="11"/>
  <c r="P79" i="11"/>
  <c r="N79" i="11"/>
  <c r="O79" i="11"/>
  <c r="Q79" i="11"/>
  <c r="R79" i="11"/>
  <c r="T79" i="11"/>
  <c r="V79" i="11"/>
  <c r="W79" i="11"/>
  <c r="U79" i="11"/>
  <c r="X79" i="11"/>
  <c r="K79" i="11"/>
  <c r="I79" i="11"/>
  <c r="H80" i="11"/>
  <c r="J80" i="11" s="1"/>
  <c r="AL87" i="11" l="1"/>
  <c r="AO87" i="11"/>
  <c r="AU87" i="11"/>
  <c r="AK87" i="11"/>
  <c r="AX87" i="11"/>
  <c r="AH88" i="11"/>
  <c r="AJ88" i="11" s="1"/>
  <c r="AN87" i="11"/>
  <c r="AW87" i="11"/>
  <c r="AT87" i="11"/>
  <c r="AQ87" i="11"/>
  <c r="AV87" i="11"/>
  <c r="AI87" i="11"/>
  <c r="AP87" i="11"/>
  <c r="AR87" i="11"/>
  <c r="L80" i="11"/>
  <c r="O80" i="11"/>
  <c r="N80" i="11"/>
  <c r="R80" i="11"/>
  <c r="Q80" i="11"/>
  <c r="P80" i="11"/>
  <c r="U80" i="11"/>
  <c r="X80" i="11"/>
  <c r="V80" i="11"/>
  <c r="T80" i="11"/>
  <c r="W80" i="11"/>
  <c r="I80" i="11"/>
  <c r="H81" i="11"/>
  <c r="J81" i="11" s="1"/>
  <c r="K80" i="11"/>
  <c r="AL88" i="11" l="1"/>
  <c r="AW88" i="11"/>
  <c r="AI88" i="11"/>
  <c r="AH89" i="11"/>
  <c r="AJ89" i="11" s="1"/>
  <c r="AQ88" i="11"/>
  <c r="AO88" i="11"/>
  <c r="AV88" i="11"/>
  <c r="AN88" i="11"/>
  <c r="AT88" i="11"/>
  <c r="AX88" i="11"/>
  <c r="AP88" i="11"/>
  <c r="AU88" i="11"/>
  <c r="AK88" i="11"/>
  <c r="AR88" i="11"/>
  <c r="L81" i="11"/>
  <c r="O81" i="11"/>
  <c r="N81" i="11"/>
  <c r="Q81" i="11"/>
  <c r="P81" i="11"/>
  <c r="R81" i="11"/>
  <c r="W81" i="11"/>
  <c r="X81" i="11"/>
  <c r="U81" i="11"/>
  <c r="V81" i="11"/>
  <c r="T81" i="11"/>
  <c r="K81" i="11"/>
  <c r="I81" i="11"/>
  <c r="H82" i="11"/>
  <c r="J82" i="11" s="1"/>
  <c r="AL89" i="11" l="1"/>
  <c r="AN89" i="11"/>
  <c r="AX89" i="11"/>
  <c r="AK89" i="11"/>
  <c r="AO89" i="11"/>
  <c r="AU89" i="11"/>
  <c r="AQ89" i="11"/>
  <c r="AP89" i="11"/>
  <c r="AW89" i="11"/>
  <c r="AR89" i="11"/>
  <c r="AV89" i="11"/>
  <c r="AI89" i="11"/>
  <c r="AT89" i="11"/>
  <c r="AH90" i="11"/>
  <c r="AJ90" i="11" s="1"/>
  <c r="L82" i="11"/>
  <c r="Q82" i="11"/>
  <c r="O82" i="11"/>
  <c r="R82" i="11"/>
  <c r="N82" i="11"/>
  <c r="P82" i="11"/>
  <c r="U82" i="11"/>
  <c r="T82" i="11"/>
  <c r="W82" i="11"/>
  <c r="X82" i="11"/>
  <c r="V82" i="11"/>
  <c r="K82" i="11"/>
  <c r="H83" i="11"/>
  <c r="J83" i="11" s="1"/>
  <c r="I82" i="11"/>
  <c r="AL90" i="11" l="1"/>
  <c r="AR90" i="11"/>
  <c r="AV90" i="11"/>
  <c r="AN90" i="11"/>
  <c r="AP90" i="11"/>
  <c r="AU90" i="11"/>
  <c r="AQ90" i="11"/>
  <c r="AW90" i="11"/>
  <c r="AT90" i="11"/>
  <c r="AH91" i="11"/>
  <c r="AJ91" i="11" s="1"/>
  <c r="AO90" i="11"/>
  <c r="AX90" i="11"/>
  <c r="AK90" i="11"/>
  <c r="AI90" i="11"/>
  <c r="L83" i="11"/>
  <c r="N83" i="11"/>
  <c r="R83" i="11"/>
  <c r="O83" i="11"/>
  <c r="P83" i="11"/>
  <c r="Q83" i="11"/>
  <c r="U83" i="11"/>
  <c r="V83" i="11"/>
  <c r="W83" i="11"/>
  <c r="T83" i="11"/>
  <c r="X83" i="11"/>
  <c r="H84" i="11"/>
  <c r="J84" i="11" s="1"/>
  <c r="K83" i="11"/>
  <c r="I83" i="11"/>
  <c r="AN91" i="11" l="1"/>
  <c r="AU91" i="11"/>
  <c r="AK91" i="11"/>
  <c r="AW91" i="11"/>
  <c r="AI91" i="11"/>
  <c r="AR91" i="11"/>
  <c r="AQ91" i="11"/>
  <c r="AT91" i="11"/>
  <c r="AO91" i="11"/>
  <c r="AH92" i="11"/>
  <c r="AJ92" i="11" s="1"/>
  <c r="AV91" i="11"/>
  <c r="AL91" i="11"/>
  <c r="AP91" i="11"/>
  <c r="AX91" i="11"/>
  <c r="L84" i="11"/>
  <c r="R84" i="11"/>
  <c r="P84" i="11"/>
  <c r="Q84" i="11"/>
  <c r="N84" i="11"/>
  <c r="O84" i="11"/>
  <c r="W84" i="11"/>
  <c r="U84" i="11"/>
  <c r="X84" i="11"/>
  <c r="V84" i="11"/>
  <c r="T84" i="11"/>
  <c r="K84" i="11"/>
  <c r="I84" i="11"/>
  <c r="H85" i="11"/>
  <c r="J85" i="11" s="1"/>
  <c r="AO92" i="11" l="1"/>
  <c r="AN92" i="11"/>
  <c r="AT92" i="11"/>
  <c r="AP92" i="11"/>
  <c r="AX92" i="11"/>
  <c r="AV92" i="11"/>
  <c r="AH93" i="11"/>
  <c r="AJ93" i="11" s="1"/>
  <c r="AI92" i="11"/>
  <c r="AR92" i="11"/>
  <c r="AU92" i="11"/>
  <c r="AK92" i="11"/>
  <c r="AL92" i="11"/>
  <c r="AQ92" i="11"/>
  <c r="AW92" i="11"/>
  <c r="L85" i="11"/>
  <c r="P85" i="11"/>
  <c r="R85" i="11"/>
  <c r="O85" i="11"/>
  <c r="Q85" i="11"/>
  <c r="N85" i="11"/>
  <c r="U85" i="11"/>
  <c r="V85" i="11"/>
  <c r="T85" i="11"/>
  <c r="X85" i="11"/>
  <c r="W85" i="11"/>
  <c r="K85" i="11"/>
  <c r="H86" i="11"/>
  <c r="J86" i="11" s="1"/>
  <c r="I85" i="11"/>
  <c r="AL93" i="11" l="1"/>
  <c r="AN93" i="11"/>
  <c r="AV93" i="11"/>
  <c r="AI93" i="11"/>
  <c r="AP93" i="11"/>
  <c r="AQ93" i="11"/>
  <c r="AX93" i="11"/>
  <c r="AU93" i="11"/>
  <c r="AO93" i="11"/>
  <c r="AR93" i="11"/>
  <c r="AT93" i="11"/>
  <c r="AK93" i="11"/>
  <c r="AW93" i="11"/>
  <c r="AH94" i="11"/>
  <c r="AJ94" i="11" s="1"/>
  <c r="L86" i="11"/>
  <c r="Q86" i="11"/>
  <c r="N86" i="11"/>
  <c r="O86" i="11"/>
  <c r="P86" i="11"/>
  <c r="R86" i="11"/>
  <c r="X86" i="11"/>
  <c r="V86" i="11"/>
  <c r="U86" i="11"/>
  <c r="W86" i="11"/>
  <c r="T86" i="11"/>
  <c r="H87" i="11"/>
  <c r="J87" i="11" s="1"/>
  <c r="I86" i="11"/>
  <c r="K86" i="11"/>
  <c r="AO94" i="11" l="1"/>
  <c r="AQ94" i="11"/>
  <c r="AU94" i="11"/>
  <c r="AX94" i="11"/>
  <c r="AN94" i="11"/>
  <c r="AV94" i="11"/>
  <c r="AH95" i="11"/>
  <c r="AJ95" i="11" s="1"/>
  <c r="AI94" i="11"/>
  <c r="AR94" i="11"/>
  <c r="AW94" i="11"/>
  <c r="AK94" i="11"/>
  <c r="AL94" i="11"/>
  <c r="AP94" i="11"/>
  <c r="AT94" i="11"/>
  <c r="L87" i="11"/>
  <c r="Q87" i="11"/>
  <c r="P87" i="11"/>
  <c r="N87" i="11"/>
  <c r="R87" i="11"/>
  <c r="O87" i="11"/>
  <c r="W87" i="11"/>
  <c r="V87" i="11"/>
  <c r="U87" i="11"/>
  <c r="X87" i="11"/>
  <c r="T87" i="11"/>
  <c r="K87" i="11"/>
  <c r="I87" i="11"/>
  <c r="H88" i="11"/>
  <c r="J88" i="11" s="1"/>
  <c r="AP95" i="11" l="1"/>
  <c r="AV95" i="11"/>
  <c r="AU95" i="11"/>
  <c r="AL95" i="11"/>
  <c r="AQ95" i="11"/>
  <c r="AT95" i="11"/>
  <c r="AO95" i="11"/>
  <c r="AX95" i="11"/>
  <c r="AK95" i="11"/>
  <c r="AN95" i="11"/>
  <c r="AR95" i="11"/>
  <c r="AW95" i="11"/>
  <c r="AI95" i="11"/>
  <c r="AH96" i="11"/>
  <c r="AJ96" i="11" s="1"/>
  <c r="L88" i="11"/>
  <c r="N88" i="11"/>
  <c r="R88" i="11"/>
  <c r="P88" i="11"/>
  <c r="Q88" i="11"/>
  <c r="O88" i="11"/>
  <c r="W88" i="11"/>
  <c r="T88" i="11"/>
  <c r="U88" i="11"/>
  <c r="V88" i="11"/>
  <c r="X88" i="11"/>
  <c r="H89" i="11"/>
  <c r="J89" i="11" s="1"/>
  <c r="K88" i="11"/>
  <c r="I88" i="11"/>
  <c r="AR96" i="11" l="1"/>
  <c r="AU96" i="11"/>
  <c r="AO96" i="11"/>
  <c r="AQ96" i="11"/>
  <c r="AL96" i="11"/>
  <c r="AP96" i="11"/>
  <c r="AW96" i="11"/>
  <c r="AK96" i="11"/>
  <c r="AN96" i="11"/>
  <c r="AX96" i="11"/>
  <c r="AI96" i="11"/>
  <c r="AT96" i="11"/>
  <c r="AV96" i="11"/>
  <c r="AH97" i="11"/>
  <c r="AJ97" i="11" s="1"/>
  <c r="L89" i="11"/>
  <c r="N89" i="11"/>
  <c r="Q89" i="11"/>
  <c r="P89" i="11"/>
  <c r="O89" i="11"/>
  <c r="R89" i="11"/>
  <c r="V89" i="11"/>
  <c r="X89" i="11"/>
  <c r="W89" i="11"/>
  <c r="U89" i="11"/>
  <c r="T89" i="11"/>
  <c r="I89" i="11"/>
  <c r="H90" i="11"/>
  <c r="J90" i="11" s="1"/>
  <c r="K89" i="11"/>
  <c r="AO97" i="11" l="1"/>
  <c r="AN97" i="11"/>
  <c r="AT97" i="11"/>
  <c r="AQ97" i="11"/>
  <c r="AV97" i="11"/>
  <c r="AX97" i="11"/>
  <c r="AH98" i="11"/>
  <c r="AJ98" i="11" s="1"/>
  <c r="AR97" i="11"/>
  <c r="AW97" i="11"/>
  <c r="AI97" i="11"/>
  <c r="AL97" i="11"/>
  <c r="AP97" i="11"/>
  <c r="AU97" i="11"/>
  <c r="AK97" i="11"/>
  <c r="L90" i="11"/>
  <c r="R90" i="11"/>
  <c r="P90" i="11"/>
  <c r="O90" i="11"/>
  <c r="Q90" i="11"/>
  <c r="N90" i="11"/>
  <c r="X90" i="11"/>
  <c r="V90" i="11"/>
  <c r="U90" i="11"/>
  <c r="W90" i="11"/>
  <c r="T90" i="11"/>
  <c r="I90" i="11"/>
  <c r="K90" i="11"/>
  <c r="H91" i="11"/>
  <c r="J91" i="11" s="1"/>
  <c r="AL98" i="11" l="1"/>
  <c r="AP98" i="11"/>
  <c r="AN98" i="11"/>
  <c r="AW98" i="11"/>
  <c r="AX98" i="11"/>
  <c r="AH99" i="11"/>
  <c r="AJ99" i="11" s="1"/>
  <c r="AI98" i="11"/>
  <c r="AR98" i="11"/>
  <c r="AV98" i="11"/>
  <c r="AO98" i="11"/>
  <c r="AU98" i="11"/>
  <c r="AK98" i="11"/>
  <c r="AQ98" i="11"/>
  <c r="AT98" i="11"/>
  <c r="L91" i="11"/>
  <c r="R91" i="11"/>
  <c r="O91" i="11"/>
  <c r="Q91" i="11"/>
  <c r="P91" i="11"/>
  <c r="N91" i="11"/>
  <c r="U91" i="11"/>
  <c r="T91" i="11"/>
  <c r="W91" i="11"/>
  <c r="V91" i="11"/>
  <c r="X91" i="11"/>
  <c r="I91" i="11"/>
  <c r="H92" i="11"/>
  <c r="J92" i="11" s="1"/>
  <c r="K91" i="11"/>
  <c r="AL99" i="11" l="1"/>
  <c r="AR99" i="11"/>
  <c r="AT99" i="11"/>
  <c r="AO99" i="11"/>
  <c r="AP99" i="11"/>
  <c r="AV99" i="11"/>
  <c r="AN99" i="11"/>
  <c r="AW99" i="11"/>
  <c r="AX99" i="11"/>
  <c r="AH100" i="11"/>
  <c r="AJ100" i="11" s="1"/>
  <c r="AQ99" i="11"/>
  <c r="AU99" i="11"/>
  <c r="AI99" i="11"/>
  <c r="AK99" i="11"/>
  <c r="L92" i="11"/>
  <c r="O92" i="11"/>
  <c r="N92" i="11"/>
  <c r="P92" i="11"/>
  <c r="R92" i="11"/>
  <c r="Q92" i="11"/>
  <c r="X92" i="11"/>
  <c r="U92" i="11"/>
  <c r="W92" i="11"/>
  <c r="T92" i="11"/>
  <c r="V92" i="11"/>
  <c r="H93" i="11"/>
  <c r="J93" i="11" s="1"/>
  <c r="I92" i="11"/>
  <c r="K92" i="11"/>
  <c r="AL100" i="11" l="1"/>
  <c r="AH101" i="11"/>
  <c r="AJ101" i="11" s="1"/>
  <c r="AN100" i="11"/>
  <c r="AP100" i="11"/>
  <c r="AU100" i="11"/>
  <c r="AQ100" i="11"/>
  <c r="AV100" i="11"/>
  <c r="AT100" i="11"/>
  <c r="AO100" i="11"/>
  <c r="AX100" i="11"/>
  <c r="AI100" i="11"/>
  <c r="AR100" i="11"/>
  <c r="AW100" i="11"/>
  <c r="AK100" i="11"/>
  <c r="L93" i="11"/>
  <c r="N93" i="11"/>
  <c r="R93" i="11"/>
  <c r="Q93" i="11"/>
  <c r="O93" i="11"/>
  <c r="P93" i="11"/>
  <c r="X93" i="11"/>
  <c r="U93" i="11"/>
  <c r="W93" i="11"/>
  <c r="T93" i="11"/>
  <c r="V93" i="11"/>
  <c r="K93" i="11"/>
  <c r="I93" i="11"/>
  <c r="H94" i="11"/>
  <c r="J94" i="11" s="1"/>
  <c r="AP101" i="11" l="1"/>
  <c r="AH102" i="11"/>
  <c r="AJ102" i="11" s="1"/>
  <c r="AN101" i="11"/>
  <c r="AQ101" i="11"/>
  <c r="AU101" i="11"/>
  <c r="AR101" i="11"/>
  <c r="AV101" i="11"/>
  <c r="AW101" i="11"/>
  <c r="AO101" i="11"/>
  <c r="AX101" i="11"/>
  <c r="AI101" i="11"/>
  <c r="AL101" i="11"/>
  <c r="AT101" i="11"/>
  <c r="AK101" i="11"/>
  <c r="L94" i="11"/>
  <c r="N94" i="11"/>
  <c r="R94" i="11"/>
  <c r="O94" i="11"/>
  <c r="P94" i="11"/>
  <c r="Q94" i="11"/>
  <c r="W94" i="11"/>
  <c r="X94" i="11"/>
  <c r="V94" i="11"/>
  <c r="U94" i="11"/>
  <c r="T94" i="11"/>
  <c r="I94" i="11"/>
  <c r="K94" i="11"/>
  <c r="H95" i="11"/>
  <c r="J95" i="11" s="1"/>
  <c r="AL102" i="11" l="1"/>
  <c r="AN102" i="11"/>
  <c r="AT102" i="11"/>
  <c r="AK102" i="11"/>
  <c r="AH103" i="11"/>
  <c r="AJ103" i="11" s="1"/>
  <c r="AU102" i="11"/>
  <c r="AO102" i="11"/>
  <c r="AR102" i="11"/>
  <c r="AV102" i="11"/>
  <c r="AQ102" i="11"/>
  <c r="AI102" i="11"/>
  <c r="AP102" i="11"/>
  <c r="AW102" i="11"/>
  <c r="AX102" i="11"/>
  <c r="L95" i="11"/>
  <c r="P95" i="11"/>
  <c r="N95" i="11"/>
  <c r="Q95" i="11"/>
  <c r="O95" i="11"/>
  <c r="R95" i="11"/>
  <c r="V95" i="11"/>
  <c r="X95" i="11"/>
  <c r="W95" i="11"/>
  <c r="U95" i="11"/>
  <c r="T95" i="11"/>
  <c r="K95" i="11"/>
  <c r="H96" i="11"/>
  <c r="J96" i="11" s="1"/>
  <c r="I95" i="11"/>
  <c r="AL103" i="11" l="1"/>
  <c r="AN103" i="11"/>
  <c r="AX103" i="11"/>
  <c r="AK103" i="11"/>
  <c r="AI103" i="11"/>
  <c r="AR103" i="11"/>
  <c r="AQ103" i="11"/>
  <c r="AT103" i="11"/>
  <c r="AP103" i="11"/>
  <c r="AU103" i="11"/>
  <c r="AW103" i="11"/>
  <c r="AH104" i="11"/>
  <c r="AJ104" i="11" s="1"/>
  <c r="AO103" i="11"/>
  <c r="AV103" i="11"/>
  <c r="L96" i="11"/>
  <c r="Q96" i="11"/>
  <c r="N96" i="11"/>
  <c r="O96" i="11"/>
  <c r="R96" i="11"/>
  <c r="P96" i="11"/>
  <c r="W96" i="11"/>
  <c r="X96" i="11"/>
  <c r="V96" i="11"/>
  <c r="U96" i="11"/>
  <c r="T96" i="11"/>
  <c r="I96" i="11"/>
  <c r="K96" i="11"/>
  <c r="H97" i="11"/>
  <c r="J97" i="11" s="1"/>
  <c r="AR104" i="11" l="1"/>
  <c r="AQ104" i="11"/>
  <c r="AT104" i="11"/>
  <c r="AP104" i="11"/>
  <c r="AX104" i="11"/>
  <c r="AU104" i="11"/>
  <c r="AH105" i="11"/>
  <c r="AJ105" i="11" s="1"/>
  <c r="AK104" i="11"/>
  <c r="AO104" i="11"/>
  <c r="AW104" i="11"/>
  <c r="AI104" i="11"/>
  <c r="AL104" i="11"/>
  <c r="AN104" i="11"/>
  <c r="AV104" i="11"/>
  <c r="L97" i="11"/>
  <c r="Q97" i="11"/>
  <c r="O97" i="11"/>
  <c r="N97" i="11"/>
  <c r="P97" i="11"/>
  <c r="R97" i="11"/>
  <c r="U97" i="11"/>
  <c r="W97" i="11"/>
  <c r="V97" i="11"/>
  <c r="X97" i="11"/>
  <c r="T97" i="11"/>
  <c r="I97" i="11"/>
  <c r="K97" i="11"/>
  <c r="H98" i="11"/>
  <c r="J98" i="11" s="1"/>
  <c r="AL105" i="11" l="1"/>
  <c r="AU105" i="11"/>
  <c r="AO105" i="11"/>
  <c r="AR105" i="11"/>
  <c r="AV105" i="11"/>
  <c r="AP105" i="11"/>
  <c r="AW105" i="11"/>
  <c r="AX105" i="11"/>
  <c r="AH106" i="11"/>
  <c r="AJ106" i="11" s="1"/>
  <c r="AI105" i="11"/>
  <c r="AQ105" i="11"/>
  <c r="AK105" i="11"/>
  <c r="AN105" i="11"/>
  <c r="AT105" i="11"/>
  <c r="L98" i="11"/>
  <c r="P98" i="11"/>
  <c r="R98" i="11"/>
  <c r="N98" i="11"/>
  <c r="O98" i="11"/>
  <c r="Q98" i="11"/>
  <c r="V98" i="11"/>
  <c r="X98" i="11"/>
  <c r="U98" i="11"/>
  <c r="W98" i="11"/>
  <c r="T98" i="11"/>
  <c r="K98" i="11"/>
  <c r="H99" i="11"/>
  <c r="J99" i="11" s="1"/>
  <c r="I98" i="11"/>
  <c r="AR106" i="11" l="1"/>
  <c r="AV106" i="11"/>
  <c r="AU106" i="11"/>
  <c r="AQ106" i="11"/>
  <c r="AH107" i="11"/>
  <c r="AJ107" i="11" s="1"/>
  <c r="AL106" i="11"/>
  <c r="AN106" i="11"/>
  <c r="AX106" i="11"/>
  <c r="AI106" i="11"/>
  <c r="AP106" i="11"/>
  <c r="AO106" i="11"/>
  <c r="AW106" i="11"/>
  <c r="AK106" i="11"/>
  <c r="AT106" i="11"/>
  <c r="L99" i="11"/>
  <c r="O99" i="11"/>
  <c r="N99" i="11"/>
  <c r="P99" i="11"/>
  <c r="R99" i="11"/>
  <c r="Q99" i="11"/>
  <c r="T99" i="11"/>
  <c r="W99" i="11"/>
  <c r="X99" i="11"/>
  <c r="U99" i="11"/>
  <c r="V99" i="11"/>
  <c r="H100" i="11"/>
  <c r="J100" i="11" s="1"/>
  <c r="K99" i="11"/>
  <c r="I99" i="11"/>
  <c r="AR107" i="11" l="1"/>
  <c r="AO107" i="11"/>
  <c r="AW107" i="11"/>
  <c r="AN107" i="11"/>
  <c r="AV107" i="11"/>
  <c r="AH108" i="11"/>
  <c r="AJ108" i="11" s="1"/>
  <c r="AQ107" i="11"/>
  <c r="AL107" i="11"/>
  <c r="AP107" i="11"/>
  <c r="AX107" i="11"/>
  <c r="AI107" i="11"/>
  <c r="AK107" i="11"/>
  <c r="AU107" i="11"/>
  <c r="AT107" i="11"/>
  <c r="L100" i="11"/>
  <c r="N100" i="11"/>
  <c r="Q100" i="11"/>
  <c r="P100" i="11"/>
  <c r="R100" i="11"/>
  <c r="O100" i="11"/>
  <c r="X100" i="11"/>
  <c r="W100" i="11"/>
  <c r="V100" i="11"/>
  <c r="T100" i="11"/>
  <c r="U100" i="11"/>
  <c r="K100" i="11"/>
  <c r="H101" i="11"/>
  <c r="J101" i="11" s="1"/>
  <c r="I100" i="11"/>
  <c r="AP108" i="11" l="1"/>
  <c r="AK108" i="11"/>
  <c r="AR108" i="11"/>
  <c r="AU108" i="11"/>
  <c r="AH109" i="11"/>
  <c r="AJ109" i="11" s="1"/>
  <c r="AT108" i="11"/>
  <c r="AN108" i="11"/>
  <c r="AV108" i="11"/>
  <c r="AL108" i="11"/>
  <c r="AQ108" i="11"/>
  <c r="AW108" i="11"/>
  <c r="AI108" i="11"/>
  <c r="AO108" i="11"/>
  <c r="AX108" i="11"/>
  <c r="L101" i="11"/>
  <c r="Q101" i="11"/>
  <c r="R101" i="11"/>
  <c r="N101" i="11"/>
  <c r="P101" i="11"/>
  <c r="O101" i="11"/>
  <c r="T101" i="11"/>
  <c r="U101" i="11"/>
  <c r="X101" i="11"/>
  <c r="W101" i="11"/>
  <c r="V101" i="11"/>
  <c r="I101" i="11"/>
  <c r="H102" i="11"/>
  <c r="J102" i="11" s="1"/>
  <c r="K101" i="11"/>
  <c r="AL109" i="11" l="1"/>
  <c r="AP109" i="11"/>
  <c r="AT109" i="11"/>
  <c r="AI109" i="11"/>
  <c r="AK109" i="11"/>
  <c r="AR109" i="11"/>
  <c r="AO109" i="11"/>
  <c r="AW109" i="11"/>
  <c r="AQ109" i="11"/>
  <c r="AU109" i="11"/>
  <c r="AX109" i="11"/>
  <c r="AH110" i="11"/>
  <c r="AJ110" i="11" s="1"/>
  <c r="AN109" i="11"/>
  <c r="AV109" i="11"/>
  <c r="L102" i="11"/>
  <c r="R102" i="11"/>
  <c r="P102" i="11"/>
  <c r="Q102" i="11"/>
  <c r="N102" i="11"/>
  <c r="O102" i="11"/>
  <c r="T102" i="11"/>
  <c r="V102" i="11"/>
  <c r="U102" i="11"/>
  <c r="X102" i="11"/>
  <c r="W102" i="11"/>
  <c r="K102" i="11"/>
  <c r="I102" i="11"/>
  <c r="H103" i="11"/>
  <c r="J103" i="11" s="1"/>
  <c r="AL110" i="11" l="1"/>
  <c r="AO110" i="11"/>
  <c r="AU110" i="11"/>
  <c r="AK110" i="11"/>
  <c r="AR110" i="11"/>
  <c r="AN110" i="11"/>
  <c r="AX110" i="11"/>
  <c r="AI110" i="11"/>
  <c r="AP110" i="11"/>
  <c r="AT110" i="11"/>
  <c r="AV110" i="11"/>
  <c r="AH111" i="11"/>
  <c r="AJ111" i="11" s="1"/>
  <c r="AQ110" i="11"/>
  <c r="AW110" i="11"/>
  <c r="L103" i="11"/>
  <c r="O103" i="11"/>
  <c r="R103" i="11"/>
  <c r="P103" i="11"/>
  <c r="Q103" i="11"/>
  <c r="N103" i="11"/>
  <c r="X103" i="11"/>
  <c r="V103" i="11"/>
  <c r="U103" i="11"/>
  <c r="W103" i="11"/>
  <c r="T103" i="11"/>
  <c r="K103" i="11"/>
  <c r="I103" i="11"/>
  <c r="H104" i="11"/>
  <c r="J104" i="11" s="1"/>
  <c r="AU111" i="11" l="1"/>
  <c r="AR111" i="11"/>
  <c r="AO111" i="11"/>
  <c r="AV111" i="11"/>
  <c r="AQ111" i="11"/>
  <c r="AT111" i="11"/>
  <c r="AX111" i="11"/>
  <c r="AL111" i="11"/>
  <c r="AN111" i="11"/>
  <c r="AW111" i="11"/>
  <c r="AK111" i="11"/>
  <c r="AP111" i="11"/>
  <c r="AI111" i="11"/>
  <c r="AH112" i="11"/>
  <c r="AJ112" i="11" s="1"/>
  <c r="L104" i="11"/>
  <c r="R104" i="11"/>
  <c r="N104" i="11"/>
  <c r="Q104" i="11"/>
  <c r="O104" i="11"/>
  <c r="P104" i="11"/>
  <c r="X104" i="11"/>
  <c r="W104" i="11"/>
  <c r="V104" i="11"/>
  <c r="T104" i="11"/>
  <c r="U104" i="11"/>
  <c r="H105" i="11"/>
  <c r="J105" i="11" s="1"/>
  <c r="I104" i="11"/>
  <c r="K104" i="11"/>
  <c r="AL112" i="11" l="1"/>
  <c r="AQ112" i="11"/>
  <c r="AX112" i="11"/>
  <c r="AR112" i="11"/>
  <c r="AO112" i="11"/>
  <c r="AT112" i="11"/>
  <c r="AP112" i="11"/>
  <c r="AW112" i="11"/>
  <c r="AV112" i="11"/>
  <c r="AH113" i="11"/>
  <c r="AJ113" i="11" s="1"/>
  <c r="AN112" i="11"/>
  <c r="AU112" i="11"/>
  <c r="AI112" i="11"/>
  <c r="AK112" i="11"/>
  <c r="L105" i="11"/>
  <c r="Q105" i="11"/>
  <c r="O105" i="11"/>
  <c r="P105" i="11"/>
  <c r="N105" i="11"/>
  <c r="R105" i="11"/>
  <c r="T105" i="11"/>
  <c r="U105" i="11"/>
  <c r="V105" i="11"/>
  <c r="W105" i="11"/>
  <c r="X105" i="11"/>
  <c r="K105" i="11"/>
  <c r="I105" i="11"/>
  <c r="H106" i="11"/>
  <c r="J106" i="11" s="1"/>
  <c r="AN113" i="11" l="1"/>
  <c r="AW113" i="11"/>
  <c r="AX113" i="11"/>
  <c r="AO113" i="11"/>
  <c r="AT113" i="11"/>
  <c r="AP113" i="11"/>
  <c r="AU113" i="11"/>
  <c r="AK113" i="11"/>
  <c r="AH114" i="11"/>
  <c r="AJ114" i="11" s="1"/>
  <c r="AL113" i="11"/>
  <c r="AR113" i="11"/>
  <c r="AV113" i="11"/>
  <c r="AI113" i="11"/>
  <c r="AQ113" i="11"/>
  <c r="L106" i="11"/>
  <c r="R106" i="11"/>
  <c r="N106" i="11"/>
  <c r="Q106" i="11"/>
  <c r="P106" i="11"/>
  <c r="O106" i="11"/>
  <c r="X106" i="11"/>
  <c r="W106" i="11"/>
  <c r="U106" i="11"/>
  <c r="V106" i="11"/>
  <c r="T106" i="11"/>
  <c r="I106" i="11"/>
  <c r="H107" i="11"/>
  <c r="J107" i="11" s="1"/>
  <c r="K106" i="11"/>
  <c r="AN114" i="11" l="1"/>
  <c r="AP114" i="11"/>
  <c r="AU114" i="11"/>
  <c r="AK114" i="11"/>
  <c r="AR114" i="11"/>
  <c r="AT114" i="11"/>
  <c r="AW114" i="11"/>
  <c r="AO114" i="11"/>
  <c r="AV114" i="11"/>
  <c r="AH115" i="11"/>
  <c r="AJ115" i="11" s="1"/>
  <c r="AL114" i="11"/>
  <c r="AQ114" i="11"/>
  <c r="AX114" i="11"/>
  <c r="AI114" i="11"/>
  <c r="L107" i="11"/>
  <c r="P107" i="11"/>
  <c r="N107" i="11"/>
  <c r="R107" i="11"/>
  <c r="O107" i="11"/>
  <c r="Q107" i="11"/>
  <c r="W107" i="11"/>
  <c r="T107" i="11"/>
  <c r="U107" i="11"/>
  <c r="X107" i="11"/>
  <c r="V107" i="11"/>
  <c r="K107" i="11"/>
  <c r="I107" i="11"/>
  <c r="H108" i="11"/>
  <c r="J108" i="11" s="1"/>
  <c r="AL115" i="11" l="1"/>
  <c r="AR115" i="11"/>
  <c r="AV115" i="11"/>
  <c r="AK115" i="11"/>
  <c r="AO115" i="11"/>
  <c r="AW115" i="11"/>
  <c r="AN115" i="11"/>
  <c r="AX115" i="11"/>
  <c r="AQ115" i="11"/>
  <c r="AI115" i="11"/>
  <c r="AU115" i="11"/>
  <c r="AH116" i="11"/>
  <c r="AJ116" i="11" s="1"/>
  <c r="AP115" i="11"/>
  <c r="AT115" i="11"/>
  <c r="L108" i="11"/>
  <c r="N108" i="11"/>
  <c r="P108" i="11"/>
  <c r="O108" i="11"/>
  <c r="R108" i="11"/>
  <c r="Q108" i="11"/>
  <c r="V108" i="11"/>
  <c r="W108" i="11"/>
  <c r="X108" i="11"/>
  <c r="T108" i="11"/>
  <c r="U108" i="11"/>
  <c r="H109" i="11"/>
  <c r="J109" i="11" s="1"/>
  <c r="I108" i="11"/>
  <c r="K108" i="11"/>
  <c r="AN116" i="11" l="1"/>
  <c r="AQ116" i="11"/>
  <c r="AV116" i="11"/>
  <c r="AK116" i="11"/>
  <c r="AO116" i="11"/>
  <c r="AW116" i="11"/>
  <c r="AX116" i="11"/>
  <c r="AR116" i="11"/>
  <c r="AU116" i="11"/>
  <c r="AI116" i="11"/>
  <c r="AH117" i="11"/>
  <c r="AJ117" i="11" s="1"/>
  <c r="AL116" i="11"/>
  <c r="AP116" i="11"/>
  <c r="AT116" i="11"/>
  <c r="L109" i="11"/>
  <c r="Q109" i="11"/>
  <c r="R109" i="11"/>
  <c r="O109" i="11"/>
  <c r="P109" i="11"/>
  <c r="N109" i="11"/>
  <c r="U109" i="11"/>
  <c r="V109" i="11"/>
  <c r="W109" i="11"/>
  <c r="X109" i="11"/>
  <c r="T109" i="11"/>
  <c r="H110" i="11"/>
  <c r="J110" i="11" s="1"/>
  <c r="K109" i="11"/>
  <c r="I109" i="11"/>
  <c r="AL117" i="11" l="1"/>
  <c r="AP117" i="11"/>
  <c r="AT117" i="11"/>
  <c r="AN117" i="11"/>
  <c r="AO117" i="11"/>
  <c r="AW117" i="11"/>
  <c r="AH118" i="11"/>
  <c r="AJ118" i="11" s="1"/>
  <c r="AR117" i="11"/>
  <c r="AU117" i="11"/>
  <c r="AQ117" i="11"/>
  <c r="AX117" i="11"/>
  <c r="AV117" i="11"/>
  <c r="AI117" i="11"/>
  <c r="AK117" i="11"/>
  <c r="L110" i="11"/>
  <c r="O110" i="11"/>
  <c r="N110" i="11"/>
  <c r="R110" i="11"/>
  <c r="P110" i="11"/>
  <c r="Q110" i="11"/>
  <c r="W110" i="11"/>
  <c r="X110" i="11"/>
  <c r="V110" i="11"/>
  <c r="T110" i="11"/>
  <c r="U110" i="11"/>
  <c r="I110" i="11"/>
  <c r="K110" i="11"/>
  <c r="H111" i="11"/>
  <c r="J111" i="11" s="1"/>
  <c r="AR118" i="11" l="1"/>
  <c r="AQ118" i="11"/>
  <c r="AT118" i="11"/>
  <c r="AH119" i="11"/>
  <c r="AJ119" i="11" s="1"/>
  <c r="AL118" i="11"/>
  <c r="AK118" i="11"/>
  <c r="AN118" i="11"/>
  <c r="AV118" i="11"/>
  <c r="AU118" i="11"/>
  <c r="AP118" i="11"/>
  <c r="AW118" i="11"/>
  <c r="AI118" i="11"/>
  <c r="AO118" i="11"/>
  <c r="AX118" i="11"/>
  <c r="L111" i="11"/>
  <c r="Q111" i="11"/>
  <c r="N111" i="11"/>
  <c r="O111" i="11"/>
  <c r="R111" i="11"/>
  <c r="P111" i="11"/>
  <c r="T111" i="11"/>
  <c r="W111" i="11"/>
  <c r="U111" i="11"/>
  <c r="V111" i="11"/>
  <c r="X111" i="11"/>
  <c r="H112" i="11"/>
  <c r="J112" i="11" s="1"/>
  <c r="I111" i="11"/>
  <c r="K111" i="11"/>
  <c r="AP119" i="11" l="1"/>
  <c r="AR119" i="11"/>
  <c r="AX119" i="11"/>
  <c r="AH120" i="11"/>
  <c r="AJ120" i="11" s="1"/>
  <c r="AV119" i="11"/>
  <c r="AI119" i="11"/>
  <c r="AQ119" i="11"/>
  <c r="AT119" i="11"/>
  <c r="AW119" i="11"/>
  <c r="AL119" i="11"/>
  <c r="AN119" i="11"/>
  <c r="AU119" i="11"/>
  <c r="AK119" i="11"/>
  <c r="AO119" i="11"/>
  <c r="L112" i="11"/>
  <c r="N112" i="11"/>
  <c r="P112" i="11"/>
  <c r="R112" i="11"/>
  <c r="O112" i="11"/>
  <c r="Q112" i="11"/>
  <c r="U112" i="11"/>
  <c r="X112" i="11"/>
  <c r="T112" i="11"/>
  <c r="W112" i="11"/>
  <c r="V112" i="11"/>
  <c r="I112" i="11"/>
  <c r="H113" i="11"/>
  <c r="J113" i="11" s="1"/>
  <c r="K112" i="11"/>
  <c r="AL120" i="11" l="1"/>
  <c r="AR120" i="11"/>
  <c r="AX120" i="11"/>
  <c r="AK120" i="11"/>
  <c r="AO120" i="11"/>
  <c r="AN120" i="11"/>
  <c r="AU120" i="11"/>
  <c r="AI120" i="11"/>
  <c r="AP120" i="11"/>
  <c r="AT120" i="11"/>
  <c r="AV120" i="11"/>
  <c r="AQ120" i="11"/>
  <c r="AW120" i="11"/>
  <c r="AH121" i="11"/>
  <c r="AJ121" i="11" s="1"/>
  <c r="L113" i="11"/>
  <c r="P113" i="11"/>
  <c r="O113" i="11"/>
  <c r="R113" i="11"/>
  <c r="Q113" i="11"/>
  <c r="N113" i="11"/>
  <c r="U113" i="11"/>
  <c r="X113" i="11"/>
  <c r="T113" i="11"/>
  <c r="W113" i="11"/>
  <c r="V113" i="11"/>
  <c r="K113" i="11"/>
  <c r="H114" i="11"/>
  <c r="J114" i="11" s="1"/>
  <c r="I113" i="11"/>
  <c r="AL121" i="11" l="1"/>
  <c r="AO121" i="11"/>
  <c r="AW121" i="11"/>
  <c r="AH122" i="11"/>
  <c r="AJ122" i="11" s="1"/>
  <c r="AX121" i="11"/>
  <c r="AI121" i="11"/>
  <c r="AK121" i="11"/>
  <c r="AQ121" i="11"/>
  <c r="AP121" i="11"/>
  <c r="AT121" i="11"/>
  <c r="AN121" i="11"/>
  <c r="AV121" i="11"/>
  <c r="AR121" i="11"/>
  <c r="AU121" i="11"/>
  <c r="L114" i="11"/>
  <c r="Q114" i="11"/>
  <c r="N114" i="11"/>
  <c r="O114" i="11"/>
  <c r="P114" i="11"/>
  <c r="R114" i="11"/>
  <c r="X114" i="11"/>
  <c r="W114" i="11"/>
  <c r="V114" i="11"/>
  <c r="U114" i="11"/>
  <c r="T114" i="11"/>
  <c r="K114" i="11"/>
  <c r="H115" i="11"/>
  <c r="J115" i="11" s="1"/>
  <c r="I114" i="11"/>
  <c r="AQ122" i="11" l="1"/>
  <c r="AR122" i="11"/>
  <c r="AW122" i="11"/>
  <c r="AV122" i="11"/>
  <c r="AN122" i="11"/>
  <c r="AL122" i="11"/>
  <c r="AO122" i="11"/>
  <c r="AT122" i="11"/>
  <c r="AK122" i="11"/>
  <c r="AH123" i="11"/>
  <c r="AJ123" i="11" s="1"/>
  <c r="AP122" i="11"/>
  <c r="AX122" i="11"/>
  <c r="AU122" i="11"/>
  <c r="AI122" i="11"/>
  <c r="L115" i="11"/>
  <c r="P115" i="11"/>
  <c r="O115" i="11"/>
  <c r="Q115" i="11"/>
  <c r="N115" i="11"/>
  <c r="R115" i="11"/>
  <c r="T115" i="11"/>
  <c r="X115" i="11"/>
  <c r="V115" i="11"/>
  <c r="W115" i="11"/>
  <c r="U115" i="11"/>
  <c r="I115" i="11"/>
  <c r="K115" i="11"/>
  <c r="H116" i="11"/>
  <c r="J116" i="11" s="1"/>
  <c r="AR123" i="11" l="1"/>
  <c r="AU123" i="11"/>
  <c r="AO123" i="11"/>
  <c r="AQ123" i="11"/>
  <c r="AV123" i="11"/>
  <c r="AP123" i="11"/>
  <c r="AW123" i="11"/>
  <c r="AT123" i="11"/>
  <c r="AL123" i="11"/>
  <c r="AN123" i="11"/>
  <c r="AX123" i="11"/>
  <c r="AK123" i="11"/>
  <c r="AH124" i="11"/>
  <c r="AJ124" i="11" s="1"/>
  <c r="AI123" i="11"/>
  <c r="L116" i="11"/>
  <c r="N116" i="11"/>
  <c r="Q116" i="11"/>
  <c r="P116" i="11"/>
  <c r="O116" i="11"/>
  <c r="R116" i="11"/>
  <c r="T116" i="11"/>
  <c r="U116" i="11"/>
  <c r="W116" i="11"/>
  <c r="X116" i="11"/>
  <c r="V116" i="11"/>
  <c r="I116" i="11"/>
  <c r="H117" i="11"/>
  <c r="J117" i="11" s="1"/>
  <c r="K116" i="11"/>
  <c r="AQ124" i="11" l="1"/>
  <c r="AO124" i="11"/>
  <c r="AV124" i="11"/>
  <c r="AK124" i="11"/>
  <c r="AP124" i="11"/>
  <c r="AN124" i="11"/>
  <c r="AW124" i="11"/>
  <c r="AT124" i="11"/>
  <c r="AU124" i="11"/>
  <c r="AH125" i="11"/>
  <c r="AJ125" i="11" s="1"/>
  <c r="AI124" i="11"/>
  <c r="AL124" i="11"/>
  <c r="AR124" i="11"/>
  <c r="AX124" i="11"/>
  <c r="L117" i="11"/>
  <c r="N117" i="11"/>
  <c r="P117" i="11"/>
  <c r="R117" i="11"/>
  <c r="O117" i="11"/>
  <c r="Q117" i="11"/>
  <c r="T117" i="11"/>
  <c r="W117" i="11"/>
  <c r="X117" i="11"/>
  <c r="V117" i="11"/>
  <c r="U117" i="11"/>
  <c r="K117" i="11"/>
  <c r="I117" i="11"/>
  <c r="H118" i="11"/>
  <c r="J118" i="11" s="1"/>
  <c r="AL125" i="11" l="1"/>
  <c r="AW125" i="11"/>
  <c r="AK125" i="11"/>
  <c r="AR125" i="11"/>
  <c r="AN125" i="11"/>
  <c r="AT125" i="11"/>
  <c r="AO125" i="11"/>
  <c r="AV125" i="11"/>
  <c r="AU125" i="11"/>
  <c r="AQ125" i="11"/>
  <c r="AX125" i="11"/>
  <c r="AI125" i="11"/>
  <c r="AP125" i="11"/>
  <c r="AH126" i="11"/>
  <c r="AJ126" i="11" s="1"/>
  <c r="L118" i="11"/>
  <c r="R118" i="11"/>
  <c r="N118" i="11"/>
  <c r="P118" i="11"/>
  <c r="O118" i="11"/>
  <c r="Q118" i="11"/>
  <c r="V118" i="11"/>
  <c r="U118" i="11"/>
  <c r="T118" i="11"/>
  <c r="X118" i="11"/>
  <c r="W118" i="11"/>
  <c r="H119" i="11"/>
  <c r="J119" i="11" s="1"/>
  <c r="K118" i="11"/>
  <c r="I118" i="11"/>
  <c r="AO126" i="11" l="1"/>
  <c r="AP126" i="11"/>
  <c r="AV126" i="11"/>
  <c r="AL126" i="11"/>
  <c r="AT126" i="11"/>
  <c r="AH127" i="11"/>
  <c r="AJ127" i="11" s="1"/>
  <c r="AN126" i="11"/>
  <c r="AW126" i="11"/>
  <c r="AU126" i="11"/>
  <c r="AI126" i="11"/>
  <c r="AK126" i="11"/>
  <c r="AR126" i="11"/>
  <c r="AX126" i="11"/>
  <c r="AQ126" i="11"/>
  <c r="L119" i="11"/>
  <c r="R119" i="11"/>
  <c r="P119" i="11"/>
  <c r="Q119" i="11"/>
  <c r="O119" i="11"/>
  <c r="N119" i="11"/>
  <c r="V119" i="11"/>
  <c r="U119" i="11"/>
  <c r="T119" i="11"/>
  <c r="W119" i="11"/>
  <c r="X119" i="11"/>
  <c r="K119" i="11"/>
  <c r="H120" i="11"/>
  <c r="J120" i="11" s="1"/>
  <c r="I119" i="11"/>
  <c r="AN127" i="11" l="1"/>
  <c r="AV127" i="11"/>
  <c r="AK127" i="11"/>
  <c r="AR127" i="11"/>
  <c r="AX127" i="11"/>
  <c r="AP127" i="11"/>
  <c r="AH128" i="11"/>
  <c r="AJ128" i="11" s="1"/>
  <c r="AQ127" i="11"/>
  <c r="AT127" i="11"/>
  <c r="AU127" i="11"/>
  <c r="AI127" i="11"/>
  <c r="AL127" i="11"/>
  <c r="AO127" i="11"/>
  <c r="AW127" i="11"/>
  <c r="L120" i="11"/>
  <c r="O120" i="11"/>
  <c r="P120" i="11"/>
  <c r="N120" i="11"/>
  <c r="Q120" i="11"/>
  <c r="R120" i="11"/>
  <c r="X120" i="11"/>
  <c r="U120" i="11"/>
  <c r="T120" i="11"/>
  <c r="V120" i="11"/>
  <c r="W120" i="11"/>
  <c r="I120" i="11"/>
  <c r="K120" i="11"/>
  <c r="H121" i="11"/>
  <c r="J121" i="11" s="1"/>
  <c r="AL128" i="11" l="1"/>
  <c r="AP128" i="11"/>
  <c r="AX128" i="11"/>
  <c r="AK128" i="11"/>
  <c r="AI128" i="11"/>
  <c r="AN128" i="11"/>
  <c r="AQ128" i="11"/>
  <c r="AT128" i="11"/>
  <c r="AR128" i="11"/>
  <c r="AW128" i="11"/>
  <c r="AU128" i="11"/>
  <c r="AH129" i="11"/>
  <c r="AJ129" i="11" s="1"/>
  <c r="AO128" i="11"/>
  <c r="AV128" i="11"/>
  <c r="L121" i="11"/>
  <c r="R121" i="11"/>
  <c r="N121" i="11"/>
  <c r="O121" i="11"/>
  <c r="P121" i="11"/>
  <c r="Q121" i="11"/>
  <c r="W121" i="11"/>
  <c r="T121" i="11"/>
  <c r="X121" i="11"/>
  <c r="V121" i="11"/>
  <c r="U121" i="11"/>
  <c r="I121" i="11"/>
  <c r="K121" i="11"/>
  <c r="H122" i="11"/>
  <c r="J122" i="11" s="1"/>
  <c r="AQ129" i="11" l="1"/>
  <c r="AU129" i="11"/>
  <c r="AH130" i="11"/>
  <c r="AJ130" i="11" s="1"/>
  <c r="AR129" i="11"/>
  <c r="AW129" i="11"/>
  <c r="AT129" i="11"/>
  <c r="AV129" i="11"/>
  <c r="AI129" i="11"/>
  <c r="AP129" i="11"/>
  <c r="AL129" i="11"/>
  <c r="AN129" i="11"/>
  <c r="AX129" i="11"/>
  <c r="AK129" i="11"/>
  <c r="AO129" i="11"/>
  <c r="L122" i="11"/>
  <c r="Q122" i="11"/>
  <c r="R122" i="11"/>
  <c r="P122" i="11"/>
  <c r="N122" i="11"/>
  <c r="O122" i="11"/>
  <c r="X122" i="11"/>
  <c r="U122" i="11"/>
  <c r="T122" i="11"/>
  <c r="W122" i="11"/>
  <c r="V122" i="11"/>
  <c r="I122" i="11"/>
  <c r="H123" i="11"/>
  <c r="J123" i="11" s="1"/>
  <c r="K122" i="11"/>
  <c r="AN130" i="11" l="1"/>
  <c r="AW130" i="11"/>
  <c r="AX130" i="11"/>
  <c r="AH131" i="11"/>
  <c r="AJ131" i="11" s="1"/>
  <c r="AU130" i="11"/>
  <c r="AK130" i="11"/>
  <c r="AR130" i="11"/>
  <c r="AT130" i="11"/>
  <c r="AL130" i="11"/>
  <c r="AQ130" i="11"/>
  <c r="AV130" i="11"/>
  <c r="AI130" i="11"/>
  <c r="AP130" i="11"/>
  <c r="AO130" i="11"/>
  <c r="L123" i="11"/>
  <c r="O123" i="11"/>
  <c r="N123" i="11"/>
  <c r="Q123" i="11"/>
  <c r="R123" i="11"/>
  <c r="P123" i="11"/>
  <c r="X123" i="11"/>
  <c r="U123" i="11"/>
  <c r="V123" i="11"/>
  <c r="W123" i="11"/>
  <c r="T123" i="11"/>
  <c r="K123" i="11"/>
  <c r="I123" i="11"/>
  <c r="H124" i="11"/>
  <c r="J124" i="11" s="1"/>
  <c r="AL131" i="11" l="1"/>
  <c r="AP131" i="11"/>
  <c r="AX131" i="11"/>
  <c r="AN131" i="11"/>
  <c r="AW131" i="11"/>
  <c r="AU131" i="11"/>
  <c r="AH132" i="11"/>
  <c r="AJ132" i="11" s="1"/>
  <c r="AO131" i="11"/>
  <c r="AV131" i="11"/>
  <c r="AI131" i="11"/>
  <c r="AK131" i="11"/>
  <c r="AQ131" i="11"/>
  <c r="AR131" i="11"/>
  <c r="AT131" i="11"/>
  <c r="L124" i="11"/>
  <c r="P124" i="11"/>
  <c r="N124" i="11"/>
  <c r="O124" i="11"/>
  <c r="R124" i="11"/>
  <c r="Q124" i="11"/>
  <c r="W124" i="11"/>
  <c r="U124" i="11"/>
  <c r="X124" i="11"/>
  <c r="V124" i="11"/>
  <c r="T124" i="11"/>
  <c r="K124" i="11"/>
  <c r="I124" i="11"/>
  <c r="H125" i="11"/>
  <c r="J125" i="11" s="1"/>
  <c r="AO132" i="11" l="1"/>
  <c r="AR132" i="11"/>
  <c r="AX132" i="11"/>
  <c r="AK132" i="11"/>
  <c r="AV132" i="11"/>
  <c r="AH133" i="11"/>
  <c r="AJ133" i="11" s="1"/>
  <c r="AI132" i="11"/>
  <c r="AP132" i="11"/>
  <c r="AW132" i="11"/>
  <c r="AT132" i="11"/>
  <c r="AN132" i="11"/>
  <c r="AL132" i="11"/>
  <c r="AQ132" i="11"/>
  <c r="AU132" i="11"/>
  <c r="L125" i="11"/>
  <c r="Q125" i="11"/>
  <c r="N125" i="11"/>
  <c r="P125" i="11"/>
  <c r="O125" i="11"/>
  <c r="R125" i="11"/>
  <c r="V125" i="11"/>
  <c r="X125" i="11"/>
  <c r="W125" i="11"/>
  <c r="T125" i="11"/>
  <c r="U125" i="11"/>
  <c r="H126" i="11"/>
  <c r="J126" i="11" s="1"/>
  <c r="K125" i="11"/>
  <c r="I125" i="11"/>
  <c r="AL133" i="11" l="1"/>
  <c r="AQ133" i="11"/>
  <c r="AW133" i="11"/>
  <c r="AK133" i="11"/>
  <c r="AR133" i="11"/>
  <c r="AT133" i="11"/>
  <c r="AX133" i="11"/>
  <c r="AI133" i="11"/>
  <c r="AH134" i="11"/>
  <c r="AJ134" i="11" s="1"/>
  <c r="AO133" i="11"/>
  <c r="AN133" i="11"/>
  <c r="AU133" i="11"/>
  <c r="AP133" i="11"/>
  <c r="AV133" i="11"/>
  <c r="L126" i="11"/>
  <c r="R126" i="11"/>
  <c r="P126" i="11"/>
  <c r="Q126" i="11"/>
  <c r="O126" i="11"/>
  <c r="N126" i="11"/>
  <c r="X126" i="11"/>
  <c r="V126" i="11"/>
  <c r="U126" i="11"/>
  <c r="W126" i="11"/>
  <c r="T126" i="11"/>
  <c r="K126" i="11"/>
  <c r="H127" i="11"/>
  <c r="J127" i="11" s="1"/>
  <c r="I126" i="11"/>
  <c r="AL134" i="11" l="1"/>
  <c r="AO134" i="11"/>
  <c r="AW134" i="11"/>
  <c r="AH135" i="11"/>
  <c r="AJ135" i="11" s="1"/>
  <c r="AP134" i="11"/>
  <c r="AT134" i="11"/>
  <c r="AI134" i="11"/>
  <c r="AQ134" i="11"/>
  <c r="AR134" i="11"/>
  <c r="AV134" i="11"/>
  <c r="AK134" i="11"/>
  <c r="AN134" i="11"/>
  <c r="AU134" i="11"/>
  <c r="AX134" i="11"/>
  <c r="L127" i="11"/>
  <c r="N127" i="11"/>
  <c r="P127" i="11"/>
  <c r="Q127" i="11"/>
  <c r="O127" i="11"/>
  <c r="R127" i="11"/>
  <c r="X127" i="11"/>
  <c r="U127" i="11"/>
  <c r="V127" i="11"/>
  <c r="W127" i="11"/>
  <c r="T127" i="11"/>
  <c r="I127" i="11"/>
  <c r="K127" i="11"/>
  <c r="H128" i="11"/>
  <c r="J128" i="11" s="1"/>
  <c r="AL135" i="11" l="1"/>
  <c r="AN135" i="11"/>
  <c r="AT135" i="11"/>
  <c r="AQ135" i="11"/>
  <c r="AR135" i="11"/>
  <c r="AX135" i="11"/>
  <c r="AU135" i="11"/>
  <c r="AI135" i="11"/>
  <c r="AP135" i="11"/>
  <c r="AV135" i="11"/>
  <c r="AK135" i="11"/>
  <c r="AH136" i="11"/>
  <c r="AJ136" i="11" s="1"/>
  <c r="AO135" i="11"/>
  <c r="AW135" i="11"/>
  <c r="L128" i="11"/>
  <c r="R128" i="11"/>
  <c r="O128" i="11"/>
  <c r="N128" i="11"/>
  <c r="P128" i="11"/>
  <c r="Q128" i="11"/>
  <c r="V128" i="11"/>
  <c r="X128" i="11"/>
  <c r="T128" i="11"/>
  <c r="W128" i="11"/>
  <c r="U128" i="11"/>
  <c r="I128" i="11"/>
  <c r="K128" i="11"/>
  <c r="H129" i="11"/>
  <c r="J129" i="11" s="1"/>
  <c r="AL136" i="11" l="1"/>
  <c r="AQ136" i="11"/>
  <c r="AW136" i="11"/>
  <c r="AH137" i="11"/>
  <c r="AJ137" i="11" s="1"/>
  <c r="AO136" i="11"/>
  <c r="AT136" i="11"/>
  <c r="AR136" i="11"/>
  <c r="AI136" i="11"/>
  <c r="AP136" i="11"/>
  <c r="AU136" i="11"/>
  <c r="AX136" i="11"/>
  <c r="AN136" i="11"/>
  <c r="AV136" i="11"/>
  <c r="AK136" i="11"/>
  <c r="L129" i="11"/>
  <c r="P129" i="11"/>
  <c r="N129" i="11"/>
  <c r="Q129" i="11"/>
  <c r="R129" i="11"/>
  <c r="O129" i="11"/>
  <c r="W129" i="11"/>
  <c r="V129" i="11"/>
  <c r="T129" i="11"/>
  <c r="X129" i="11"/>
  <c r="U129" i="11"/>
  <c r="K129" i="11"/>
  <c r="H130" i="11"/>
  <c r="J130" i="11" s="1"/>
  <c r="I129" i="11"/>
  <c r="AL137" i="11" l="1"/>
  <c r="AR137" i="11"/>
  <c r="AX137" i="11"/>
  <c r="AK137" i="11"/>
  <c r="AH138" i="11"/>
  <c r="AJ138" i="11" s="1"/>
  <c r="AI137" i="11"/>
  <c r="AP137" i="11"/>
  <c r="AN137" i="11"/>
  <c r="AV137" i="11"/>
  <c r="AO137" i="11"/>
  <c r="AT137" i="11"/>
  <c r="AW137" i="11"/>
  <c r="AQ137" i="11"/>
  <c r="AU137" i="11"/>
  <c r="L130" i="11"/>
  <c r="O130" i="11"/>
  <c r="P130" i="11"/>
  <c r="R130" i="11"/>
  <c r="Q130" i="11"/>
  <c r="N130" i="11"/>
  <c r="V130" i="11"/>
  <c r="U130" i="11"/>
  <c r="X130" i="11"/>
  <c r="W130" i="11"/>
  <c r="T130" i="11"/>
  <c r="I130" i="11"/>
  <c r="H131" i="11"/>
  <c r="J131" i="11" s="1"/>
  <c r="K130" i="11"/>
  <c r="AL138" i="11" l="1"/>
  <c r="AO138" i="11"/>
  <c r="AT138" i="11"/>
  <c r="AI138" i="11"/>
  <c r="AR138" i="11"/>
  <c r="AN138" i="11"/>
  <c r="AX138" i="11"/>
  <c r="AP138" i="11"/>
  <c r="AU138" i="11"/>
  <c r="AK138" i="11"/>
  <c r="AH139" i="11"/>
  <c r="AJ139" i="11" s="1"/>
  <c r="AQ138" i="11"/>
  <c r="AV138" i="11"/>
  <c r="AW138" i="11"/>
  <c r="L131" i="11"/>
  <c r="Q131" i="11"/>
  <c r="O131" i="11"/>
  <c r="P131" i="11"/>
  <c r="N131" i="11"/>
  <c r="R131" i="11"/>
  <c r="V131" i="11"/>
  <c r="X131" i="11"/>
  <c r="T131" i="11"/>
  <c r="U131" i="11"/>
  <c r="W131" i="11"/>
  <c r="H132" i="11"/>
  <c r="J132" i="11" s="1"/>
  <c r="I131" i="11"/>
  <c r="K131" i="11"/>
  <c r="AL139" i="11" l="1"/>
  <c r="AR139" i="11"/>
  <c r="AU139" i="11"/>
  <c r="AK139" i="11"/>
  <c r="AQ139" i="11"/>
  <c r="AV139" i="11"/>
  <c r="AH140" i="11"/>
  <c r="AJ140" i="11" s="1"/>
  <c r="AN139" i="11"/>
  <c r="AT139" i="11"/>
  <c r="AX139" i="11"/>
  <c r="AP139" i="11"/>
  <c r="AW139" i="11"/>
  <c r="AI139" i="11"/>
  <c r="AO139" i="11"/>
  <c r="L132" i="11"/>
  <c r="P132" i="11"/>
  <c r="O132" i="11"/>
  <c r="Q132" i="11"/>
  <c r="N132" i="11"/>
  <c r="R132" i="11"/>
  <c r="U132" i="11"/>
  <c r="W132" i="11"/>
  <c r="X132" i="11"/>
  <c r="V132" i="11"/>
  <c r="T132" i="11"/>
  <c r="I132" i="11"/>
  <c r="H133" i="11"/>
  <c r="J133" i="11" s="1"/>
  <c r="K132" i="11"/>
  <c r="AL140" i="11" l="1"/>
  <c r="AR140" i="11"/>
  <c r="AU140" i="11"/>
  <c r="AI140" i="11"/>
  <c r="AP140" i="11"/>
  <c r="AN140" i="11"/>
  <c r="AT140" i="11"/>
  <c r="AQ140" i="11"/>
  <c r="AX140" i="11"/>
  <c r="AV140" i="11"/>
  <c r="AO140" i="11"/>
  <c r="AW140" i="11"/>
  <c r="AK140" i="11"/>
  <c r="AH141" i="11"/>
  <c r="AJ141" i="11" s="1"/>
  <c r="L133" i="11"/>
  <c r="N133" i="11"/>
  <c r="Q133" i="11"/>
  <c r="P133" i="11"/>
  <c r="O133" i="11"/>
  <c r="R133" i="11"/>
  <c r="V133" i="11"/>
  <c r="W133" i="11"/>
  <c r="U133" i="11"/>
  <c r="T133" i="11"/>
  <c r="X133" i="11"/>
  <c r="K133" i="11"/>
  <c r="I133" i="11"/>
  <c r="H134" i="11"/>
  <c r="J134" i="11" s="1"/>
  <c r="AL141" i="11" l="1"/>
  <c r="AO141" i="11"/>
  <c r="AX141" i="11"/>
  <c r="AN141" i="11"/>
  <c r="AP141" i="11"/>
  <c r="AW141" i="11"/>
  <c r="AI141" i="11"/>
  <c r="AK141" i="11"/>
  <c r="AH142" i="11"/>
  <c r="AJ142" i="11" s="1"/>
  <c r="AQ141" i="11"/>
  <c r="AV141" i="11"/>
  <c r="AT141" i="11"/>
  <c r="AR141" i="11"/>
  <c r="AU141" i="11"/>
  <c r="L134" i="11"/>
  <c r="N134" i="11"/>
  <c r="Q134" i="11"/>
  <c r="P134" i="11"/>
  <c r="R134" i="11"/>
  <c r="O134" i="11"/>
  <c r="V134" i="11"/>
  <c r="W134" i="11"/>
  <c r="U134" i="11"/>
  <c r="X134" i="11"/>
  <c r="T134" i="11"/>
  <c r="I134" i="11"/>
  <c r="H135" i="11"/>
  <c r="J135" i="11" s="1"/>
  <c r="K134" i="11"/>
  <c r="AO142" i="11" l="1"/>
  <c r="AQ142" i="11"/>
  <c r="AX142" i="11"/>
  <c r="AH143" i="11"/>
  <c r="AJ143" i="11" s="1"/>
  <c r="AW142" i="11"/>
  <c r="AR142" i="11"/>
  <c r="AU142" i="11"/>
  <c r="AI142" i="11"/>
  <c r="AL142" i="11"/>
  <c r="AN142" i="11"/>
  <c r="AT142" i="11"/>
  <c r="AK142" i="11"/>
  <c r="AP142" i="11"/>
  <c r="AV142" i="11"/>
  <c r="L135" i="11"/>
  <c r="R135" i="11"/>
  <c r="Q135" i="11"/>
  <c r="O135" i="11"/>
  <c r="N135" i="11"/>
  <c r="P135" i="11"/>
  <c r="X135" i="11"/>
  <c r="V135" i="11"/>
  <c r="T135" i="11"/>
  <c r="W135" i="11"/>
  <c r="U135" i="11"/>
  <c r="I135" i="11"/>
  <c r="H136" i="11"/>
  <c r="J136" i="11" s="1"/>
  <c r="K135" i="11"/>
  <c r="AQ143" i="11" l="1"/>
  <c r="AP143" i="11"/>
  <c r="AW143" i="11"/>
  <c r="AR143" i="11"/>
  <c r="AX143" i="11"/>
  <c r="AL143" i="11"/>
  <c r="AU143" i="11"/>
  <c r="AI143" i="11"/>
  <c r="AO143" i="11"/>
  <c r="AN143" i="11"/>
  <c r="AT143" i="11"/>
  <c r="AK143" i="11"/>
  <c r="AH144" i="11"/>
  <c r="AJ144" i="11" s="1"/>
  <c r="AV143" i="11"/>
  <c r="L136" i="11"/>
  <c r="Q136" i="11"/>
  <c r="N136" i="11"/>
  <c r="P136" i="11"/>
  <c r="R136" i="11"/>
  <c r="O136" i="11"/>
  <c r="V136" i="11"/>
  <c r="W136" i="11"/>
  <c r="T136" i="11"/>
  <c r="X136" i="11"/>
  <c r="U136" i="11"/>
  <c r="K136" i="11"/>
  <c r="I136" i="11"/>
  <c r="H137" i="11"/>
  <c r="J137" i="11" s="1"/>
  <c r="AL144" i="11" l="1"/>
  <c r="AO144" i="11"/>
  <c r="AX144" i="11"/>
  <c r="AH145" i="11"/>
  <c r="AJ145" i="11" s="1"/>
  <c r="AN144" i="11"/>
  <c r="AQ144" i="11"/>
  <c r="AT144" i="11"/>
  <c r="AP144" i="11"/>
  <c r="AW144" i="11"/>
  <c r="AU144" i="11"/>
  <c r="AI144" i="11"/>
  <c r="AR144" i="11"/>
  <c r="AV144" i="11"/>
  <c r="AK144" i="11"/>
  <c r="L137" i="11"/>
  <c r="O137" i="11"/>
  <c r="N137" i="11"/>
  <c r="Q137" i="11"/>
  <c r="P137" i="11"/>
  <c r="R137" i="11"/>
  <c r="U137" i="11"/>
  <c r="V137" i="11"/>
  <c r="T137" i="11"/>
  <c r="W137" i="11"/>
  <c r="X137" i="11"/>
  <c r="I137" i="11"/>
  <c r="H138" i="11"/>
  <c r="J138" i="11" s="1"/>
  <c r="K137" i="11"/>
  <c r="AL145" i="11" l="1"/>
  <c r="AP145" i="11"/>
  <c r="AU145" i="11"/>
  <c r="AH146" i="11"/>
  <c r="AJ146" i="11" s="1"/>
  <c r="AR145" i="11"/>
  <c r="AQ145" i="11"/>
  <c r="AT145" i="11"/>
  <c r="AI145" i="11"/>
  <c r="AK145" i="11"/>
  <c r="AN145" i="11"/>
  <c r="AX145" i="11"/>
  <c r="AV145" i="11"/>
  <c r="AO145" i="11"/>
  <c r="AW145" i="11"/>
  <c r="L138" i="11"/>
  <c r="R138" i="11"/>
  <c r="N138" i="11"/>
  <c r="P138" i="11"/>
  <c r="Q138" i="11"/>
  <c r="O138" i="11"/>
  <c r="U138" i="11"/>
  <c r="T138" i="11"/>
  <c r="V138" i="11"/>
  <c r="X138" i="11"/>
  <c r="W138" i="11"/>
  <c r="K138" i="11"/>
  <c r="I138" i="11"/>
  <c r="H139" i="11"/>
  <c r="J139" i="11" s="1"/>
  <c r="AR146" i="11" l="1"/>
  <c r="AN146" i="11"/>
  <c r="AX146" i="11"/>
  <c r="AK146" i="11"/>
  <c r="AO146" i="11"/>
  <c r="AT146" i="11"/>
  <c r="AW146" i="11"/>
  <c r="AL146" i="11"/>
  <c r="AP146" i="11"/>
  <c r="AQ146" i="11"/>
  <c r="AU146" i="11"/>
  <c r="AH147" i="11"/>
  <c r="AJ147" i="11" s="1"/>
  <c r="AV146" i="11"/>
  <c r="AI146" i="11"/>
  <c r="L139" i="11"/>
  <c r="Q139" i="11"/>
  <c r="N139" i="11"/>
  <c r="R139" i="11"/>
  <c r="O139" i="11"/>
  <c r="P139" i="11"/>
  <c r="U139" i="11"/>
  <c r="V139" i="11"/>
  <c r="X139" i="11"/>
  <c r="T139" i="11"/>
  <c r="W139" i="11"/>
  <c r="I139" i="11"/>
  <c r="K139" i="11"/>
  <c r="H140" i="11"/>
  <c r="J140" i="11" s="1"/>
  <c r="AL147" i="11" l="1"/>
  <c r="AQ147" i="11"/>
  <c r="AW147" i="11"/>
  <c r="AO147" i="11"/>
  <c r="AP147" i="11"/>
  <c r="AV147" i="11"/>
  <c r="AN147" i="11"/>
  <c r="AT147" i="11"/>
  <c r="AU147" i="11"/>
  <c r="AI147" i="11"/>
  <c r="AH148" i="11"/>
  <c r="AJ148" i="11" s="1"/>
  <c r="AR147" i="11"/>
  <c r="AX147" i="11"/>
  <c r="AK147" i="11"/>
  <c r="L140" i="11"/>
  <c r="O140" i="11"/>
  <c r="R140" i="11"/>
  <c r="N140" i="11"/>
  <c r="Q140" i="11"/>
  <c r="P140" i="11"/>
  <c r="W140" i="11"/>
  <c r="U140" i="11"/>
  <c r="X140" i="11"/>
  <c r="T140" i="11"/>
  <c r="V140" i="11"/>
  <c r="K140" i="11"/>
  <c r="I140" i="11"/>
  <c r="H141" i="11"/>
  <c r="J141" i="11" s="1"/>
  <c r="AL148" i="11" l="1"/>
  <c r="AN148" i="11"/>
  <c r="AW148" i="11"/>
  <c r="AH149" i="11"/>
  <c r="AJ149" i="11" s="1"/>
  <c r="AO148" i="11"/>
  <c r="AT148" i="11"/>
  <c r="AX148" i="11"/>
  <c r="AQ148" i="11"/>
  <c r="AP148" i="11"/>
  <c r="AU148" i="11"/>
  <c r="AI148" i="11"/>
  <c r="AK148" i="11"/>
  <c r="AR148" i="11"/>
  <c r="AV148" i="11"/>
  <c r="L141" i="11"/>
  <c r="Q141" i="11"/>
  <c r="N141" i="11"/>
  <c r="O141" i="11"/>
  <c r="R141" i="11"/>
  <c r="P141" i="11"/>
  <c r="U141" i="11"/>
  <c r="X141" i="11"/>
  <c r="W141" i="11"/>
  <c r="T141" i="11"/>
  <c r="V141" i="11"/>
  <c r="K141" i="11"/>
  <c r="I141" i="11"/>
  <c r="H142" i="11"/>
  <c r="J142" i="11" s="1"/>
  <c r="AQ149" i="11" l="1"/>
  <c r="AR149" i="11"/>
  <c r="AW149" i="11"/>
  <c r="AO149" i="11"/>
  <c r="AN149" i="11"/>
  <c r="AT149" i="11"/>
  <c r="AH150" i="11"/>
  <c r="AJ150" i="11" s="1"/>
  <c r="AL149" i="11"/>
  <c r="AP149" i="11"/>
  <c r="AV149" i="11"/>
  <c r="AI149" i="11"/>
  <c r="AK149" i="11"/>
  <c r="AX149" i="11"/>
  <c r="AU149" i="11"/>
  <c r="L142" i="11"/>
  <c r="O142" i="11"/>
  <c r="Q142" i="11"/>
  <c r="N142" i="11"/>
  <c r="P142" i="11"/>
  <c r="R142" i="11"/>
  <c r="X142" i="11"/>
  <c r="V142" i="11"/>
  <c r="W142" i="11"/>
  <c r="U142" i="11"/>
  <c r="T142" i="11"/>
  <c r="K142" i="11"/>
  <c r="H143" i="11"/>
  <c r="J143" i="11" s="1"/>
  <c r="I142" i="11"/>
  <c r="AL150" i="11" l="1"/>
  <c r="AQ150" i="11"/>
  <c r="AW150" i="11"/>
  <c r="AK150" i="11"/>
  <c r="AP150" i="11"/>
  <c r="AV150" i="11"/>
  <c r="AR150" i="11"/>
  <c r="AO150" i="11"/>
  <c r="AT150" i="11"/>
  <c r="AU150" i="11"/>
  <c r="AH151" i="11"/>
  <c r="AJ151" i="11" s="1"/>
  <c r="AN150" i="11"/>
  <c r="AX150" i="11"/>
  <c r="AI150" i="11"/>
  <c r="L143" i="11"/>
  <c r="N143" i="11"/>
  <c r="Q143" i="11"/>
  <c r="R143" i="11"/>
  <c r="O143" i="11"/>
  <c r="P143" i="11"/>
  <c r="U143" i="11"/>
  <c r="T143" i="11"/>
  <c r="W143" i="11"/>
  <c r="X143" i="11"/>
  <c r="V143" i="11"/>
  <c r="I143" i="11"/>
  <c r="H144" i="11"/>
  <c r="J144" i="11" s="1"/>
  <c r="K143" i="11"/>
  <c r="AL151" i="11" l="1"/>
  <c r="AP151" i="11"/>
  <c r="AT151" i="11"/>
  <c r="AK151" i="11"/>
  <c r="AN151" i="11"/>
  <c r="AR151" i="11"/>
  <c r="AO151" i="11"/>
  <c r="AX151" i="11"/>
  <c r="AV151" i="11"/>
  <c r="AQ151" i="11"/>
  <c r="AU151" i="11"/>
  <c r="AI151" i="11"/>
  <c r="AW151" i="11"/>
  <c r="AH152" i="11"/>
  <c r="AJ152" i="11" s="1"/>
  <c r="L144" i="11"/>
  <c r="N144" i="11"/>
  <c r="P144" i="11"/>
  <c r="R144" i="11"/>
  <c r="O144" i="11"/>
  <c r="Q144" i="11"/>
  <c r="V144" i="11"/>
  <c r="X144" i="11"/>
  <c r="T144" i="11"/>
  <c r="U144" i="11"/>
  <c r="W144" i="11"/>
  <c r="K144" i="11"/>
  <c r="H145" i="11"/>
  <c r="J145" i="11" s="1"/>
  <c r="I144" i="11"/>
  <c r="AL152" i="11" l="1"/>
  <c r="AR152" i="11"/>
  <c r="AV152" i="11"/>
  <c r="AI152" i="11"/>
  <c r="AP152" i="11"/>
  <c r="AU152" i="11"/>
  <c r="AT152" i="11"/>
  <c r="AO152" i="11"/>
  <c r="AN152" i="11"/>
  <c r="AW152" i="11"/>
  <c r="AQ152" i="11"/>
  <c r="AX152" i="11"/>
  <c r="AK152" i="11"/>
  <c r="AH153" i="11"/>
  <c r="AJ153" i="11" s="1"/>
  <c r="L145" i="11"/>
  <c r="R145" i="11"/>
  <c r="P145" i="11"/>
  <c r="O145" i="11"/>
  <c r="N145" i="11"/>
  <c r="Q145" i="11"/>
  <c r="X145" i="11"/>
  <c r="W145" i="11"/>
  <c r="U145" i="11"/>
  <c r="T145" i="11"/>
  <c r="V145" i="11"/>
  <c r="H146" i="11"/>
  <c r="J146" i="11" s="1"/>
  <c r="I145" i="11"/>
  <c r="K145" i="11"/>
  <c r="AL153" i="11" l="1"/>
  <c r="AQ153" i="11"/>
  <c r="AW153" i="11"/>
  <c r="AK153" i="11"/>
  <c r="AR153" i="11"/>
  <c r="AU153" i="11"/>
  <c r="AN153" i="11"/>
  <c r="AO153" i="11"/>
  <c r="AV153" i="11"/>
  <c r="AT153" i="11"/>
  <c r="AP153" i="11"/>
  <c r="AX153" i="11"/>
  <c r="AI153" i="11"/>
  <c r="AH154" i="11"/>
  <c r="AJ154" i="11" s="1"/>
  <c r="L146" i="11"/>
  <c r="P146" i="11"/>
  <c r="N146" i="11"/>
  <c r="Q146" i="11"/>
  <c r="R146" i="11"/>
  <c r="O146" i="11"/>
  <c r="U146" i="11"/>
  <c r="V146" i="11"/>
  <c r="X146" i="11"/>
  <c r="T146" i="11"/>
  <c r="W146" i="11"/>
  <c r="K146" i="11"/>
  <c r="I146" i="11"/>
  <c r="H147" i="11"/>
  <c r="J147" i="11" s="1"/>
  <c r="AQ154" i="11" l="1"/>
  <c r="AP154" i="11"/>
  <c r="AR154" i="11"/>
  <c r="AW154" i="11"/>
  <c r="AX154" i="11"/>
  <c r="AO154" i="11"/>
  <c r="AV154" i="11"/>
  <c r="AL154" i="11"/>
  <c r="AN154" i="11"/>
  <c r="AT154" i="11"/>
  <c r="AI154" i="11"/>
  <c r="AU154" i="11"/>
  <c r="AK154" i="11"/>
  <c r="AH155" i="11"/>
  <c r="AJ155" i="11" s="1"/>
  <c r="L147" i="11"/>
  <c r="Q147" i="11"/>
  <c r="P147" i="11"/>
  <c r="N147" i="11"/>
  <c r="O147" i="11"/>
  <c r="R147" i="11"/>
  <c r="W147" i="11"/>
  <c r="V147" i="11"/>
  <c r="U147" i="11"/>
  <c r="T147" i="11"/>
  <c r="X147" i="11"/>
  <c r="I147" i="11"/>
  <c r="K147" i="11"/>
  <c r="H148" i="11"/>
  <c r="J148" i="11" s="1"/>
  <c r="AN155" i="11" l="1"/>
  <c r="AV155" i="11"/>
  <c r="AQ155" i="11"/>
  <c r="AT155" i="11"/>
  <c r="AX155" i="11"/>
  <c r="AH156" i="11"/>
  <c r="AJ156" i="11" s="1"/>
  <c r="AL155" i="11"/>
  <c r="AP155" i="11"/>
  <c r="AW155" i="11"/>
  <c r="AI155" i="11"/>
  <c r="AK155" i="11"/>
  <c r="AR155" i="11"/>
  <c r="AO155" i="11"/>
  <c r="AU155" i="11"/>
  <c r="L148" i="11"/>
  <c r="R148" i="11"/>
  <c r="O148" i="11"/>
  <c r="Q148" i="11"/>
  <c r="P148" i="11"/>
  <c r="N148" i="11"/>
  <c r="W148" i="11"/>
  <c r="V148" i="11"/>
  <c r="T148" i="11"/>
  <c r="U148" i="11"/>
  <c r="X148" i="11"/>
  <c r="K148" i="11"/>
  <c r="I148" i="11"/>
  <c r="H149" i="11"/>
  <c r="J149" i="11" s="1"/>
  <c r="AL156" i="11" l="1"/>
  <c r="AQ156" i="11"/>
  <c r="AX156" i="11"/>
  <c r="AK156" i="11"/>
  <c r="AR156" i="11"/>
  <c r="AO156" i="11"/>
  <c r="AW156" i="11"/>
  <c r="AH157" i="11"/>
  <c r="AJ157" i="11" s="1"/>
  <c r="AI156" i="11"/>
  <c r="AP156" i="11"/>
  <c r="AU156" i="11"/>
  <c r="AT156" i="11"/>
  <c r="AN156" i="11"/>
  <c r="AV156" i="11"/>
  <c r="L149" i="11"/>
  <c r="Q149" i="11"/>
  <c r="O149" i="11"/>
  <c r="P149" i="11"/>
  <c r="R149" i="11"/>
  <c r="N149" i="11"/>
  <c r="V149" i="11"/>
  <c r="W149" i="11"/>
  <c r="U149" i="11"/>
  <c r="X149" i="11"/>
  <c r="T149" i="11"/>
  <c r="I149" i="11"/>
  <c r="H150" i="11"/>
  <c r="J150" i="11" s="1"/>
  <c r="K149" i="11"/>
  <c r="AL157" i="11" l="1"/>
  <c r="AR157" i="11"/>
  <c r="AT157" i="11"/>
  <c r="AK157" i="11"/>
  <c r="AV157" i="11"/>
  <c r="AQ157" i="11"/>
  <c r="AP157" i="11"/>
  <c r="AW157" i="11"/>
  <c r="AU157" i="11"/>
  <c r="AI157" i="11"/>
  <c r="AO157" i="11"/>
  <c r="AH158" i="11"/>
  <c r="AJ158" i="11" s="1"/>
  <c r="AN157" i="11"/>
  <c r="AX157" i="11"/>
  <c r="L150" i="11"/>
  <c r="N150" i="11"/>
  <c r="P150" i="11"/>
  <c r="O150" i="11"/>
  <c r="Q150" i="11"/>
  <c r="R150" i="11"/>
  <c r="T150" i="11"/>
  <c r="X150" i="11"/>
  <c r="W150" i="11"/>
  <c r="V150" i="11"/>
  <c r="U150" i="11"/>
  <c r="H151" i="11"/>
  <c r="J151" i="11" s="1"/>
  <c r="I150" i="11"/>
  <c r="K150" i="11"/>
  <c r="AQ158" i="11" l="1"/>
  <c r="AP158" i="11"/>
  <c r="AU158" i="11"/>
  <c r="AK158" i="11"/>
  <c r="AN158" i="11"/>
  <c r="AX158" i="11"/>
  <c r="AT158" i="11"/>
  <c r="AR158" i="11"/>
  <c r="AH159" i="11"/>
  <c r="AJ159" i="11" s="1"/>
  <c r="AO158" i="11"/>
  <c r="AI158" i="11"/>
  <c r="AV158" i="11"/>
  <c r="AW158" i="11"/>
  <c r="AL158" i="11"/>
  <c r="L151" i="11"/>
  <c r="O151" i="11"/>
  <c r="N151" i="11"/>
  <c r="Q151" i="11"/>
  <c r="P151" i="11"/>
  <c r="R151" i="11"/>
  <c r="U151" i="11"/>
  <c r="T151" i="11"/>
  <c r="W151" i="11"/>
  <c r="X151" i="11"/>
  <c r="V151" i="11"/>
  <c r="I151" i="11"/>
  <c r="K151" i="11"/>
  <c r="H152" i="11"/>
  <c r="J152" i="11" s="1"/>
  <c r="AO159" i="11" l="1"/>
  <c r="AV159" i="11"/>
  <c r="AK159" i="11"/>
  <c r="AH160" i="11"/>
  <c r="AJ160" i="11" s="1"/>
  <c r="AN159" i="11"/>
  <c r="AQ159" i="11"/>
  <c r="AX159" i="11"/>
  <c r="AP159" i="11"/>
  <c r="AW159" i="11"/>
  <c r="AT159" i="11"/>
  <c r="AL159" i="11"/>
  <c r="AR159" i="11"/>
  <c r="AU159" i="11"/>
  <c r="AI159" i="11"/>
  <c r="L152" i="11"/>
  <c r="O152" i="11"/>
  <c r="P152" i="11"/>
  <c r="R152" i="11"/>
  <c r="Q152" i="11"/>
  <c r="N152" i="11"/>
  <c r="X152" i="11"/>
  <c r="V152" i="11"/>
  <c r="U152" i="11"/>
  <c r="W152" i="11"/>
  <c r="T152" i="11"/>
  <c r="I152" i="11"/>
  <c r="H153" i="11"/>
  <c r="J153" i="11" s="1"/>
  <c r="K152" i="11"/>
  <c r="AL160" i="11" l="1"/>
  <c r="AQ160" i="11"/>
  <c r="AV160" i="11"/>
  <c r="AO160" i="11"/>
  <c r="AP160" i="11"/>
  <c r="AX160" i="11"/>
  <c r="AH161" i="11"/>
  <c r="AJ161" i="11" s="1"/>
  <c r="AI160" i="11"/>
  <c r="AK160" i="11"/>
  <c r="AN160" i="11"/>
  <c r="AW160" i="11"/>
  <c r="AT160" i="11"/>
  <c r="AR160" i="11"/>
  <c r="AU160" i="11"/>
  <c r="L153" i="11"/>
  <c r="N153" i="11"/>
  <c r="Q153" i="11"/>
  <c r="R153" i="11"/>
  <c r="O153" i="11"/>
  <c r="P153" i="11"/>
  <c r="W153" i="11"/>
  <c r="V153" i="11"/>
  <c r="U153" i="11"/>
  <c r="X153" i="11"/>
  <c r="T153" i="11"/>
  <c r="I153" i="11"/>
  <c r="H154" i="11"/>
  <c r="J154" i="11" s="1"/>
  <c r="K153" i="11"/>
  <c r="AL161" i="11" l="1"/>
  <c r="AO161" i="11"/>
  <c r="AU161" i="11"/>
  <c r="AK161" i="11"/>
  <c r="AT161" i="11"/>
  <c r="AH162" i="11"/>
  <c r="AJ162" i="11" s="1"/>
  <c r="AR161" i="11"/>
  <c r="AQ161" i="11"/>
  <c r="AX161" i="11"/>
  <c r="AN161" i="11"/>
  <c r="AV161" i="11"/>
  <c r="AP161" i="11"/>
  <c r="AW161" i="11"/>
  <c r="AI161" i="11"/>
  <c r="L154" i="11"/>
  <c r="P154" i="11"/>
  <c r="Q154" i="11"/>
  <c r="N154" i="11"/>
  <c r="R154" i="11"/>
  <c r="O154" i="11"/>
  <c r="V154" i="11"/>
  <c r="T154" i="11"/>
  <c r="U154" i="11"/>
  <c r="X154" i="11"/>
  <c r="W154" i="11"/>
  <c r="K154" i="11"/>
  <c r="I154" i="11"/>
  <c r="H155" i="11"/>
  <c r="J155" i="11" s="1"/>
  <c r="AN162" i="11" l="1"/>
  <c r="AR162" i="11"/>
  <c r="AU162" i="11"/>
  <c r="AK162" i="11"/>
  <c r="AT162" i="11"/>
  <c r="AV162" i="11"/>
  <c r="AX162" i="11"/>
  <c r="AH163" i="11"/>
  <c r="AJ163" i="11" s="1"/>
  <c r="AI162" i="11"/>
  <c r="AP162" i="11"/>
  <c r="AO162" i="11"/>
  <c r="AL162" i="11"/>
  <c r="AQ162" i="11"/>
  <c r="AW162" i="11"/>
  <c r="L155" i="11"/>
  <c r="N155" i="11"/>
  <c r="O155" i="11"/>
  <c r="R155" i="11"/>
  <c r="P155" i="11"/>
  <c r="Q155" i="11"/>
  <c r="T155" i="11"/>
  <c r="W155" i="11"/>
  <c r="U155" i="11"/>
  <c r="X155" i="11"/>
  <c r="V155" i="11"/>
  <c r="H156" i="11"/>
  <c r="J156" i="11" s="1"/>
  <c r="K155" i="11"/>
  <c r="I155" i="11"/>
  <c r="AL163" i="11" l="1"/>
  <c r="AR163" i="11"/>
  <c r="AX163" i="11"/>
  <c r="AK163" i="11"/>
  <c r="AQ163" i="11"/>
  <c r="AP163" i="11"/>
  <c r="AV163" i="11"/>
  <c r="AH164" i="11"/>
  <c r="AJ164" i="11" s="1"/>
  <c r="AI163" i="11"/>
  <c r="AN163" i="11"/>
  <c r="AU163" i="11"/>
  <c r="AW163" i="11"/>
  <c r="AO163" i="11"/>
  <c r="AT163" i="11"/>
  <c r="L156" i="11"/>
  <c r="R156" i="11"/>
  <c r="N156" i="11"/>
  <c r="O156" i="11"/>
  <c r="P156" i="11"/>
  <c r="Q156" i="11"/>
  <c r="V156" i="11"/>
  <c r="X156" i="11"/>
  <c r="U156" i="11"/>
  <c r="W156" i="11"/>
  <c r="T156" i="11"/>
  <c r="K156" i="11"/>
  <c r="H157" i="11"/>
  <c r="J157" i="11" s="1"/>
  <c r="I156" i="11"/>
  <c r="AN164" i="11" l="1"/>
  <c r="AR164" i="11"/>
  <c r="AU164" i="11"/>
  <c r="AI164" i="11"/>
  <c r="AL164" i="11"/>
  <c r="AO164" i="11"/>
  <c r="AQ164" i="11"/>
  <c r="AX164" i="11"/>
  <c r="AW164" i="11"/>
  <c r="AT164" i="11"/>
  <c r="AH165" i="11"/>
  <c r="AJ165" i="11" s="1"/>
  <c r="AK164" i="11"/>
  <c r="AP164" i="11"/>
  <c r="AV164" i="11"/>
  <c r="L157" i="11"/>
  <c r="O157" i="11"/>
  <c r="R157" i="11"/>
  <c r="N157" i="11"/>
  <c r="Q157" i="11"/>
  <c r="P157" i="11"/>
  <c r="T157" i="11"/>
  <c r="X157" i="11"/>
  <c r="W157" i="11"/>
  <c r="V157" i="11"/>
  <c r="U157" i="11"/>
  <c r="K157" i="11"/>
  <c r="I157" i="11"/>
  <c r="H158" i="11"/>
  <c r="J158" i="11" s="1"/>
  <c r="AN165" i="11" l="1"/>
  <c r="AU165" i="11"/>
  <c r="AK165" i="11"/>
  <c r="AO165" i="11"/>
  <c r="AW165" i="11"/>
  <c r="AV165" i="11"/>
  <c r="AP165" i="11"/>
  <c r="AX165" i="11"/>
  <c r="AH166" i="11"/>
  <c r="AJ166" i="11" s="1"/>
  <c r="AL165" i="11"/>
  <c r="AQ165" i="11"/>
  <c r="AT165" i="11"/>
  <c r="AI165" i="11"/>
  <c r="AR165" i="11"/>
  <c r="L158" i="11"/>
  <c r="Q158" i="11"/>
  <c r="N158" i="11"/>
  <c r="P158" i="11"/>
  <c r="O158" i="11"/>
  <c r="R158" i="11"/>
  <c r="W158" i="11"/>
  <c r="V158" i="11"/>
  <c r="U158" i="11"/>
  <c r="T158" i="11"/>
  <c r="X158" i="11"/>
  <c r="K158" i="11"/>
  <c r="I158" i="11"/>
  <c r="H159" i="11"/>
  <c r="J159" i="11" s="1"/>
  <c r="AQ166" i="11" l="1"/>
  <c r="AR166" i="11"/>
  <c r="AW166" i="11"/>
  <c r="AI166" i="11"/>
  <c r="AV166" i="11"/>
  <c r="AP166" i="11"/>
  <c r="AU166" i="11"/>
  <c r="AH167" i="11"/>
  <c r="AJ167" i="11" s="1"/>
  <c r="AL166" i="11"/>
  <c r="AN166" i="11"/>
  <c r="AX166" i="11"/>
  <c r="AK166" i="11"/>
  <c r="AT166" i="11"/>
  <c r="AO166" i="11"/>
  <c r="L159" i="11"/>
  <c r="Q159" i="11"/>
  <c r="N159" i="11"/>
  <c r="O159" i="11"/>
  <c r="P159" i="11"/>
  <c r="R159" i="11"/>
  <c r="V159" i="11"/>
  <c r="X159" i="11"/>
  <c r="T159" i="11"/>
  <c r="W159" i="11"/>
  <c r="U159" i="11"/>
  <c r="K159" i="11"/>
  <c r="H160" i="11"/>
  <c r="J160" i="11" s="1"/>
  <c r="I159" i="11"/>
  <c r="AO167" i="11" l="1"/>
  <c r="AN167" i="11"/>
  <c r="AV167" i="11"/>
  <c r="AP167" i="11"/>
  <c r="AT167" i="11"/>
  <c r="AX167" i="11"/>
  <c r="AR167" i="11"/>
  <c r="AH168" i="11"/>
  <c r="AJ168" i="11" s="1"/>
  <c r="AL167" i="11"/>
  <c r="AQ167" i="11"/>
  <c r="AU167" i="11"/>
  <c r="AI167" i="11"/>
  <c r="AK167" i="11"/>
  <c r="AW167" i="11"/>
  <c r="L160" i="11"/>
  <c r="R160" i="11"/>
  <c r="O160" i="11"/>
  <c r="N160" i="11"/>
  <c r="Q160" i="11"/>
  <c r="P160" i="11"/>
  <c r="W160" i="11"/>
  <c r="U160" i="11"/>
  <c r="V160" i="11"/>
  <c r="X160" i="11"/>
  <c r="T160" i="11"/>
  <c r="K160" i="11"/>
  <c r="H161" i="11"/>
  <c r="J161" i="11" s="1"/>
  <c r="I160" i="11"/>
  <c r="AO168" i="11" l="1"/>
  <c r="AQ168" i="11"/>
  <c r="AT168" i="11"/>
  <c r="AN168" i="11"/>
  <c r="AV168" i="11"/>
  <c r="AU168" i="11"/>
  <c r="AH169" i="11"/>
  <c r="AJ169" i="11" s="1"/>
  <c r="AL168" i="11"/>
  <c r="AP168" i="11"/>
  <c r="AX168" i="11"/>
  <c r="AK168" i="11"/>
  <c r="AI168" i="11"/>
  <c r="AW168" i="11"/>
  <c r="AR168" i="11"/>
  <c r="L161" i="11"/>
  <c r="P161" i="11"/>
  <c r="N161" i="11"/>
  <c r="O161" i="11"/>
  <c r="Q161" i="11"/>
  <c r="R161" i="11"/>
  <c r="W161" i="11"/>
  <c r="U161" i="11"/>
  <c r="X161" i="11"/>
  <c r="V161" i="11"/>
  <c r="T161" i="11"/>
  <c r="H162" i="11"/>
  <c r="J162" i="11" s="1"/>
  <c r="I161" i="11"/>
  <c r="K161" i="11"/>
  <c r="AL169" i="11" l="1"/>
  <c r="AR169" i="11"/>
  <c r="AW169" i="11"/>
  <c r="AI169" i="11"/>
  <c r="AO169" i="11"/>
  <c r="AX169" i="11"/>
  <c r="AU169" i="11"/>
  <c r="AQ169" i="11"/>
  <c r="AT169" i="11"/>
  <c r="AH170" i="11"/>
  <c r="AJ170" i="11" s="1"/>
  <c r="AP169" i="11"/>
  <c r="AK169" i="11"/>
  <c r="AN169" i="11"/>
  <c r="AV169" i="11"/>
  <c r="L162" i="11"/>
  <c r="R162" i="11"/>
  <c r="O162" i="11"/>
  <c r="P162" i="11"/>
  <c r="N162" i="11"/>
  <c r="Q162" i="11"/>
  <c r="W162" i="11"/>
  <c r="U162" i="11"/>
  <c r="X162" i="11"/>
  <c r="V162" i="11"/>
  <c r="T162" i="11"/>
  <c r="H163" i="11"/>
  <c r="J163" i="11" s="1"/>
  <c r="K162" i="11"/>
  <c r="I162" i="11"/>
  <c r="AL170" i="11" l="1"/>
  <c r="AO170" i="11"/>
  <c r="AT170" i="11"/>
  <c r="AK170" i="11"/>
  <c r="AQ170" i="11"/>
  <c r="AR170" i="11"/>
  <c r="AX170" i="11"/>
  <c r="AH171" i="11"/>
  <c r="AJ171" i="11" s="1"/>
  <c r="AN170" i="11"/>
  <c r="AW170" i="11"/>
  <c r="AV170" i="11"/>
  <c r="AP170" i="11"/>
  <c r="AU170" i="11"/>
  <c r="AI170" i="11"/>
  <c r="L163" i="11"/>
  <c r="O163" i="11"/>
  <c r="Q163" i="11"/>
  <c r="N163" i="11"/>
  <c r="R163" i="11"/>
  <c r="P163" i="11"/>
  <c r="T163" i="11"/>
  <c r="X163" i="11"/>
  <c r="V163" i="11"/>
  <c r="W163" i="11"/>
  <c r="U163" i="11"/>
  <c r="H164" i="11"/>
  <c r="J164" i="11" s="1"/>
  <c r="I163" i="11"/>
  <c r="K163" i="11"/>
  <c r="AL171" i="11" l="1"/>
  <c r="AO171" i="11"/>
  <c r="AT171" i="11"/>
  <c r="AK171" i="11"/>
  <c r="AI171" i="11"/>
  <c r="AQ171" i="11"/>
  <c r="AN171" i="11"/>
  <c r="AW171" i="11"/>
  <c r="AH172" i="11"/>
  <c r="AJ172" i="11" s="1"/>
  <c r="AR171" i="11"/>
  <c r="AX171" i="11"/>
  <c r="AU171" i="11"/>
  <c r="AP171" i="11"/>
  <c r="AV171" i="11"/>
  <c r="L164" i="11"/>
  <c r="Q164" i="11"/>
  <c r="P164" i="11"/>
  <c r="N164" i="11"/>
  <c r="O164" i="11"/>
  <c r="R164" i="11"/>
  <c r="V164" i="11"/>
  <c r="U164" i="11"/>
  <c r="X164" i="11"/>
  <c r="T164" i="11"/>
  <c r="W164" i="11"/>
  <c r="I164" i="11"/>
  <c r="K164" i="11"/>
  <c r="H165" i="11"/>
  <c r="J165" i="11" s="1"/>
  <c r="AR172" i="11" l="1"/>
  <c r="AN172" i="11"/>
  <c r="AX172" i="11"/>
  <c r="AP172" i="11"/>
  <c r="AV172" i="11"/>
  <c r="AU172" i="11"/>
  <c r="AT172" i="11"/>
  <c r="AH173" i="11"/>
  <c r="AJ173" i="11" s="1"/>
  <c r="AK172" i="11"/>
  <c r="AO172" i="11"/>
  <c r="AL172" i="11"/>
  <c r="AQ172" i="11"/>
  <c r="AW172" i="11"/>
  <c r="AI172" i="11"/>
  <c r="L165" i="11"/>
  <c r="R165" i="11"/>
  <c r="O165" i="11"/>
  <c r="P165" i="11"/>
  <c r="N165" i="11"/>
  <c r="Q165" i="11"/>
  <c r="X165" i="11"/>
  <c r="T165" i="11"/>
  <c r="U165" i="11"/>
  <c r="W165" i="11"/>
  <c r="V165" i="11"/>
  <c r="I165" i="11"/>
  <c r="H166" i="11"/>
  <c r="J166" i="11" s="1"/>
  <c r="K165" i="11"/>
  <c r="AL173" i="11" l="1"/>
  <c r="AP173" i="11"/>
  <c r="AT173" i="11"/>
  <c r="AK173" i="11"/>
  <c r="AH174" i="11"/>
  <c r="AJ174" i="11" s="1"/>
  <c r="AQ173" i="11"/>
  <c r="AU173" i="11"/>
  <c r="AI173" i="11"/>
  <c r="AN173" i="11"/>
  <c r="AO173" i="11"/>
  <c r="AV173" i="11"/>
  <c r="AR173" i="11"/>
  <c r="AX173" i="11"/>
  <c r="AW173" i="11"/>
  <c r="L166" i="11"/>
  <c r="Q166" i="11"/>
  <c r="P166" i="11"/>
  <c r="R166" i="11"/>
  <c r="O166" i="11"/>
  <c r="N166" i="11"/>
  <c r="V166" i="11"/>
  <c r="U166" i="11"/>
  <c r="X166" i="11"/>
  <c r="W166" i="11"/>
  <c r="T166" i="11"/>
  <c r="H167" i="11"/>
  <c r="J167" i="11" s="1"/>
  <c r="K166" i="11"/>
  <c r="I166" i="11"/>
  <c r="AL174" i="11" l="1"/>
  <c r="AR174" i="11"/>
  <c r="AT174" i="11"/>
  <c r="AQ174" i="11"/>
  <c r="AN174" i="11"/>
  <c r="AV174" i="11"/>
  <c r="AH175" i="11"/>
  <c r="AJ175" i="11" s="1"/>
  <c r="AK174" i="11"/>
  <c r="AP174" i="11"/>
  <c r="AX174" i="11"/>
  <c r="AU174" i="11"/>
  <c r="AO174" i="11"/>
  <c r="AW174" i="11"/>
  <c r="AI174" i="11"/>
  <c r="L167" i="11"/>
  <c r="O167" i="11"/>
  <c r="R167" i="11"/>
  <c r="P167" i="11"/>
  <c r="Q167" i="11"/>
  <c r="N167" i="11"/>
  <c r="V167" i="11"/>
  <c r="T167" i="11"/>
  <c r="W167" i="11"/>
  <c r="U167" i="11"/>
  <c r="X167" i="11"/>
  <c r="H168" i="11"/>
  <c r="J168" i="11" s="1"/>
  <c r="K167" i="11"/>
  <c r="I167" i="11"/>
  <c r="AO175" i="11" l="1"/>
  <c r="AX175" i="11"/>
  <c r="AK175" i="11"/>
  <c r="AQ175" i="11"/>
  <c r="AP175" i="11"/>
  <c r="AV175" i="11"/>
  <c r="AH176" i="11"/>
  <c r="AJ176" i="11" s="1"/>
  <c r="AR175" i="11"/>
  <c r="AW175" i="11"/>
  <c r="AT175" i="11"/>
  <c r="AL175" i="11"/>
  <c r="AN175" i="11"/>
  <c r="AU175" i="11"/>
  <c r="AI175" i="11"/>
  <c r="L168" i="11"/>
  <c r="O168" i="11"/>
  <c r="Q168" i="11"/>
  <c r="N168" i="11"/>
  <c r="R168" i="11"/>
  <c r="P168" i="11"/>
  <c r="X168" i="11"/>
  <c r="T168" i="11"/>
  <c r="V168" i="11"/>
  <c r="U168" i="11"/>
  <c r="W168" i="11"/>
  <c r="K168" i="11"/>
  <c r="I168" i="11"/>
  <c r="H169" i="11"/>
  <c r="J169" i="11" s="1"/>
  <c r="AL176" i="11" l="1"/>
  <c r="AQ176" i="11"/>
  <c r="AV176" i="11"/>
  <c r="AK176" i="11"/>
  <c r="AT176" i="11"/>
  <c r="AH177" i="11"/>
  <c r="AJ177" i="11" s="1"/>
  <c r="AR176" i="11"/>
  <c r="AW176" i="11"/>
  <c r="AO176" i="11"/>
  <c r="AX176" i="11"/>
  <c r="AI176" i="11"/>
  <c r="AP176" i="11"/>
  <c r="AN176" i="11"/>
  <c r="AU176" i="11"/>
  <c r="L169" i="11"/>
  <c r="O169" i="11"/>
  <c r="P169" i="11"/>
  <c r="N169" i="11"/>
  <c r="R169" i="11"/>
  <c r="Q169" i="11"/>
  <c r="W169" i="11"/>
  <c r="X169" i="11"/>
  <c r="T169" i="11"/>
  <c r="V169" i="11"/>
  <c r="U169" i="11"/>
  <c r="H170" i="11"/>
  <c r="J170" i="11" s="1"/>
  <c r="I169" i="11"/>
  <c r="K169" i="11"/>
  <c r="AL177" i="11" l="1"/>
  <c r="AO177" i="11"/>
  <c r="AT177" i="11"/>
  <c r="AK177" i="11"/>
  <c r="AP177" i="11"/>
  <c r="AQ177" i="11"/>
  <c r="AX177" i="11"/>
  <c r="AU177" i="11"/>
  <c r="AV177" i="11"/>
  <c r="AI177" i="11"/>
  <c r="AN177" i="11"/>
  <c r="AH178" i="11"/>
  <c r="AJ178" i="11" s="1"/>
  <c r="AR177" i="11"/>
  <c r="AW177" i="11"/>
  <c r="L170" i="11"/>
  <c r="N170" i="11"/>
  <c r="Q170" i="11"/>
  <c r="R170" i="11"/>
  <c r="O170" i="11"/>
  <c r="P170" i="11"/>
  <c r="U170" i="11"/>
  <c r="T170" i="11"/>
  <c r="X170" i="11"/>
  <c r="W170" i="11"/>
  <c r="V170" i="11"/>
  <c r="K170" i="11"/>
  <c r="I170" i="11"/>
  <c r="H171" i="11"/>
  <c r="J171" i="11" s="1"/>
  <c r="AL178" i="11" l="1"/>
  <c r="AO178" i="11"/>
  <c r="AX178" i="11"/>
  <c r="AQ178" i="11"/>
  <c r="AP178" i="11"/>
  <c r="AW178" i="11"/>
  <c r="AR178" i="11"/>
  <c r="AU178" i="11"/>
  <c r="AV178" i="11"/>
  <c r="AH179" i="11"/>
  <c r="AJ179" i="11" s="1"/>
  <c r="AN178" i="11"/>
  <c r="AT178" i="11"/>
  <c r="AI178" i="11"/>
  <c r="AK178" i="11"/>
  <c r="L171" i="11"/>
  <c r="P171" i="11"/>
  <c r="N171" i="11"/>
  <c r="O171" i="11"/>
  <c r="Q171" i="11"/>
  <c r="R171" i="11"/>
  <c r="V171" i="11"/>
  <c r="T171" i="11"/>
  <c r="W171" i="11"/>
  <c r="X171" i="11"/>
  <c r="U171" i="11"/>
  <c r="I171" i="11"/>
  <c r="H172" i="11"/>
  <c r="J172" i="11" s="1"/>
  <c r="K171" i="11"/>
  <c r="AL179" i="11" l="1"/>
  <c r="AK179" i="11"/>
  <c r="AO179" i="11"/>
  <c r="AR179" i="11"/>
  <c r="AT179" i="11"/>
  <c r="AN179" i="11"/>
  <c r="AX179" i="11"/>
  <c r="AU179" i="11"/>
  <c r="AQ179" i="11"/>
  <c r="AV179" i="11"/>
  <c r="AI179" i="11"/>
  <c r="AP179" i="11"/>
  <c r="AW179" i="11"/>
  <c r="AH180" i="11"/>
  <c r="AJ180" i="11" s="1"/>
  <c r="L172" i="11"/>
  <c r="N172" i="11"/>
  <c r="O172" i="11"/>
  <c r="P172" i="11"/>
  <c r="Q172" i="11"/>
  <c r="R172" i="11"/>
  <c r="V172" i="11"/>
  <c r="T172" i="11"/>
  <c r="W172" i="11"/>
  <c r="X172" i="11"/>
  <c r="U172" i="11"/>
  <c r="K172" i="11"/>
  <c r="I172" i="11"/>
  <c r="H173" i="11"/>
  <c r="J173" i="11" s="1"/>
  <c r="AL180" i="11" l="1"/>
  <c r="AP180" i="11"/>
  <c r="AU180" i="11"/>
  <c r="AQ180" i="11"/>
  <c r="AR180" i="11"/>
  <c r="AX180" i="11"/>
  <c r="AT180" i="11"/>
  <c r="AH181" i="11"/>
  <c r="AJ181" i="11" s="1"/>
  <c r="AO180" i="11"/>
  <c r="AW180" i="11"/>
  <c r="AI180" i="11"/>
  <c r="AK180" i="11"/>
  <c r="AN180" i="11"/>
  <c r="AV180" i="11"/>
  <c r="L173" i="11"/>
  <c r="R173" i="11"/>
  <c r="N173" i="11"/>
  <c r="Q173" i="11"/>
  <c r="P173" i="11"/>
  <c r="O173" i="11"/>
  <c r="U173" i="11"/>
  <c r="V173" i="11"/>
  <c r="T173" i="11"/>
  <c r="W173" i="11"/>
  <c r="X173" i="11"/>
  <c r="I173" i="11"/>
  <c r="H174" i="11"/>
  <c r="J174" i="11" s="1"/>
  <c r="K173" i="11"/>
  <c r="AN181" i="11" l="1"/>
  <c r="AP181" i="11"/>
  <c r="AW181" i="11"/>
  <c r="AO181" i="11"/>
  <c r="AV181" i="11"/>
  <c r="AX181" i="11"/>
  <c r="AT181" i="11"/>
  <c r="AR181" i="11"/>
  <c r="AH182" i="11"/>
  <c r="AJ182" i="11" s="1"/>
  <c r="AK181" i="11"/>
  <c r="AL181" i="11"/>
  <c r="AQ181" i="11"/>
  <c r="AU181" i="11"/>
  <c r="AI181" i="11"/>
  <c r="L174" i="11"/>
  <c r="P174" i="11"/>
  <c r="R174" i="11"/>
  <c r="O174" i="11"/>
  <c r="N174" i="11"/>
  <c r="Q174" i="11"/>
  <c r="T174" i="11"/>
  <c r="V174" i="11"/>
  <c r="U174" i="11"/>
  <c r="X174" i="11"/>
  <c r="W174" i="11"/>
  <c r="H175" i="11"/>
  <c r="J175" i="11" s="1"/>
  <c r="I174" i="11"/>
  <c r="K174" i="11"/>
  <c r="AL182" i="11" l="1"/>
  <c r="AN182" i="11"/>
  <c r="AW182" i="11"/>
  <c r="AR182" i="11"/>
  <c r="AX182" i="11"/>
  <c r="AU182" i="11"/>
  <c r="AH183" i="11"/>
  <c r="AJ183" i="11" s="1"/>
  <c r="AO182" i="11"/>
  <c r="AV182" i="11"/>
  <c r="AI182" i="11"/>
  <c r="AK182" i="11"/>
  <c r="AP182" i="11"/>
  <c r="AQ182" i="11"/>
  <c r="AT182" i="11"/>
  <c r="L175" i="11"/>
  <c r="Q175" i="11"/>
  <c r="O175" i="11"/>
  <c r="N175" i="11"/>
  <c r="P175" i="11"/>
  <c r="R175" i="11"/>
  <c r="W175" i="11"/>
  <c r="U175" i="11"/>
  <c r="T175" i="11"/>
  <c r="X175" i="11"/>
  <c r="V175" i="11"/>
  <c r="K175" i="11"/>
  <c r="I175" i="11"/>
  <c r="H176" i="11"/>
  <c r="J176" i="11" s="1"/>
  <c r="AL183" i="11" l="1"/>
  <c r="AO183" i="11"/>
  <c r="AT183" i="11"/>
  <c r="AK183" i="11"/>
  <c r="AQ183" i="11"/>
  <c r="AN183" i="11"/>
  <c r="AX183" i="11"/>
  <c r="AW183" i="11"/>
  <c r="AU183" i="11"/>
  <c r="AR183" i="11"/>
  <c r="AH184" i="11"/>
  <c r="AJ184" i="11" s="1"/>
  <c r="AP183" i="11"/>
  <c r="AV183" i="11"/>
  <c r="AI183" i="11"/>
  <c r="L176" i="11"/>
  <c r="R176" i="11"/>
  <c r="N176" i="11"/>
  <c r="O176" i="11"/>
  <c r="P176" i="11"/>
  <c r="Q176" i="11"/>
  <c r="W176" i="11"/>
  <c r="X176" i="11"/>
  <c r="T176" i="11"/>
  <c r="V176" i="11"/>
  <c r="U176" i="11"/>
  <c r="H177" i="11"/>
  <c r="J177" i="11" s="1"/>
  <c r="K176" i="11"/>
  <c r="I176" i="11"/>
  <c r="AL184" i="11" l="1"/>
  <c r="AR184" i="11"/>
  <c r="AW184" i="11"/>
  <c r="AN184" i="11"/>
  <c r="AP184" i="11"/>
  <c r="AH185" i="11"/>
  <c r="AJ185" i="11" s="1"/>
  <c r="AO184" i="11"/>
  <c r="AT184" i="11"/>
  <c r="AV184" i="11"/>
  <c r="AQ184" i="11"/>
  <c r="AX184" i="11"/>
  <c r="AI184" i="11"/>
  <c r="AK184" i="11"/>
  <c r="AU184" i="11"/>
  <c r="L177" i="11"/>
  <c r="P177" i="11"/>
  <c r="Q177" i="11"/>
  <c r="R177" i="11"/>
  <c r="O177" i="11"/>
  <c r="N177" i="11"/>
  <c r="T177" i="11"/>
  <c r="X177" i="11"/>
  <c r="V177" i="11"/>
  <c r="W177" i="11"/>
  <c r="U177" i="11"/>
  <c r="I177" i="11"/>
  <c r="H178" i="11"/>
  <c r="J178" i="11" s="1"/>
  <c r="K177" i="11"/>
  <c r="AO185" i="11" l="1"/>
  <c r="AP185" i="11"/>
  <c r="AW185" i="11"/>
  <c r="AK185" i="11"/>
  <c r="AR185" i="11"/>
  <c r="AV185" i="11"/>
  <c r="AI185" i="11"/>
  <c r="AT185" i="11"/>
  <c r="AN185" i="11"/>
  <c r="AU185" i="11"/>
  <c r="AH186" i="11"/>
  <c r="AJ186" i="11" s="1"/>
  <c r="AL185" i="11"/>
  <c r="AQ185" i="11"/>
  <c r="AX185" i="11"/>
  <c r="L178" i="11"/>
  <c r="P178" i="11"/>
  <c r="N178" i="11"/>
  <c r="O178" i="11"/>
  <c r="Q178" i="11"/>
  <c r="R178" i="11"/>
  <c r="T178" i="11"/>
  <c r="X178" i="11"/>
  <c r="W178" i="11"/>
  <c r="V178" i="11"/>
  <c r="U178" i="11"/>
  <c r="I178" i="11"/>
  <c r="H179" i="11"/>
  <c r="J179" i="11" s="1"/>
  <c r="K178" i="11"/>
  <c r="AP186" i="11" l="1"/>
  <c r="AR186" i="11"/>
  <c r="AX186" i="11"/>
  <c r="AT186" i="11"/>
  <c r="AV186" i="11"/>
  <c r="AH187" i="11"/>
  <c r="AJ187" i="11" s="1"/>
  <c r="AL186" i="11"/>
  <c r="AO186" i="11"/>
  <c r="AU186" i="11"/>
  <c r="AI186" i="11"/>
  <c r="AN186" i="11"/>
  <c r="AW186" i="11"/>
  <c r="AK186" i="11"/>
  <c r="AQ186" i="11"/>
  <c r="L179" i="11"/>
  <c r="P179" i="11"/>
  <c r="O179" i="11"/>
  <c r="Q179" i="11"/>
  <c r="R179" i="11"/>
  <c r="N179" i="11"/>
  <c r="X179" i="11"/>
  <c r="V179" i="11"/>
  <c r="W179" i="11"/>
  <c r="U179" i="11"/>
  <c r="T179" i="11"/>
  <c r="I179" i="11"/>
  <c r="K179" i="11"/>
  <c r="H180" i="11"/>
  <c r="J180" i="11" s="1"/>
  <c r="AR187" i="11" l="1"/>
  <c r="AT187" i="11"/>
  <c r="AK187" i="11"/>
  <c r="AP187" i="11"/>
  <c r="AX187" i="11"/>
  <c r="AQ187" i="11"/>
  <c r="AW187" i="11"/>
  <c r="AH188" i="11"/>
  <c r="AJ188" i="11" s="1"/>
  <c r="AI187" i="11"/>
  <c r="AO187" i="11"/>
  <c r="AV187" i="11"/>
  <c r="AL187" i="11"/>
  <c r="AN187" i="11"/>
  <c r="AU187" i="11"/>
  <c r="L180" i="11"/>
  <c r="N180" i="11"/>
  <c r="O180" i="11"/>
  <c r="Q180" i="11"/>
  <c r="R180" i="11"/>
  <c r="P180" i="11"/>
  <c r="U180" i="11"/>
  <c r="V180" i="11"/>
  <c r="T180" i="11"/>
  <c r="X180" i="11"/>
  <c r="W180" i="11"/>
  <c r="H181" i="11"/>
  <c r="J181" i="11" s="1"/>
  <c r="I180" i="11"/>
  <c r="K180" i="11"/>
  <c r="AL188" i="11" l="1"/>
  <c r="AN188" i="11"/>
  <c r="AW188" i="11"/>
  <c r="AI188" i="11"/>
  <c r="AX188" i="11"/>
  <c r="AH189" i="11"/>
  <c r="AJ189" i="11" s="1"/>
  <c r="AQ188" i="11"/>
  <c r="AO188" i="11"/>
  <c r="AT188" i="11"/>
  <c r="AU188" i="11"/>
  <c r="AP188" i="11"/>
  <c r="AV188" i="11"/>
  <c r="AK188" i="11"/>
  <c r="AR188" i="11"/>
  <c r="L181" i="11"/>
  <c r="P181" i="11"/>
  <c r="R181" i="11"/>
  <c r="Q181" i="11"/>
  <c r="N181" i="11"/>
  <c r="O181" i="11"/>
  <c r="V181" i="11"/>
  <c r="T181" i="11"/>
  <c r="U181" i="11"/>
  <c r="W181" i="11"/>
  <c r="X181" i="11"/>
  <c r="K181" i="11"/>
  <c r="I181" i="11"/>
  <c r="H182" i="11"/>
  <c r="J182" i="11" s="1"/>
  <c r="AO189" i="11" l="1"/>
  <c r="AN189" i="11"/>
  <c r="AV189" i="11"/>
  <c r="AK189" i="11"/>
  <c r="AQ189" i="11"/>
  <c r="AT189" i="11"/>
  <c r="AX189" i="11"/>
  <c r="AH190" i="11"/>
  <c r="AJ190" i="11" s="1"/>
  <c r="AW189" i="11"/>
  <c r="AP189" i="11"/>
  <c r="AL189" i="11"/>
  <c r="AR189" i="11"/>
  <c r="AU189" i="11"/>
  <c r="AI189" i="11"/>
  <c r="L182" i="11"/>
  <c r="R182" i="11"/>
  <c r="P182" i="11"/>
  <c r="N182" i="11"/>
  <c r="O182" i="11"/>
  <c r="Q182" i="11"/>
  <c r="V182" i="11"/>
  <c r="T182" i="11"/>
  <c r="X182" i="11"/>
  <c r="W182" i="11"/>
  <c r="U182" i="11"/>
  <c r="I182" i="11"/>
  <c r="H183" i="11"/>
  <c r="J183" i="11" s="1"/>
  <c r="K182" i="11"/>
  <c r="AL190" i="11" l="1"/>
  <c r="AO190" i="11"/>
  <c r="AX190" i="11"/>
  <c r="AK190" i="11"/>
  <c r="AR190" i="11"/>
  <c r="AP190" i="11"/>
  <c r="AU190" i="11"/>
  <c r="AQ190" i="11"/>
  <c r="AT190" i="11"/>
  <c r="AW190" i="11"/>
  <c r="AH191" i="11"/>
  <c r="AJ191" i="11" s="1"/>
  <c r="AN190" i="11"/>
  <c r="AV190" i="11"/>
  <c r="AI190" i="11"/>
  <c r="L183" i="11"/>
  <c r="Q183" i="11"/>
  <c r="R183" i="11"/>
  <c r="P183" i="11"/>
  <c r="O183" i="11"/>
  <c r="N183" i="11"/>
  <c r="T183" i="11"/>
  <c r="X183" i="11"/>
  <c r="U183" i="11"/>
  <c r="W183" i="11"/>
  <c r="V183" i="11"/>
  <c r="H184" i="11"/>
  <c r="J184" i="11" s="1"/>
  <c r="K183" i="11"/>
  <c r="I183" i="11"/>
  <c r="AK191" i="11" l="1"/>
  <c r="AQ191" i="11"/>
  <c r="AO191" i="11"/>
  <c r="AU191" i="11"/>
  <c r="AP191" i="11"/>
  <c r="AX191" i="11"/>
  <c r="AW191" i="11"/>
  <c r="AH192" i="11"/>
  <c r="AJ192" i="11" s="1"/>
  <c r="AL191" i="11"/>
  <c r="AR191" i="11"/>
  <c r="AT191" i="11"/>
  <c r="AI191" i="11"/>
  <c r="AN191" i="11"/>
  <c r="AV191" i="11"/>
  <c r="L184" i="11"/>
  <c r="O184" i="11"/>
  <c r="Q184" i="11"/>
  <c r="R184" i="11"/>
  <c r="P184" i="11"/>
  <c r="N184" i="11"/>
  <c r="W184" i="11"/>
  <c r="T184" i="11"/>
  <c r="U184" i="11"/>
  <c r="V184" i="11"/>
  <c r="X184" i="11"/>
  <c r="K184" i="11"/>
  <c r="H185" i="11"/>
  <c r="J185" i="11" s="1"/>
  <c r="I184" i="11"/>
  <c r="AL192" i="11" l="1"/>
  <c r="AN192" i="11"/>
  <c r="AW192" i="11"/>
  <c r="AK192" i="11"/>
  <c r="AO192" i="11"/>
  <c r="AQ192" i="11"/>
  <c r="AV192" i="11"/>
  <c r="AU192" i="11"/>
  <c r="AR192" i="11"/>
  <c r="AX192" i="11"/>
  <c r="AH193" i="11"/>
  <c r="AJ193" i="11" s="1"/>
  <c r="AP192" i="11"/>
  <c r="AT192" i="11"/>
  <c r="AI192" i="11"/>
  <c r="L185" i="11"/>
  <c r="O185" i="11"/>
  <c r="P185" i="11"/>
  <c r="R185" i="11"/>
  <c r="N185" i="11"/>
  <c r="Q185" i="11"/>
  <c r="X185" i="11"/>
  <c r="W185" i="11"/>
  <c r="V185" i="11"/>
  <c r="T185" i="11"/>
  <c r="U185" i="11"/>
  <c r="H186" i="11"/>
  <c r="J186" i="11" s="1"/>
  <c r="I185" i="11"/>
  <c r="K185" i="11"/>
  <c r="AL193" i="11" l="1"/>
  <c r="AR193" i="11"/>
  <c r="AU193" i="11"/>
  <c r="AK193" i="11"/>
  <c r="AP193" i="11"/>
  <c r="AO193" i="11"/>
  <c r="AT193" i="11"/>
  <c r="AN193" i="11"/>
  <c r="AV193" i="11"/>
  <c r="AX193" i="11"/>
  <c r="AH194" i="11"/>
  <c r="AJ194" i="11" s="1"/>
  <c r="AI193" i="11"/>
  <c r="AQ193" i="11"/>
  <c r="AW193" i="11"/>
  <c r="L186" i="11"/>
  <c r="P186" i="11"/>
  <c r="Q186" i="11"/>
  <c r="R186" i="11"/>
  <c r="N186" i="11"/>
  <c r="O186" i="11"/>
  <c r="U186" i="11"/>
  <c r="W186" i="11"/>
  <c r="T186" i="11"/>
  <c r="X186" i="11"/>
  <c r="V186" i="11"/>
  <c r="H187" i="11"/>
  <c r="J187" i="11" s="1"/>
  <c r="K186" i="11"/>
  <c r="I186" i="11"/>
  <c r="AL194" i="11" l="1"/>
  <c r="AO194" i="11"/>
  <c r="AU194" i="11"/>
  <c r="AP194" i="11"/>
  <c r="AQ194" i="11"/>
  <c r="AT194" i="11"/>
  <c r="AN194" i="11"/>
  <c r="AW194" i="11"/>
  <c r="AV194" i="11"/>
  <c r="AH195" i="11"/>
  <c r="AJ195" i="11" s="1"/>
  <c r="AK194" i="11"/>
  <c r="AR194" i="11"/>
  <c r="AX194" i="11"/>
  <c r="AI194" i="11"/>
  <c r="L187" i="11"/>
  <c r="R187" i="11"/>
  <c r="O187" i="11"/>
  <c r="N187" i="11"/>
  <c r="Q187" i="11"/>
  <c r="P187" i="11"/>
  <c r="W187" i="11"/>
  <c r="T187" i="11"/>
  <c r="X187" i="11"/>
  <c r="U187" i="11"/>
  <c r="V187" i="11"/>
  <c r="K187" i="11"/>
  <c r="I187" i="11"/>
  <c r="H188" i="11"/>
  <c r="J188" i="11" s="1"/>
  <c r="AL195" i="11" l="1"/>
  <c r="AQ195" i="11"/>
  <c r="AT195" i="11"/>
  <c r="AN195" i="11"/>
  <c r="AR195" i="11"/>
  <c r="AW195" i="11"/>
  <c r="AH196" i="11"/>
  <c r="AJ196" i="11" s="1"/>
  <c r="AO195" i="11"/>
  <c r="AU195" i="11"/>
  <c r="AX195" i="11"/>
  <c r="AP195" i="11"/>
  <c r="AV195" i="11"/>
  <c r="AK195" i="11"/>
  <c r="AI195" i="11"/>
  <c r="L188" i="11"/>
  <c r="P188" i="11"/>
  <c r="R188" i="11"/>
  <c r="O188" i="11"/>
  <c r="N188" i="11"/>
  <c r="Q188" i="11"/>
  <c r="U188" i="11"/>
  <c r="V188" i="11"/>
  <c r="T188" i="11"/>
  <c r="X188" i="11"/>
  <c r="W188" i="11"/>
  <c r="I188" i="11"/>
  <c r="H189" i="11"/>
  <c r="J189" i="11" s="1"/>
  <c r="K188" i="11"/>
  <c r="AL196" i="11" l="1"/>
  <c r="AQ196" i="11"/>
  <c r="AV196" i="11"/>
  <c r="AO196" i="11"/>
  <c r="AR196" i="11"/>
  <c r="AT196" i="11"/>
  <c r="AH197" i="11"/>
  <c r="AJ197" i="11" s="1"/>
  <c r="AN196" i="11"/>
  <c r="AW196" i="11"/>
  <c r="AX196" i="11"/>
  <c r="AK196" i="11"/>
  <c r="AP196" i="11"/>
  <c r="AU196" i="11"/>
  <c r="AI196" i="11"/>
  <c r="L189" i="11"/>
  <c r="O189" i="11"/>
  <c r="Q189" i="11"/>
  <c r="P189" i="11"/>
  <c r="N189" i="11"/>
  <c r="R189" i="11"/>
  <c r="X189" i="11"/>
  <c r="U189" i="11"/>
  <c r="V189" i="11"/>
  <c r="T189" i="11"/>
  <c r="W189" i="11"/>
  <c r="H190" i="11"/>
  <c r="J190" i="11" s="1"/>
  <c r="K189" i="11"/>
  <c r="I189" i="11"/>
  <c r="AL197" i="11" l="1"/>
  <c r="AQ197" i="11"/>
  <c r="AV197" i="11"/>
  <c r="AK197" i="11"/>
  <c r="AT197" i="11"/>
  <c r="AR197" i="11"/>
  <c r="AO197" i="11"/>
  <c r="AW197" i="11"/>
  <c r="AN197" i="11"/>
  <c r="AP197" i="11"/>
  <c r="AU197" i="11"/>
  <c r="AI197" i="11"/>
  <c r="AX197" i="11"/>
  <c r="AH198" i="11"/>
  <c r="AJ198" i="11" s="1"/>
  <c r="L190" i="11"/>
  <c r="R190" i="11"/>
  <c r="O190" i="11"/>
  <c r="N190" i="11"/>
  <c r="Q190" i="11"/>
  <c r="P190" i="11"/>
  <c r="W190" i="11"/>
  <c r="U190" i="11"/>
  <c r="V190" i="11"/>
  <c r="X190" i="11"/>
  <c r="T190" i="11"/>
  <c r="I190" i="11"/>
  <c r="K190" i="11"/>
  <c r="H191" i="11"/>
  <c r="J191" i="11" s="1"/>
  <c r="AL198" i="11" l="1"/>
  <c r="AO198" i="11"/>
  <c r="AT198" i="11"/>
  <c r="AN198" i="11"/>
  <c r="AQ198" i="11"/>
  <c r="AV198" i="11"/>
  <c r="AP198" i="11"/>
  <c r="AX198" i="11"/>
  <c r="AI198" i="11"/>
  <c r="AK198" i="11"/>
  <c r="AR198" i="11"/>
  <c r="AU198" i="11"/>
  <c r="AW198" i="11"/>
  <c r="AH199" i="11"/>
  <c r="AJ199" i="11" s="1"/>
  <c r="L191" i="11"/>
  <c r="P191" i="11"/>
  <c r="O191" i="11"/>
  <c r="N191" i="11"/>
  <c r="R191" i="11"/>
  <c r="Q191" i="11"/>
  <c r="X191" i="11"/>
  <c r="T191" i="11"/>
  <c r="V191" i="11"/>
  <c r="U191" i="11"/>
  <c r="W191" i="11"/>
  <c r="K191" i="11"/>
  <c r="H192" i="11"/>
  <c r="J192" i="11" s="1"/>
  <c r="I191" i="11"/>
  <c r="AL199" i="11" l="1"/>
  <c r="AR199" i="11"/>
  <c r="AW199" i="11"/>
  <c r="AP199" i="11"/>
  <c r="AQ199" i="11"/>
  <c r="AV199" i="11"/>
  <c r="AN199" i="11"/>
  <c r="AH200" i="11"/>
  <c r="AJ200" i="11" s="1"/>
  <c r="AT199" i="11"/>
  <c r="AO199" i="11"/>
  <c r="AX199" i="11"/>
  <c r="AI199" i="11"/>
  <c r="AK199" i="11"/>
  <c r="AU199" i="11"/>
  <c r="L192" i="11"/>
  <c r="R192" i="11"/>
  <c r="O192" i="11"/>
  <c r="N192" i="11"/>
  <c r="P192" i="11"/>
  <c r="Q192" i="11"/>
  <c r="W192" i="11"/>
  <c r="V192" i="11"/>
  <c r="U192" i="11"/>
  <c r="T192" i="11"/>
  <c r="X192" i="11"/>
  <c r="I192" i="11"/>
  <c r="H193" i="11"/>
  <c r="J193" i="11" s="1"/>
  <c r="K192" i="11"/>
  <c r="AL200" i="11" l="1"/>
  <c r="AO200" i="11"/>
  <c r="AT200" i="11"/>
  <c r="AK200" i="11"/>
  <c r="AV200" i="11"/>
  <c r="AR200" i="11"/>
  <c r="AU200" i="11"/>
  <c r="AI200" i="11"/>
  <c r="AN200" i="11"/>
  <c r="AQ200" i="11"/>
  <c r="AW200" i="11"/>
  <c r="AP200" i="11"/>
  <c r="AX200" i="11"/>
  <c r="AH201" i="11"/>
  <c r="AJ201" i="11" s="1"/>
  <c r="L193" i="11"/>
  <c r="R193" i="11"/>
  <c r="O193" i="11"/>
  <c r="P193" i="11"/>
  <c r="N193" i="11"/>
  <c r="Q193" i="11"/>
  <c r="U193" i="11"/>
  <c r="T193" i="11"/>
  <c r="X193" i="11"/>
  <c r="V193" i="11"/>
  <c r="W193" i="11"/>
  <c r="I193" i="11"/>
  <c r="K193" i="11"/>
  <c r="H194" i="11"/>
  <c r="J194" i="11" s="1"/>
  <c r="AL201" i="11" l="1"/>
  <c r="AR201" i="11"/>
  <c r="AU201" i="11"/>
  <c r="AK201" i="11"/>
  <c r="AN201" i="11"/>
  <c r="AH202" i="11"/>
  <c r="AJ202" i="11" s="1"/>
  <c r="AQ201" i="11"/>
  <c r="AW201" i="11"/>
  <c r="AP201" i="11"/>
  <c r="AX201" i="11"/>
  <c r="AV201" i="11"/>
  <c r="AO201" i="11"/>
  <c r="AT201" i="11"/>
  <c r="AI201" i="11"/>
  <c r="L194" i="11"/>
  <c r="O194" i="11"/>
  <c r="R194" i="11"/>
  <c r="Q194" i="11"/>
  <c r="P194" i="11"/>
  <c r="N194" i="11"/>
  <c r="U194" i="11"/>
  <c r="T194" i="11"/>
  <c r="W194" i="11"/>
  <c r="V194" i="11"/>
  <c r="X194" i="11"/>
  <c r="K194" i="11"/>
  <c r="I194" i="11"/>
  <c r="H195" i="11"/>
  <c r="J195" i="11" s="1"/>
  <c r="AL202" i="11" l="1"/>
  <c r="AO202" i="11"/>
  <c r="AU202" i="11"/>
  <c r="AK202" i="11"/>
  <c r="AP202" i="11"/>
  <c r="AR202" i="11"/>
  <c r="AX202" i="11"/>
  <c r="AN202" i="11"/>
  <c r="AT202" i="11"/>
  <c r="AH203" i="11"/>
  <c r="AJ203" i="11" s="1"/>
  <c r="AI202" i="11"/>
  <c r="AV202" i="11"/>
  <c r="AQ202" i="11"/>
  <c r="AW202" i="11"/>
  <c r="L195" i="11"/>
  <c r="O195" i="11"/>
  <c r="Q195" i="11"/>
  <c r="N195" i="11"/>
  <c r="P195" i="11"/>
  <c r="R195" i="11"/>
  <c r="U195" i="11"/>
  <c r="V195" i="11"/>
  <c r="W195" i="11"/>
  <c r="X195" i="11"/>
  <c r="T195" i="11"/>
  <c r="K195" i="11"/>
  <c r="I195" i="11"/>
  <c r="H196" i="11"/>
  <c r="J196" i="11" s="1"/>
  <c r="AL203" i="11" l="1"/>
  <c r="AR203" i="11"/>
  <c r="AW203" i="11"/>
  <c r="AK203" i="11"/>
  <c r="AP203" i="11"/>
  <c r="AO203" i="11"/>
  <c r="AX203" i="11"/>
  <c r="AU203" i="11"/>
  <c r="AV203" i="11"/>
  <c r="AH204" i="11"/>
  <c r="AJ204" i="11" s="1"/>
  <c r="AQ203" i="11"/>
  <c r="AI203" i="11"/>
  <c r="AN203" i="11"/>
  <c r="AT203" i="11"/>
  <c r="L196" i="11"/>
  <c r="Q196" i="11"/>
  <c r="P196" i="11"/>
  <c r="O196" i="11"/>
  <c r="R196" i="11"/>
  <c r="N196" i="11"/>
  <c r="U196" i="11"/>
  <c r="V196" i="11"/>
  <c r="W196" i="11"/>
  <c r="X196" i="11"/>
  <c r="T196" i="11"/>
  <c r="I196" i="11"/>
  <c r="H197" i="11"/>
  <c r="J197" i="11" s="1"/>
  <c r="K196" i="11"/>
  <c r="AQ204" i="11" l="1"/>
  <c r="AN204" i="11"/>
  <c r="AT204" i="11"/>
  <c r="AK204" i="11"/>
  <c r="AR204" i="11"/>
  <c r="AU204" i="11"/>
  <c r="AW204" i="11"/>
  <c r="AO204" i="11"/>
  <c r="AV204" i="11"/>
  <c r="AH205" i="11"/>
  <c r="AJ205" i="11" s="1"/>
  <c r="AI204" i="11"/>
  <c r="AL204" i="11"/>
  <c r="AP204" i="11"/>
  <c r="AX204" i="11"/>
  <c r="L197" i="11"/>
  <c r="N197" i="11"/>
  <c r="O197" i="11"/>
  <c r="Q197" i="11"/>
  <c r="R197" i="11"/>
  <c r="P197" i="11"/>
  <c r="U197" i="11"/>
  <c r="V197" i="11"/>
  <c r="W197" i="11"/>
  <c r="X197" i="11"/>
  <c r="T197" i="11"/>
  <c r="K197" i="11"/>
  <c r="I197" i="11"/>
  <c r="H198" i="11"/>
  <c r="J198" i="11" s="1"/>
  <c r="AL205" i="11" l="1"/>
  <c r="AP205" i="11"/>
  <c r="AX205" i="11"/>
  <c r="AK205" i="11"/>
  <c r="AQ205" i="11"/>
  <c r="AO205" i="11"/>
  <c r="AU205" i="11"/>
  <c r="AV205" i="11"/>
  <c r="AR205" i="11"/>
  <c r="AT205" i="11"/>
  <c r="AH206" i="11"/>
  <c r="AJ206" i="11" s="1"/>
  <c r="AI205" i="11"/>
  <c r="AN205" i="11"/>
  <c r="AW205" i="11"/>
  <c r="L198" i="11"/>
  <c r="R198" i="11"/>
  <c r="Q198" i="11"/>
  <c r="N198" i="11"/>
  <c r="O198" i="11"/>
  <c r="P198" i="11"/>
  <c r="T198" i="11"/>
  <c r="U198" i="11"/>
  <c r="W198" i="11"/>
  <c r="X198" i="11"/>
  <c r="V198" i="11"/>
  <c r="I198" i="11"/>
  <c r="H199" i="11"/>
  <c r="J199" i="11" s="1"/>
  <c r="K198" i="11"/>
  <c r="AO206" i="11" l="1"/>
  <c r="AN206" i="11"/>
  <c r="AW206" i="11"/>
  <c r="AK206" i="11"/>
  <c r="AX206" i="11"/>
  <c r="AI206" i="11"/>
  <c r="AQ206" i="11"/>
  <c r="AT206" i="11"/>
  <c r="AV206" i="11"/>
  <c r="AP206" i="11"/>
  <c r="AH207" i="11"/>
  <c r="AJ207" i="11" s="1"/>
  <c r="AL206" i="11"/>
  <c r="AR206" i="11"/>
  <c r="AU206" i="11"/>
  <c r="L199" i="11"/>
  <c r="P199" i="11"/>
  <c r="R199" i="11"/>
  <c r="Q199" i="11"/>
  <c r="O199" i="11"/>
  <c r="N199" i="11"/>
  <c r="T199" i="11"/>
  <c r="X199" i="11"/>
  <c r="W199" i="11"/>
  <c r="V199" i="11"/>
  <c r="U199" i="11"/>
  <c r="K199" i="11"/>
  <c r="I199" i="11"/>
  <c r="H200" i="11"/>
  <c r="J200" i="11" s="1"/>
  <c r="AP207" i="11" l="1"/>
  <c r="AW207" i="11"/>
  <c r="AO207" i="11"/>
  <c r="AQ207" i="11"/>
  <c r="AX207" i="11"/>
  <c r="AT207" i="11"/>
  <c r="AH208" i="11"/>
  <c r="AJ208" i="11" s="1"/>
  <c r="AL207" i="11"/>
  <c r="AR207" i="11"/>
  <c r="AU207" i="11"/>
  <c r="AK207" i="11"/>
  <c r="AI207" i="11"/>
  <c r="AN207" i="11"/>
  <c r="AV207" i="11"/>
  <c r="L200" i="11"/>
  <c r="R200" i="11"/>
  <c r="N200" i="11"/>
  <c r="P200" i="11"/>
  <c r="Q200" i="11"/>
  <c r="O200" i="11"/>
  <c r="W200" i="11"/>
  <c r="X200" i="11"/>
  <c r="V200" i="11"/>
  <c r="U200" i="11"/>
  <c r="T200" i="11"/>
  <c r="I200" i="11"/>
  <c r="H201" i="11"/>
  <c r="J201" i="11" s="1"/>
  <c r="K200" i="11"/>
  <c r="AL208" i="11" l="1"/>
  <c r="AP208" i="11"/>
  <c r="AT208" i="11"/>
  <c r="AN208" i="11"/>
  <c r="AQ208" i="11"/>
  <c r="AV208" i="11"/>
  <c r="AR208" i="11"/>
  <c r="AW208" i="11"/>
  <c r="AX208" i="11"/>
  <c r="AH209" i="11"/>
  <c r="AJ209" i="11" s="1"/>
  <c r="AO208" i="11"/>
  <c r="AU208" i="11"/>
  <c r="AK208" i="11"/>
  <c r="AI208" i="11"/>
  <c r="L201" i="11"/>
  <c r="O201" i="11"/>
  <c r="R201" i="11"/>
  <c r="Q201" i="11"/>
  <c r="P201" i="11"/>
  <c r="N201" i="11"/>
  <c r="T201" i="11"/>
  <c r="U201" i="11"/>
  <c r="W201" i="11"/>
  <c r="X201" i="11"/>
  <c r="V201" i="11"/>
  <c r="K201" i="11"/>
  <c r="I201" i="11"/>
  <c r="H202" i="11"/>
  <c r="J202" i="11" s="1"/>
  <c r="AR209" i="11" l="1"/>
  <c r="AN209" i="11"/>
  <c r="AU209" i="11"/>
  <c r="AV209" i="11"/>
  <c r="AP209" i="11"/>
  <c r="AX209" i="11"/>
  <c r="AW209" i="11"/>
  <c r="AH210" i="11"/>
  <c r="AJ210" i="11" s="1"/>
  <c r="AQ209" i="11"/>
  <c r="AI209" i="11"/>
  <c r="AL209" i="11"/>
  <c r="AO209" i="11"/>
  <c r="AT209" i="11"/>
  <c r="AK209" i="11"/>
  <c r="L202" i="11"/>
  <c r="P202" i="11"/>
  <c r="R202" i="11"/>
  <c r="N202" i="11"/>
  <c r="Q202" i="11"/>
  <c r="O202" i="11"/>
  <c r="V202" i="11"/>
  <c r="X202" i="11"/>
  <c r="W202" i="11"/>
  <c r="T202" i="11"/>
  <c r="U202" i="11"/>
  <c r="K202" i="11"/>
  <c r="I202" i="11"/>
  <c r="H203" i="11"/>
  <c r="J203" i="11" s="1"/>
  <c r="AQ210" i="11" l="1"/>
  <c r="AP210" i="11"/>
  <c r="AX210" i="11"/>
  <c r="AN210" i="11"/>
  <c r="AT210" i="11"/>
  <c r="AK210" i="11"/>
  <c r="AV210" i="11"/>
  <c r="AI210" i="11"/>
  <c r="AO210" i="11"/>
  <c r="AU210" i="11"/>
  <c r="AW210" i="11"/>
  <c r="AH211" i="11"/>
  <c r="AJ211" i="11" s="1"/>
  <c r="AL210" i="11"/>
  <c r="AR210" i="11"/>
  <c r="L203" i="11"/>
  <c r="N203" i="11"/>
  <c r="O203" i="11"/>
  <c r="P203" i="11"/>
  <c r="R203" i="11"/>
  <c r="Q203" i="11"/>
  <c r="V203" i="11"/>
  <c r="X203" i="11"/>
  <c r="U203" i="11"/>
  <c r="T203" i="11"/>
  <c r="W203" i="11"/>
  <c r="K203" i="11"/>
  <c r="I203" i="11"/>
  <c r="H204" i="11"/>
  <c r="J204" i="11" s="1"/>
  <c r="AL211" i="11" l="1"/>
  <c r="AQ211" i="11"/>
  <c r="AU211" i="11"/>
  <c r="AK211" i="11"/>
  <c r="AO211" i="11"/>
  <c r="AN211" i="11"/>
  <c r="AW211" i="11"/>
  <c r="AP211" i="11"/>
  <c r="AT211" i="11"/>
  <c r="AV211" i="11"/>
  <c r="AH212" i="11"/>
  <c r="AJ212" i="11" s="1"/>
  <c r="AR211" i="11"/>
  <c r="AX211" i="11"/>
  <c r="AI211" i="11"/>
  <c r="L204" i="11"/>
  <c r="O204" i="11"/>
  <c r="R204" i="11"/>
  <c r="P204" i="11"/>
  <c r="N204" i="11"/>
  <c r="Q204" i="11"/>
  <c r="X204" i="11"/>
  <c r="T204" i="11"/>
  <c r="U204" i="11"/>
  <c r="W204" i="11"/>
  <c r="V204" i="11"/>
  <c r="K204" i="11"/>
  <c r="H205" i="11"/>
  <c r="J205" i="11" s="1"/>
  <c r="I204" i="11"/>
  <c r="AR212" i="11" l="1"/>
  <c r="AP212" i="11"/>
  <c r="AT212" i="11"/>
  <c r="AK212" i="11"/>
  <c r="AW212" i="11"/>
  <c r="AU212" i="11"/>
  <c r="AH213" i="11"/>
  <c r="AJ213" i="11" s="1"/>
  <c r="AX212" i="11"/>
  <c r="AI212" i="11"/>
  <c r="AQ212" i="11"/>
  <c r="AL212" i="11"/>
  <c r="AO212" i="11"/>
  <c r="AN212" i="11"/>
  <c r="AV212" i="11"/>
  <c r="L205" i="11"/>
  <c r="Q205" i="11"/>
  <c r="O205" i="11"/>
  <c r="R205" i="11"/>
  <c r="N205" i="11"/>
  <c r="P205" i="11"/>
  <c r="X205" i="11"/>
  <c r="V205" i="11"/>
  <c r="U205" i="11"/>
  <c r="T205" i="11"/>
  <c r="W205" i="11"/>
  <c r="K205" i="11"/>
  <c r="I205" i="11"/>
  <c r="H206" i="11"/>
  <c r="J206" i="11" s="1"/>
  <c r="AO213" i="11" l="1"/>
  <c r="AR213" i="11"/>
  <c r="AU213" i="11"/>
  <c r="AI213" i="11"/>
  <c r="AV213" i="11"/>
  <c r="AK213" i="11"/>
  <c r="AQ213" i="11"/>
  <c r="AX213" i="11"/>
  <c r="AW213" i="11"/>
  <c r="AH214" i="11"/>
  <c r="AJ214" i="11" s="1"/>
  <c r="AN213" i="11"/>
  <c r="AT213" i="11"/>
  <c r="AL213" i="11"/>
  <c r="AP213" i="11"/>
  <c r="L206" i="11"/>
  <c r="P206" i="11"/>
  <c r="O206" i="11"/>
  <c r="Q206" i="11"/>
  <c r="R206" i="11"/>
  <c r="N206" i="11"/>
  <c r="U206" i="11"/>
  <c r="W206" i="11"/>
  <c r="X206" i="11"/>
  <c r="V206" i="11"/>
  <c r="T206" i="11"/>
  <c r="I206" i="11"/>
  <c r="H207" i="11"/>
  <c r="J207" i="11" s="1"/>
  <c r="K206" i="11"/>
  <c r="AL214" i="11" l="1"/>
  <c r="AQ214" i="11"/>
  <c r="AV214" i="11"/>
  <c r="AK214" i="11"/>
  <c r="AH215" i="11"/>
  <c r="AJ215" i="11" s="1"/>
  <c r="AR214" i="11"/>
  <c r="AX214" i="11"/>
  <c r="AO214" i="11"/>
  <c r="AP214" i="11"/>
  <c r="AW214" i="11"/>
  <c r="AI214" i="11"/>
  <c r="AN214" i="11"/>
  <c r="AU214" i="11"/>
  <c r="AT214" i="11"/>
  <c r="L207" i="11"/>
  <c r="O207" i="11"/>
  <c r="N207" i="11"/>
  <c r="P207" i="11"/>
  <c r="Q207" i="11"/>
  <c r="R207" i="11"/>
  <c r="V207" i="11"/>
  <c r="T207" i="11"/>
  <c r="W207" i="11"/>
  <c r="X207" i="11"/>
  <c r="U207" i="11"/>
  <c r="K207" i="11"/>
  <c r="H208" i="11"/>
  <c r="J208" i="11" s="1"/>
  <c r="I207" i="11"/>
  <c r="AL215" i="11" l="1"/>
  <c r="AQ215" i="11"/>
  <c r="AT215" i="11"/>
  <c r="AK215" i="11"/>
  <c r="AR215" i="11"/>
  <c r="AN215" i="11"/>
  <c r="AW215" i="11"/>
  <c r="AO215" i="11"/>
  <c r="AV215" i="11"/>
  <c r="AU215" i="11"/>
  <c r="AH216" i="11"/>
  <c r="AJ216" i="11" s="1"/>
  <c r="AP215" i="11"/>
  <c r="AX215" i="11"/>
  <c r="AI215" i="11"/>
  <c r="L208" i="11"/>
  <c r="P208" i="11"/>
  <c r="N208" i="11"/>
  <c r="O208" i="11"/>
  <c r="R208" i="11"/>
  <c r="Q208" i="11"/>
  <c r="U208" i="11"/>
  <c r="T208" i="11"/>
  <c r="V208" i="11"/>
  <c r="W208" i="11"/>
  <c r="X208" i="11"/>
  <c r="I208" i="11"/>
  <c r="H209" i="11"/>
  <c r="J209" i="11" s="1"/>
  <c r="K208" i="11"/>
  <c r="AL216" i="11" l="1"/>
  <c r="AR216" i="11"/>
  <c r="AT216" i="11"/>
  <c r="AK216" i="11"/>
  <c r="AV216" i="11"/>
  <c r="AH217" i="11"/>
  <c r="AJ217" i="11" s="1"/>
  <c r="AP216" i="11"/>
  <c r="AO216" i="11"/>
  <c r="AU216" i="11"/>
  <c r="AQ216" i="11"/>
  <c r="AX216" i="11"/>
  <c r="AN216" i="11"/>
  <c r="AW216" i="11"/>
  <c r="AI216" i="11"/>
  <c r="L209" i="11"/>
  <c r="R209" i="11"/>
  <c r="O209" i="11"/>
  <c r="P209" i="11"/>
  <c r="N209" i="11"/>
  <c r="Q209" i="11"/>
  <c r="V209" i="11"/>
  <c r="T209" i="11"/>
  <c r="U209" i="11"/>
  <c r="W209" i="11"/>
  <c r="X209" i="11"/>
  <c r="K209" i="11"/>
  <c r="H210" i="11"/>
  <c r="J210" i="11" s="1"/>
  <c r="I209" i="11"/>
  <c r="AL217" i="11" l="1"/>
  <c r="AO217" i="11"/>
  <c r="AW217" i="11"/>
  <c r="AK217" i="11"/>
  <c r="AR217" i="11"/>
  <c r="AT217" i="11"/>
  <c r="AQ217" i="11"/>
  <c r="AV217" i="11"/>
  <c r="AX217" i="11"/>
  <c r="AU217" i="11"/>
  <c r="AN217" i="11"/>
  <c r="AH218" i="11"/>
  <c r="AJ218" i="11" s="1"/>
  <c r="AP217" i="11"/>
  <c r="AI217" i="11"/>
  <c r="L210" i="11"/>
  <c r="R210" i="11"/>
  <c r="P210" i="11"/>
  <c r="O210" i="11"/>
  <c r="N210" i="11"/>
  <c r="Q210" i="11"/>
  <c r="T210" i="11"/>
  <c r="V210" i="11"/>
  <c r="X210" i="11"/>
  <c r="W210" i="11"/>
  <c r="U210" i="11"/>
  <c r="I210" i="11"/>
  <c r="H211" i="11"/>
  <c r="J211" i="11" s="1"/>
  <c r="K210" i="11"/>
  <c r="AL218" i="11" l="1"/>
  <c r="AR218" i="11"/>
  <c r="AU218" i="11"/>
  <c r="AQ218" i="11"/>
  <c r="AO218" i="11"/>
  <c r="AW218" i="11"/>
  <c r="AH219" i="11"/>
  <c r="AJ219" i="11" s="1"/>
  <c r="AV218" i="11"/>
  <c r="AI218" i="11"/>
  <c r="AK218" i="11"/>
  <c r="AP218" i="11"/>
  <c r="AT218" i="11"/>
  <c r="AX218" i="11"/>
  <c r="AN218" i="11"/>
  <c r="L211" i="11"/>
  <c r="P211" i="11"/>
  <c r="R211" i="11"/>
  <c r="Q211" i="11"/>
  <c r="N211" i="11"/>
  <c r="O211" i="11"/>
  <c r="U211" i="11"/>
  <c r="W211" i="11"/>
  <c r="T211" i="11"/>
  <c r="X211" i="11"/>
  <c r="V211" i="11"/>
  <c r="I211" i="11"/>
  <c r="K211" i="11"/>
  <c r="H212" i="11"/>
  <c r="J212" i="11" s="1"/>
  <c r="AR219" i="11" l="1"/>
  <c r="AW219" i="11"/>
  <c r="AK219" i="11"/>
  <c r="AI219" i="11"/>
  <c r="AP219" i="11"/>
  <c r="AQ219" i="11"/>
  <c r="AU219" i="11"/>
  <c r="AN219" i="11"/>
  <c r="AX219" i="11"/>
  <c r="AV219" i="11"/>
  <c r="AH220" i="11"/>
  <c r="AJ220" i="11" s="1"/>
  <c r="AL219" i="11"/>
  <c r="AO219" i="11"/>
  <c r="AT219" i="11"/>
  <c r="L212" i="11"/>
  <c r="N212" i="11"/>
  <c r="O212" i="11"/>
  <c r="Q212" i="11"/>
  <c r="R212" i="11"/>
  <c r="P212" i="11"/>
  <c r="W212" i="11"/>
  <c r="V212" i="11"/>
  <c r="X212" i="11"/>
  <c r="T212" i="11"/>
  <c r="U212" i="11"/>
  <c r="I212" i="11"/>
  <c r="H213" i="11"/>
  <c r="J213" i="11" s="1"/>
  <c r="K212" i="11"/>
  <c r="AL220" i="11" l="1"/>
  <c r="AQ220" i="11"/>
  <c r="AT220" i="11"/>
  <c r="AK220" i="11"/>
  <c r="AP220" i="11"/>
  <c r="AO220" i="11"/>
  <c r="AU220" i="11"/>
  <c r="AH221" i="11"/>
  <c r="AJ221" i="11" s="1"/>
  <c r="AR220" i="11"/>
  <c r="AX220" i="11"/>
  <c r="AW220" i="11"/>
  <c r="AN220" i="11"/>
  <c r="AV220" i="11"/>
  <c r="AI220" i="11"/>
  <c r="L213" i="11"/>
  <c r="P213" i="11"/>
  <c r="Q213" i="11"/>
  <c r="O213" i="11"/>
  <c r="R213" i="11"/>
  <c r="N213" i="11"/>
  <c r="W213" i="11"/>
  <c r="X213" i="11"/>
  <c r="T213" i="11"/>
  <c r="V213" i="11"/>
  <c r="U213" i="11"/>
  <c r="K213" i="11"/>
  <c r="I213" i="11"/>
  <c r="H214" i="11"/>
  <c r="J214" i="11" s="1"/>
  <c r="AL221" i="11" l="1"/>
  <c r="AP221" i="11"/>
  <c r="AT221" i="11"/>
  <c r="AO221" i="11"/>
  <c r="AQ221" i="11"/>
  <c r="AU221" i="11"/>
  <c r="AH222" i="11"/>
  <c r="AJ222" i="11" s="1"/>
  <c r="AR221" i="11"/>
  <c r="AX221" i="11"/>
  <c r="AV221" i="11"/>
  <c r="AN221" i="11"/>
  <c r="AW221" i="11"/>
  <c r="AI221" i="11"/>
  <c r="AK221" i="11"/>
  <c r="L214" i="11"/>
  <c r="N214" i="11"/>
  <c r="P214" i="11"/>
  <c r="R214" i="11"/>
  <c r="O214" i="11"/>
  <c r="Q214" i="11"/>
  <c r="T214" i="11"/>
  <c r="V214" i="11"/>
  <c r="X214" i="11"/>
  <c r="W214" i="11"/>
  <c r="U214" i="11"/>
  <c r="I214" i="11"/>
  <c r="K214" i="11"/>
  <c r="H215" i="11"/>
  <c r="J215" i="11" s="1"/>
  <c r="AL222" i="11" l="1"/>
  <c r="AO222" i="11"/>
  <c r="AV222" i="11"/>
  <c r="AN222" i="11"/>
  <c r="AT222" i="11"/>
  <c r="AP222" i="11"/>
  <c r="AQ222" i="11"/>
  <c r="AW222" i="11"/>
  <c r="AX222" i="11"/>
  <c r="AH223" i="11"/>
  <c r="AJ223" i="11" s="1"/>
  <c r="AR222" i="11"/>
  <c r="AU222" i="11"/>
  <c r="AI222" i="11"/>
  <c r="AK222" i="11"/>
  <c r="L215" i="11"/>
  <c r="R215" i="11"/>
  <c r="Q215" i="11"/>
  <c r="O215" i="11"/>
  <c r="P215" i="11"/>
  <c r="N215" i="11"/>
  <c r="V215" i="11"/>
  <c r="X215" i="11"/>
  <c r="W215" i="11"/>
  <c r="U215" i="11"/>
  <c r="T215" i="11"/>
  <c r="H216" i="11"/>
  <c r="J216" i="11" s="1"/>
  <c r="I215" i="11"/>
  <c r="K215" i="11"/>
  <c r="AP223" i="11" l="1"/>
  <c r="AO223" i="11"/>
  <c r="AU223" i="11"/>
  <c r="AI223" i="11"/>
  <c r="AK223" i="11"/>
  <c r="AN223" i="11"/>
  <c r="AV223" i="11"/>
  <c r="AW223" i="11"/>
  <c r="AL223" i="11"/>
  <c r="AQ223" i="11"/>
  <c r="AX223" i="11"/>
  <c r="AH224" i="11"/>
  <c r="AJ224" i="11" s="1"/>
  <c r="AR223" i="11"/>
  <c r="AT223" i="11"/>
  <c r="L216" i="11"/>
  <c r="P216" i="11"/>
  <c r="R216" i="11"/>
  <c r="N216" i="11"/>
  <c r="Q216" i="11"/>
  <c r="O216" i="11"/>
  <c r="T216" i="11"/>
  <c r="X216" i="11"/>
  <c r="W216" i="11"/>
  <c r="U216" i="11"/>
  <c r="V216" i="11"/>
  <c r="I216" i="11"/>
  <c r="K216" i="11"/>
  <c r="H217" i="11"/>
  <c r="J217" i="11" s="1"/>
  <c r="AL224" i="11" l="1"/>
  <c r="AP224" i="11"/>
  <c r="AV224" i="11"/>
  <c r="AN224" i="11"/>
  <c r="AO224" i="11"/>
  <c r="AX224" i="11"/>
  <c r="AU224" i="11"/>
  <c r="AQ224" i="11"/>
  <c r="AW224" i="11"/>
  <c r="AK224" i="11"/>
  <c r="AI224" i="11"/>
  <c r="AR224" i="11"/>
  <c r="AT224" i="11"/>
  <c r="AH225" i="11"/>
  <c r="AJ225" i="11" s="1"/>
  <c r="L217" i="11"/>
  <c r="R217" i="11"/>
  <c r="N217" i="11"/>
  <c r="Q217" i="11"/>
  <c r="P217" i="11"/>
  <c r="O217" i="11"/>
  <c r="U217" i="11"/>
  <c r="W217" i="11"/>
  <c r="V217" i="11"/>
  <c r="T217" i="11"/>
  <c r="X217" i="11"/>
  <c r="I217" i="11"/>
  <c r="H218" i="11"/>
  <c r="J218" i="11" s="1"/>
  <c r="K217" i="11"/>
  <c r="AL225" i="11" l="1"/>
  <c r="AQ225" i="11"/>
  <c r="AT225" i="11"/>
  <c r="AR225" i="11"/>
  <c r="AO225" i="11"/>
  <c r="AU225" i="11"/>
  <c r="AN225" i="11"/>
  <c r="AX225" i="11"/>
  <c r="AV225" i="11"/>
  <c r="AP225" i="11"/>
  <c r="AW225" i="11"/>
  <c r="AI225" i="11"/>
  <c r="AK225" i="11"/>
  <c r="AH226" i="11"/>
  <c r="AJ226" i="11" s="1"/>
  <c r="L218" i="11"/>
  <c r="P218" i="11"/>
  <c r="Q218" i="11"/>
  <c r="N218" i="11"/>
  <c r="R218" i="11"/>
  <c r="O218" i="11"/>
  <c r="V218" i="11"/>
  <c r="U218" i="11"/>
  <c r="W218" i="11"/>
  <c r="X218" i="11"/>
  <c r="T218" i="11"/>
  <c r="K218" i="11"/>
  <c r="I218" i="11"/>
  <c r="H219" i="11"/>
  <c r="J219" i="11" s="1"/>
  <c r="AL226" i="11" l="1"/>
  <c r="AQ226" i="11"/>
  <c r="AT226" i="11"/>
  <c r="AP226" i="11"/>
  <c r="AN226" i="11"/>
  <c r="AU226" i="11"/>
  <c r="AO226" i="11"/>
  <c r="AW226" i="11"/>
  <c r="AX226" i="11"/>
  <c r="AH227" i="11"/>
  <c r="AJ227" i="11" s="1"/>
  <c r="AI226" i="11"/>
  <c r="AK226" i="11"/>
  <c r="AR226" i="11"/>
  <c r="AV226" i="11"/>
  <c r="L219" i="11"/>
  <c r="P219" i="11"/>
  <c r="R219" i="11"/>
  <c r="N219" i="11"/>
  <c r="Q219" i="11"/>
  <c r="O219" i="11"/>
  <c r="T219" i="11"/>
  <c r="W219" i="11"/>
  <c r="X219" i="11"/>
  <c r="U219" i="11"/>
  <c r="V219" i="11"/>
  <c r="H220" i="11"/>
  <c r="J220" i="11" s="1"/>
  <c r="I219" i="11"/>
  <c r="K219" i="11"/>
  <c r="AL227" i="11" l="1"/>
  <c r="AP227" i="11"/>
  <c r="AX227" i="11"/>
  <c r="AK227" i="11"/>
  <c r="AN227" i="11"/>
  <c r="AR227" i="11"/>
  <c r="AW227" i="11"/>
  <c r="AH228" i="11"/>
  <c r="AJ228" i="11" s="1"/>
  <c r="AO227" i="11"/>
  <c r="AU227" i="11"/>
  <c r="AV227" i="11"/>
  <c r="AQ227" i="11"/>
  <c r="AT227" i="11"/>
  <c r="AI227" i="11"/>
  <c r="L220" i="11"/>
  <c r="P220" i="11"/>
  <c r="R220" i="11"/>
  <c r="Q220" i="11"/>
  <c r="N220" i="11"/>
  <c r="O220" i="11"/>
  <c r="T220" i="11"/>
  <c r="U220" i="11"/>
  <c r="V220" i="11"/>
  <c r="W220" i="11"/>
  <c r="X220" i="11"/>
  <c r="K220" i="11"/>
  <c r="I220" i="11"/>
  <c r="H221" i="11"/>
  <c r="J221" i="11" s="1"/>
  <c r="AL228" i="11" l="1"/>
  <c r="AR228" i="11"/>
  <c r="AV228" i="11"/>
  <c r="AP228" i="11"/>
  <c r="AN228" i="11"/>
  <c r="AU228" i="11"/>
  <c r="AO228" i="11"/>
  <c r="AT228" i="11"/>
  <c r="AW228" i="11"/>
  <c r="AH229" i="11"/>
  <c r="AJ229" i="11" s="1"/>
  <c r="AQ228" i="11"/>
  <c r="AX228" i="11"/>
  <c r="AI228" i="11"/>
  <c r="AK228" i="11"/>
  <c r="L221" i="11"/>
  <c r="O221" i="11"/>
  <c r="R221" i="11"/>
  <c r="P221" i="11"/>
  <c r="Q221" i="11"/>
  <c r="N221" i="11"/>
  <c r="W221" i="11"/>
  <c r="T221" i="11"/>
  <c r="U221" i="11"/>
  <c r="X221" i="11"/>
  <c r="V221" i="11"/>
  <c r="K221" i="11"/>
  <c r="H222" i="11"/>
  <c r="J222" i="11" s="1"/>
  <c r="I221" i="11"/>
  <c r="AO229" i="11" l="1"/>
  <c r="AQ229" i="11"/>
  <c r="AW229" i="11"/>
  <c r="AX229" i="11"/>
  <c r="AT229" i="11"/>
  <c r="AI229" i="11"/>
  <c r="AL229" i="11"/>
  <c r="AP229" i="11"/>
  <c r="AV229" i="11"/>
  <c r="AK229" i="11"/>
  <c r="AN229" i="11"/>
  <c r="AH230" i="11"/>
  <c r="AJ230" i="11" s="1"/>
  <c r="AR229" i="11"/>
  <c r="AU229" i="11"/>
  <c r="L222" i="11"/>
  <c r="Q222" i="11"/>
  <c r="O222" i="11"/>
  <c r="R222" i="11"/>
  <c r="P222" i="11"/>
  <c r="N222" i="11"/>
  <c r="U222" i="11"/>
  <c r="V222" i="11"/>
  <c r="X222" i="11"/>
  <c r="W222" i="11"/>
  <c r="T222" i="11"/>
  <c r="I222" i="11"/>
  <c r="H223" i="11"/>
  <c r="J223" i="11" s="1"/>
  <c r="K222" i="11"/>
  <c r="AL230" i="11" l="1"/>
  <c r="AN230" i="11"/>
  <c r="AV230" i="11"/>
  <c r="AK230" i="11"/>
  <c r="AH231" i="11"/>
  <c r="AJ231" i="11" s="1"/>
  <c r="AX230" i="11"/>
  <c r="AI230" i="11"/>
  <c r="AP230" i="11"/>
  <c r="AR230" i="11"/>
  <c r="AW230" i="11"/>
  <c r="AQ230" i="11"/>
  <c r="AT230" i="11"/>
  <c r="AU230" i="11"/>
  <c r="AO230" i="11"/>
  <c r="L223" i="11"/>
  <c r="P223" i="11"/>
  <c r="O223" i="11"/>
  <c r="Q223" i="11"/>
  <c r="N223" i="11"/>
  <c r="R223" i="11"/>
  <c r="W223" i="11"/>
  <c r="X223" i="11"/>
  <c r="V223" i="11"/>
  <c r="T223" i="11"/>
  <c r="U223" i="11"/>
  <c r="I223" i="11"/>
  <c r="K223" i="11"/>
  <c r="H224" i="11"/>
  <c r="J224" i="11" s="1"/>
  <c r="AL231" i="11" l="1"/>
  <c r="AR231" i="11"/>
  <c r="AX231" i="11"/>
  <c r="AK231" i="11"/>
  <c r="AN231" i="11"/>
  <c r="AP231" i="11"/>
  <c r="AH232" i="11"/>
  <c r="AJ232" i="11" s="1"/>
  <c r="AQ231" i="11"/>
  <c r="AT231" i="11"/>
  <c r="AU231" i="11"/>
  <c r="AO231" i="11"/>
  <c r="AW231" i="11"/>
  <c r="AI231" i="11"/>
  <c r="AV231" i="11"/>
  <c r="L224" i="11"/>
  <c r="P224" i="11"/>
  <c r="O224" i="11"/>
  <c r="R224" i="11"/>
  <c r="N224" i="11"/>
  <c r="Q224" i="11"/>
  <c r="T224" i="11"/>
  <c r="X224" i="11"/>
  <c r="V224" i="11"/>
  <c r="W224" i="11"/>
  <c r="U224" i="11"/>
  <c r="K224" i="11"/>
  <c r="I224" i="11"/>
  <c r="H225" i="11"/>
  <c r="J225" i="11" s="1"/>
  <c r="AL232" i="11" l="1"/>
  <c r="AP232" i="11"/>
  <c r="AX232" i="11"/>
  <c r="AI232" i="11"/>
  <c r="AH233" i="11"/>
  <c r="AJ233" i="11" s="1"/>
  <c r="AR232" i="11"/>
  <c r="AT232" i="11"/>
  <c r="AK232" i="11"/>
  <c r="AN232" i="11"/>
  <c r="AQ232" i="11"/>
  <c r="AU232" i="11"/>
  <c r="AO232" i="11"/>
  <c r="AV232" i="11"/>
  <c r="AW232" i="11"/>
  <c r="L225" i="11"/>
  <c r="Q225" i="11"/>
  <c r="N225" i="11"/>
  <c r="P225" i="11"/>
  <c r="O225" i="11"/>
  <c r="R225" i="11"/>
  <c r="X225" i="11"/>
  <c r="W225" i="11"/>
  <c r="T225" i="11"/>
  <c r="U225" i="11"/>
  <c r="V225" i="11"/>
  <c r="H226" i="11"/>
  <c r="J226" i="11" s="1"/>
  <c r="K225" i="11"/>
  <c r="I225" i="11"/>
  <c r="AQ233" i="11" l="1"/>
  <c r="AO233" i="11"/>
  <c r="AT233" i="11"/>
  <c r="AP233" i="11"/>
  <c r="AN233" i="11"/>
  <c r="AH234" i="11"/>
  <c r="AJ234" i="11" s="1"/>
  <c r="AL233" i="11"/>
  <c r="AR233" i="11"/>
  <c r="AW233" i="11"/>
  <c r="AK233" i="11"/>
  <c r="AI233" i="11"/>
  <c r="AV233" i="11"/>
  <c r="AU233" i="11"/>
  <c r="AX233" i="11"/>
  <c r="L226" i="11"/>
  <c r="R226" i="11"/>
  <c r="P226" i="11"/>
  <c r="N226" i="11"/>
  <c r="O226" i="11"/>
  <c r="Q226" i="11"/>
  <c r="T226" i="11"/>
  <c r="V226" i="11"/>
  <c r="U226" i="11"/>
  <c r="W226" i="11"/>
  <c r="X226" i="11"/>
  <c r="K226" i="11"/>
  <c r="I226" i="11"/>
  <c r="H227" i="11"/>
  <c r="J227" i="11" s="1"/>
  <c r="AL234" i="11" l="1"/>
  <c r="AN234" i="11"/>
  <c r="AW234" i="11"/>
  <c r="AK234" i="11"/>
  <c r="AU234" i="11"/>
  <c r="AQ234" i="11"/>
  <c r="AO234" i="11"/>
  <c r="AX234" i="11"/>
  <c r="AR234" i="11"/>
  <c r="AV234" i="11"/>
  <c r="AP234" i="11"/>
  <c r="AT234" i="11"/>
  <c r="AI234" i="11"/>
  <c r="AH235" i="11"/>
  <c r="AJ235" i="11" s="1"/>
  <c r="L227" i="11"/>
  <c r="O227" i="11"/>
  <c r="N227" i="11"/>
  <c r="Q227" i="11"/>
  <c r="P227" i="11"/>
  <c r="R227" i="11"/>
  <c r="W227" i="11"/>
  <c r="V227" i="11"/>
  <c r="U227" i="11"/>
  <c r="X227" i="11"/>
  <c r="T227" i="11"/>
  <c r="H228" i="11"/>
  <c r="J228" i="11" s="1"/>
  <c r="K227" i="11"/>
  <c r="I227" i="11"/>
  <c r="AN235" i="11" l="1"/>
  <c r="AW235" i="11"/>
  <c r="AK235" i="11"/>
  <c r="AI235" i="11"/>
  <c r="AP235" i="11"/>
  <c r="AO235" i="11"/>
  <c r="AX235" i="11"/>
  <c r="AT235" i="11"/>
  <c r="AH236" i="11"/>
  <c r="AJ236" i="11" s="1"/>
  <c r="AQ235" i="11"/>
  <c r="AV235" i="11"/>
  <c r="AL235" i="11"/>
  <c r="AR235" i="11"/>
  <c r="AU235" i="11"/>
  <c r="L228" i="11"/>
  <c r="Q228" i="11"/>
  <c r="N228" i="11"/>
  <c r="R228" i="11"/>
  <c r="P228" i="11"/>
  <c r="O228" i="11"/>
  <c r="V228" i="11"/>
  <c r="W228" i="11"/>
  <c r="U228" i="11"/>
  <c r="T228" i="11"/>
  <c r="X228" i="11"/>
  <c r="K228" i="11"/>
  <c r="H229" i="11"/>
  <c r="J229" i="11" s="1"/>
  <c r="I228" i="11"/>
  <c r="AP236" i="11" l="1"/>
  <c r="AQ236" i="11"/>
  <c r="AV236" i="11"/>
  <c r="AI236" i="11"/>
  <c r="AO236" i="11"/>
  <c r="AX236" i="11"/>
  <c r="AT236" i="11"/>
  <c r="AU236" i="11"/>
  <c r="AK236" i="11"/>
  <c r="AR236" i="11"/>
  <c r="AH237" i="11"/>
  <c r="AJ237" i="11" s="1"/>
  <c r="AL236" i="11"/>
  <c r="AN236" i="11"/>
  <c r="AW236" i="11"/>
  <c r="L229" i="11"/>
  <c r="O229" i="11"/>
  <c r="N229" i="11"/>
  <c r="P229" i="11"/>
  <c r="Q229" i="11"/>
  <c r="R229" i="11"/>
  <c r="V229" i="11"/>
  <c r="W229" i="11"/>
  <c r="T229" i="11"/>
  <c r="U229" i="11"/>
  <c r="X229" i="11"/>
  <c r="I229" i="11"/>
  <c r="H230" i="11"/>
  <c r="J230" i="11" s="1"/>
  <c r="K229" i="11"/>
  <c r="AQ237" i="11" l="1"/>
  <c r="AO237" i="11"/>
  <c r="AT237" i="11"/>
  <c r="AK237" i="11"/>
  <c r="AX237" i="11"/>
  <c r="AI237" i="11"/>
  <c r="AR237" i="11"/>
  <c r="AU237" i="11"/>
  <c r="AW237" i="11"/>
  <c r="AP237" i="11"/>
  <c r="AH238" i="11"/>
  <c r="AJ238" i="11" s="1"/>
  <c r="AL237" i="11"/>
  <c r="AN237" i="11"/>
  <c r="AV237" i="11"/>
  <c r="L230" i="11"/>
  <c r="Q230" i="11"/>
  <c r="P230" i="11"/>
  <c r="R230" i="11"/>
  <c r="N230" i="11"/>
  <c r="O230" i="11"/>
  <c r="X230" i="11"/>
  <c r="V230" i="11"/>
  <c r="W230" i="11"/>
  <c r="T230" i="11"/>
  <c r="U230" i="11"/>
  <c r="I230" i="11"/>
  <c r="H231" i="11"/>
  <c r="J231" i="11" s="1"/>
  <c r="K230" i="11"/>
  <c r="AL238" i="11" l="1"/>
  <c r="AN238" i="11"/>
  <c r="AT238" i="11"/>
  <c r="AK238" i="11"/>
  <c r="AI238" i="11"/>
  <c r="AR238" i="11"/>
  <c r="AO238" i="11"/>
  <c r="AV238" i="11"/>
  <c r="AH239" i="11"/>
  <c r="AJ239" i="11" s="1"/>
  <c r="AP238" i="11"/>
  <c r="AW238" i="11"/>
  <c r="AX238" i="11"/>
  <c r="AQ238" i="11"/>
  <c r="AU238" i="11"/>
  <c r="L231" i="11"/>
  <c r="O231" i="11"/>
  <c r="P231" i="11"/>
  <c r="R231" i="11"/>
  <c r="N231" i="11"/>
  <c r="Q231" i="11"/>
  <c r="T231" i="11"/>
  <c r="W231" i="11"/>
  <c r="X231" i="11"/>
  <c r="V231" i="11"/>
  <c r="U231" i="11"/>
  <c r="H232" i="11"/>
  <c r="J232" i="11" s="1"/>
  <c r="K231" i="11"/>
  <c r="I231" i="11"/>
  <c r="AP239" i="11" l="1"/>
  <c r="AV239" i="11"/>
  <c r="AK239" i="11"/>
  <c r="AO239" i="11"/>
  <c r="AW239" i="11"/>
  <c r="AX239" i="11"/>
  <c r="AU239" i="11"/>
  <c r="AH240" i="11"/>
  <c r="AJ240" i="11" s="1"/>
  <c r="AR239" i="11"/>
  <c r="AI239" i="11"/>
  <c r="AQ239" i="11"/>
  <c r="AL239" i="11"/>
  <c r="AN239" i="11"/>
  <c r="AT239" i="11"/>
  <c r="L232" i="11"/>
  <c r="Q232" i="11"/>
  <c r="R232" i="11"/>
  <c r="N232" i="11"/>
  <c r="O232" i="11"/>
  <c r="P232" i="11"/>
  <c r="X232" i="11"/>
  <c r="U232" i="11"/>
  <c r="T232" i="11"/>
  <c r="W232" i="11"/>
  <c r="V232" i="11"/>
  <c r="K232" i="11"/>
  <c r="I232" i="11"/>
  <c r="H233" i="11"/>
  <c r="J233" i="11" s="1"/>
  <c r="AN240" i="11" l="1"/>
  <c r="AP240" i="11"/>
  <c r="AX240" i="11"/>
  <c r="AR240" i="11"/>
  <c r="AW240" i="11"/>
  <c r="AT240" i="11"/>
  <c r="AQ240" i="11"/>
  <c r="AU240" i="11"/>
  <c r="AH241" i="11"/>
  <c r="AJ241" i="11" s="1"/>
  <c r="AI240" i="11"/>
  <c r="AK240" i="11"/>
  <c r="AL240" i="11"/>
  <c r="AO240" i="11"/>
  <c r="AV240" i="11"/>
  <c r="L233" i="11"/>
  <c r="Q233" i="11"/>
  <c r="N233" i="11"/>
  <c r="O233" i="11"/>
  <c r="P233" i="11"/>
  <c r="R233" i="11"/>
  <c r="X233" i="11"/>
  <c r="V233" i="11"/>
  <c r="T233" i="11"/>
  <c r="U233" i="11"/>
  <c r="W233" i="11"/>
  <c r="H234" i="11"/>
  <c r="J234" i="11" s="1"/>
  <c r="I233" i="11"/>
  <c r="K233" i="11"/>
  <c r="AL241" i="11" l="1"/>
  <c r="AN241" i="11"/>
  <c r="AW241" i="11"/>
  <c r="AK241" i="11"/>
  <c r="AO241" i="11"/>
  <c r="AQ241" i="11"/>
  <c r="AX241" i="11"/>
  <c r="AP241" i="11"/>
  <c r="AT241" i="11"/>
  <c r="AU241" i="11"/>
  <c r="AH242" i="11"/>
  <c r="AJ242" i="11" s="1"/>
  <c r="AI241" i="11"/>
  <c r="AR241" i="11"/>
  <c r="AV241" i="11"/>
  <c r="L234" i="11"/>
  <c r="R234" i="11"/>
  <c r="N234" i="11"/>
  <c r="Q234" i="11"/>
  <c r="P234" i="11"/>
  <c r="O234" i="11"/>
  <c r="X234" i="11"/>
  <c r="T234" i="11"/>
  <c r="U234" i="11"/>
  <c r="W234" i="11"/>
  <c r="V234" i="11"/>
  <c r="I234" i="11"/>
  <c r="K234" i="11"/>
  <c r="H235" i="11"/>
  <c r="J235" i="11" s="1"/>
  <c r="AL242" i="11" l="1"/>
  <c r="AQ242" i="11"/>
  <c r="AV242" i="11"/>
  <c r="AK242" i="11"/>
  <c r="AR242" i="11"/>
  <c r="AP242" i="11"/>
  <c r="AU242" i="11"/>
  <c r="AT242" i="11"/>
  <c r="AH243" i="11"/>
  <c r="AJ243" i="11" s="1"/>
  <c r="AN242" i="11"/>
  <c r="AI242" i="11"/>
  <c r="AX242" i="11"/>
  <c r="AO242" i="11"/>
  <c r="AW242" i="11"/>
  <c r="L235" i="11"/>
  <c r="P235" i="11"/>
  <c r="N235" i="11"/>
  <c r="R235" i="11"/>
  <c r="Q235" i="11"/>
  <c r="O235" i="11"/>
  <c r="W235" i="11"/>
  <c r="X235" i="11"/>
  <c r="T235" i="11"/>
  <c r="V235" i="11"/>
  <c r="U235" i="11"/>
  <c r="K235" i="11"/>
  <c r="I235" i="11"/>
  <c r="H236" i="11"/>
  <c r="J236" i="11" s="1"/>
  <c r="AL243" i="11" l="1"/>
  <c r="AR243" i="11"/>
  <c r="AU243" i="11"/>
  <c r="AI243" i="11"/>
  <c r="AN243" i="11"/>
  <c r="AQ243" i="11"/>
  <c r="AT243" i="11"/>
  <c r="AH244" i="11"/>
  <c r="AJ244" i="11" s="1"/>
  <c r="AP243" i="11"/>
  <c r="AX243" i="11"/>
  <c r="AV243" i="11"/>
  <c r="AO243" i="11"/>
  <c r="AW243" i="11"/>
  <c r="AK243" i="11"/>
  <c r="L236" i="11"/>
  <c r="P236" i="11"/>
  <c r="N236" i="11"/>
  <c r="O236" i="11"/>
  <c r="Q236" i="11"/>
  <c r="R236" i="11"/>
  <c r="V236" i="11"/>
  <c r="X236" i="11"/>
  <c r="W236" i="11"/>
  <c r="T236" i="11"/>
  <c r="U236" i="11"/>
  <c r="K236" i="11"/>
  <c r="I236" i="11"/>
  <c r="H237" i="11"/>
  <c r="J237" i="11" s="1"/>
  <c r="AL244" i="11" l="1"/>
  <c r="AQ244" i="11"/>
  <c r="AV244" i="11"/>
  <c r="AR244" i="11"/>
  <c r="AP244" i="11"/>
  <c r="AT244" i="11"/>
  <c r="AN244" i="11"/>
  <c r="AW244" i="11"/>
  <c r="AX244" i="11"/>
  <c r="AO244" i="11"/>
  <c r="AU244" i="11"/>
  <c r="AI244" i="11"/>
  <c r="AK244" i="11"/>
  <c r="AH245" i="11"/>
  <c r="AJ245" i="11" s="1"/>
  <c r="L237" i="11"/>
  <c r="Q237" i="11"/>
  <c r="O237" i="11"/>
  <c r="R237" i="11"/>
  <c r="P237" i="11"/>
  <c r="N237" i="11"/>
  <c r="X237" i="11"/>
  <c r="V237" i="11"/>
  <c r="T237" i="11"/>
  <c r="W237" i="11"/>
  <c r="U237" i="11"/>
  <c r="K237" i="11"/>
  <c r="I237" i="11"/>
  <c r="H238" i="11"/>
  <c r="J238" i="11" s="1"/>
  <c r="AL245" i="11" l="1"/>
  <c r="AP245" i="11"/>
  <c r="AX245" i="11"/>
  <c r="AI245" i="11"/>
  <c r="AO245" i="11"/>
  <c r="AQ245" i="11"/>
  <c r="AW245" i="11"/>
  <c r="AU245" i="11"/>
  <c r="AR245" i="11"/>
  <c r="AT245" i="11"/>
  <c r="AH246" i="11"/>
  <c r="AJ246" i="11" s="1"/>
  <c r="AK245" i="11"/>
  <c r="AN245" i="11"/>
  <c r="AV245" i="11"/>
  <c r="L238" i="11"/>
  <c r="P238" i="11"/>
  <c r="O238" i="11"/>
  <c r="R238" i="11"/>
  <c r="N238" i="11"/>
  <c r="Q238" i="11"/>
  <c r="W238" i="11"/>
  <c r="U238" i="11"/>
  <c r="T238" i="11"/>
  <c r="V238" i="11"/>
  <c r="X238" i="11"/>
  <c r="H239" i="11"/>
  <c r="J239" i="11" s="1"/>
  <c r="I238" i="11"/>
  <c r="K238" i="11"/>
  <c r="AL246" i="11" l="1"/>
  <c r="AO246" i="11"/>
  <c r="AW246" i="11"/>
  <c r="AK246" i="11"/>
  <c r="AH247" i="11"/>
  <c r="AJ247" i="11" s="1"/>
  <c r="AP246" i="11"/>
  <c r="AQ246" i="11"/>
  <c r="AX246" i="11"/>
  <c r="AI246" i="11"/>
  <c r="AR246" i="11"/>
  <c r="AV246" i="11"/>
  <c r="AT246" i="11"/>
  <c r="AN246" i="11"/>
  <c r="AU246" i="11"/>
  <c r="L239" i="11"/>
  <c r="Q239" i="11"/>
  <c r="P239" i="11"/>
  <c r="N239" i="11"/>
  <c r="O239" i="11"/>
  <c r="R239" i="11"/>
  <c r="T239" i="11"/>
  <c r="V239" i="11"/>
  <c r="X239" i="11"/>
  <c r="W239" i="11"/>
  <c r="U239" i="11"/>
  <c r="I239" i="11"/>
  <c r="K239" i="11"/>
  <c r="H240" i="11"/>
  <c r="J240" i="11" s="1"/>
  <c r="AL247" i="11" l="1"/>
  <c r="AQ247" i="11"/>
  <c r="AW247" i="11"/>
  <c r="AI247" i="11"/>
  <c r="AP247" i="11"/>
  <c r="AN247" i="11"/>
  <c r="AT247" i="11"/>
  <c r="AH248" i="11"/>
  <c r="AJ248" i="11" s="1"/>
  <c r="AR247" i="11"/>
  <c r="AU247" i="11"/>
  <c r="AV247" i="11"/>
  <c r="AO247" i="11"/>
  <c r="AX247" i="11"/>
  <c r="AK247" i="11"/>
  <c r="L240" i="11"/>
  <c r="P240" i="11"/>
  <c r="N240" i="11"/>
  <c r="O240" i="11"/>
  <c r="R240" i="11"/>
  <c r="Q240" i="11"/>
  <c r="U240" i="11"/>
  <c r="V240" i="11"/>
  <c r="X240" i="11"/>
  <c r="W240" i="11"/>
  <c r="T240" i="11"/>
  <c r="K240" i="11"/>
  <c r="H241" i="11"/>
  <c r="J241" i="11" s="1"/>
  <c r="I240" i="11"/>
  <c r="AQ248" i="11" l="1"/>
  <c r="AR248" i="11"/>
  <c r="AV248" i="11"/>
  <c r="AO248" i="11"/>
  <c r="AU248" i="11"/>
  <c r="AX248" i="11"/>
  <c r="AP248" i="11"/>
  <c r="AT248" i="11"/>
  <c r="AK248" i="11"/>
  <c r="AH249" i="11"/>
  <c r="AJ249" i="11" s="1"/>
  <c r="AI248" i="11"/>
  <c r="AL248" i="11"/>
  <c r="AN248" i="11"/>
  <c r="AW248" i="11"/>
  <c r="L241" i="11"/>
  <c r="P241" i="11"/>
  <c r="O241" i="11"/>
  <c r="R241" i="11"/>
  <c r="Q241" i="11"/>
  <c r="N241" i="11"/>
  <c r="W241" i="11"/>
  <c r="X241" i="11"/>
  <c r="T241" i="11"/>
  <c r="U241" i="11"/>
  <c r="V241" i="11"/>
  <c r="I241" i="11"/>
  <c r="K241" i="11"/>
  <c r="H242" i="11"/>
  <c r="J242" i="11" s="1"/>
  <c r="AL249" i="11" l="1"/>
  <c r="AR249" i="11"/>
  <c r="AT249" i="11"/>
  <c r="AO249" i="11"/>
  <c r="AP249" i="11"/>
  <c r="AW249" i="11"/>
  <c r="AN249" i="11"/>
  <c r="AX249" i="11"/>
  <c r="AV249" i="11"/>
  <c r="AQ249" i="11"/>
  <c r="AU249" i="11"/>
  <c r="AI249" i="11"/>
  <c r="AK249" i="11"/>
  <c r="AH250" i="11"/>
  <c r="AJ250" i="11" s="1"/>
  <c r="L242" i="11"/>
  <c r="Q242" i="11"/>
  <c r="N242" i="11"/>
  <c r="P242" i="11"/>
  <c r="O242" i="11"/>
  <c r="R242" i="11"/>
  <c r="W242" i="11"/>
  <c r="T242" i="11"/>
  <c r="V242" i="11"/>
  <c r="X242" i="11"/>
  <c r="U242" i="11"/>
  <c r="K242" i="11"/>
  <c r="I242" i="11"/>
  <c r="H243" i="11"/>
  <c r="J243" i="11" s="1"/>
  <c r="AL250" i="11" l="1"/>
  <c r="AR250" i="11"/>
  <c r="AU250" i="11"/>
  <c r="AQ250" i="11"/>
  <c r="AN250" i="11"/>
  <c r="AV250" i="11"/>
  <c r="AT250" i="11"/>
  <c r="AH251" i="11"/>
  <c r="AJ251" i="11" s="1"/>
  <c r="AP250" i="11"/>
  <c r="AW250" i="11"/>
  <c r="AK250" i="11"/>
  <c r="AO250" i="11"/>
  <c r="AX250" i="11"/>
  <c r="AI250" i="11"/>
  <c r="L243" i="11"/>
  <c r="P243" i="11"/>
  <c r="O243" i="11"/>
  <c r="Q243" i="11"/>
  <c r="N243" i="11"/>
  <c r="R243" i="11"/>
  <c r="U243" i="11"/>
  <c r="T243" i="11"/>
  <c r="V243" i="11"/>
  <c r="X243" i="11"/>
  <c r="W243" i="11"/>
  <c r="I243" i="11"/>
  <c r="H244" i="11"/>
  <c r="J244" i="11" s="1"/>
  <c r="K243" i="11"/>
  <c r="AP251" i="11" l="1"/>
  <c r="AN251" i="11"/>
  <c r="AR251" i="11"/>
  <c r="AW251" i="11"/>
  <c r="AV251" i="11"/>
  <c r="AH252" i="11"/>
  <c r="AJ252" i="11" s="1"/>
  <c r="AK251" i="11"/>
  <c r="AO251" i="11"/>
  <c r="AU251" i="11"/>
  <c r="AL251" i="11"/>
  <c r="AQ251" i="11"/>
  <c r="AT251" i="11"/>
  <c r="AI251" i="11"/>
  <c r="AX251" i="11"/>
  <c r="L244" i="11"/>
  <c r="N244" i="11"/>
  <c r="Q244" i="11"/>
  <c r="O244" i="11"/>
  <c r="P244" i="11"/>
  <c r="R244" i="11"/>
  <c r="V244" i="11"/>
  <c r="T244" i="11"/>
  <c r="X244" i="11"/>
  <c r="W244" i="11"/>
  <c r="U244" i="11"/>
  <c r="K244" i="11"/>
  <c r="H245" i="11"/>
  <c r="J245" i="11" s="1"/>
  <c r="I244" i="11"/>
  <c r="AR252" i="11" l="1"/>
  <c r="AW252" i="11"/>
  <c r="AH253" i="11"/>
  <c r="AJ253" i="11" s="1"/>
  <c r="AN252" i="11"/>
  <c r="AV252" i="11"/>
  <c r="AI252" i="11"/>
  <c r="AT252" i="11"/>
  <c r="AL252" i="11"/>
  <c r="AQ252" i="11"/>
  <c r="AU252" i="11"/>
  <c r="AK252" i="11"/>
  <c r="AO252" i="11"/>
  <c r="AP252" i="11"/>
  <c r="AX252" i="11"/>
  <c r="L245" i="11"/>
  <c r="N245" i="11"/>
  <c r="P245" i="11"/>
  <c r="R245" i="11"/>
  <c r="Q245" i="11"/>
  <c r="O245" i="11"/>
  <c r="T245" i="11"/>
  <c r="V245" i="11"/>
  <c r="W245" i="11"/>
  <c r="X245" i="11"/>
  <c r="U245" i="11"/>
  <c r="K245" i="11"/>
  <c r="I245" i="11"/>
  <c r="H246" i="11"/>
  <c r="J246" i="11" s="1"/>
  <c r="AK253" i="11" l="1"/>
  <c r="AO253" i="11"/>
  <c r="AU253" i="11"/>
  <c r="AT253" i="11"/>
  <c r="AX253" i="11"/>
  <c r="AN253" i="11"/>
  <c r="AH254" i="11"/>
  <c r="AJ254" i="11" s="1"/>
  <c r="AL253" i="11"/>
  <c r="AP253" i="11"/>
  <c r="AW253" i="11"/>
  <c r="AI253" i="11"/>
  <c r="AQ253" i="11"/>
  <c r="AR253" i="11"/>
  <c r="AV253" i="11"/>
  <c r="L246" i="11"/>
  <c r="N246" i="11"/>
  <c r="P246" i="11"/>
  <c r="Q246" i="11"/>
  <c r="R246" i="11"/>
  <c r="O246" i="11"/>
  <c r="V246" i="11"/>
  <c r="U246" i="11"/>
  <c r="W246" i="11"/>
  <c r="X246" i="11"/>
  <c r="T246" i="11"/>
  <c r="H247" i="11"/>
  <c r="J247" i="11" s="1"/>
  <c r="K246" i="11"/>
  <c r="I246" i="11"/>
  <c r="AO254" i="11" l="1"/>
  <c r="AT254" i="11"/>
  <c r="AV254" i="11"/>
  <c r="AH255" i="11"/>
  <c r="AJ255" i="11" s="1"/>
  <c r="AK254" i="11"/>
  <c r="AL254" i="11"/>
  <c r="AR254" i="11"/>
  <c r="AU254" i="11"/>
  <c r="AI254" i="11"/>
  <c r="AQ254" i="11"/>
  <c r="AP254" i="11"/>
  <c r="AN254" i="11"/>
  <c r="AW254" i="11"/>
  <c r="AX254" i="11"/>
  <c r="L247" i="11"/>
  <c r="R247" i="11"/>
  <c r="Q247" i="11"/>
  <c r="P247" i="11"/>
  <c r="O247" i="11"/>
  <c r="N247" i="11"/>
  <c r="T247" i="11"/>
  <c r="X247" i="11"/>
  <c r="W247" i="11"/>
  <c r="U247" i="11"/>
  <c r="V247" i="11"/>
  <c r="H248" i="11"/>
  <c r="J248" i="11" s="1"/>
  <c r="I247" i="11"/>
  <c r="K247" i="11"/>
  <c r="AV255" i="11" l="1"/>
  <c r="AK255" i="11"/>
  <c r="AP255" i="11"/>
  <c r="AN255" i="11"/>
  <c r="AW255" i="11"/>
  <c r="AR255" i="11"/>
  <c r="AX255" i="11"/>
  <c r="AT255" i="11"/>
  <c r="AH256" i="11"/>
  <c r="AJ256" i="11" s="1"/>
  <c r="AL255" i="11"/>
  <c r="AQ255" i="11"/>
  <c r="AU255" i="11"/>
  <c r="AI255" i="11"/>
  <c r="AO255" i="11"/>
  <c r="L248" i="11"/>
  <c r="O248" i="11"/>
  <c r="P248" i="11"/>
  <c r="Q248" i="11"/>
  <c r="N248" i="11"/>
  <c r="R248" i="11"/>
  <c r="V248" i="11"/>
  <c r="T248" i="11"/>
  <c r="W248" i="11"/>
  <c r="X248" i="11"/>
  <c r="U248" i="11"/>
  <c r="I248" i="11"/>
  <c r="K248" i="11"/>
  <c r="H249" i="11"/>
  <c r="J249" i="11" s="1"/>
  <c r="AL256" i="11" l="1"/>
  <c r="AP256" i="11"/>
  <c r="AW256" i="11"/>
  <c r="AR256" i="11"/>
  <c r="AQ256" i="11"/>
  <c r="AX256" i="11"/>
  <c r="AN256" i="11"/>
  <c r="AV256" i="11"/>
  <c r="AU256" i="11"/>
  <c r="AH257" i="11"/>
  <c r="AJ257" i="11" s="1"/>
  <c r="AI256" i="11"/>
  <c r="AK256" i="11"/>
  <c r="AO256" i="11"/>
  <c r="AT256" i="11"/>
  <c r="L249" i="11"/>
  <c r="R249" i="11"/>
  <c r="N249" i="11"/>
  <c r="O249" i="11"/>
  <c r="P249" i="11"/>
  <c r="Q249" i="11"/>
  <c r="W249" i="11"/>
  <c r="T249" i="11"/>
  <c r="V249" i="11"/>
  <c r="X249" i="11"/>
  <c r="U249" i="11"/>
  <c r="I249" i="11"/>
  <c r="H250" i="11"/>
  <c r="J250" i="11" s="1"/>
  <c r="K249" i="11"/>
  <c r="AL257" i="11" l="1"/>
  <c r="AR257" i="11"/>
  <c r="AV257" i="11"/>
  <c r="AK257" i="11"/>
  <c r="AH258" i="11"/>
  <c r="AJ258" i="11" s="1"/>
  <c r="AQ257" i="11"/>
  <c r="AO257" i="11"/>
  <c r="AW257" i="11"/>
  <c r="AP257" i="11"/>
  <c r="AU257" i="11"/>
  <c r="AT257" i="11"/>
  <c r="AI257" i="11"/>
  <c r="AN257" i="11"/>
  <c r="AX257" i="11"/>
  <c r="L250" i="11"/>
  <c r="Q250" i="11"/>
  <c r="P250" i="11"/>
  <c r="N250" i="11"/>
  <c r="R250" i="11"/>
  <c r="O250" i="11"/>
  <c r="W250" i="11"/>
  <c r="V250" i="11"/>
  <c r="X250" i="11"/>
  <c r="U250" i="11"/>
  <c r="T250" i="11"/>
  <c r="H251" i="11"/>
  <c r="J251" i="11" s="1"/>
  <c r="K250" i="11"/>
  <c r="I250" i="11"/>
  <c r="AI258" i="11" l="1"/>
  <c r="AR258" i="11"/>
  <c r="AN258" i="11"/>
  <c r="AW258" i="11"/>
  <c r="AP258" i="11"/>
  <c r="AU258" i="11"/>
  <c r="AT258" i="11"/>
  <c r="AH259" i="11"/>
  <c r="AJ259" i="11" s="1"/>
  <c r="AK258" i="11"/>
  <c r="AL258" i="11"/>
  <c r="AO258" i="11"/>
  <c r="AV258" i="11"/>
  <c r="AQ258" i="11"/>
  <c r="AX258" i="11"/>
  <c r="L251" i="11"/>
  <c r="O251" i="11"/>
  <c r="Q251" i="11"/>
  <c r="R251" i="11"/>
  <c r="N251" i="11"/>
  <c r="P251" i="11"/>
  <c r="T251" i="11"/>
  <c r="X251" i="11"/>
  <c r="U251" i="11"/>
  <c r="W251" i="11"/>
  <c r="V251" i="11"/>
  <c r="I251" i="11"/>
  <c r="H252" i="11"/>
  <c r="J252" i="11" s="1"/>
  <c r="K251" i="11"/>
  <c r="AL259" i="11" l="1"/>
  <c r="AO259" i="11"/>
  <c r="AU259" i="11"/>
  <c r="AI259" i="11"/>
  <c r="AN259" i="11"/>
  <c r="AT259" i="11"/>
  <c r="AP259" i="11"/>
  <c r="AX259" i="11"/>
  <c r="AK259" i="11"/>
  <c r="AQ259" i="11"/>
  <c r="AR259" i="11"/>
  <c r="AW259" i="11"/>
  <c r="AV259" i="11"/>
  <c r="AH260" i="11"/>
  <c r="AJ260" i="11" s="1"/>
  <c r="L252" i="11"/>
  <c r="N252" i="11"/>
  <c r="P252" i="11"/>
  <c r="R252" i="11"/>
  <c r="Q252" i="11"/>
  <c r="O252" i="11"/>
  <c r="W252" i="11"/>
  <c r="V252" i="11"/>
  <c r="X252" i="11"/>
  <c r="T252" i="11"/>
  <c r="U252" i="11"/>
  <c r="K252" i="11"/>
  <c r="I252" i="11"/>
  <c r="H253" i="11"/>
  <c r="J253" i="11" s="1"/>
  <c r="AL260" i="11" l="1"/>
  <c r="AR260" i="11"/>
  <c r="AV260" i="11"/>
  <c r="AN260" i="11"/>
  <c r="AO260" i="11"/>
  <c r="AW260" i="11"/>
  <c r="AP260" i="11"/>
  <c r="AX260" i="11"/>
  <c r="AU260" i="11"/>
  <c r="AH261" i="11"/>
  <c r="AJ261" i="11" s="1"/>
  <c r="AK260" i="11"/>
  <c r="AQ260" i="11"/>
  <c r="AT260" i="11"/>
  <c r="AI260" i="11"/>
  <c r="L253" i="11"/>
  <c r="Q253" i="11"/>
  <c r="N253" i="11"/>
  <c r="O253" i="11"/>
  <c r="R253" i="11"/>
  <c r="P253" i="11"/>
  <c r="U253" i="11"/>
  <c r="X253" i="11"/>
  <c r="W253" i="11"/>
  <c r="T253" i="11"/>
  <c r="V253" i="11"/>
  <c r="H254" i="11"/>
  <c r="J254" i="11" s="1"/>
  <c r="I253" i="11"/>
  <c r="K253" i="11"/>
  <c r="AL261" i="11" l="1"/>
  <c r="AR261" i="11"/>
  <c r="AT261" i="11"/>
  <c r="AK261" i="11"/>
  <c r="AN261" i="11"/>
  <c r="AQ261" i="11"/>
  <c r="AU261" i="11"/>
  <c r="AI261" i="11"/>
  <c r="AP261" i="11"/>
  <c r="AW261" i="11"/>
  <c r="AX261" i="11"/>
  <c r="AH262" i="11"/>
  <c r="AJ262" i="11" s="1"/>
  <c r="AO261" i="11"/>
  <c r="AV261" i="11"/>
  <c r="L254" i="11"/>
  <c r="O254" i="11"/>
  <c r="Q254" i="11"/>
  <c r="R254" i="11"/>
  <c r="P254" i="11"/>
  <c r="N254" i="11"/>
  <c r="U254" i="11"/>
  <c r="W254" i="11"/>
  <c r="X254" i="11"/>
  <c r="T254" i="11"/>
  <c r="V254" i="11"/>
  <c r="I254" i="11"/>
  <c r="H255" i="11"/>
  <c r="J255" i="11" s="1"/>
  <c r="K254" i="11"/>
  <c r="AO262" i="11" l="1"/>
  <c r="AQ262" i="11"/>
  <c r="AR262" i="11"/>
  <c r="AX262" i="11"/>
  <c r="AN262" i="11"/>
  <c r="AW262" i="11"/>
  <c r="AI262" i="11"/>
  <c r="AL262" i="11"/>
  <c r="AV262" i="11"/>
  <c r="AK262" i="11"/>
  <c r="AP262" i="11"/>
  <c r="AT262" i="11"/>
  <c r="AU262" i="11"/>
  <c r="AH263" i="11"/>
  <c r="AJ263" i="11" s="1"/>
  <c r="L255" i="11"/>
  <c r="P255" i="11"/>
  <c r="O255" i="11"/>
  <c r="N255" i="11"/>
  <c r="Q255" i="11"/>
  <c r="R255" i="11"/>
  <c r="X255" i="11"/>
  <c r="U255" i="11"/>
  <c r="V255" i="11"/>
  <c r="W255" i="11"/>
  <c r="T255" i="11"/>
  <c r="I255" i="11"/>
  <c r="K255" i="11"/>
  <c r="H256" i="11"/>
  <c r="J256" i="11" s="1"/>
  <c r="AL263" i="11" l="1"/>
  <c r="AN263" i="11"/>
  <c r="AU263" i="11"/>
  <c r="AI263" i="11"/>
  <c r="AT263" i="11"/>
  <c r="AP263" i="11"/>
  <c r="AQ263" i="11"/>
  <c r="AW263" i="11"/>
  <c r="AR263" i="11"/>
  <c r="AX263" i="11"/>
  <c r="AH264" i="11"/>
  <c r="AJ264" i="11" s="1"/>
  <c r="AK263" i="11"/>
  <c r="AO263" i="11"/>
  <c r="AV263" i="11"/>
  <c r="L256" i="11"/>
  <c r="R256" i="11"/>
  <c r="P256" i="11"/>
  <c r="N256" i="11"/>
  <c r="O256" i="11"/>
  <c r="Q256" i="11"/>
  <c r="W256" i="11"/>
  <c r="T256" i="11"/>
  <c r="X256" i="11"/>
  <c r="U256" i="11"/>
  <c r="V256" i="11"/>
  <c r="K256" i="11"/>
  <c r="H257" i="11"/>
  <c r="J257" i="11" s="1"/>
  <c r="I256" i="11"/>
  <c r="AL264" i="11" l="1"/>
  <c r="AQ264" i="11"/>
  <c r="AV264" i="11"/>
  <c r="AI264" i="11"/>
  <c r="AO264" i="11"/>
  <c r="AW264" i="11"/>
  <c r="AU264" i="11"/>
  <c r="AP264" i="11"/>
  <c r="AN264" i="11"/>
  <c r="AX264" i="11"/>
  <c r="AR264" i="11"/>
  <c r="AT264" i="11"/>
  <c r="AK264" i="11"/>
  <c r="AH265" i="11"/>
  <c r="AJ265" i="11" s="1"/>
  <c r="L257" i="11"/>
  <c r="Q257" i="11"/>
  <c r="N257" i="11"/>
  <c r="P257" i="11"/>
  <c r="R257" i="11"/>
  <c r="O257" i="11"/>
  <c r="V257" i="11"/>
  <c r="U257" i="11"/>
  <c r="W257" i="11"/>
  <c r="T257" i="11"/>
  <c r="X257" i="11"/>
  <c r="H258" i="11"/>
  <c r="J258" i="11" s="1"/>
  <c r="I257" i="11"/>
  <c r="K257" i="11"/>
  <c r="AP265" i="11" l="1"/>
  <c r="AN265" i="11"/>
  <c r="AV265" i="11"/>
  <c r="AK265" i="11"/>
  <c r="AR265" i="11"/>
  <c r="AO265" i="11"/>
  <c r="AW265" i="11"/>
  <c r="AT265" i="11"/>
  <c r="AX265" i="11"/>
  <c r="AL265" i="11"/>
  <c r="AQ265" i="11"/>
  <c r="AU265" i="11"/>
  <c r="AI265" i="11"/>
  <c r="AH266" i="11"/>
  <c r="AJ266" i="11" s="1"/>
  <c r="L258" i="11"/>
  <c r="P258" i="11"/>
  <c r="O258" i="11"/>
  <c r="R258" i="11"/>
  <c r="Q258" i="11"/>
  <c r="N258" i="11"/>
  <c r="U258" i="11"/>
  <c r="X258" i="11"/>
  <c r="V258" i="11"/>
  <c r="W258" i="11"/>
  <c r="T258" i="11"/>
  <c r="I258" i="11"/>
  <c r="H259" i="11"/>
  <c r="J259" i="11" s="1"/>
  <c r="K258" i="11"/>
  <c r="AL266" i="11" l="1"/>
  <c r="AQ266" i="11"/>
  <c r="AV266" i="11"/>
  <c r="AO266" i="11"/>
  <c r="AH267" i="11"/>
  <c r="AJ267" i="11" s="1"/>
  <c r="AP266" i="11"/>
  <c r="AW266" i="11"/>
  <c r="AT266" i="11"/>
  <c r="AR266" i="11"/>
  <c r="AX266" i="11"/>
  <c r="AI266" i="11"/>
  <c r="AK266" i="11"/>
  <c r="AN266" i="11"/>
  <c r="AU266" i="11"/>
  <c r="L259" i="11"/>
  <c r="Q259" i="11"/>
  <c r="O259" i="11"/>
  <c r="P259" i="11"/>
  <c r="N259" i="11"/>
  <c r="R259" i="11"/>
  <c r="X259" i="11"/>
  <c r="U259" i="11"/>
  <c r="W259" i="11"/>
  <c r="T259" i="11"/>
  <c r="V259" i="11"/>
  <c r="H260" i="11"/>
  <c r="J260" i="11" s="1"/>
  <c r="K259" i="11"/>
  <c r="I259" i="11"/>
  <c r="AQ267" i="11" l="1"/>
  <c r="AO267" i="11"/>
  <c r="AV267" i="11"/>
  <c r="AK267" i="11"/>
  <c r="AU267" i="11"/>
  <c r="AP267" i="11"/>
  <c r="AW267" i="11"/>
  <c r="AI267" i="11"/>
  <c r="AN267" i="11"/>
  <c r="AT267" i="11"/>
  <c r="AX267" i="11"/>
  <c r="AL267" i="11"/>
  <c r="AR267" i="11"/>
  <c r="AH268" i="11"/>
  <c r="AJ268" i="11" s="1"/>
  <c r="L260" i="11"/>
  <c r="P260" i="11"/>
  <c r="Q260" i="11"/>
  <c r="O260" i="11"/>
  <c r="R260" i="11"/>
  <c r="N260" i="11"/>
  <c r="V260" i="11"/>
  <c r="W260" i="11"/>
  <c r="U260" i="11"/>
  <c r="X260" i="11"/>
  <c r="T260" i="11"/>
  <c r="H261" i="11"/>
  <c r="J261" i="11" s="1"/>
  <c r="K260" i="11"/>
  <c r="I260" i="11"/>
  <c r="AL268" i="11" l="1"/>
  <c r="AP268" i="11"/>
  <c r="AX268" i="11"/>
  <c r="AK268" i="11"/>
  <c r="AR268" i="11"/>
  <c r="AN268" i="11"/>
  <c r="AW268" i="11"/>
  <c r="AQ268" i="11"/>
  <c r="AV268" i="11"/>
  <c r="AU268" i="11"/>
  <c r="AH269" i="11"/>
  <c r="AJ269" i="11" s="1"/>
  <c r="AI268" i="11"/>
  <c r="AO268" i="11"/>
  <c r="AT268" i="11"/>
  <c r="L261" i="11"/>
  <c r="N261" i="11"/>
  <c r="Q261" i="11"/>
  <c r="P261" i="11"/>
  <c r="O261" i="11"/>
  <c r="R261" i="11"/>
  <c r="U261" i="11"/>
  <c r="W261" i="11"/>
  <c r="T261" i="11"/>
  <c r="X261" i="11"/>
  <c r="V261" i="11"/>
  <c r="H262" i="11"/>
  <c r="J262" i="11" s="1"/>
  <c r="I261" i="11"/>
  <c r="K261" i="11"/>
  <c r="AL269" i="11" l="1"/>
  <c r="AR269" i="11"/>
  <c r="AU269" i="11"/>
  <c r="AO269" i="11"/>
  <c r="AP269" i="11"/>
  <c r="AX269" i="11"/>
  <c r="AN269" i="11"/>
  <c r="AW269" i="11"/>
  <c r="AV269" i="11"/>
  <c r="AH270" i="11"/>
  <c r="AJ270" i="11" s="1"/>
  <c r="AQ269" i="11"/>
  <c r="AT269" i="11"/>
  <c r="AK269" i="11"/>
  <c r="AI269" i="11"/>
  <c r="L262" i="11"/>
  <c r="R262" i="11"/>
  <c r="N262" i="11"/>
  <c r="Q262" i="11"/>
  <c r="P262" i="11"/>
  <c r="O262" i="11"/>
  <c r="X262" i="11"/>
  <c r="T262" i="11"/>
  <c r="W262" i="11"/>
  <c r="U262" i="11"/>
  <c r="V262" i="11"/>
  <c r="K262" i="11"/>
  <c r="I262" i="11"/>
  <c r="H263" i="11"/>
  <c r="J263" i="11" s="1"/>
  <c r="AL270" i="11" l="1"/>
  <c r="AP270" i="11"/>
  <c r="AU270" i="11"/>
  <c r="AK270" i="11"/>
  <c r="AO270" i="11"/>
  <c r="AR270" i="11"/>
  <c r="AT270" i="11"/>
  <c r="AN270" i="11"/>
  <c r="AV270" i="11"/>
  <c r="AX270" i="11"/>
  <c r="AH271" i="11"/>
  <c r="AJ271" i="11" s="1"/>
  <c r="AQ270" i="11"/>
  <c r="AW270" i="11"/>
  <c r="AI270" i="11"/>
  <c r="L263" i="11"/>
  <c r="P263" i="11"/>
  <c r="O263" i="11"/>
  <c r="R263" i="11"/>
  <c r="N263" i="11"/>
  <c r="Q263" i="11"/>
  <c r="V263" i="11"/>
  <c r="U263" i="11"/>
  <c r="W263" i="11"/>
  <c r="T263" i="11"/>
  <c r="X263" i="11"/>
  <c r="H264" i="11"/>
  <c r="J264" i="11" s="1"/>
  <c r="K263" i="11"/>
  <c r="I263" i="11"/>
  <c r="AR271" i="11" l="1"/>
  <c r="AV271" i="11"/>
  <c r="AO271" i="11"/>
  <c r="AP271" i="11"/>
  <c r="AU271" i="11"/>
  <c r="AN271" i="11"/>
  <c r="AW271" i="11"/>
  <c r="AT271" i="11"/>
  <c r="AL271" i="11"/>
  <c r="AQ271" i="11"/>
  <c r="AX271" i="11"/>
  <c r="AI271" i="11"/>
  <c r="AK271" i="11"/>
  <c r="AH272" i="11"/>
  <c r="AJ272" i="11" s="1"/>
  <c r="L264" i="11"/>
  <c r="Q264" i="11"/>
  <c r="R264" i="11"/>
  <c r="P264" i="11"/>
  <c r="N264" i="11"/>
  <c r="O264" i="11"/>
  <c r="W264" i="11"/>
  <c r="T264" i="11"/>
  <c r="V264" i="11"/>
  <c r="X264" i="11"/>
  <c r="U264" i="11"/>
  <c r="I264" i="11"/>
  <c r="K264" i="11"/>
  <c r="H265" i="11"/>
  <c r="J265" i="11" s="1"/>
  <c r="AL272" i="11" l="1"/>
  <c r="AP272" i="11"/>
  <c r="AX272" i="11"/>
  <c r="AQ272" i="11"/>
  <c r="AO272" i="11"/>
  <c r="AV272" i="11"/>
  <c r="AU272" i="11"/>
  <c r="AI272" i="11"/>
  <c r="AR272" i="11"/>
  <c r="AT272" i="11"/>
  <c r="AH273" i="11"/>
  <c r="AJ273" i="11" s="1"/>
  <c r="AK272" i="11"/>
  <c r="AN272" i="11"/>
  <c r="AW272" i="11"/>
  <c r="L265" i="11"/>
  <c r="O265" i="11"/>
  <c r="Q265" i="11"/>
  <c r="P265" i="11"/>
  <c r="N265" i="11"/>
  <c r="R265" i="11"/>
  <c r="W265" i="11"/>
  <c r="X265" i="11"/>
  <c r="U265" i="11"/>
  <c r="V265" i="11"/>
  <c r="T265" i="11"/>
  <c r="H266" i="11"/>
  <c r="J266" i="11" s="1"/>
  <c r="I265" i="11"/>
  <c r="K265" i="11"/>
  <c r="AL273" i="11" l="1"/>
  <c r="AO273" i="11"/>
  <c r="AN273" i="11"/>
  <c r="AW273" i="11"/>
  <c r="AR273" i="11"/>
  <c r="AT273" i="11"/>
  <c r="AX273" i="11"/>
  <c r="AH274" i="11"/>
  <c r="AJ274" i="11" s="1"/>
  <c r="AQ273" i="11"/>
  <c r="AV273" i="11"/>
  <c r="AI273" i="11"/>
  <c r="AP273" i="11"/>
  <c r="AU273" i="11"/>
  <c r="AK273" i="11"/>
  <c r="L266" i="11"/>
  <c r="R266" i="11"/>
  <c r="N266" i="11"/>
  <c r="P266" i="11"/>
  <c r="Q266" i="11"/>
  <c r="O266" i="11"/>
  <c r="V266" i="11"/>
  <c r="U266" i="11"/>
  <c r="T266" i="11"/>
  <c r="X266" i="11"/>
  <c r="W266" i="11"/>
  <c r="K266" i="11"/>
  <c r="H267" i="11"/>
  <c r="J267" i="11" s="1"/>
  <c r="I266" i="11"/>
  <c r="AR274" i="11" l="1"/>
  <c r="AN274" i="11"/>
  <c r="AV274" i="11"/>
  <c r="AT274" i="11"/>
  <c r="AH275" i="11"/>
  <c r="AJ275" i="11" s="1"/>
  <c r="AP274" i="11"/>
  <c r="AW274" i="11"/>
  <c r="AI274" i="11"/>
  <c r="AL274" i="11"/>
  <c r="AO274" i="11"/>
  <c r="AU274" i="11"/>
  <c r="AK274" i="11"/>
  <c r="AQ274" i="11"/>
  <c r="AX274" i="11"/>
  <c r="L267" i="11"/>
  <c r="Q267" i="11"/>
  <c r="N267" i="11"/>
  <c r="R267" i="11"/>
  <c r="P267" i="11"/>
  <c r="O267" i="11"/>
  <c r="U267" i="11"/>
  <c r="W267" i="11"/>
  <c r="V267" i="11"/>
  <c r="T267" i="11"/>
  <c r="X267" i="11"/>
  <c r="I267" i="11"/>
  <c r="H268" i="11"/>
  <c r="J268" i="11" s="1"/>
  <c r="K267" i="11"/>
  <c r="AK275" i="11" l="1"/>
  <c r="AH276" i="11"/>
  <c r="AJ276" i="11" s="1"/>
  <c r="AQ275" i="11"/>
  <c r="AO275" i="11"/>
  <c r="AW275" i="11"/>
  <c r="AR275" i="11"/>
  <c r="AU275" i="11"/>
  <c r="AX275" i="11"/>
  <c r="AN275" i="11"/>
  <c r="AT275" i="11"/>
  <c r="AI275" i="11"/>
  <c r="AL275" i="11"/>
  <c r="AP275" i="11"/>
  <c r="AV275" i="11"/>
  <c r="L268" i="11"/>
  <c r="O268" i="11"/>
  <c r="R268" i="11"/>
  <c r="N268" i="11"/>
  <c r="Q268" i="11"/>
  <c r="P268" i="11"/>
  <c r="T268" i="11"/>
  <c r="W268" i="11"/>
  <c r="V268" i="11"/>
  <c r="X268" i="11"/>
  <c r="U268" i="11"/>
  <c r="H269" i="11"/>
  <c r="J269" i="11" s="1"/>
  <c r="I268" i="11"/>
  <c r="K268" i="11"/>
  <c r="AL276" i="11" l="1"/>
  <c r="AQ276" i="11"/>
  <c r="AT276" i="11"/>
  <c r="AN276" i="11"/>
  <c r="AP276" i="11"/>
  <c r="AV276" i="11"/>
  <c r="AH277" i="11"/>
  <c r="AJ277" i="11" s="1"/>
  <c r="AI276" i="11"/>
  <c r="AK276" i="11"/>
  <c r="AR276" i="11"/>
  <c r="AU276" i="11"/>
  <c r="AW276" i="11"/>
  <c r="AO276" i="11"/>
  <c r="AX276" i="11"/>
  <c r="L269" i="11"/>
  <c r="O269" i="11"/>
  <c r="P269" i="11"/>
  <c r="N269" i="11"/>
  <c r="Q269" i="11"/>
  <c r="R269" i="11"/>
  <c r="W269" i="11"/>
  <c r="T269" i="11"/>
  <c r="X269" i="11"/>
  <c r="V269" i="11"/>
  <c r="U269" i="11"/>
  <c r="K269" i="11"/>
  <c r="H270" i="11"/>
  <c r="J270" i="11" s="1"/>
  <c r="I269" i="11"/>
  <c r="AQ277" i="11" l="1"/>
  <c r="AO277" i="11"/>
  <c r="AW277" i="11"/>
  <c r="AN277" i="11"/>
  <c r="AT277" i="11"/>
  <c r="AU277" i="11"/>
  <c r="AR277" i="11"/>
  <c r="AV277" i="11"/>
  <c r="AH278" i="11"/>
  <c r="AJ278" i="11" s="1"/>
  <c r="AK277" i="11"/>
  <c r="AI277" i="11"/>
  <c r="AL277" i="11"/>
  <c r="AP277" i="11"/>
  <c r="AX277" i="11"/>
  <c r="L270" i="11"/>
  <c r="N270" i="11"/>
  <c r="P270" i="11"/>
  <c r="R270" i="11"/>
  <c r="Q270" i="11"/>
  <c r="O270" i="11"/>
  <c r="X270" i="11"/>
  <c r="W270" i="11"/>
  <c r="T270" i="11"/>
  <c r="V270" i="11"/>
  <c r="U270" i="11"/>
  <c r="H271" i="11"/>
  <c r="J271" i="11" s="1"/>
  <c r="K270" i="11"/>
  <c r="I270" i="11"/>
  <c r="AK278" i="11" l="1"/>
  <c r="AR278" i="11"/>
  <c r="AN278" i="11"/>
  <c r="AV278" i="11"/>
  <c r="AP278" i="11"/>
  <c r="AW278" i="11"/>
  <c r="AH279" i="11"/>
  <c r="AJ279" i="11" s="1"/>
  <c r="AU278" i="11"/>
  <c r="AO278" i="11"/>
  <c r="AX278" i="11"/>
  <c r="AI278" i="11"/>
  <c r="AL278" i="11"/>
  <c r="AQ278" i="11"/>
  <c r="AT278" i="11"/>
  <c r="L271" i="11"/>
  <c r="O271" i="11"/>
  <c r="R271" i="11"/>
  <c r="P271" i="11"/>
  <c r="N271" i="11"/>
  <c r="Q271" i="11"/>
  <c r="V271" i="11"/>
  <c r="U271" i="11"/>
  <c r="T271" i="11"/>
  <c r="W271" i="11"/>
  <c r="X271" i="11"/>
  <c r="K271" i="11"/>
  <c r="H272" i="11"/>
  <c r="J272" i="11" s="1"/>
  <c r="I271" i="11"/>
  <c r="AR279" i="11" l="1"/>
  <c r="AV279" i="11"/>
  <c r="AU279" i="11"/>
  <c r="AH280" i="11"/>
  <c r="AJ280" i="11" s="1"/>
  <c r="AI279" i="11"/>
  <c r="AO279" i="11"/>
  <c r="AP279" i="11"/>
  <c r="AW279" i="11"/>
  <c r="AQ279" i="11"/>
  <c r="AT279" i="11"/>
  <c r="AK279" i="11"/>
  <c r="AL279" i="11"/>
  <c r="AN279" i="11"/>
  <c r="AX279" i="11"/>
  <c r="L272" i="11"/>
  <c r="Q272" i="11"/>
  <c r="P272" i="11"/>
  <c r="R272" i="11"/>
  <c r="O272" i="11"/>
  <c r="N272" i="11"/>
  <c r="X272" i="11"/>
  <c r="V272" i="11"/>
  <c r="T272" i="11"/>
  <c r="W272" i="11"/>
  <c r="U272" i="11"/>
  <c r="H273" i="11"/>
  <c r="J273" i="11" s="1"/>
  <c r="K272" i="11"/>
  <c r="I272" i="11"/>
  <c r="AO280" i="11" l="1"/>
  <c r="AP280" i="11"/>
  <c r="AT280" i="11"/>
  <c r="AX280" i="11"/>
  <c r="AR280" i="11"/>
  <c r="AV280" i="11"/>
  <c r="AH281" i="11"/>
  <c r="AJ281" i="11" s="1"/>
  <c r="AL280" i="11"/>
  <c r="AQ280" i="11"/>
  <c r="AU280" i="11"/>
  <c r="AI280" i="11"/>
  <c r="AN280" i="11"/>
  <c r="AW280" i="11"/>
  <c r="AK280" i="11"/>
  <c r="L273" i="11"/>
  <c r="R273" i="11"/>
  <c r="Q273" i="11"/>
  <c r="P273" i="11"/>
  <c r="O273" i="11"/>
  <c r="N273" i="11"/>
  <c r="V273" i="11"/>
  <c r="U273" i="11"/>
  <c r="W273" i="11"/>
  <c r="X273" i="11"/>
  <c r="T273" i="11"/>
  <c r="K273" i="11"/>
  <c r="H274" i="11"/>
  <c r="J274" i="11" s="1"/>
  <c r="I273" i="11"/>
  <c r="AO281" i="11" l="1"/>
  <c r="AR281" i="11"/>
  <c r="AW281" i="11"/>
  <c r="AV281" i="11"/>
  <c r="AT281" i="11"/>
  <c r="AK281" i="11"/>
  <c r="AP281" i="11"/>
  <c r="AH282" i="11"/>
  <c r="AJ282" i="11" s="1"/>
  <c r="AQ281" i="11"/>
  <c r="AU281" i="11"/>
  <c r="AI281" i="11"/>
  <c r="AL281" i="11"/>
  <c r="AN281" i="11"/>
  <c r="AX281" i="11"/>
  <c r="L274" i="11"/>
  <c r="P274" i="11"/>
  <c r="Q274" i="11"/>
  <c r="R274" i="11"/>
  <c r="N274" i="11"/>
  <c r="O274" i="11"/>
  <c r="W274" i="11"/>
  <c r="U274" i="11"/>
  <c r="V274" i="11"/>
  <c r="X274" i="11"/>
  <c r="T274" i="11"/>
  <c r="H275" i="11"/>
  <c r="J275" i="11" s="1"/>
  <c r="I274" i="11"/>
  <c r="K274" i="11"/>
  <c r="AL282" i="11" l="1"/>
  <c r="AQ282" i="11"/>
  <c r="AV282" i="11"/>
  <c r="AO282" i="11"/>
  <c r="AN282" i="11"/>
  <c r="AX282" i="11"/>
  <c r="AU282" i="11"/>
  <c r="AR282" i="11"/>
  <c r="AW282" i="11"/>
  <c r="AH283" i="11"/>
  <c r="AJ283" i="11" s="1"/>
  <c r="AI282" i="11"/>
  <c r="AK282" i="11"/>
  <c r="AP282" i="11"/>
  <c r="AT282" i="11"/>
  <c r="L275" i="11"/>
  <c r="Q275" i="11"/>
  <c r="N275" i="11"/>
  <c r="O275" i="11"/>
  <c r="R275" i="11"/>
  <c r="P275" i="11"/>
  <c r="X275" i="11"/>
  <c r="T275" i="11"/>
  <c r="V275" i="11"/>
  <c r="W275" i="11"/>
  <c r="U275" i="11"/>
  <c r="K275" i="11"/>
  <c r="I275" i="11"/>
  <c r="H276" i="11"/>
  <c r="J276" i="11" s="1"/>
  <c r="AO283" i="11" l="1"/>
  <c r="AW283" i="11"/>
  <c r="AK283" i="11"/>
  <c r="AQ283" i="11"/>
  <c r="AR283" i="11"/>
  <c r="AX283" i="11"/>
  <c r="AN283" i="11"/>
  <c r="AV283" i="11"/>
  <c r="AT283" i="11"/>
  <c r="AH284" i="11"/>
  <c r="AJ284" i="11" s="1"/>
  <c r="AL283" i="11"/>
  <c r="AP283" i="11"/>
  <c r="AU283" i="11"/>
  <c r="AI283" i="11"/>
  <c r="L276" i="11"/>
  <c r="Q276" i="11"/>
  <c r="R276" i="11"/>
  <c r="N276" i="11"/>
  <c r="P276" i="11"/>
  <c r="O276" i="11"/>
  <c r="X276" i="11"/>
  <c r="V276" i="11"/>
  <c r="W276" i="11"/>
  <c r="U276" i="11"/>
  <c r="T276" i="11"/>
  <c r="I276" i="11"/>
  <c r="H277" i="11"/>
  <c r="J277" i="11" s="1"/>
  <c r="K276" i="11"/>
  <c r="AL284" i="11" l="1"/>
  <c r="AO284" i="11"/>
  <c r="AT284" i="11"/>
  <c r="AI284" i="11"/>
  <c r="AN284" i="11"/>
  <c r="AR284" i="11"/>
  <c r="AX284" i="11"/>
  <c r="AV284" i="11"/>
  <c r="AP284" i="11"/>
  <c r="AU284" i="11"/>
  <c r="AH285" i="11"/>
  <c r="AJ285" i="11" s="1"/>
  <c r="AQ284" i="11"/>
  <c r="AW284" i="11"/>
  <c r="AK284" i="11"/>
  <c r="L277" i="11"/>
  <c r="Q277" i="11"/>
  <c r="R277" i="11"/>
  <c r="N277" i="11"/>
  <c r="O277" i="11"/>
  <c r="P277" i="11"/>
  <c r="W277" i="11"/>
  <c r="U277" i="11"/>
  <c r="T277" i="11"/>
  <c r="V277" i="11"/>
  <c r="X277" i="11"/>
  <c r="K277" i="11"/>
  <c r="H278" i="11"/>
  <c r="J278" i="11" s="1"/>
  <c r="I277" i="11"/>
  <c r="AO285" i="11" l="1"/>
  <c r="AQ285" i="11"/>
  <c r="AV285" i="11"/>
  <c r="AX285" i="11"/>
  <c r="AW285" i="11"/>
  <c r="AR285" i="11"/>
  <c r="AK285" i="11"/>
  <c r="AP285" i="11"/>
  <c r="AH286" i="11"/>
  <c r="AJ286" i="11" s="1"/>
  <c r="AI285" i="11"/>
  <c r="AT285" i="11"/>
  <c r="AL285" i="11"/>
  <c r="AN285" i="11"/>
  <c r="AU285" i="11"/>
  <c r="L278" i="11"/>
  <c r="R278" i="11"/>
  <c r="N278" i="11"/>
  <c r="P278" i="11"/>
  <c r="Q278" i="11"/>
  <c r="O278" i="11"/>
  <c r="T278" i="11"/>
  <c r="V278" i="11"/>
  <c r="U278" i="11"/>
  <c r="X278" i="11"/>
  <c r="W278" i="11"/>
  <c r="H279" i="11"/>
  <c r="J279" i="11" s="1"/>
  <c r="I278" i="11"/>
  <c r="K278" i="11"/>
  <c r="AI286" i="11" l="1"/>
  <c r="AN286" i="11"/>
  <c r="AP286" i="11"/>
  <c r="AT286" i="11"/>
  <c r="AO286" i="11"/>
  <c r="AU286" i="11"/>
  <c r="AW286" i="11"/>
  <c r="AH287" i="11"/>
  <c r="AJ287" i="11" s="1"/>
  <c r="AQ286" i="11"/>
  <c r="AX286" i="11"/>
  <c r="AK286" i="11"/>
  <c r="AL286" i="11"/>
  <c r="AR286" i="11"/>
  <c r="AV286" i="11"/>
  <c r="L279" i="11"/>
  <c r="Q279" i="11"/>
  <c r="O279" i="11"/>
  <c r="N279" i="11"/>
  <c r="R279" i="11"/>
  <c r="P279" i="11"/>
  <c r="X279" i="11"/>
  <c r="T279" i="11"/>
  <c r="V279" i="11"/>
  <c r="W279" i="11"/>
  <c r="U279" i="11"/>
  <c r="K279" i="11"/>
  <c r="H280" i="11"/>
  <c r="J280" i="11" s="1"/>
  <c r="I279" i="11"/>
  <c r="AQ287" i="11" l="1"/>
  <c r="AO287" i="11"/>
  <c r="AX287" i="11"/>
  <c r="AP287" i="11"/>
  <c r="AU287" i="11"/>
  <c r="AH288" i="11"/>
  <c r="AJ288" i="11" s="1"/>
  <c r="AL287" i="11"/>
  <c r="AN287" i="11"/>
  <c r="AT287" i="11"/>
  <c r="AK287" i="11"/>
  <c r="AR287" i="11"/>
  <c r="AV287" i="11"/>
  <c r="AI287" i="11"/>
  <c r="AW287" i="11"/>
  <c r="L280" i="11"/>
  <c r="Q280" i="11"/>
  <c r="O280" i="11"/>
  <c r="N280" i="11"/>
  <c r="P280" i="11"/>
  <c r="R280" i="11"/>
  <c r="V280" i="11"/>
  <c r="T280" i="11"/>
  <c r="W280" i="11"/>
  <c r="X280" i="11"/>
  <c r="U280" i="11"/>
  <c r="I280" i="11"/>
  <c r="H281" i="11"/>
  <c r="J281" i="11" s="1"/>
  <c r="K280" i="11"/>
  <c r="AU288" i="11" l="1"/>
  <c r="AN288" i="11"/>
  <c r="AX288" i="11"/>
  <c r="AW288" i="11"/>
  <c r="AQ288" i="11"/>
  <c r="AT288" i="11"/>
  <c r="AP288" i="11"/>
  <c r="AK288" i="11"/>
  <c r="AH289" i="11"/>
  <c r="AJ289" i="11" s="1"/>
  <c r="AI288" i="11"/>
  <c r="AR288" i="11"/>
  <c r="AL288" i="11"/>
  <c r="AO288" i="11"/>
  <c r="AV288" i="11"/>
  <c r="L281" i="11"/>
  <c r="O281" i="11"/>
  <c r="N281" i="11"/>
  <c r="Q281" i="11"/>
  <c r="P281" i="11"/>
  <c r="R281" i="11"/>
  <c r="W281" i="11"/>
  <c r="T281" i="11"/>
  <c r="V281" i="11"/>
  <c r="X281" i="11"/>
  <c r="U281" i="11"/>
  <c r="I281" i="11"/>
  <c r="K281" i="11"/>
  <c r="H282" i="11"/>
  <c r="J282" i="11" s="1"/>
  <c r="AR289" i="11" l="1"/>
  <c r="AK289" i="11"/>
  <c r="AN289" i="11"/>
  <c r="AU289" i="11"/>
  <c r="AT289" i="11"/>
  <c r="AQ289" i="11"/>
  <c r="AV289" i="11"/>
  <c r="AH290" i="11"/>
  <c r="AJ290" i="11" s="1"/>
  <c r="AO289" i="11"/>
  <c r="AI289" i="11"/>
  <c r="AW289" i="11"/>
  <c r="AL289" i="11"/>
  <c r="AP289" i="11"/>
  <c r="AX289" i="11"/>
  <c r="L282" i="11"/>
  <c r="N282" i="11"/>
  <c r="R282" i="11"/>
  <c r="O282" i="11"/>
  <c r="Q282" i="11"/>
  <c r="P282" i="11"/>
  <c r="V282" i="11"/>
  <c r="X282" i="11"/>
  <c r="W282" i="11"/>
  <c r="U282" i="11"/>
  <c r="T282" i="11"/>
  <c r="H283" i="11"/>
  <c r="J283" i="11" s="1"/>
  <c r="I282" i="11"/>
  <c r="K282" i="11"/>
  <c r="AQ290" i="11" l="1"/>
  <c r="AH291" i="11"/>
  <c r="AJ291" i="11" s="1"/>
  <c r="AR290" i="11"/>
  <c r="AP290" i="11"/>
  <c r="AW290" i="11"/>
  <c r="AO290" i="11"/>
  <c r="AU290" i="11"/>
  <c r="AT290" i="11"/>
  <c r="AN290" i="11"/>
  <c r="AX290" i="11"/>
  <c r="AI290" i="11"/>
  <c r="AL290" i="11"/>
  <c r="AV290" i="11"/>
  <c r="AK290" i="11"/>
  <c r="L283" i="11"/>
  <c r="Q283" i="11"/>
  <c r="P283" i="11"/>
  <c r="O283" i="11"/>
  <c r="N283" i="11"/>
  <c r="R283" i="11"/>
  <c r="U283" i="11"/>
  <c r="W283" i="11"/>
  <c r="V283" i="11"/>
  <c r="X283" i="11"/>
  <c r="T283" i="11"/>
  <c r="K283" i="11"/>
  <c r="I283" i="11"/>
  <c r="H284" i="11"/>
  <c r="J284" i="11" s="1"/>
  <c r="AL291" i="11" l="1"/>
  <c r="AP291" i="11"/>
  <c r="AT291" i="11"/>
  <c r="AR291" i="11"/>
  <c r="AN291" i="11"/>
  <c r="AV291" i="11"/>
  <c r="AH292" i="11"/>
  <c r="AJ292" i="11" s="1"/>
  <c r="AI291" i="11"/>
  <c r="AK291" i="11"/>
  <c r="AQ291" i="11"/>
  <c r="AU291" i="11"/>
  <c r="AX291" i="11"/>
  <c r="AO291" i="11"/>
  <c r="AW291" i="11"/>
  <c r="L284" i="11"/>
  <c r="O284" i="11"/>
  <c r="N284" i="11"/>
  <c r="P284" i="11"/>
  <c r="Q284" i="11"/>
  <c r="R284" i="11"/>
  <c r="T284" i="11"/>
  <c r="X284" i="11"/>
  <c r="W284" i="11"/>
  <c r="U284" i="11"/>
  <c r="V284" i="11"/>
  <c r="H285" i="11"/>
  <c r="J285" i="11" s="1"/>
  <c r="K284" i="11"/>
  <c r="I284" i="11"/>
  <c r="AP292" i="11" l="1"/>
  <c r="AR292" i="11"/>
  <c r="AO292" i="11"/>
  <c r="AV292" i="11"/>
  <c r="AW292" i="11"/>
  <c r="AU292" i="11"/>
  <c r="AI292" i="11"/>
  <c r="AN292" i="11"/>
  <c r="AH293" i="11"/>
  <c r="AJ293" i="11" s="1"/>
  <c r="AQ292" i="11"/>
  <c r="AX292" i="11"/>
  <c r="AK292" i="11"/>
  <c r="AL292" i="11"/>
  <c r="AT292" i="11"/>
  <c r="L285" i="11"/>
  <c r="O285" i="11"/>
  <c r="N285" i="11"/>
  <c r="Q285" i="11"/>
  <c r="P285" i="11"/>
  <c r="R285" i="11"/>
  <c r="W285" i="11"/>
  <c r="U285" i="11"/>
  <c r="T285" i="11"/>
  <c r="V285" i="11"/>
  <c r="X285" i="11"/>
  <c r="K285" i="11"/>
  <c r="H286" i="11"/>
  <c r="J286" i="11" s="1"/>
  <c r="I285" i="11"/>
  <c r="AK293" i="11" l="1"/>
  <c r="AN293" i="11"/>
  <c r="AQ293" i="11"/>
  <c r="AX293" i="11"/>
  <c r="AO293" i="11"/>
  <c r="AV293" i="11"/>
  <c r="AT293" i="11"/>
  <c r="AH294" i="11"/>
  <c r="AJ294" i="11" s="1"/>
  <c r="AR293" i="11"/>
  <c r="AW293" i="11"/>
  <c r="AI293" i="11"/>
  <c r="AL293" i="11"/>
  <c r="AP293" i="11"/>
  <c r="AU293" i="11"/>
  <c r="L286" i="11"/>
  <c r="Q286" i="11"/>
  <c r="O286" i="11"/>
  <c r="N286" i="11"/>
  <c r="R286" i="11"/>
  <c r="P286" i="11"/>
  <c r="V286" i="11"/>
  <c r="T286" i="11"/>
  <c r="U286" i="11"/>
  <c r="W286" i="11"/>
  <c r="X286" i="11"/>
  <c r="I286" i="11"/>
  <c r="H287" i="11"/>
  <c r="J287" i="11" s="1"/>
  <c r="K286" i="11"/>
  <c r="AL294" i="11" l="1"/>
  <c r="AN294" i="11"/>
  <c r="AO294" i="11"/>
  <c r="AV294" i="11"/>
  <c r="AX294" i="11"/>
  <c r="AT294" i="11"/>
  <c r="AQ294" i="11"/>
  <c r="AR294" i="11"/>
  <c r="AH295" i="11"/>
  <c r="AJ295" i="11" s="1"/>
  <c r="AK294" i="11"/>
  <c r="AP294" i="11"/>
  <c r="AW294" i="11"/>
  <c r="AI294" i="11"/>
  <c r="AU294" i="11"/>
  <c r="L287" i="11"/>
  <c r="N287" i="11"/>
  <c r="O287" i="11"/>
  <c r="R287" i="11"/>
  <c r="Q287" i="11"/>
  <c r="P287" i="11"/>
  <c r="V287" i="11"/>
  <c r="X287" i="11"/>
  <c r="U287" i="11"/>
  <c r="W287" i="11"/>
  <c r="T287" i="11"/>
  <c r="K287" i="11"/>
  <c r="H288" i="11"/>
  <c r="J288" i="11" s="1"/>
  <c r="I287" i="11"/>
  <c r="AL295" i="11" l="1"/>
  <c r="AP295" i="11"/>
  <c r="AX295" i="11"/>
  <c r="AI295" i="11"/>
  <c r="AQ295" i="11"/>
  <c r="AN295" i="11"/>
  <c r="AV295" i="11"/>
  <c r="AR295" i="11"/>
  <c r="AW295" i="11"/>
  <c r="AT295" i="11"/>
  <c r="AO295" i="11"/>
  <c r="AU295" i="11"/>
  <c r="AK295" i="11"/>
  <c r="AH296" i="11"/>
  <c r="AJ296" i="11" s="1"/>
  <c r="L288" i="11"/>
  <c r="R288" i="11"/>
  <c r="N288" i="11"/>
  <c r="P288" i="11"/>
  <c r="Q288" i="11"/>
  <c r="O288" i="11"/>
  <c r="T288" i="11"/>
  <c r="V288" i="11"/>
  <c r="U288" i="11"/>
  <c r="W288" i="11"/>
  <c r="X288" i="11"/>
  <c r="I288" i="11"/>
  <c r="H289" i="11"/>
  <c r="J289" i="11" s="1"/>
  <c r="K288" i="11"/>
  <c r="AL296" i="11" l="1"/>
  <c r="AR296" i="11"/>
  <c r="AV296" i="11"/>
  <c r="AP296" i="11"/>
  <c r="AN296" i="11"/>
  <c r="AX296" i="11"/>
  <c r="AQ296" i="11"/>
  <c r="AW296" i="11"/>
  <c r="AU296" i="11"/>
  <c r="AH297" i="11"/>
  <c r="AJ297" i="11" s="1"/>
  <c r="AO296" i="11"/>
  <c r="AT296" i="11"/>
  <c r="AI296" i="11"/>
  <c r="AK296" i="11"/>
  <c r="L289" i="11"/>
  <c r="R289" i="11"/>
  <c r="O289" i="11"/>
  <c r="P289" i="11"/>
  <c r="Q289" i="11"/>
  <c r="N289" i="11"/>
  <c r="V289" i="11"/>
  <c r="X289" i="11"/>
  <c r="U289" i="11"/>
  <c r="W289" i="11"/>
  <c r="T289" i="11"/>
  <c r="I289" i="11"/>
  <c r="H290" i="11"/>
  <c r="J290" i="11" s="1"/>
  <c r="K289" i="11"/>
  <c r="AL297" i="11" l="1"/>
  <c r="AN297" i="11"/>
  <c r="AT297" i="11"/>
  <c r="AW297" i="11"/>
  <c r="AQ297" i="11"/>
  <c r="AR297" i="11"/>
  <c r="AV297" i="11"/>
  <c r="AH298" i="11"/>
  <c r="AJ298" i="11" s="1"/>
  <c r="AO297" i="11"/>
  <c r="AU297" i="11"/>
  <c r="AP297" i="11"/>
  <c r="AX297" i="11"/>
  <c r="AI297" i="11"/>
  <c r="AK297" i="11"/>
  <c r="L290" i="11"/>
  <c r="R290" i="11"/>
  <c r="O290" i="11"/>
  <c r="Q290" i="11"/>
  <c r="P290" i="11"/>
  <c r="N290" i="11"/>
  <c r="X290" i="11"/>
  <c r="V290" i="11"/>
  <c r="W290" i="11"/>
  <c r="T290" i="11"/>
  <c r="U290" i="11"/>
  <c r="K290" i="11"/>
  <c r="I290" i="11"/>
  <c r="H291" i="11"/>
  <c r="J291" i="11" s="1"/>
  <c r="AL298" i="11" l="1"/>
  <c r="AQ298" i="11"/>
  <c r="AV298" i="11"/>
  <c r="AP298" i="11"/>
  <c r="AN298" i="11"/>
  <c r="AX298" i="11"/>
  <c r="AH299" i="11"/>
  <c r="AJ299" i="11" s="1"/>
  <c r="AK298" i="11"/>
  <c r="AO298" i="11"/>
  <c r="AW298" i="11"/>
  <c r="AT298" i="11"/>
  <c r="AI298" i="11"/>
  <c r="AR298" i="11"/>
  <c r="AU298" i="11"/>
  <c r="L291" i="11"/>
  <c r="R291" i="11"/>
  <c r="Q291" i="11"/>
  <c r="P291" i="11"/>
  <c r="N291" i="11"/>
  <c r="O291" i="11"/>
  <c r="T291" i="11"/>
  <c r="V291" i="11"/>
  <c r="W291" i="11"/>
  <c r="X291" i="11"/>
  <c r="U291" i="11"/>
  <c r="I291" i="11"/>
  <c r="H292" i="11"/>
  <c r="J292" i="11" s="1"/>
  <c r="K291" i="11"/>
  <c r="AN299" i="11" l="1"/>
  <c r="AW299" i="11"/>
  <c r="AO299" i="11"/>
  <c r="AP299" i="11"/>
  <c r="AU299" i="11"/>
  <c r="AR299" i="11"/>
  <c r="AV299" i="11"/>
  <c r="AX299" i="11"/>
  <c r="AL299" i="11"/>
  <c r="AQ299" i="11"/>
  <c r="AT299" i="11"/>
  <c r="AK299" i="11"/>
  <c r="AI299" i="11"/>
  <c r="AH300" i="11"/>
  <c r="AJ300" i="11" s="1"/>
  <c r="L292" i="11"/>
  <c r="Q292" i="11"/>
  <c r="N292" i="11"/>
  <c r="R292" i="11"/>
  <c r="P292" i="11"/>
  <c r="O292" i="11"/>
  <c r="V292" i="11"/>
  <c r="W292" i="11"/>
  <c r="T292" i="11"/>
  <c r="U292" i="11"/>
  <c r="X292" i="11"/>
  <c r="K292" i="11"/>
  <c r="I292" i="11"/>
  <c r="H293" i="11"/>
  <c r="J293" i="11" s="1"/>
  <c r="AT300" i="11" l="1"/>
  <c r="AK300" i="11"/>
  <c r="AQ300" i="11"/>
  <c r="AN300" i="11"/>
  <c r="AU300" i="11"/>
  <c r="AO300" i="11"/>
  <c r="AX300" i="11"/>
  <c r="AV300" i="11"/>
  <c r="AH301" i="11"/>
  <c r="AJ301" i="11" s="1"/>
  <c r="AP300" i="11"/>
  <c r="AW300" i="11"/>
  <c r="AI300" i="11"/>
  <c r="AL300" i="11"/>
  <c r="AR300" i="11"/>
  <c r="L293" i="11"/>
  <c r="N293" i="11"/>
  <c r="O293" i="11"/>
  <c r="R293" i="11"/>
  <c r="P293" i="11"/>
  <c r="Q293" i="11"/>
  <c r="W293" i="11"/>
  <c r="U293" i="11"/>
  <c r="X293" i="11"/>
  <c r="T293" i="11"/>
  <c r="V293" i="11"/>
  <c r="I293" i="11"/>
  <c r="H294" i="11"/>
  <c r="J294" i="11" s="1"/>
  <c r="K293" i="11"/>
  <c r="AL301" i="11" l="1"/>
  <c r="AR301" i="11"/>
  <c r="AW301" i="11"/>
  <c r="AK301" i="11"/>
  <c r="AH302" i="11"/>
  <c r="AJ302" i="11" s="1"/>
  <c r="AO301" i="11"/>
  <c r="AP301" i="11"/>
  <c r="AT301" i="11"/>
  <c r="AQ301" i="11"/>
  <c r="AX301" i="11"/>
  <c r="AU301" i="11"/>
  <c r="AN301" i="11"/>
  <c r="AV301" i="11"/>
  <c r="AI301" i="11"/>
  <c r="L294" i="11"/>
  <c r="N294" i="11"/>
  <c r="Q294" i="11"/>
  <c r="R294" i="11"/>
  <c r="P294" i="11"/>
  <c r="O294" i="11"/>
  <c r="W294" i="11"/>
  <c r="U294" i="11"/>
  <c r="X294" i="11"/>
  <c r="V294" i="11"/>
  <c r="T294" i="11"/>
  <c r="K294" i="11"/>
  <c r="I294" i="11"/>
  <c r="H295" i="11"/>
  <c r="J295" i="11" s="1"/>
  <c r="AL302" i="11" l="1"/>
  <c r="AR302" i="11"/>
  <c r="AU302" i="11"/>
  <c r="AQ302" i="11"/>
  <c r="AN302" i="11"/>
  <c r="AV302" i="11"/>
  <c r="AI302" i="11"/>
  <c r="AP302" i="11"/>
  <c r="AX302" i="11"/>
  <c r="AT302" i="11"/>
  <c r="AH303" i="11"/>
  <c r="AJ303" i="11" s="1"/>
  <c r="AK302" i="11"/>
  <c r="AO302" i="11"/>
  <c r="AW302" i="11"/>
  <c r="L295" i="11"/>
  <c r="N295" i="11"/>
  <c r="Q295" i="11"/>
  <c r="R295" i="11"/>
  <c r="O295" i="11"/>
  <c r="P295" i="11"/>
  <c r="W295" i="11"/>
  <c r="U295" i="11"/>
  <c r="X295" i="11"/>
  <c r="V295" i="11"/>
  <c r="T295" i="11"/>
  <c r="I295" i="11"/>
  <c r="K295" i="11"/>
  <c r="H296" i="11"/>
  <c r="J296" i="11" s="1"/>
  <c r="AQ303" i="11" l="1"/>
  <c r="AT303" i="11"/>
  <c r="AO303" i="11"/>
  <c r="AN303" i="11"/>
  <c r="AX303" i="11"/>
  <c r="AH304" i="11"/>
  <c r="AJ304" i="11" s="1"/>
  <c r="AP303" i="11"/>
  <c r="AU303" i="11"/>
  <c r="AW303" i="11"/>
  <c r="AL303" i="11"/>
  <c r="AR303" i="11"/>
  <c r="AV303" i="11"/>
  <c r="AI303" i="11"/>
  <c r="AK303" i="11"/>
  <c r="L296" i="11"/>
  <c r="Q296" i="11"/>
  <c r="P296" i="11"/>
  <c r="O296" i="11"/>
  <c r="N296" i="11"/>
  <c r="R296" i="11"/>
  <c r="V296" i="11"/>
  <c r="X296" i="11"/>
  <c r="U296" i="11"/>
  <c r="W296" i="11"/>
  <c r="T296" i="11"/>
  <c r="K296" i="11"/>
  <c r="I296" i="11"/>
  <c r="H297" i="11"/>
  <c r="J297" i="11" s="1"/>
  <c r="AR304" i="11" l="1"/>
  <c r="AI304" i="11"/>
  <c r="AP304" i="11"/>
  <c r="AV304" i="11"/>
  <c r="AT304" i="11"/>
  <c r="AO304" i="11"/>
  <c r="AW304" i="11"/>
  <c r="AH305" i="11"/>
  <c r="AJ305" i="11" s="1"/>
  <c r="AL304" i="11"/>
  <c r="AN304" i="11"/>
  <c r="AU304" i="11"/>
  <c r="AK304" i="11"/>
  <c r="AQ304" i="11"/>
  <c r="AX304" i="11"/>
  <c r="L297" i="11"/>
  <c r="P297" i="11"/>
  <c r="N297" i="11"/>
  <c r="O297" i="11"/>
  <c r="Q297" i="11"/>
  <c r="R297" i="11"/>
  <c r="T297" i="11"/>
  <c r="X297" i="11"/>
  <c r="W297" i="11"/>
  <c r="V297" i="11"/>
  <c r="U297" i="11"/>
  <c r="K297" i="11"/>
  <c r="I297" i="11"/>
  <c r="H298" i="11"/>
  <c r="J298" i="11" s="1"/>
  <c r="AL305" i="11" l="1"/>
  <c r="AN305" i="11"/>
  <c r="AV305" i="11"/>
  <c r="AK305" i="11"/>
  <c r="AR305" i="11"/>
  <c r="AP305" i="11"/>
  <c r="AU305" i="11"/>
  <c r="AH306" i="11"/>
  <c r="AJ306" i="11" s="1"/>
  <c r="AI305" i="11"/>
  <c r="AQ305" i="11"/>
  <c r="AW305" i="11"/>
  <c r="AX305" i="11"/>
  <c r="AO305" i="11"/>
  <c r="AT305" i="11"/>
  <c r="L298" i="11"/>
  <c r="O298" i="11"/>
  <c r="R298" i="11"/>
  <c r="N298" i="11"/>
  <c r="P298" i="11"/>
  <c r="Q298" i="11"/>
  <c r="V298" i="11"/>
  <c r="W298" i="11"/>
  <c r="U298" i="11"/>
  <c r="X298" i="11"/>
  <c r="T298" i="11"/>
  <c r="K298" i="11"/>
  <c r="I298" i="11"/>
  <c r="H299" i="11"/>
  <c r="J299" i="11" s="1"/>
  <c r="AL306" i="11" l="1"/>
  <c r="AQ306" i="11"/>
  <c r="AW306" i="11"/>
  <c r="AO306" i="11"/>
  <c r="AP306" i="11"/>
  <c r="AT306" i="11"/>
  <c r="AI306" i="11"/>
  <c r="AR306" i="11"/>
  <c r="AU306" i="11"/>
  <c r="AX306" i="11"/>
  <c r="AH307" i="11"/>
  <c r="AJ307" i="11" s="1"/>
  <c r="AK306" i="11"/>
  <c r="AN306" i="11"/>
  <c r="AV306" i="11"/>
  <c r="L299" i="11"/>
  <c r="P299" i="11"/>
  <c r="O299" i="11"/>
  <c r="R299" i="11"/>
  <c r="N299" i="11"/>
  <c r="Q299" i="11"/>
  <c r="T299" i="11"/>
  <c r="U299" i="11"/>
  <c r="W299" i="11"/>
  <c r="X299" i="11"/>
  <c r="V299" i="11"/>
  <c r="I299" i="11"/>
  <c r="H300" i="11"/>
  <c r="J300" i="11" s="1"/>
  <c r="K299" i="11"/>
  <c r="AL307" i="11" l="1"/>
  <c r="AX307" i="11"/>
  <c r="AO307" i="11"/>
  <c r="AQ307" i="11"/>
  <c r="AW307" i="11"/>
  <c r="AU307" i="11"/>
  <c r="AV307" i="11"/>
  <c r="AK307" i="11"/>
  <c r="AN307" i="11"/>
  <c r="AH308" i="11"/>
  <c r="AJ308" i="11" s="1"/>
  <c r="AR307" i="11"/>
  <c r="AT307" i="11"/>
  <c r="AI307" i="11"/>
  <c r="AP307" i="11"/>
  <c r="L300" i="11"/>
  <c r="Q300" i="11"/>
  <c r="P300" i="11"/>
  <c r="R300" i="11"/>
  <c r="O300" i="11"/>
  <c r="N300" i="11"/>
  <c r="W300" i="11"/>
  <c r="T300" i="11"/>
  <c r="U300" i="11"/>
  <c r="X300" i="11"/>
  <c r="V300" i="11"/>
  <c r="K300" i="11"/>
  <c r="I300" i="11"/>
  <c r="H301" i="11"/>
  <c r="J301" i="11" s="1"/>
  <c r="AL308" i="11" l="1"/>
  <c r="AO308" i="11"/>
  <c r="AQ308" i="11"/>
  <c r="AN308" i="11"/>
  <c r="AT308" i="11"/>
  <c r="AR308" i="11"/>
  <c r="AU308" i="11"/>
  <c r="AW308" i="11"/>
  <c r="AP308" i="11"/>
  <c r="AV308" i="11"/>
  <c r="AK308" i="11"/>
  <c r="AX308" i="11"/>
  <c r="AI308" i="11"/>
  <c r="AH309" i="11"/>
  <c r="AJ309" i="11" s="1"/>
  <c r="L301" i="11"/>
  <c r="P301" i="11"/>
  <c r="Q301" i="11"/>
  <c r="O301" i="11"/>
  <c r="N301" i="11"/>
  <c r="R301" i="11"/>
  <c r="W301" i="11"/>
  <c r="T301" i="11"/>
  <c r="U301" i="11"/>
  <c r="X301" i="11"/>
  <c r="V301" i="11"/>
  <c r="I301" i="11"/>
  <c r="K301" i="11"/>
  <c r="H302" i="11"/>
  <c r="J302" i="11" s="1"/>
  <c r="AL309" i="11" l="1"/>
  <c r="AP309" i="11"/>
  <c r="AW309" i="11"/>
  <c r="AH310" i="11"/>
  <c r="AJ310" i="11" s="1"/>
  <c r="AO309" i="11"/>
  <c r="AR309" i="11"/>
  <c r="AX309" i="11"/>
  <c r="AQ309" i="11"/>
  <c r="AU309" i="11"/>
  <c r="AT309" i="11"/>
  <c r="AN309" i="11"/>
  <c r="AV309" i="11"/>
  <c r="AK309" i="11"/>
  <c r="AI309" i="11"/>
  <c r="L302" i="11"/>
  <c r="O302" i="11"/>
  <c r="Q302" i="11"/>
  <c r="R302" i="11"/>
  <c r="N302" i="11"/>
  <c r="P302" i="11"/>
  <c r="X302" i="11"/>
  <c r="W302" i="11"/>
  <c r="U302" i="11"/>
  <c r="V302" i="11"/>
  <c r="T302" i="11"/>
  <c r="K302" i="11"/>
  <c r="I302" i="11"/>
  <c r="H303" i="11"/>
  <c r="J303" i="11" s="1"/>
  <c r="AR310" i="11" l="1"/>
  <c r="AQ310" i="11"/>
  <c r="AW310" i="11"/>
  <c r="AN310" i="11"/>
  <c r="AO310" i="11"/>
  <c r="AU310" i="11"/>
  <c r="AT310" i="11"/>
  <c r="AL310" i="11"/>
  <c r="AP310" i="11"/>
  <c r="AX310" i="11"/>
  <c r="AI310" i="11"/>
  <c r="AK310" i="11"/>
  <c r="AV310" i="11"/>
  <c r="AH311" i="11"/>
  <c r="AJ311" i="11" s="1"/>
  <c r="L303" i="11"/>
  <c r="O303" i="11"/>
  <c r="N303" i="11"/>
  <c r="P303" i="11"/>
  <c r="Q303" i="11"/>
  <c r="R303" i="11"/>
  <c r="T303" i="11"/>
  <c r="U303" i="11"/>
  <c r="V303" i="11"/>
  <c r="X303" i="11"/>
  <c r="W303" i="11"/>
  <c r="H304" i="11"/>
  <c r="J304" i="11" s="1"/>
  <c r="I303" i="11"/>
  <c r="K303" i="11"/>
  <c r="AL311" i="11" l="1"/>
  <c r="AO311" i="11"/>
  <c r="AT311" i="11"/>
  <c r="AN311" i="11"/>
  <c r="AP311" i="11"/>
  <c r="AW311" i="11"/>
  <c r="AR311" i="11"/>
  <c r="AV311" i="11"/>
  <c r="AX311" i="11"/>
  <c r="AQ311" i="11"/>
  <c r="AU311" i="11"/>
  <c r="AI311" i="11"/>
  <c r="AK311" i="11"/>
  <c r="AH312" i="11"/>
  <c r="AJ312" i="11" s="1"/>
  <c r="L304" i="11"/>
  <c r="N304" i="11"/>
  <c r="R304" i="11"/>
  <c r="P304" i="11"/>
  <c r="O304" i="11"/>
  <c r="Q304" i="11"/>
  <c r="W304" i="11"/>
  <c r="U304" i="11"/>
  <c r="X304" i="11"/>
  <c r="T304" i="11"/>
  <c r="V304" i="11"/>
  <c r="K304" i="11"/>
  <c r="I304" i="11"/>
  <c r="H305" i="11"/>
  <c r="J305" i="11" s="1"/>
  <c r="AO312" i="11" l="1"/>
  <c r="AN312" i="11"/>
  <c r="AX312" i="11"/>
  <c r="AP312" i="11"/>
  <c r="AV312" i="11"/>
  <c r="AU312" i="11"/>
  <c r="AH313" i="11"/>
  <c r="AJ313" i="11" s="1"/>
  <c r="AQ312" i="11"/>
  <c r="AK312" i="11"/>
  <c r="AR312" i="11"/>
  <c r="AT312" i="11"/>
  <c r="AI312" i="11"/>
  <c r="AL312" i="11"/>
  <c r="AW312" i="11"/>
  <c r="L305" i="11"/>
  <c r="R305" i="11"/>
  <c r="P305" i="11"/>
  <c r="O305" i="11"/>
  <c r="Q305" i="11"/>
  <c r="N305" i="11"/>
  <c r="V305" i="11"/>
  <c r="U305" i="11"/>
  <c r="W305" i="11"/>
  <c r="T305" i="11"/>
  <c r="X305" i="11"/>
  <c r="H306" i="11"/>
  <c r="J306" i="11" s="1"/>
  <c r="I305" i="11"/>
  <c r="K305" i="11"/>
  <c r="AK313" i="11" l="1"/>
  <c r="AN313" i="11"/>
  <c r="AQ313" i="11"/>
  <c r="AT313" i="11"/>
  <c r="AX313" i="11"/>
  <c r="AW313" i="11"/>
  <c r="AH314" i="11"/>
  <c r="AJ314" i="11" s="1"/>
  <c r="AP313" i="11"/>
  <c r="AR313" i="11"/>
  <c r="AV313" i="11"/>
  <c r="AI313" i="11"/>
  <c r="AL313" i="11"/>
  <c r="AO313" i="11"/>
  <c r="AU313" i="11"/>
  <c r="L306" i="11"/>
  <c r="O306" i="11"/>
  <c r="N306" i="11"/>
  <c r="R306" i="11"/>
  <c r="Q306" i="11"/>
  <c r="P306" i="11"/>
  <c r="W306" i="11"/>
  <c r="T306" i="11"/>
  <c r="X306" i="11"/>
  <c r="V306" i="11"/>
  <c r="U306" i="11"/>
  <c r="H307" i="11"/>
  <c r="J307" i="11" s="1"/>
  <c r="I306" i="11"/>
  <c r="K306" i="11"/>
  <c r="AL314" i="11" l="1"/>
  <c r="AP314" i="11"/>
  <c r="AX314" i="11"/>
  <c r="AR314" i="11"/>
  <c r="AQ314" i="11"/>
  <c r="AU314" i="11"/>
  <c r="AV314" i="11"/>
  <c r="AT314" i="11"/>
  <c r="AI314" i="11"/>
  <c r="AK314" i="11"/>
  <c r="AO314" i="11"/>
  <c r="AH315" i="11"/>
  <c r="AJ315" i="11" s="1"/>
  <c r="AN314" i="11"/>
  <c r="AW314" i="11"/>
  <c r="L307" i="11"/>
  <c r="O307" i="11"/>
  <c r="Q307" i="11"/>
  <c r="R307" i="11"/>
  <c r="N307" i="11"/>
  <c r="P307" i="11"/>
  <c r="T307" i="11"/>
  <c r="X307" i="11"/>
  <c r="U307" i="11"/>
  <c r="V307" i="11"/>
  <c r="W307" i="11"/>
  <c r="K307" i="11"/>
  <c r="I307" i="11"/>
  <c r="H308" i="11"/>
  <c r="J308" i="11" s="1"/>
  <c r="AI315" i="11" l="1"/>
  <c r="AP315" i="11"/>
  <c r="AO315" i="11"/>
  <c r="AU315" i="11"/>
  <c r="AR315" i="11"/>
  <c r="AT315" i="11"/>
  <c r="AX315" i="11"/>
  <c r="AL315" i="11"/>
  <c r="AQ315" i="11"/>
  <c r="AV315" i="11"/>
  <c r="AK315" i="11"/>
  <c r="AN315" i="11"/>
  <c r="AW315" i="11"/>
  <c r="AH316" i="11"/>
  <c r="AJ316" i="11" s="1"/>
  <c r="L308" i="11"/>
  <c r="R308" i="11"/>
  <c r="Q308" i="11"/>
  <c r="N308" i="11"/>
  <c r="P308" i="11"/>
  <c r="O308" i="11"/>
  <c r="V308" i="11"/>
  <c r="X308" i="11"/>
  <c r="T308" i="11"/>
  <c r="U308" i="11"/>
  <c r="W308" i="11"/>
  <c r="H309" i="11"/>
  <c r="J309" i="11" s="1"/>
  <c r="K308" i="11"/>
  <c r="I308" i="11"/>
  <c r="AL316" i="11" l="1"/>
  <c r="AN316" i="11"/>
  <c r="AU316" i="11"/>
  <c r="AK316" i="11"/>
  <c r="AR316" i="11"/>
  <c r="AQ316" i="11"/>
  <c r="AX316" i="11"/>
  <c r="AV316" i="11"/>
  <c r="AT316" i="11"/>
  <c r="AP316" i="11"/>
  <c r="AH317" i="11"/>
  <c r="AJ317" i="11" s="1"/>
  <c r="AI316" i="11"/>
  <c r="AO316" i="11"/>
  <c r="AW316" i="11"/>
  <c r="L309" i="11"/>
  <c r="Q309" i="11"/>
  <c r="O309" i="11"/>
  <c r="R309" i="11"/>
  <c r="N309" i="11"/>
  <c r="P309" i="11"/>
  <c r="V309" i="11"/>
  <c r="W309" i="11"/>
  <c r="U309" i="11"/>
  <c r="X309" i="11"/>
  <c r="T309" i="11"/>
  <c r="I309" i="11"/>
  <c r="K309" i="11"/>
  <c r="H310" i="11"/>
  <c r="J310" i="11" s="1"/>
  <c r="AN317" i="11" l="1"/>
  <c r="AK317" i="11"/>
  <c r="AQ317" i="11"/>
  <c r="AR317" i="11"/>
  <c r="AT317" i="11"/>
  <c r="AX317" i="11"/>
  <c r="AW317" i="11"/>
  <c r="AP317" i="11"/>
  <c r="AH318" i="11"/>
  <c r="AJ318" i="11" s="1"/>
  <c r="AO317" i="11"/>
  <c r="AU317" i="11"/>
  <c r="AI317" i="11"/>
  <c r="AL317" i="11"/>
  <c r="AV317" i="11"/>
  <c r="L310" i="11"/>
  <c r="N310" i="11"/>
  <c r="R310" i="11"/>
  <c r="O310" i="11"/>
  <c r="Q310" i="11"/>
  <c r="P310" i="11"/>
  <c r="V310" i="11"/>
  <c r="U310" i="11"/>
  <c r="W310" i="11"/>
  <c r="T310" i="11"/>
  <c r="X310" i="11"/>
  <c r="I310" i="11"/>
  <c r="K310" i="11"/>
  <c r="H311" i="11"/>
  <c r="J311" i="11" s="1"/>
  <c r="AL318" i="11" l="1"/>
  <c r="AR318" i="11"/>
  <c r="AT318" i="11"/>
  <c r="AO318" i="11"/>
  <c r="AN318" i="11"/>
  <c r="AU318" i="11"/>
  <c r="AP318" i="11"/>
  <c r="AW318" i="11"/>
  <c r="AX318" i="11"/>
  <c r="AH319" i="11"/>
  <c r="AJ319" i="11" s="1"/>
  <c r="AQ318" i="11"/>
  <c r="AV318" i="11"/>
  <c r="AI318" i="11"/>
  <c r="AK318" i="11"/>
  <c r="L311" i="11"/>
  <c r="R311" i="11"/>
  <c r="N311" i="11"/>
  <c r="O311" i="11"/>
  <c r="P311" i="11"/>
  <c r="Q311" i="11"/>
  <c r="T311" i="11"/>
  <c r="V311" i="11"/>
  <c r="W311" i="11"/>
  <c r="U311" i="11"/>
  <c r="X311" i="11"/>
  <c r="I311" i="11"/>
  <c r="H312" i="11"/>
  <c r="J312" i="11" s="1"/>
  <c r="K311" i="11"/>
  <c r="AO319" i="11" l="1"/>
  <c r="AN319" i="11"/>
  <c r="AV319" i="11"/>
  <c r="AW319" i="11"/>
  <c r="AQ319" i="11"/>
  <c r="AX319" i="11"/>
  <c r="AH320" i="11"/>
  <c r="AJ320" i="11" s="1"/>
  <c r="AL319" i="11"/>
  <c r="AP319" i="11"/>
  <c r="AU319" i="11"/>
  <c r="AI319" i="11"/>
  <c r="AR319" i="11"/>
  <c r="AT319" i="11"/>
  <c r="AK319" i="11"/>
  <c r="L312" i="11"/>
  <c r="R312" i="11"/>
  <c r="O312" i="11"/>
  <c r="N312" i="11"/>
  <c r="Q312" i="11"/>
  <c r="P312" i="11"/>
  <c r="T312" i="11"/>
  <c r="W312" i="11"/>
  <c r="X312" i="11"/>
  <c r="U312" i="11"/>
  <c r="V312" i="11"/>
  <c r="H313" i="11"/>
  <c r="J313" i="11" s="1"/>
  <c r="K312" i="11"/>
  <c r="I312" i="11"/>
  <c r="AN320" i="11" l="1"/>
  <c r="AP320" i="11"/>
  <c r="AT320" i="11"/>
  <c r="AV320" i="11"/>
  <c r="AU320" i="11"/>
  <c r="AH321" i="11"/>
  <c r="AJ321" i="11" s="1"/>
  <c r="AL320" i="11"/>
  <c r="AO320" i="11"/>
  <c r="AX320" i="11"/>
  <c r="AI320" i="11"/>
  <c r="AR320" i="11"/>
  <c r="AW320" i="11"/>
  <c r="AK320" i="11"/>
  <c r="AQ320" i="11"/>
  <c r="L313" i="11"/>
  <c r="Q313" i="11"/>
  <c r="P313" i="11"/>
  <c r="N313" i="11"/>
  <c r="O313" i="11"/>
  <c r="R313" i="11"/>
  <c r="X313" i="11"/>
  <c r="V313" i="11"/>
  <c r="U313" i="11"/>
  <c r="T313" i="11"/>
  <c r="W313" i="11"/>
  <c r="I313" i="11"/>
  <c r="H314" i="11"/>
  <c r="J314" i="11" s="1"/>
  <c r="K313" i="11"/>
  <c r="AL321" i="11" l="1"/>
  <c r="AO321" i="11"/>
  <c r="AW321" i="11"/>
  <c r="AP321" i="11"/>
  <c r="AN321" i="11"/>
  <c r="AT321" i="11"/>
  <c r="AR321" i="11"/>
  <c r="AX321" i="11"/>
  <c r="AU321" i="11"/>
  <c r="AH322" i="11"/>
  <c r="AJ322" i="11" s="1"/>
  <c r="AI321" i="11"/>
  <c r="AK321" i="11"/>
  <c r="AQ321" i="11"/>
  <c r="AV321" i="11"/>
  <c r="L314" i="11"/>
  <c r="R314" i="11"/>
  <c r="O314" i="11"/>
  <c r="P314" i="11"/>
  <c r="Q314" i="11"/>
  <c r="N314" i="11"/>
  <c r="W314" i="11"/>
  <c r="X314" i="11"/>
  <c r="V314" i="11"/>
  <c r="U314" i="11"/>
  <c r="T314" i="11"/>
  <c r="H315" i="11"/>
  <c r="J315" i="11" s="1"/>
  <c r="K314" i="11"/>
  <c r="I314" i="11"/>
  <c r="AL322" i="11" l="1"/>
  <c r="AR322" i="11"/>
  <c r="AT322" i="11"/>
  <c r="AK322" i="11"/>
  <c r="AP322" i="11"/>
  <c r="AQ322" i="11"/>
  <c r="AW322" i="11"/>
  <c r="AH323" i="11"/>
  <c r="AJ323" i="11" s="1"/>
  <c r="AN322" i="11"/>
  <c r="AV322" i="11"/>
  <c r="AX322" i="11"/>
  <c r="AI322" i="11"/>
  <c r="AO322" i="11"/>
  <c r="AU322" i="11"/>
  <c r="L315" i="11"/>
  <c r="O315" i="11"/>
  <c r="P315" i="11"/>
  <c r="R315" i="11"/>
  <c r="Q315" i="11"/>
  <c r="N315" i="11"/>
  <c r="T315" i="11"/>
  <c r="V315" i="11"/>
  <c r="W315" i="11"/>
  <c r="U315" i="11"/>
  <c r="X315" i="11"/>
  <c r="K315" i="11"/>
  <c r="H316" i="11"/>
  <c r="J316" i="11" s="1"/>
  <c r="I315" i="11"/>
  <c r="AO323" i="11" l="1"/>
  <c r="AR323" i="11"/>
  <c r="AT323" i="11"/>
  <c r="AQ323" i="11"/>
  <c r="AV323" i="11"/>
  <c r="AH324" i="11"/>
  <c r="AJ324" i="11" s="1"/>
  <c r="AL323" i="11"/>
  <c r="AN323" i="11"/>
  <c r="AW323" i="11"/>
  <c r="AK323" i="11"/>
  <c r="AP323" i="11"/>
  <c r="AX323" i="11"/>
  <c r="AI323" i="11"/>
  <c r="AU323" i="11"/>
  <c r="L316" i="11"/>
  <c r="R316" i="11"/>
  <c r="O316" i="11"/>
  <c r="N316" i="11"/>
  <c r="P316" i="11"/>
  <c r="Q316" i="11"/>
  <c r="X316" i="11"/>
  <c r="U316" i="11"/>
  <c r="V316" i="11"/>
  <c r="W316" i="11"/>
  <c r="T316" i="11"/>
  <c r="I316" i="11"/>
  <c r="H317" i="11"/>
  <c r="J317" i="11" s="1"/>
  <c r="K316" i="11"/>
  <c r="AL324" i="11" l="1"/>
  <c r="AO324" i="11"/>
  <c r="AW324" i="11"/>
  <c r="AR324" i="11"/>
  <c r="AN324" i="11"/>
  <c r="AT324" i="11"/>
  <c r="AP324" i="11"/>
  <c r="AV324" i="11"/>
  <c r="AU324" i="11"/>
  <c r="AH325" i="11"/>
  <c r="AJ325" i="11" s="1"/>
  <c r="AQ324" i="11"/>
  <c r="AX324" i="11"/>
  <c r="AI324" i="11"/>
  <c r="AK324" i="11"/>
  <c r="L317" i="11"/>
  <c r="Q317" i="11"/>
  <c r="P317" i="11"/>
  <c r="N317" i="11"/>
  <c r="O317" i="11"/>
  <c r="R317" i="11"/>
  <c r="X317" i="11"/>
  <c r="U317" i="11"/>
  <c r="V317" i="11"/>
  <c r="T317" i="11"/>
  <c r="W317" i="11"/>
  <c r="H318" i="11"/>
  <c r="J318" i="11" s="1"/>
  <c r="K317" i="11"/>
  <c r="I317" i="11"/>
  <c r="AL325" i="11" l="1"/>
  <c r="AN325" i="11"/>
  <c r="AW325" i="11"/>
  <c r="AK325" i="11"/>
  <c r="AP325" i="11"/>
  <c r="AO325" i="11"/>
  <c r="AX325" i="11"/>
  <c r="AR325" i="11"/>
  <c r="AV325" i="11"/>
  <c r="AT325" i="11"/>
  <c r="AH326" i="11"/>
  <c r="AJ326" i="11" s="1"/>
  <c r="AI325" i="11"/>
  <c r="AQ325" i="11"/>
  <c r="AU325" i="11"/>
  <c r="L318" i="11"/>
  <c r="Q318" i="11"/>
  <c r="O318" i="11"/>
  <c r="R318" i="11"/>
  <c r="N318" i="11"/>
  <c r="P318" i="11"/>
  <c r="W318" i="11"/>
  <c r="V318" i="11"/>
  <c r="T318" i="11"/>
  <c r="U318" i="11"/>
  <c r="X318" i="11"/>
  <c r="K318" i="11"/>
  <c r="H319" i="11"/>
  <c r="J319" i="11" s="1"/>
  <c r="I318" i="11"/>
  <c r="AL326" i="11" l="1"/>
  <c r="AQ326" i="11"/>
  <c r="AV326" i="11"/>
  <c r="AR326" i="11"/>
  <c r="AP326" i="11"/>
  <c r="AU326" i="11"/>
  <c r="AO326" i="11"/>
  <c r="AW326" i="11"/>
  <c r="AT326" i="11"/>
  <c r="AH327" i="11"/>
  <c r="AJ327" i="11" s="1"/>
  <c r="AI326" i="11"/>
  <c r="AK326" i="11"/>
  <c r="AN326" i="11"/>
  <c r="AX326" i="11"/>
  <c r="L319" i="11"/>
  <c r="N319" i="11"/>
  <c r="O319" i="11"/>
  <c r="P319" i="11"/>
  <c r="Q319" i="11"/>
  <c r="R319" i="11"/>
  <c r="U319" i="11"/>
  <c r="T319" i="11"/>
  <c r="V319" i="11"/>
  <c r="W319" i="11"/>
  <c r="X319" i="11"/>
  <c r="K319" i="11"/>
  <c r="H320" i="11"/>
  <c r="J320" i="11" s="1"/>
  <c r="I319" i="11"/>
  <c r="AO327" i="11" l="1"/>
  <c r="AT327" i="11"/>
  <c r="AU327" i="11"/>
  <c r="AH328" i="11"/>
  <c r="AJ328" i="11" s="1"/>
  <c r="AL327" i="11"/>
  <c r="AV327" i="11"/>
  <c r="AN327" i="11"/>
  <c r="AW327" i="11"/>
  <c r="AI327" i="11"/>
  <c r="AQ327" i="11"/>
  <c r="AK327" i="11"/>
  <c r="AR327" i="11"/>
  <c r="AP327" i="11"/>
  <c r="AX327" i="11"/>
  <c r="L320" i="11"/>
  <c r="Q320" i="11"/>
  <c r="N320" i="11"/>
  <c r="P320" i="11"/>
  <c r="O320" i="11"/>
  <c r="R320" i="11"/>
  <c r="U320" i="11"/>
  <c r="X320" i="11"/>
  <c r="W320" i="11"/>
  <c r="T320" i="11"/>
  <c r="V320" i="11"/>
  <c r="H321" i="11"/>
  <c r="J321" i="11" s="1"/>
  <c r="K320" i="11"/>
  <c r="I320" i="11"/>
  <c r="AO328" i="11" l="1"/>
  <c r="AT328" i="11"/>
  <c r="AX328" i="11"/>
  <c r="AH329" i="11"/>
  <c r="AJ329" i="11" s="1"/>
  <c r="AL328" i="11"/>
  <c r="AU328" i="11"/>
  <c r="AR328" i="11"/>
  <c r="AW328" i="11"/>
  <c r="AI328" i="11"/>
  <c r="AP328" i="11"/>
  <c r="AK328" i="11"/>
  <c r="AQ328" i="11"/>
  <c r="AN328" i="11"/>
  <c r="AV328" i="11"/>
  <c r="L321" i="11"/>
  <c r="O321" i="11"/>
  <c r="Q321" i="11"/>
  <c r="P321" i="11"/>
  <c r="R321" i="11"/>
  <c r="N321" i="11"/>
  <c r="W321" i="11"/>
  <c r="T321" i="11"/>
  <c r="X321" i="11"/>
  <c r="U321" i="11"/>
  <c r="V321" i="11"/>
  <c r="I321" i="11"/>
  <c r="H322" i="11"/>
  <c r="J322" i="11" s="1"/>
  <c r="K321" i="11"/>
  <c r="AL329" i="11" l="1"/>
  <c r="AR329" i="11"/>
  <c r="AU329" i="11"/>
  <c r="AQ329" i="11"/>
  <c r="AO329" i="11"/>
  <c r="AW329" i="11"/>
  <c r="AH330" i="11"/>
  <c r="AJ330" i="11" s="1"/>
  <c r="AK329" i="11"/>
  <c r="AN329" i="11"/>
  <c r="AV329" i="11"/>
  <c r="AT329" i="11"/>
  <c r="AP329" i="11"/>
  <c r="AX329" i="11"/>
  <c r="AI329" i="11"/>
  <c r="L322" i="11"/>
  <c r="O322" i="11"/>
  <c r="Q322" i="11"/>
  <c r="N322" i="11"/>
  <c r="P322" i="11"/>
  <c r="R322" i="11"/>
  <c r="U322" i="11"/>
  <c r="T322" i="11"/>
  <c r="X322" i="11"/>
  <c r="V322" i="11"/>
  <c r="W322" i="11"/>
  <c r="H323" i="11"/>
  <c r="J323" i="11" s="1"/>
  <c r="K322" i="11"/>
  <c r="I322" i="11"/>
  <c r="AX330" i="11" l="1"/>
  <c r="AN330" i="11"/>
  <c r="AP330" i="11"/>
  <c r="AU330" i="11"/>
  <c r="AW330" i="11"/>
  <c r="AT330" i="11"/>
  <c r="AH331" i="11"/>
  <c r="AJ331" i="11" s="1"/>
  <c r="AO330" i="11"/>
  <c r="AQ330" i="11"/>
  <c r="AV330" i="11"/>
  <c r="AI330" i="11"/>
  <c r="AL330" i="11"/>
  <c r="AR330" i="11"/>
  <c r="AK330" i="11"/>
  <c r="L323" i="11"/>
  <c r="O323" i="11"/>
  <c r="N323" i="11"/>
  <c r="R323" i="11"/>
  <c r="P323" i="11"/>
  <c r="Q323" i="11"/>
  <c r="V323" i="11"/>
  <c r="W323" i="11"/>
  <c r="X323" i="11"/>
  <c r="U323" i="11"/>
  <c r="T323" i="11"/>
  <c r="K323" i="11"/>
  <c r="H324" i="11"/>
  <c r="J324" i="11" s="1"/>
  <c r="I323" i="11"/>
  <c r="AN331" i="11" l="1"/>
  <c r="AR331" i="11"/>
  <c r="AT331" i="11"/>
  <c r="AO331" i="11"/>
  <c r="AV331" i="11"/>
  <c r="AH332" i="11"/>
  <c r="AJ332" i="11" s="1"/>
  <c r="AU331" i="11"/>
  <c r="AL331" i="11"/>
  <c r="AQ331" i="11"/>
  <c r="AX331" i="11"/>
  <c r="AI331" i="11"/>
  <c r="AP331" i="11"/>
  <c r="AW331" i="11"/>
  <c r="AK331" i="11"/>
  <c r="L324" i="11"/>
  <c r="R324" i="11"/>
  <c r="P324" i="11"/>
  <c r="Q324" i="11"/>
  <c r="N324" i="11"/>
  <c r="O324" i="11"/>
  <c r="X324" i="11"/>
  <c r="W324" i="11"/>
  <c r="T324" i="11"/>
  <c r="U324" i="11"/>
  <c r="V324" i="11"/>
  <c r="H325" i="11"/>
  <c r="J325" i="11" s="1"/>
  <c r="K324" i="11"/>
  <c r="I324" i="11"/>
  <c r="AL332" i="11" l="1"/>
  <c r="AN332" i="11"/>
  <c r="AV332" i="11"/>
  <c r="AK332" i="11"/>
  <c r="AP332" i="11"/>
  <c r="AO332" i="11"/>
  <c r="AX332" i="11"/>
  <c r="AR332" i="11"/>
  <c r="AT332" i="11"/>
  <c r="AU332" i="11"/>
  <c r="AH333" i="11"/>
  <c r="AJ333" i="11" s="1"/>
  <c r="AQ332" i="11"/>
  <c r="AW332" i="11"/>
  <c r="AI332" i="11"/>
  <c r="L325" i="11"/>
  <c r="N325" i="11"/>
  <c r="Q325" i="11"/>
  <c r="R325" i="11"/>
  <c r="P325" i="11"/>
  <c r="O325" i="11"/>
  <c r="W325" i="11"/>
  <c r="X325" i="11"/>
  <c r="V325" i="11"/>
  <c r="U325" i="11"/>
  <c r="T325" i="11"/>
  <c r="K325" i="11"/>
  <c r="I325" i="11"/>
  <c r="H326" i="11"/>
  <c r="J326" i="11" s="1"/>
  <c r="AL333" i="11" l="1"/>
  <c r="AN333" i="11"/>
  <c r="AW333" i="11"/>
  <c r="AP333" i="11"/>
  <c r="AR333" i="11"/>
  <c r="AV333" i="11"/>
  <c r="AQ333" i="11"/>
  <c r="AX333" i="11"/>
  <c r="AU333" i="11"/>
  <c r="AH334" i="11"/>
  <c r="AJ334" i="11" s="1"/>
  <c r="AI333" i="11"/>
  <c r="AK333" i="11"/>
  <c r="AO333" i="11"/>
  <c r="AT333" i="11"/>
  <c r="L326" i="11"/>
  <c r="R326" i="11"/>
  <c r="N326" i="11"/>
  <c r="O326" i="11"/>
  <c r="P326" i="11"/>
  <c r="Q326" i="11"/>
  <c r="U326" i="11"/>
  <c r="T326" i="11"/>
  <c r="X326" i="11"/>
  <c r="W326" i="11"/>
  <c r="V326" i="11"/>
  <c r="H327" i="11"/>
  <c r="J327" i="11" s="1"/>
  <c r="K326" i="11"/>
  <c r="I326" i="11"/>
  <c r="AT334" i="11" l="1"/>
  <c r="AK334" i="11"/>
  <c r="AN334" i="11"/>
  <c r="AW334" i="11"/>
  <c r="AX334" i="11"/>
  <c r="AR334" i="11"/>
  <c r="AU334" i="11"/>
  <c r="AH335" i="11"/>
  <c r="AJ335" i="11" s="1"/>
  <c r="AL334" i="11"/>
  <c r="AO334" i="11"/>
  <c r="AV334" i="11"/>
  <c r="AI334" i="11"/>
  <c r="AQ334" i="11"/>
  <c r="AP334" i="11"/>
  <c r="L327" i="11"/>
  <c r="O327" i="11"/>
  <c r="N327" i="11"/>
  <c r="Q327" i="11"/>
  <c r="R327" i="11"/>
  <c r="P327" i="11"/>
  <c r="V327" i="11"/>
  <c r="X327" i="11"/>
  <c r="W327" i="11"/>
  <c r="U327" i="11"/>
  <c r="T327" i="11"/>
  <c r="H328" i="11"/>
  <c r="J328" i="11" s="1"/>
  <c r="K327" i="11"/>
  <c r="I327" i="11"/>
  <c r="AN335" i="11" l="1"/>
  <c r="AX335" i="11"/>
  <c r="AK335" i="11"/>
  <c r="AH336" i="11"/>
  <c r="AJ336" i="11" s="1"/>
  <c r="AQ335" i="11"/>
  <c r="AP335" i="11"/>
  <c r="AU335" i="11"/>
  <c r="AO335" i="11"/>
  <c r="AW335" i="11"/>
  <c r="AV335" i="11"/>
  <c r="AI335" i="11"/>
  <c r="AL335" i="11"/>
  <c r="AR335" i="11"/>
  <c r="AT335" i="11"/>
  <c r="L328" i="11"/>
  <c r="N328" i="11"/>
  <c r="O328" i="11"/>
  <c r="R328" i="11"/>
  <c r="Q328" i="11"/>
  <c r="P328" i="11"/>
  <c r="V328" i="11"/>
  <c r="X328" i="11"/>
  <c r="T328" i="11"/>
  <c r="W328" i="11"/>
  <c r="U328" i="11"/>
  <c r="K328" i="11"/>
  <c r="H329" i="11"/>
  <c r="J329" i="11" s="1"/>
  <c r="I328" i="11"/>
  <c r="AV336" i="11" l="1"/>
  <c r="AI336" i="11"/>
  <c r="AP336" i="11"/>
  <c r="AO336" i="11"/>
  <c r="AW336" i="11"/>
  <c r="AQ336" i="11"/>
  <c r="AT336" i="11"/>
  <c r="AU336" i="11"/>
  <c r="AH337" i="11"/>
  <c r="AJ337" i="11" s="1"/>
  <c r="AN336" i="11"/>
  <c r="AX336" i="11"/>
  <c r="AK336" i="11"/>
  <c r="AL336" i="11"/>
  <c r="AR336" i="11"/>
  <c r="L329" i="11"/>
  <c r="N329" i="11"/>
  <c r="O329" i="11"/>
  <c r="Q329" i="11"/>
  <c r="R329" i="11"/>
  <c r="P329" i="11"/>
  <c r="X329" i="11"/>
  <c r="U329" i="11"/>
  <c r="W329" i="11"/>
  <c r="T329" i="11"/>
  <c r="V329" i="11"/>
  <c r="K329" i="11"/>
  <c r="I329" i="11"/>
  <c r="H330" i="11"/>
  <c r="J330" i="11" s="1"/>
  <c r="AP337" i="11" l="1"/>
  <c r="AN337" i="11"/>
  <c r="AT337" i="11"/>
  <c r="AK337" i="11"/>
  <c r="AU337" i="11"/>
  <c r="AR337" i="11"/>
  <c r="AW337" i="11"/>
  <c r="AV337" i="11"/>
  <c r="AO337" i="11"/>
  <c r="AL337" i="11"/>
  <c r="AQ337" i="11"/>
  <c r="AX337" i="11"/>
  <c r="AI337" i="11"/>
  <c r="AH338" i="11"/>
  <c r="AJ338" i="11" s="1"/>
  <c r="L330" i="11"/>
  <c r="O330" i="11"/>
  <c r="N330" i="11"/>
  <c r="P330" i="11"/>
  <c r="R330" i="11"/>
  <c r="Q330" i="11"/>
  <c r="U330" i="11"/>
  <c r="T330" i="11"/>
  <c r="V330" i="11"/>
  <c r="W330" i="11"/>
  <c r="X330" i="11"/>
  <c r="H331" i="11"/>
  <c r="J331" i="11" s="1"/>
  <c r="I330" i="11"/>
  <c r="K330" i="11"/>
  <c r="AU338" i="11" l="1"/>
  <c r="AP338" i="11"/>
  <c r="AR338" i="11"/>
  <c r="AV338" i="11"/>
  <c r="AO338" i="11"/>
  <c r="AW338" i="11"/>
  <c r="AX338" i="11"/>
  <c r="AQ338" i="11"/>
  <c r="AT338" i="11"/>
  <c r="AI338" i="11"/>
  <c r="AL338" i="11"/>
  <c r="AN338" i="11"/>
  <c r="AK338" i="11"/>
  <c r="AH339" i="11"/>
  <c r="AJ339" i="11" s="1"/>
  <c r="L331" i="11"/>
  <c r="P331" i="11"/>
  <c r="Q331" i="11"/>
  <c r="R331" i="11"/>
  <c r="O331" i="11"/>
  <c r="N331" i="11"/>
  <c r="W331" i="11"/>
  <c r="U331" i="11"/>
  <c r="T331" i="11"/>
  <c r="X331" i="11"/>
  <c r="V331" i="11"/>
  <c r="K331" i="11"/>
  <c r="I331" i="11"/>
  <c r="H332" i="11"/>
  <c r="J332" i="11" s="1"/>
  <c r="AL339" i="11" l="1"/>
  <c r="AO339" i="11"/>
  <c r="AW339" i="11"/>
  <c r="AN339" i="11"/>
  <c r="AR339" i="11"/>
  <c r="AV339" i="11"/>
  <c r="AQ339" i="11"/>
  <c r="AX339" i="11"/>
  <c r="AH340" i="11"/>
  <c r="AJ340" i="11" s="1"/>
  <c r="AP339" i="11"/>
  <c r="AU339" i="11"/>
  <c r="AI339" i="11"/>
  <c r="AK339" i="11"/>
  <c r="AT339" i="11"/>
  <c r="L332" i="11"/>
  <c r="P332" i="11"/>
  <c r="R332" i="11"/>
  <c r="O332" i="11"/>
  <c r="Q332" i="11"/>
  <c r="N332" i="11"/>
  <c r="W332" i="11"/>
  <c r="V332" i="11"/>
  <c r="T332" i="11"/>
  <c r="X332" i="11"/>
  <c r="U332" i="11"/>
  <c r="I332" i="11"/>
  <c r="H333" i="11"/>
  <c r="J333" i="11" s="1"/>
  <c r="K332" i="11"/>
  <c r="AQ340" i="11" l="1"/>
  <c r="AI340" i="11"/>
  <c r="AP340" i="11"/>
  <c r="AV340" i="11"/>
  <c r="AT340" i="11"/>
  <c r="AW340" i="11"/>
  <c r="AL340" i="11"/>
  <c r="AN340" i="11"/>
  <c r="AU340" i="11"/>
  <c r="AK340" i="11"/>
  <c r="AR340" i="11"/>
  <c r="AX340" i="11"/>
  <c r="AO340" i="11"/>
  <c r="AH341" i="11"/>
  <c r="AJ341" i="11" s="1"/>
  <c r="L333" i="11"/>
  <c r="O333" i="11"/>
  <c r="P333" i="11"/>
  <c r="R333" i="11"/>
  <c r="N333" i="11"/>
  <c r="Q333" i="11"/>
  <c r="V333" i="11"/>
  <c r="T333" i="11"/>
  <c r="W333" i="11"/>
  <c r="U333" i="11"/>
  <c r="X333" i="11"/>
  <c r="H334" i="11"/>
  <c r="J334" i="11" s="1"/>
  <c r="K333" i="11"/>
  <c r="I333" i="11"/>
  <c r="AP341" i="11" l="1"/>
  <c r="AO341" i="11"/>
  <c r="AX341" i="11"/>
  <c r="AN341" i="11"/>
  <c r="AU341" i="11"/>
  <c r="AW341" i="11"/>
  <c r="AR341" i="11"/>
  <c r="AV341" i="11"/>
  <c r="AH342" i="11"/>
  <c r="AJ342" i="11" s="1"/>
  <c r="AL341" i="11"/>
  <c r="AQ341" i="11"/>
  <c r="AT341" i="11"/>
  <c r="AI341" i="11"/>
  <c r="AK341" i="11"/>
  <c r="L334" i="11"/>
  <c r="R334" i="11"/>
  <c r="Q334" i="11"/>
  <c r="P334" i="11"/>
  <c r="N334" i="11"/>
  <c r="O334" i="11"/>
  <c r="X334" i="11"/>
  <c r="T334" i="11"/>
  <c r="W334" i="11"/>
  <c r="V334" i="11"/>
  <c r="U334" i="11"/>
  <c r="K334" i="11"/>
  <c r="H335" i="11"/>
  <c r="J335" i="11" s="1"/>
  <c r="I334" i="11"/>
  <c r="AL342" i="11" l="1"/>
  <c r="AK342" i="11"/>
  <c r="AN342" i="11"/>
  <c r="AO342" i="11"/>
  <c r="AU342" i="11"/>
  <c r="AR342" i="11"/>
  <c r="AT342" i="11"/>
  <c r="AW342" i="11"/>
  <c r="AP342" i="11"/>
  <c r="AX342" i="11"/>
  <c r="AI342" i="11"/>
  <c r="AQ342" i="11"/>
  <c r="AV342" i="11"/>
  <c r="AH343" i="11"/>
  <c r="AJ343" i="11" s="1"/>
  <c r="L335" i="11"/>
  <c r="Q335" i="11"/>
  <c r="P335" i="11"/>
  <c r="R335" i="11"/>
  <c r="O335" i="11"/>
  <c r="N335" i="11"/>
  <c r="T335" i="11"/>
  <c r="X335" i="11"/>
  <c r="U335" i="11"/>
  <c r="W335" i="11"/>
  <c r="V335" i="11"/>
  <c r="I335" i="11"/>
  <c r="H336" i="11"/>
  <c r="J336" i="11" s="1"/>
  <c r="K335" i="11"/>
  <c r="AL343" i="11" l="1"/>
  <c r="AP343" i="11"/>
  <c r="AX343" i="11"/>
  <c r="AR343" i="11"/>
  <c r="AQ343" i="11"/>
  <c r="AT343" i="11"/>
  <c r="AO343" i="11"/>
  <c r="AV343" i="11"/>
  <c r="AW343" i="11"/>
  <c r="AH344" i="11"/>
  <c r="AJ344" i="11" s="1"/>
  <c r="AN343" i="11"/>
  <c r="AU343" i="11"/>
  <c r="AI343" i="11"/>
  <c r="AK343" i="11"/>
  <c r="L336" i="11"/>
  <c r="P336" i="11"/>
  <c r="O336" i="11"/>
  <c r="N336" i="11"/>
  <c r="R336" i="11"/>
  <c r="Q336" i="11"/>
  <c r="X336" i="11"/>
  <c r="W336" i="11"/>
  <c r="U336" i="11"/>
  <c r="T336" i="11"/>
  <c r="V336" i="11"/>
  <c r="H337" i="11"/>
  <c r="J337" i="11" s="1"/>
  <c r="K336" i="11"/>
  <c r="I336" i="11"/>
  <c r="AQ344" i="11" l="1"/>
  <c r="AK344" i="11"/>
  <c r="AR344" i="11"/>
  <c r="AO344" i="11"/>
  <c r="AW344" i="11"/>
  <c r="AN344" i="11"/>
  <c r="AX344" i="11"/>
  <c r="AU344" i="11"/>
  <c r="AH345" i="11"/>
  <c r="AJ345" i="11" s="1"/>
  <c r="AP344" i="11"/>
  <c r="AT344" i="11"/>
  <c r="AI344" i="11"/>
  <c r="AL344" i="11"/>
  <c r="AV344" i="11"/>
  <c r="L337" i="11"/>
  <c r="P337" i="11"/>
  <c r="R337" i="11"/>
  <c r="O337" i="11"/>
  <c r="Q337" i="11"/>
  <c r="N337" i="11"/>
  <c r="V337" i="11"/>
  <c r="W337" i="11"/>
  <c r="X337" i="11"/>
  <c r="T337" i="11"/>
  <c r="U337" i="11"/>
  <c r="I337" i="11"/>
  <c r="K337" i="11"/>
  <c r="H338" i="11"/>
  <c r="J338" i="11" s="1"/>
  <c r="AL345" i="11" l="1"/>
  <c r="AR345" i="11"/>
  <c r="AX345" i="11"/>
  <c r="AO345" i="11"/>
  <c r="AQ345" i="11"/>
  <c r="AV345" i="11"/>
  <c r="AN345" i="11"/>
  <c r="AU345" i="11"/>
  <c r="AT345" i="11"/>
  <c r="AP345" i="11"/>
  <c r="AW345" i="11"/>
  <c r="AI345" i="11"/>
  <c r="AK345" i="11"/>
  <c r="AH346" i="11"/>
  <c r="AJ346" i="11" s="1"/>
  <c r="L338" i="11"/>
  <c r="O338" i="11"/>
  <c r="Q338" i="11"/>
  <c r="R338" i="11"/>
  <c r="P338" i="11"/>
  <c r="N338" i="11"/>
  <c r="T338" i="11"/>
  <c r="U338" i="11"/>
  <c r="V338" i="11"/>
  <c r="X338" i="11"/>
  <c r="W338" i="11"/>
  <c r="I338" i="11"/>
  <c r="H339" i="11"/>
  <c r="J339" i="11" s="1"/>
  <c r="K338" i="11"/>
  <c r="AL346" i="11" l="1"/>
  <c r="AO346" i="11"/>
  <c r="AV346" i="11"/>
  <c r="AK346" i="11"/>
  <c r="AU346" i="11"/>
  <c r="AR346" i="11"/>
  <c r="AQ346" i="11"/>
  <c r="AX346" i="11"/>
  <c r="AT346" i="11"/>
  <c r="AP346" i="11"/>
  <c r="AW346" i="11"/>
  <c r="AI346" i="11"/>
  <c r="AN346" i="11"/>
  <c r="AH347" i="11"/>
  <c r="AJ347" i="11" s="1"/>
  <c r="L339" i="11"/>
  <c r="Q339" i="11"/>
  <c r="N339" i="11"/>
  <c r="P339" i="11"/>
  <c r="O339" i="11"/>
  <c r="R339" i="11"/>
  <c r="V339" i="11"/>
  <c r="X339" i="11"/>
  <c r="U339" i="11"/>
  <c r="T339" i="11"/>
  <c r="W339" i="11"/>
  <c r="H340" i="11"/>
  <c r="J340" i="11" s="1"/>
  <c r="K339" i="11"/>
  <c r="I339" i="11"/>
  <c r="AR347" i="11" l="1"/>
  <c r="AU347" i="11"/>
  <c r="AN347" i="11"/>
  <c r="AO347" i="11"/>
  <c r="AV347" i="11"/>
  <c r="AK347" i="11"/>
  <c r="AP347" i="11"/>
  <c r="AX347" i="11"/>
  <c r="AT347" i="11"/>
  <c r="AH348" i="11"/>
  <c r="AJ348" i="11" s="1"/>
  <c r="AQ347" i="11"/>
  <c r="AW347" i="11"/>
  <c r="AI347" i="11"/>
  <c r="AL347" i="11"/>
  <c r="L340" i="11"/>
  <c r="P340" i="11"/>
  <c r="N340" i="11"/>
  <c r="R340" i="11"/>
  <c r="Q340" i="11"/>
  <c r="O340" i="11"/>
  <c r="V340" i="11"/>
  <c r="W340" i="11"/>
  <c r="U340" i="11"/>
  <c r="X340" i="11"/>
  <c r="T340" i="11"/>
  <c r="K340" i="11"/>
  <c r="H341" i="11"/>
  <c r="J341" i="11" s="1"/>
  <c r="I340" i="11"/>
  <c r="AL348" i="11" l="1"/>
  <c r="AP348" i="11"/>
  <c r="AW348" i="11"/>
  <c r="AK348" i="11"/>
  <c r="AN348" i="11"/>
  <c r="AO348" i="11"/>
  <c r="AX348" i="11"/>
  <c r="AQ348" i="11"/>
  <c r="AV348" i="11"/>
  <c r="AU348" i="11"/>
  <c r="AH349" i="11"/>
  <c r="AJ349" i="11" s="1"/>
  <c r="AR348" i="11"/>
  <c r="AT348" i="11"/>
  <c r="AI348" i="11"/>
  <c r="L341" i="11"/>
  <c r="Q341" i="11"/>
  <c r="R341" i="11"/>
  <c r="P341" i="11"/>
  <c r="N341" i="11"/>
  <c r="O341" i="11"/>
  <c r="X341" i="11"/>
  <c r="W341" i="11"/>
  <c r="T341" i="11"/>
  <c r="U341" i="11"/>
  <c r="V341" i="11"/>
  <c r="H342" i="11"/>
  <c r="J342" i="11" s="1"/>
  <c r="K341" i="11"/>
  <c r="I341" i="11"/>
  <c r="AK349" i="11" l="1"/>
  <c r="AP349" i="11"/>
  <c r="AR349" i="11"/>
  <c r="AX349" i="11"/>
  <c r="AU349" i="11"/>
  <c r="AO349" i="11"/>
  <c r="AW349" i="11"/>
  <c r="AH350" i="11"/>
  <c r="AJ350" i="11" s="1"/>
  <c r="AQ349" i="11"/>
  <c r="AT349" i="11"/>
  <c r="AI349" i="11"/>
  <c r="AL349" i="11"/>
  <c r="AN349" i="11"/>
  <c r="AV349" i="11"/>
  <c r="L342" i="11"/>
  <c r="N342" i="11"/>
  <c r="R342" i="11"/>
  <c r="Q342" i="11"/>
  <c r="O342" i="11"/>
  <c r="P342" i="11"/>
  <c r="V342" i="11"/>
  <c r="U342" i="11"/>
  <c r="W342" i="11"/>
  <c r="T342" i="11"/>
  <c r="X342" i="11"/>
  <c r="K342" i="11"/>
  <c r="I342" i="11"/>
  <c r="H343" i="11"/>
  <c r="J343" i="11" s="1"/>
  <c r="AK350" i="11" l="1"/>
  <c r="AQ350" i="11"/>
  <c r="AR350" i="11"/>
  <c r="AV350" i="11"/>
  <c r="AN350" i="11"/>
  <c r="AX350" i="11"/>
  <c r="AT350" i="11"/>
  <c r="AH351" i="11"/>
  <c r="AJ351" i="11" s="1"/>
  <c r="AP350" i="11"/>
  <c r="AU350" i="11"/>
  <c r="AI350" i="11"/>
  <c r="AL350" i="11"/>
  <c r="AO350" i="11"/>
  <c r="AW350" i="11"/>
  <c r="L343" i="11"/>
  <c r="N343" i="11"/>
  <c r="R343" i="11"/>
  <c r="O343" i="11"/>
  <c r="Q343" i="11"/>
  <c r="P343" i="11"/>
  <c r="X343" i="11"/>
  <c r="U343" i="11"/>
  <c r="T343" i="11"/>
  <c r="V343" i="11"/>
  <c r="W343" i="11"/>
  <c r="H344" i="11"/>
  <c r="J344" i="11" s="1"/>
  <c r="K343" i="11"/>
  <c r="I343" i="11"/>
  <c r="AN351" i="11" l="1"/>
  <c r="AK351" i="11"/>
  <c r="AQ351" i="11"/>
  <c r="AO351" i="11"/>
  <c r="AT351" i="11"/>
  <c r="AP351" i="11"/>
  <c r="AW351" i="11"/>
  <c r="AU351" i="11"/>
  <c r="AL351" i="11"/>
  <c r="AR351" i="11"/>
  <c r="AX351" i="11"/>
  <c r="AI351" i="11"/>
  <c r="AV351" i="11"/>
  <c r="AH352" i="11"/>
  <c r="AJ352" i="11" s="1"/>
  <c r="L344" i="11"/>
  <c r="O344" i="11"/>
  <c r="R344" i="11"/>
  <c r="N344" i="11"/>
  <c r="P344" i="11"/>
  <c r="Q344" i="11"/>
  <c r="V344" i="11"/>
  <c r="W344" i="11"/>
  <c r="X344" i="11"/>
  <c r="U344" i="11"/>
  <c r="T344" i="11"/>
  <c r="K344" i="11"/>
  <c r="I344" i="11"/>
  <c r="H345" i="11"/>
  <c r="J345" i="11" s="1"/>
  <c r="AL352" i="11" l="1"/>
  <c r="AN352" i="11"/>
  <c r="AP352" i="11"/>
  <c r="AR352" i="11"/>
  <c r="AT352" i="11"/>
  <c r="AQ352" i="11"/>
  <c r="AV352" i="11"/>
  <c r="AX352" i="11"/>
  <c r="AH353" i="11"/>
  <c r="AJ353" i="11" s="1"/>
  <c r="AO352" i="11"/>
  <c r="AU352" i="11"/>
  <c r="AI352" i="11"/>
  <c r="AW352" i="11"/>
  <c r="AK352" i="11"/>
  <c r="L345" i="11"/>
  <c r="O345" i="11"/>
  <c r="N345" i="11"/>
  <c r="P345" i="11"/>
  <c r="R345" i="11"/>
  <c r="Q345" i="11"/>
  <c r="W345" i="11"/>
  <c r="U345" i="11"/>
  <c r="X345" i="11"/>
  <c r="V345" i="11"/>
  <c r="T345" i="11"/>
  <c r="I345" i="11"/>
  <c r="K345" i="11"/>
  <c r="H346" i="11"/>
  <c r="J346" i="11" s="1"/>
  <c r="AP353" i="11" l="1"/>
  <c r="AU353" i="11"/>
  <c r="AK353" i="11"/>
  <c r="AQ353" i="11"/>
  <c r="AV353" i="11"/>
  <c r="AT353" i="11"/>
  <c r="AR353" i="11"/>
  <c r="AW353" i="11"/>
  <c r="AH354" i="11"/>
  <c r="AJ354" i="11" s="1"/>
  <c r="AL353" i="11"/>
  <c r="AN353" i="11"/>
  <c r="AX353" i="11"/>
  <c r="AI353" i="11"/>
  <c r="AO353" i="11"/>
  <c r="L346" i="11"/>
  <c r="N346" i="11"/>
  <c r="R346" i="11"/>
  <c r="P346" i="11"/>
  <c r="Q346" i="11"/>
  <c r="O346" i="11"/>
  <c r="T346" i="11"/>
  <c r="W346" i="11"/>
  <c r="V346" i="11"/>
  <c r="X346" i="11"/>
  <c r="U346" i="11"/>
  <c r="I346" i="11"/>
  <c r="H347" i="11"/>
  <c r="J347" i="11" s="1"/>
  <c r="K346" i="11"/>
  <c r="AL354" i="11" l="1"/>
  <c r="AP354" i="11"/>
  <c r="AO354" i="11"/>
  <c r="AU354" i="11"/>
  <c r="AN354" i="11"/>
  <c r="AT354" i="11"/>
  <c r="AX354" i="11"/>
  <c r="AQ354" i="11"/>
  <c r="AV354" i="11"/>
  <c r="AI354" i="11"/>
  <c r="AR354" i="11"/>
  <c r="AW354" i="11"/>
  <c r="AK354" i="11"/>
  <c r="AH355" i="11"/>
  <c r="AJ355" i="11" s="1"/>
  <c r="L347" i="11"/>
  <c r="R347" i="11"/>
  <c r="N347" i="11"/>
  <c r="Q347" i="11"/>
  <c r="P347" i="11"/>
  <c r="O347" i="11"/>
  <c r="U347" i="11"/>
  <c r="X347" i="11"/>
  <c r="W347" i="11"/>
  <c r="V347" i="11"/>
  <c r="T347" i="11"/>
  <c r="H348" i="11"/>
  <c r="J348" i="11" s="1"/>
  <c r="I347" i="11"/>
  <c r="K347" i="11"/>
  <c r="AL355" i="11" l="1"/>
  <c r="AV355" i="11"/>
  <c r="AK355" i="11"/>
  <c r="AR355" i="11"/>
  <c r="AP355" i="11"/>
  <c r="AU355" i="11"/>
  <c r="AN355" i="11"/>
  <c r="AX355" i="11"/>
  <c r="AH356" i="11"/>
  <c r="AJ356" i="11" s="1"/>
  <c r="AW355" i="11"/>
  <c r="AQ355" i="11"/>
  <c r="AT355" i="11"/>
  <c r="AI355" i="11"/>
  <c r="AO355" i="11"/>
  <c r="L348" i="11"/>
  <c r="R348" i="11"/>
  <c r="P348" i="11"/>
  <c r="Q348" i="11"/>
  <c r="O348" i="11"/>
  <c r="N348" i="11"/>
  <c r="T348" i="11"/>
  <c r="W348" i="11"/>
  <c r="X348" i="11"/>
  <c r="V348" i="11"/>
  <c r="U348" i="11"/>
  <c r="K348" i="11"/>
  <c r="I348" i="11"/>
  <c r="H349" i="11"/>
  <c r="J349" i="11" s="1"/>
  <c r="AL356" i="11" l="1"/>
  <c r="AQ356" i="11"/>
  <c r="AW356" i="11"/>
  <c r="AI356" i="11"/>
  <c r="AR356" i="11"/>
  <c r="AO356" i="11"/>
  <c r="AU356" i="11"/>
  <c r="AN356" i="11"/>
  <c r="AV356" i="11"/>
  <c r="AX356" i="11"/>
  <c r="AH357" i="11"/>
  <c r="AJ357" i="11" s="1"/>
  <c r="AP356" i="11"/>
  <c r="AT356" i="11"/>
  <c r="AK356" i="11"/>
  <c r="L349" i="11"/>
  <c r="P349" i="11"/>
  <c r="O349" i="11"/>
  <c r="Q349" i="11"/>
  <c r="N349" i="11"/>
  <c r="R349" i="11"/>
  <c r="X349" i="11"/>
  <c r="U349" i="11"/>
  <c r="V349" i="11"/>
  <c r="T349" i="11"/>
  <c r="W349" i="11"/>
  <c r="H350" i="11"/>
  <c r="J350" i="11" s="1"/>
  <c r="K349" i="11"/>
  <c r="I349" i="11"/>
  <c r="AL357" i="11" l="1"/>
  <c r="AN357" i="11"/>
  <c r="AX357" i="11"/>
  <c r="AK357" i="11"/>
  <c r="AH358" i="11"/>
  <c r="AJ358" i="11" s="1"/>
  <c r="AP357" i="11"/>
  <c r="AO357" i="11"/>
  <c r="AV357" i="11"/>
  <c r="AQ357" i="11"/>
  <c r="AW357" i="11"/>
  <c r="AU357" i="11"/>
  <c r="AR357" i="11"/>
  <c r="AT357" i="11"/>
  <c r="AI357" i="11"/>
  <c r="L350" i="11"/>
  <c r="Q350" i="11"/>
  <c r="O350" i="11"/>
  <c r="N350" i="11"/>
  <c r="P350" i="11"/>
  <c r="R350" i="11"/>
  <c r="U350" i="11"/>
  <c r="W350" i="11"/>
  <c r="V350" i="11"/>
  <c r="X350" i="11"/>
  <c r="T350" i="11"/>
  <c r="K350" i="11"/>
  <c r="I350" i="11"/>
  <c r="H351" i="11"/>
  <c r="J351" i="11" s="1"/>
  <c r="AL358" i="11" l="1"/>
  <c r="AO358" i="11"/>
  <c r="AT358" i="11"/>
  <c r="AQ358" i="11"/>
  <c r="AP358" i="11"/>
  <c r="AV358" i="11"/>
  <c r="AN358" i="11"/>
  <c r="AX358" i="11"/>
  <c r="AU358" i="11"/>
  <c r="AH359" i="11"/>
  <c r="AJ359" i="11" s="1"/>
  <c r="AR358" i="11"/>
  <c r="AW358" i="11"/>
  <c r="AI358" i="11"/>
  <c r="AK358" i="11"/>
  <c r="L351" i="11"/>
  <c r="R351" i="11"/>
  <c r="N351" i="11"/>
  <c r="Q351" i="11"/>
  <c r="P351" i="11"/>
  <c r="O351" i="11"/>
  <c r="W351" i="11"/>
  <c r="X351" i="11"/>
  <c r="V351" i="11"/>
  <c r="T351" i="11"/>
  <c r="U351" i="11"/>
  <c r="K351" i="11"/>
  <c r="I351" i="11"/>
  <c r="H352" i="11"/>
  <c r="J352" i="11" s="1"/>
  <c r="AL359" i="11" l="1"/>
  <c r="AQ359" i="11"/>
  <c r="AX359" i="11"/>
  <c r="AK359" i="11"/>
  <c r="AW359" i="11"/>
  <c r="AP359" i="11"/>
  <c r="AR359" i="11"/>
  <c r="AT359" i="11"/>
  <c r="AH360" i="11"/>
  <c r="AJ360" i="11" s="1"/>
  <c r="AN359" i="11"/>
  <c r="AO359" i="11"/>
  <c r="AV359" i="11"/>
  <c r="AI359" i="11"/>
  <c r="AU359" i="11"/>
  <c r="L352" i="11"/>
  <c r="Q352" i="11"/>
  <c r="P352" i="11"/>
  <c r="N352" i="11"/>
  <c r="R352" i="11"/>
  <c r="O352" i="11"/>
  <c r="V352" i="11"/>
  <c r="U352" i="11"/>
  <c r="W352" i="11"/>
  <c r="X352" i="11"/>
  <c r="T352" i="11"/>
  <c r="I352" i="11"/>
  <c r="K352" i="11"/>
  <c r="H353" i="11"/>
  <c r="J353" i="11" s="1"/>
  <c r="AL360" i="11" l="1"/>
  <c r="AQ360" i="11"/>
  <c r="AX360" i="11"/>
  <c r="AP360" i="11"/>
  <c r="AO360" i="11"/>
  <c r="AW360" i="11"/>
  <c r="AN360" i="11"/>
  <c r="AU360" i="11"/>
  <c r="AH361" i="11"/>
  <c r="AJ361" i="11" s="1"/>
  <c r="AR360" i="11"/>
  <c r="AT360" i="11"/>
  <c r="AI360" i="11"/>
  <c r="AK360" i="11"/>
  <c r="AV360" i="11"/>
  <c r="L353" i="11"/>
  <c r="R353" i="11"/>
  <c r="P353" i="11"/>
  <c r="O353" i="11"/>
  <c r="Q353" i="11"/>
  <c r="N353" i="11"/>
  <c r="W353" i="11"/>
  <c r="X353" i="11"/>
  <c r="U353" i="11"/>
  <c r="V353" i="11"/>
  <c r="T353" i="11"/>
  <c r="I353" i="11"/>
  <c r="H354" i="11"/>
  <c r="J354" i="11" s="1"/>
  <c r="K353" i="11"/>
  <c r="AQ361" i="11" l="1"/>
  <c r="AO361" i="11"/>
  <c r="AT361" i="11"/>
  <c r="AR361" i="11"/>
  <c r="AU361" i="11"/>
  <c r="AV361" i="11"/>
  <c r="AX361" i="11"/>
  <c r="AH362" i="11"/>
  <c r="AJ362" i="11" s="1"/>
  <c r="AK361" i="11"/>
  <c r="AP361" i="11"/>
  <c r="AL361" i="11"/>
  <c r="AN361" i="11"/>
  <c r="AW361" i="11"/>
  <c r="AI361" i="11"/>
  <c r="L354" i="11"/>
  <c r="R354" i="11"/>
  <c r="Q354" i="11"/>
  <c r="N354" i="11"/>
  <c r="P354" i="11"/>
  <c r="O354" i="11"/>
  <c r="T354" i="11"/>
  <c r="W354" i="11"/>
  <c r="U354" i="11"/>
  <c r="V354" i="11"/>
  <c r="X354" i="11"/>
  <c r="K354" i="11"/>
  <c r="I354" i="11"/>
  <c r="H355" i="11"/>
  <c r="J355" i="11" s="1"/>
  <c r="AR362" i="11" l="1"/>
  <c r="AK362" i="11"/>
  <c r="AO362" i="11"/>
  <c r="AU362" i="11"/>
  <c r="AW362" i="11"/>
  <c r="AQ362" i="11"/>
  <c r="AX362" i="11"/>
  <c r="AH363" i="11"/>
  <c r="AJ363" i="11" s="1"/>
  <c r="AI362" i="11"/>
  <c r="AP362" i="11"/>
  <c r="AT362" i="11"/>
  <c r="AL362" i="11"/>
  <c r="AN362" i="11"/>
  <c r="AV362" i="11"/>
  <c r="L355" i="11"/>
  <c r="R355" i="11"/>
  <c r="N355" i="11"/>
  <c r="Q355" i="11"/>
  <c r="O355" i="11"/>
  <c r="P355" i="11"/>
  <c r="X355" i="11"/>
  <c r="U355" i="11"/>
  <c r="W355" i="11"/>
  <c r="T355" i="11"/>
  <c r="V355" i="11"/>
  <c r="I355" i="11"/>
  <c r="H356" i="11"/>
  <c r="J356" i="11" s="1"/>
  <c r="K355" i="11"/>
  <c r="AW363" i="11" l="1"/>
  <c r="AR363" i="11"/>
  <c r="AN363" i="11"/>
  <c r="AT363" i="11"/>
  <c r="AQ363" i="11"/>
  <c r="AV363" i="11"/>
  <c r="AX363" i="11"/>
  <c r="AL363" i="11"/>
  <c r="AO363" i="11"/>
  <c r="AU363" i="11"/>
  <c r="AI363" i="11"/>
  <c r="AP363" i="11"/>
  <c r="AK363" i="11"/>
  <c r="AH364" i="11"/>
  <c r="AJ364" i="11" s="1"/>
  <c r="L356" i="11"/>
  <c r="R356" i="11"/>
  <c r="Q356" i="11"/>
  <c r="N356" i="11"/>
  <c r="O356" i="11"/>
  <c r="P356" i="11"/>
  <c r="X356" i="11"/>
  <c r="U356" i="11"/>
  <c r="W356" i="11"/>
  <c r="T356" i="11"/>
  <c r="V356" i="11"/>
  <c r="I356" i="11"/>
  <c r="H357" i="11"/>
  <c r="J357" i="11" s="1"/>
  <c r="K356" i="11"/>
  <c r="AL364" i="11" l="1"/>
  <c r="AV364" i="11"/>
  <c r="AR364" i="11"/>
  <c r="AQ364" i="11"/>
  <c r="AW364" i="11"/>
  <c r="AN364" i="11"/>
  <c r="AU364" i="11"/>
  <c r="AT364" i="11"/>
  <c r="AH365" i="11"/>
  <c r="AJ365" i="11" s="1"/>
  <c r="AP364" i="11"/>
  <c r="AX364" i="11"/>
  <c r="AI364" i="11"/>
  <c r="AO364" i="11"/>
  <c r="AK364" i="11"/>
  <c r="L357" i="11"/>
  <c r="O357" i="11"/>
  <c r="P357" i="11"/>
  <c r="Q357" i="11"/>
  <c r="N357" i="11"/>
  <c r="R357" i="11"/>
  <c r="X357" i="11"/>
  <c r="V357" i="11"/>
  <c r="W357" i="11"/>
  <c r="U357" i="11"/>
  <c r="T357" i="11"/>
  <c r="H358" i="11"/>
  <c r="J358" i="11" s="1"/>
  <c r="K357" i="11"/>
  <c r="I357" i="11"/>
  <c r="AL365" i="11" l="1"/>
  <c r="AR365" i="11"/>
  <c r="AU365" i="11"/>
  <c r="AK365" i="11"/>
  <c r="AH366" i="11"/>
  <c r="AJ366" i="11" s="1"/>
  <c r="AN365" i="11"/>
  <c r="AQ365" i="11"/>
  <c r="AV365" i="11"/>
  <c r="AP365" i="11"/>
  <c r="AT365" i="11"/>
  <c r="AW365" i="11"/>
  <c r="AO365" i="11"/>
  <c r="AX365" i="11"/>
  <c r="AI365" i="11"/>
  <c r="L358" i="11"/>
  <c r="O358" i="11"/>
  <c r="P358" i="11"/>
  <c r="Q358" i="11"/>
  <c r="N358" i="11"/>
  <c r="R358" i="11"/>
  <c r="X358" i="11"/>
  <c r="W358" i="11"/>
  <c r="T358" i="11"/>
  <c r="V358" i="11"/>
  <c r="U358" i="11"/>
  <c r="I358" i="11"/>
  <c r="H359" i="11"/>
  <c r="J359" i="11" s="1"/>
  <c r="K358" i="11"/>
  <c r="AQ366" i="11" l="1"/>
  <c r="AO366" i="11"/>
  <c r="AW366" i="11"/>
  <c r="AK366" i="11"/>
  <c r="AR366" i="11"/>
  <c r="AV366" i="11"/>
  <c r="AT366" i="11"/>
  <c r="AN366" i="11"/>
  <c r="AX366" i="11"/>
  <c r="AH367" i="11"/>
  <c r="AJ367" i="11" s="1"/>
  <c r="AL366" i="11"/>
  <c r="AP366" i="11"/>
  <c r="AU366" i="11"/>
  <c r="AI366" i="11"/>
  <c r="L359" i="11"/>
  <c r="O359" i="11"/>
  <c r="P359" i="11"/>
  <c r="R359" i="11"/>
  <c r="N359" i="11"/>
  <c r="Q359" i="11"/>
  <c r="X359" i="11"/>
  <c r="T359" i="11"/>
  <c r="W359" i="11"/>
  <c r="V359" i="11"/>
  <c r="U359" i="11"/>
  <c r="K359" i="11"/>
  <c r="H360" i="11"/>
  <c r="J360" i="11" s="1"/>
  <c r="I359" i="11"/>
  <c r="AX367" i="11" l="1"/>
  <c r="AO367" i="11"/>
  <c r="AN367" i="11"/>
  <c r="AU367" i="11"/>
  <c r="AP367" i="11"/>
  <c r="AT367" i="11"/>
  <c r="AW367" i="11"/>
  <c r="AL367" i="11"/>
  <c r="AR367" i="11"/>
  <c r="AV367" i="11"/>
  <c r="AI367" i="11"/>
  <c r="AQ367" i="11"/>
  <c r="AK367" i="11"/>
  <c r="AH368" i="11"/>
  <c r="AJ368" i="11" s="1"/>
  <c r="L360" i="11"/>
  <c r="R360" i="11"/>
  <c r="N360" i="11"/>
  <c r="P360" i="11"/>
  <c r="Q360" i="11"/>
  <c r="O360" i="11"/>
  <c r="T360" i="11"/>
  <c r="X360" i="11"/>
  <c r="W360" i="11"/>
  <c r="U360" i="11"/>
  <c r="V360" i="11"/>
  <c r="I360" i="11"/>
  <c r="H361" i="11"/>
  <c r="J361" i="11" s="1"/>
  <c r="K360" i="11"/>
  <c r="AO368" i="11" l="1"/>
  <c r="AN368" i="11"/>
  <c r="AU368" i="11"/>
  <c r="AX368" i="11"/>
  <c r="AT368" i="11"/>
  <c r="AH369" i="11"/>
  <c r="AJ369" i="11" s="1"/>
  <c r="AK368" i="11"/>
  <c r="AP368" i="11"/>
  <c r="AR368" i="11"/>
  <c r="AL368" i="11"/>
  <c r="AV368" i="11"/>
  <c r="AI368" i="11"/>
  <c r="AQ368" i="11"/>
  <c r="AW368" i="11"/>
  <c r="L361" i="11"/>
  <c r="R361" i="11"/>
  <c r="O361" i="11"/>
  <c r="P361" i="11"/>
  <c r="Q361" i="11"/>
  <c r="N361" i="11"/>
  <c r="V361" i="11"/>
  <c r="W361" i="11"/>
  <c r="U361" i="11"/>
  <c r="T361" i="11"/>
  <c r="X361" i="11"/>
  <c r="I361" i="11"/>
  <c r="H362" i="11"/>
  <c r="J362" i="11" s="1"/>
  <c r="K361" i="11"/>
  <c r="AL369" i="11" l="1"/>
  <c r="AN369" i="11"/>
  <c r="AX369" i="11"/>
  <c r="AK369" i="11"/>
  <c r="AQ369" i="11"/>
  <c r="AP369" i="11"/>
  <c r="AV369" i="11"/>
  <c r="AH370" i="11"/>
  <c r="AJ370" i="11" s="1"/>
  <c r="AI369" i="11"/>
  <c r="AR369" i="11"/>
  <c r="AT369" i="11"/>
  <c r="AW369" i="11"/>
  <c r="AO369" i="11"/>
  <c r="AU369" i="11"/>
  <c r="L362" i="11"/>
  <c r="O362" i="11"/>
  <c r="Q362" i="11"/>
  <c r="P362" i="11"/>
  <c r="N362" i="11"/>
  <c r="R362" i="11"/>
  <c r="X362" i="11"/>
  <c r="V362" i="11"/>
  <c r="T362" i="11"/>
  <c r="U362" i="11"/>
  <c r="W362" i="11"/>
  <c r="K362" i="11"/>
  <c r="I362" i="11"/>
  <c r="H363" i="11"/>
  <c r="J363" i="11" s="1"/>
  <c r="AQ370" i="11" l="1"/>
  <c r="AP370" i="11"/>
  <c r="AV370" i="11"/>
  <c r="AO370" i="11"/>
  <c r="AX370" i="11"/>
  <c r="AT370" i="11"/>
  <c r="AN370" i="11"/>
  <c r="AW370" i="11"/>
  <c r="AI370" i="11"/>
  <c r="AL370" i="11"/>
  <c r="AR370" i="11"/>
  <c r="AU370" i="11"/>
  <c r="AK370" i="11"/>
  <c r="AH371" i="11"/>
  <c r="AJ371" i="11" s="1"/>
  <c r="L363" i="11"/>
  <c r="O363" i="11"/>
  <c r="Q363" i="11"/>
  <c r="P363" i="11"/>
  <c r="R363" i="11"/>
  <c r="N363" i="11"/>
  <c r="U363" i="11"/>
  <c r="W363" i="11"/>
  <c r="T363" i="11"/>
  <c r="X363" i="11"/>
  <c r="V363" i="11"/>
  <c r="H364" i="11"/>
  <c r="J364" i="11" s="1"/>
  <c r="K363" i="11"/>
  <c r="I363" i="11"/>
  <c r="AP371" i="11" l="1"/>
  <c r="AQ371" i="11"/>
  <c r="AT371" i="11"/>
  <c r="AK371" i="11"/>
  <c r="AN371" i="11"/>
  <c r="AX371" i="11"/>
  <c r="AU371" i="11"/>
  <c r="AO371" i="11"/>
  <c r="AV371" i="11"/>
  <c r="AH372" i="11"/>
  <c r="AJ372" i="11" s="1"/>
  <c r="AL371" i="11"/>
  <c r="AR371" i="11"/>
  <c r="AW371" i="11"/>
  <c r="AI371" i="11"/>
  <c r="L364" i="11"/>
  <c r="O364" i="11"/>
  <c r="N364" i="11"/>
  <c r="P364" i="11"/>
  <c r="Q364" i="11"/>
  <c r="R364" i="11"/>
  <c r="V364" i="11"/>
  <c r="W364" i="11"/>
  <c r="X364" i="11"/>
  <c r="U364" i="11"/>
  <c r="T364" i="11"/>
  <c r="H365" i="11"/>
  <c r="J365" i="11" s="1"/>
  <c r="K364" i="11"/>
  <c r="I364" i="11"/>
  <c r="AL372" i="11" l="1"/>
  <c r="AQ372" i="11"/>
  <c r="AW372" i="11"/>
  <c r="AR372" i="11"/>
  <c r="AP372" i="11"/>
  <c r="AU372" i="11"/>
  <c r="AI372" i="11"/>
  <c r="AN372" i="11"/>
  <c r="AV372" i="11"/>
  <c r="AX372" i="11"/>
  <c r="AH373" i="11"/>
  <c r="AJ373" i="11" s="1"/>
  <c r="AK372" i="11"/>
  <c r="AO372" i="11"/>
  <c r="AT372" i="11"/>
  <c r="L365" i="11"/>
  <c r="N365" i="11"/>
  <c r="R365" i="11"/>
  <c r="Q365" i="11"/>
  <c r="P365" i="11"/>
  <c r="O365" i="11"/>
  <c r="U365" i="11"/>
  <c r="X365" i="11"/>
  <c r="V365" i="11"/>
  <c r="W365" i="11"/>
  <c r="T365" i="11"/>
  <c r="H366" i="11"/>
  <c r="J366" i="11" s="1"/>
  <c r="K365" i="11"/>
  <c r="I365" i="11"/>
  <c r="AL373" i="11" l="1"/>
  <c r="AN373" i="11"/>
  <c r="AV373" i="11"/>
  <c r="AO373" i="11"/>
  <c r="AP373" i="11"/>
  <c r="AW373" i="11"/>
  <c r="AQ373" i="11"/>
  <c r="AX373" i="11"/>
  <c r="AU373" i="11"/>
  <c r="AH374" i="11"/>
  <c r="AJ374" i="11" s="1"/>
  <c r="AK373" i="11"/>
  <c r="AR373" i="11"/>
  <c r="AT373" i="11"/>
  <c r="AI373" i="11"/>
  <c r="L366" i="11"/>
  <c r="O366" i="11"/>
  <c r="Q366" i="11"/>
  <c r="R366" i="11"/>
  <c r="N366" i="11"/>
  <c r="P366" i="11"/>
  <c r="U366" i="11"/>
  <c r="W366" i="11"/>
  <c r="V366" i="11"/>
  <c r="X366" i="11"/>
  <c r="T366" i="11"/>
  <c r="H367" i="11"/>
  <c r="J367" i="11" s="1"/>
  <c r="I366" i="11"/>
  <c r="K366" i="11"/>
  <c r="AL374" i="11" l="1"/>
  <c r="AO374" i="11"/>
  <c r="AX374" i="11"/>
  <c r="AK374" i="11"/>
  <c r="AQ374" i="11"/>
  <c r="AR374" i="11"/>
  <c r="AT374" i="11"/>
  <c r="AI374" i="11"/>
  <c r="AP374" i="11"/>
  <c r="AV374" i="11"/>
  <c r="AU374" i="11"/>
  <c r="AH375" i="11"/>
  <c r="AJ375" i="11" s="1"/>
  <c r="AN374" i="11"/>
  <c r="AW374" i="11"/>
  <c r="L367" i="11"/>
  <c r="Q367" i="11"/>
  <c r="O367" i="11"/>
  <c r="R367" i="11"/>
  <c r="P367" i="11"/>
  <c r="N367" i="11"/>
  <c r="X367" i="11"/>
  <c r="U367" i="11"/>
  <c r="V367" i="11"/>
  <c r="T367" i="11"/>
  <c r="W367" i="11"/>
  <c r="K367" i="11"/>
  <c r="I367" i="11"/>
  <c r="H368" i="11"/>
  <c r="J368" i="11" s="1"/>
  <c r="AL375" i="11" l="1"/>
  <c r="AR375" i="11"/>
  <c r="AT375" i="11"/>
  <c r="AO375" i="11"/>
  <c r="AQ375" i="11"/>
  <c r="AX375" i="11"/>
  <c r="AP375" i="11"/>
  <c r="AW375" i="11"/>
  <c r="AU375" i="11"/>
  <c r="AH376" i="11"/>
  <c r="AJ376" i="11" s="1"/>
  <c r="AI375" i="11"/>
  <c r="AK375" i="11"/>
  <c r="AN375" i="11"/>
  <c r="AV375" i="11"/>
  <c r="L368" i="11"/>
  <c r="Q368" i="11"/>
  <c r="O368" i="11"/>
  <c r="P368" i="11"/>
  <c r="R368" i="11"/>
  <c r="N368" i="11"/>
  <c r="V368" i="11"/>
  <c r="U368" i="11"/>
  <c r="T368" i="11"/>
  <c r="X368" i="11"/>
  <c r="W368" i="11"/>
  <c r="K368" i="11"/>
  <c r="I368" i="11"/>
  <c r="H369" i="11"/>
  <c r="J369" i="11" s="1"/>
  <c r="AL376" i="11" l="1"/>
  <c r="AO376" i="11"/>
  <c r="AT376" i="11"/>
  <c r="AK376" i="11"/>
  <c r="AQ376" i="11"/>
  <c r="AR376" i="11"/>
  <c r="AW376" i="11"/>
  <c r="AH377" i="11"/>
  <c r="AJ377" i="11" s="1"/>
  <c r="AP376" i="11"/>
  <c r="AV376" i="11"/>
  <c r="AX376" i="11"/>
  <c r="AN376" i="11"/>
  <c r="AU376" i="11"/>
  <c r="AI376" i="11"/>
  <c r="L369" i="11"/>
  <c r="Q369" i="11"/>
  <c r="P369" i="11"/>
  <c r="N369" i="11"/>
  <c r="R369" i="11"/>
  <c r="O369" i="11"/>
  <c r="T369" i="11"/>
  <c r="U369" i="11"/>
  <c r="V369" i="11"/>
  <c r="X369" i="11"/>
  <c r="W369" i="11"/>
  <c r="I369" i="11"/>
  <c r="H370" i="11"/>
  <c r="J370" i="11" s="1"/>
  <c r="K369" i="11"/>
  <c r="AL377" i="11" l="1"/>
  <c r="AQ377" i="11"/>
  <c r="AN377" i="11"/>
  <c r="AX377" i="11"/>
  <c r="AU377" i="11"/>
  <c r="AV377" i="11"/>
  <c r="AO377" i="11"/>
  <c r="AH378" i="11"/>
  <c r="AJ378" i="11" s="1"/>
  <c r="AR377" i="11"/>
  <c r="AT377" i="11"/>
  <c r="AI377" i="11"/>
  <c r="AP377" i="11"/>
  <c r="AW377" i="11"/>
  <c r="AK377" i="11"/>
  <c r="L370" i="11"/>
  <c r="Q370" i="11"/>
  <c r="N370" i="11"/>
  <c r="P370" i="11"/>
  <c r="O370" i="11"/>
  <c r="R370" i="11"/>
  <c r="X370" i="11"/>
  <c r="V370" i="11"/>
  <c r="W370" i="11"/>
  <c r="T370" i="11"/>
  <c r="U370" i="11"/>
  <c r="K370" i="11"/>
  <c r="H371" i="11"/>
  <c r="J371" i="11" s="1"/>
  <c r="I370" i="11"/>
  <c r="AL378" i="11" l="1"/>
  <c r="AN378" i="11"/>
  <c r="AQ378" i="11"/>
  <c r="AT378" i="11"/>
  <c r="AR378" i="11"/>
  <c r="AH379" i="11"/>
  <c r="AJ379" i="11" s="1"/>
  <c r="AW378" i="11"/>
  <c r="AO378" i="11"/>
  <c r="AV378" i="11"/>
  <c r="AI378" i="11"/>
  <c r="AP378" i="11"/>
  <c r="AU378" i="11"/>
  <c r="AK378" i="11"/>
  <c r="AX378" i="11"/>
  <c r="L371" i="11"/>
  <c r="N371" i="11"/>
  <c r="O371" i="11"/>
  <c r="Q371" i="11"/>
  <c r="R371" i="11"/>
  <c r="P371" i="11"/>
  <c r="V371" i="11"/>
  <c r="W371" i="11"/>
  <c r="T371" i="11"/>
  <c r="X371" i="11"/>
  <c r="U371" i="11"/>
  <c r="I371" i="11"/>
  <c r="H372" i="11"/>
  <c r="J372" i="11" s="1"/>
  <c r="K371" i="11"/>
  <c r="AK379" i="11" l="1"/>
  <c r="AR379" i="11"/>
  <c r="AO379" i="11"/>
  <c r="AT379" i="11"/>
  <c r="AU379" i="11"/>
  <c r="AW379" i="11"/>
  <c r="AI379" i="11"/>
  <c r="AV379" i="11"/>
  <c r="AP379" i="11"/>
  <c r="AH380" i="11"/>
  <c r="AJ380" i="11" s="1"/>
  <c r="AN379" i="11"/>
  <c r="AL379" i="11"/>
  <c r="AQ379" i="11"/>
  <c r="AX379" i="11"/>
  <c r="L372" i="11"/>
  <c r="O372" i="11"/>
  <c r="N372" i="11"/>
  <c r="R372" i="11"/>
  <c r="Q372" i="11"/>
  <c r="P372" i="11"/>
  <c r="W372" i="11"/>
  <c r="U372" i="11"/>
  <c r="V372" i="11"/>
  <c r="T372" i="11"/>
  <c r="X372" i="11"/>
  <c r="K372" i="11"/>
  <c r="I372" i="11"/>
  <c r="H373" i="11"/>
  <c r="J373" i="11" s="1"/>
  <c r="AN380" i="11" l="1"/>
  <c r="AR380" i="11"/>
  <c r="AX380" i="11"/>
  <c r="AP380" i="11"/>
  <c r="AW380" i="11"/>
  <c r="AU380" i="11"/>
  <c r="AO380" i="11"/>
  <c r="AV380" i="11"/>
  <c r="AI380" i="11"/>
  <c r="AL380" i="11"/>
  <c r="AQ380" i="11"/>
  <c r="AT380" i="11"/>
  <c r="AK380" i="11"/>
  <c r="AH381" i="11"/>
  <c r="AJ381" i="11" s="1"/>
  <c r="L373" i="11"/>
  <c r="R373" i="11"/>
  <c r="Q373" i="11"/>
  <c r="O373" i="11"/>
  <c r="N373" i="11"/>
  <c r="P373" i="11"/>
  <c r="W373" i="11"/>
  <c r="T373" i="11"/>
  <c r="V373" i="11"/>
  <c r="U373" i="11"/>
  <c r="X373" i="11"/>
  <c r="H374" i="11"/>
  <c r="J374" i="11" s="1"/>
  <c r="I373" i="11"/>
  <c r="K373" i="11"/>
  <c r="AL381" i="11" l="1"/>
  <c r="AR381" i="11"/>
  <c r="AV381" i="11"/>
  <c r="AP381" i="11"/>
  <c r="AQ381" i="11"/>
  <c r="AU381" i="11"/>
  <c r="AN381" i="11"/>
  <c r="AT381" i="11"/>
  <c r="AX381" i="11"/>
  <c r="AH382" i="11"/>
  <c r="AJ382" i="11" s="1"/>
  <c r="AK381" i="11"/>
  <c r="AO381" i="11"/>
  <c r="AW381" i="11"/>
  <c r="AI381" i="11"/>
  <c r="L374" i="11"/>
  <c r="N374" i="11"/>
  <c r="P374" i="11"/>
  <c r="Q374" i="11"/>
  <c r="R374" i="11"/>
  <c r="O374" i="11"/>
  <c r="X374" i="11"/>
  <c r="T374" i="11"/>
  <c r="U374" i="11"/>
  <c r="V374" i="11"/>
  <c r="W374" i="11"/>
  <c r="H375" i="11"/>
  <c r="J375" i="11" s="1"/>
  <c r="K374" i="11"/>
  <c r="I374" i="11"/>
  <c r="AL382" i="11" l="1"/>
  <c r="AQ382" i="11"/>
  <c r="AW382" i="11"/>
  <c r="AO382" i="11"/>
  <c r="AP382" i="11"/>
  <c r="AX382" i="11"/>
  <c r="AV382" i="11"/>
  <c r="AH383" i="11"/>
  <c r="AJ383" i="11" s="1"/>
  <c r="AR382" i="11"/>
  <c r="AU382" i="11"/>
  <c r="AN382" i="11"/>
  <c r="AT382" i="11"/>
  <c r="AI382" i="11"/>
  <c r="AK382" i="11"/>
  <c r="L375" i="11"/>
  <c r="N375" i="11"/>
  <c r="O375" i="11"/>
  <c r="P375" i="11"/>
  <c r="R375" i="11"/>
  <c r="Q375" i="11"/>
  <c r="V375" i="11"/>
  <c r="T375" i="11"/>
  <c r="W375" i="11"/>
  <c r="X375" i="11"/>
  <c r="U375" i="11"/>
  <c r="H376" i="11"/>
  <c r="J376" i="11" s="1"/>
  <c r="I375" i="11"/>
  <c r="K375" i="11"/>
  <c r="AQ383" i="11" l="1"/>
  <c r="AV383" i="11"/>
  <c r="AK383" i="11"/>
  <c r="AR383" i="11"/>
  <c r="AO383" i="11"/>
  <c r="AU383" i="11"/>
  <c r="AX383" i="11"/>
  <c r="AL383" i="11"/>
  <c r="AN383" i="11"/>
  <c r="AW383" i="11"/>
  <c r="AI383" i="11"/>
  <c r="AP383" i="11"/>
  <c r="AT383" i="11"/>
  <c r="AH384" i="11"/>
  <c r="AJ384" i="11" s="1"/>
  <c r="L376" i="11"/>
  <c r="N376" i="11"/>
  <c r="P376" i="11"/>
  <c r="O376" i="11"/>
  <c r="R376" i="11"/>
  <c r="Q376" i="11"/>
  <c r="V376" i="11"/>
  <c r="U376" i="11"/>
  <c r="T376" i="11"/>
  <c r="W376" i="11"/>
  <c r="X376" i="11"/>
  <c r="H377" i="11"/>
  <c r="J377" i="11" s="1"/>
  <c r="K376" i="11"/>
  <c r="I376" i="11"/>
  <c r="AL384" i="11" l="1"/>
  <c r="AP384" i="11"/>
  <c r="AV384" i="11"/>
  <c r="AO384" i="11"/>
  <c r="AN384" i="11"/>
  <c r="AT384" i="11"/>
  <c r="AQ384" i="11"/>
  <c r="AX384" i="11"/>
  <c r="AU384" i="11"/>
  <c r="AR384" i="11"/>
  <c r="AW384" i="11"/>
  <c r="AI384" i="11"/>
  <c r="AK384" i="11"/>
  <c r="AH385" i="11"/>
  <c r="AJ385" i="11" s="1"/>
  <c r="L377" i="11"/>
  <c r="Q377" i="11"/>
  <c r="N377" i="11"/>
  <c r="O377" i="11"/>
  <c r="R377" i="11"/>
  <c r="P377" i="11"/>
  <c r="T377" i="11"/>
  <c r="X377" i="11"/>
  <c r="U377" i="11"/>
  <c r="W377" i="11"/>
  <c r="V377" i="11"/>
  <c r="I377" i="11"/>
  <c r="H378" i="11"/>
  <c r="J378" i="11" s="1"/>
  <c r="K377" i="11"/>
  <c r="AL385" i="11" l="1"/>
  <c r="AO385" i="11"/>
  <c r="AU385" i="11"/>
  <c r="AK385" i="11"/>
  <c r="AP385" i="11"/>
  <c r="AQ385" i="11"/>
  <c r="AT385" i="11"/>
  <c r="AH386" i="11"/>
  <c r="AJ386" i="11" s="1"/>
  <c r="AR385" i="11"/>
  <c r="AX385" i="11"/>
  <c r="AN385" i="11"/>
  <c r="AV385" i="11"/>
  <c r="AW385" i="11"/>
  <c r="AI385" i="11"/>
  <c r="L378" i="11"/>
  <c r="Q378" i="11"/>
  <c r="N378" i="11"/>
  <c r="O378" i="11"/>
  <c r="P378" i="11"/>
  <c r="R378" i="11"/>
  <c r="V378" i="11"/>
  <c r="U378" i="11"/>
  <c r="T378" i="11"/>
  <c r="W378" i="11"/>
  <c r="X378" i="11"/>
  <c r="I378" i="11"/>
  <c r="H379" i="11"/>
  <c r="J379" i="11" s="1"/>
  <c r="K378" i="11"/>
  <c r="AL386" i="11" l="1"/>
  <c r="AP386" i="11"/>
  <c r="AT386" i="11"/>
  <c r="AN386" i="11"/>
  <c r="AR386" i="11"/>
  <c r="AU386" i="11"/>
  <c r="AQ386" i="11"/>
  <c r="AW386" i="11"/>
  <c r="AV386" i="11"/>
  <c r="AI386" i="11"/>
  <c r="AK386" i="11"/>
  <c r="AH387" i="11"/>
  <c r="AJ387" i="11" s="1"/>
  <c r="AO386" i="11"/>
  <c r="AX386" i="11"/>
  <c r="L379" i="11"/>
  <c r="R379" i="11"/>
  <c r="P379" i="11"/>
  <c r="Q379" i="11"/>
  <c r="O379" i="11"/>
  <c r="N379" i="11"/>
  <c r="X379" i="11"/>
  <c r="V379" i="11"/>
  <c r="U379" i="11"/>
  <c r="T379" i="11"/>
  <c r="W379" i="11"/>
  <c r="K379" i="11"/>
  <c r="I379" i="11"/>
  <c r="H380" i="11"/>
  <c r="J380" i="11" s="1"/>
  <c r="AL387" i="11" l="1"/>
  <c r="AN387" i="11"/>
  <c r="AV387" i="11"/>
  <c r="AK387" i="11"/>
  <c r="AR387" i="11"/>
  <c r="AQ387" i="11"/>
  <c r="AW387" i="11"/>
  <c r="AP387" i="11"/>
  <c r="AT387" i="11"/>
  <c r="AX387" i="11"/>
  <c r="AH388" i="11"/>
  <c r="AJ388" i="11" s="1"/>
  <c r="AO387" i="11"/>
  <c r="AU387" i="11"/>
  <c r="AI387" i="11"/>
  <c r="L380" i="11"/>
  <c r="O380" i="11"/>
  <c r="Q380" i="11"/>
  <c r="P380" i="11"/>
  <c r="N380" i="11"/>
  <c r="R380" i="11"/>
  <c r="X380" i="11"/>
  <c r="U380" i="11"/>
  <c r="T380" i="11"/>
  <c r="W380" i="11"/>
  <c r="V380" i="11"/>
  <c r="H381" i="11"/>
  <c r="J381" i="11" s="1"/>
  <c r="I380" i="11"/>
  <c r="K380" i="11"/>
  <c r="AL388" i="11" l="1"/>
  <c r="AN388" i="11"/>
  <c r="AP388" i="11"/>
  <c r="AU388" i="11"/>
  <c r="AO388" i="11"/>
  <c r="AW388" i="11"/>
  <c r="AX388" i="11"/>
  <c r="AQ388" i="11"/>
  <c r="AT388" i="11"/>
  <c r="AI388" i="11"/>
  <c r="AR388" i="11"/>
  <c r="AV388" i="11"/>
  <c r="AK388" i="11"/>
  <c r="AH389" i="11"/>
  <c r="AJ389" i="11" s="1"/>
  <c r="L381" i="11"/>
  <c r="P381" i="11"/>
  <c r="N381" i="11"/>
  <c r="Q381" i="11"/>
  <c r="O381" i="11"/>
  <c r="R381" i="11"/>
  <c r="W381" i="11"/>
  <c r="V381" i="11"/>
  <c r="U381" i="11"/>
  <c r="X381" i="11"/>
  <c r="T381" i="11"/>
  <c r="K381" i="11"/>
  <c r="I381" i="11"/>
  <c r="H382" i="11"/>
  <c r="J382" i="11" s="1"/>
  <c r="AI389" i="11" l="1"/>
  <c r="AO389" i="11"/>
  <c r="AR389" i="11"/>
  <c r="AT389" i="11"/>
  <c r="AN389" i="11"/>
  <c r="AU389" i="11"/>
  <c r="AW389" i="11"/>
  <c r="AQ389" i="11"/>
  <c r="AX389" i="11"/>
  <c r="AK389" i="11"/>
  <c r="AL389" i="11"/>
  <c r="AP389" i="11"/>
  <c r="AV389" i="11"/>
  <c r="AH390" i="11"/>
  <c r="AJ390" i="11" s="1"/>
  <c r="L382" i="11"/>
  <c r="R382" i="11"/>
  <c r="O382" i="11"/>
  <c r="P382" i="11"/>
  <c r="Q382" i="11"/>
  <c r="N382" i="11"/>
  <c r="T382" i="11"/>
  <c r="W382" i="11"/>
  <c r="X382" i="11"/>
  <c r="U382" i="11"/>
  <c r="V382" i="11"/>
  <c r="K382" i="11"/>
  <c r="H383" i="11"/>
  <c r="J383" i="11" s="1"/>
  <c r="I382" i="11"/>
  <c r="AL390" i="11" l="1"/>
  <c r="AO390" i="11"/>
  <c r="AV390" i="11"/>
  <c r="AN390" i="11"/>
  <c r="AQ390" i="11"/>
  <c r="AX390" i="11"/>
  <c r="AI390" i="11"/>
  <c r="AP390" i="11"/>
  <c r="AT390" i="11"/>
  <c r="AU390" i="11"/>
  <c r="AH391" i="11"/>
  <c r="AJ391" i="11" s="1"/>
  <c r="AK390" i="11"/>
  <c r="AR390" i="11"/>
  <c r="AW390" i="11"/>
  <c r="L383" i="11"/>
  <c r="R383" i="11"/>
  <c r="N383" i="11"/>
  <c r="Q383" i="11"/>
  <c r="P383" i="11"/>
  <c r="O383" i="11"/>
  <c r="V383" i="11"/>
  <c r="X383" i="11"/>
  <c r="U383" i="11"/>
  <c r="W383" i="11"/>
  <c r="T383" i="11"/>
  <c r="H384" i="11"/>
  <c r="J384" i="11" s="1"/>
  <c r="K383" i="11"/>
  <c r="I383" i="11"/>
  <c r="AL391" i="11" l="1"/>
  <c r="AQ391" i="11"/>
  <c r="AN391" i="11"/>
  <c r="AO391" i="11"/>
  <c r="AW391" i="11"/>
  <c r="AR391" i="11"/>
  <c r="AU391" i="11"/>
  <c r="AX391" i="11"/>
  <c r="AH392" i="11"/>
  <c r="AJ392" i="11" s="1"/>
  <c r="AK391" i="11"/>
  <c r="AP391" i="11"/>
  <c r="AT391" i="11"/>
  <c r="AI391" i="11"/>
  <c r="AV391" i="11"/>
  <c r="L384" i="11"/>
  <c r="Q384" i="11"/>
  <c r="R384" i="11"/>
  <c r="O384" i="11"/>
  <c r="N384" i="11"/>
  <c r="P384" i="11"/>
  <c r="T384" i="11"/>
  <c r="W384" i="11"/>
  <c r="V384" i="11"/>
  <c r="U384" i="11"/>
  <c r="X384" i="11"/>
  <c r="I384" i="11"/>
  <c r="H385" i="11"/>
  <c r="J385" i="11" s="1"/>
  <c r="K384" i="11"/>
  <c r="AQ392" i="11" l="1"/>
  <c r="AR392" i="11"/>
  <c r="AO392" i="11"/>
  <c r="AV392" i="11"/>
  <c r="AN392" i="11"/>
  <c r="AW392" i="11"/>
  <c r="AI392" i="11"/>
  <c r="AL392" i="11"/>
  <c r="AX392" i="11"/>
  <c r="AK392" i="11"/>
  <c r="AP392" i="11"/>
  <c r="AU392" i="11"/>
  <c r="AT392" i="11"/>
  <c r="AH393" i="11"/>
  <c r="AJ393" i="11" s="1"/>
  <c r="L385" i="11"/>
  <c r="N385" i="11"/>
  <c r="P385" i="11"/>
  <c r="R385" i="11"/>
  <c r="Q385" i="11"/>
  <c r="O385" i="11"/>
  <c r="V385" i="11"/>
  <c r="X385" i="11"/>
  <c r="U385" i="11"/>
  <c r="T385" i="11"/>
  <c r="W385" i="11"/>
  <c r="K385" i="11"/>
  <c r="H386" i="11"/>
  <c r="J386" i="11" s="1"/>
  <c r="I385" i="11"/>
  <c r="AL393" i="11" l="1"/>
  <c r="AR393" i="11"/>
  <c r="AV393" i="11"/>
  <c r="AI393" i="11"/>
  <c r="AN393" i="11"/>
  <c r="AQ393" i="11"/>
  <c r="AP393" i="11"/>
  <c r="AT393" i="11"/>
  <c r="AH394" i="11"/>
  <c r="AJ394" i="11" s="1"/>
  <c r="AU393" i="11"/>
  <c r="AO393" i="11"/>
  <c r="AW393" i="11"/>
  <c r="AX393" i="11"/>
  <c r="AK393" i="11"/>
  <c r="L386" i="11"/>
  <c r="O386" i="11"/>
  <c r="R386" i="11"/>
  <c r="N386" i="11"/>
  <c r="Q386" i="11"/>
  <c r="P386" i="11"/>
  <c r="T386" i="11"/>
  <c r="W386" i="11"/>
  <c r="X386" i="11"/>
  <c r="V386" i="11"/>
  <c r="U386" i="11"/>
  <c r="I386" i="11"/>
  <c r="H387" i="11"/>
  <c r="J387" i="11" s="1"/>
  <c r="K386" i="11"/>
  <c r="AL394" i="11" l="1"/>
  <c r="AP394" i="11"/>
  <c r="AV394" i="11"/>
  <c r="AK394" i="11"/>
  <c r="AT394" i="11"/>
  <c r="AO394" i="11"/>
  <c r="AQ394" i="11"/>
  <c r="AU394" i="11"/>
  <c r="AN394" i="11"/>
  <c r="AX394" i="11"/>
  <c r="AW394" i="11"/>
  <c r="AH395" i="11"/>
  <c r="AJ395" i="11" s="1"/>
  <c r="AR394" i="11"/>
  <c r="AI394" i="11"/>
  <c r="L387" i="11"/>
  <c r="P387" i="11"/>
  <c r="R387" i="11"/>
  <c r="O387" i="11"/>
  <c r="Q387" i="11"/>
  <c r="N387" i="11"/>
  <c r="W387" i="11"/>
  <c r="T387" i="11"/>
  <c r="V387" i="11"/>
  <c r="X387" i="11"/>
  <c r="U387" i="11"/>
  <c r="K387" i="11"/>
  <c r="I387" i="11"/>
  <c r="H388" i="11"/>
  <c r="J388" i="11" s="1"/>
  <c r="AQ395" i="11" l="1"/>
  <c r="AW395" i="11"/>
  <c r="AK395" i="11"/>
  <c r="AO395" i="11"/>
  <c r="AI395" i="11"/>
  <c r="AR395" i="11"/>
  <c r="AP395" i="11"/>
  <c r="AU395" i="11"/>
  <c r="AN395" i="11"/>
  <c r="AT395" i="11"/>
  <c r="AX395" i="11"/>
  <c r="AH396" i="11"/>
  <c r="AJ396" i="11" s="1"/>
  <c r="AL395" i="11"/>
  <c r="AV395" i="11"/>
  <c r="L388" i="11"/>
  <c r="N388" i="11"/>
  <c r="R388" i="11"/>
  <c r="O388" i="11"/>
  <c r="Q388" i="11"/>
  <c r="P388" i="11"/>
  <c r="T388" i="11"/>
  <c r="V388" i="11"/>
  <c r="W388" i="11"/>
  <c r="X388" i="11"/>
  <c r="U388" i="11"/>
  <c r="H389" i="11"/>
  <c r="J389" i="11" s="1"/>
  <c r="K388" i="11"/>
  <c r="I388" i="11"/>
  <c r="AL396" i="11" l="1"/>
  <c r="AP396" i="11"/>
  <c r="AV396" i="11"/>
  <c r="AH397" i="11"/>
  <c r="AJ397" i="11" s="1"/>
  <c r="AK396" i="11"/>
  <c r="AQ396" i="11"/>
  <c r="AN396" i="11"/>
  <c r="AW396" i="11"/>
  <c r="AO396" i="11"/>
  <c r="AX396" i="11"/>
  <c r="AU396" i="11"/>
  <c r="AI396" i="11"/>
  <c r="AR396" i="11"/>
  <c r="AT396" i="11"/>
  <c r="L389" i="11"/>
  <c r="O389" i="11"/>
  <c r="N389" i="11"/>
  <c r="P389" i="11"/>
  <c r="R389" i="11"/>
  <c r="Q389" i="11"/>
  <c r="X389" i="11"/>
  <c r="V389" i="11"/>
  <c r="T389" i="11"/>
  <c r="U389" i="11"/>
  <c r="W389" i="11"/>
  <c r="K389" i="11"/>
  <c r="I389" i="11"/>
  <c r="H390" i="11"/>
  <c r="J390" i="11" s="1"/>
  <c r="AP397" i="11" l="1"/>
  <c r="AQ397" i="11"/>
  <c r="AT397" i="11"/>
  <c r="AK397" i="11"/>
  <c r="AN397" i="11"/>
  <c r="AU397" i="11"/>
  <c r="AH398" i="11"/>
  <c r="AJ398" i="11" s="1"/>
  <c r="AL397" i="11"/>
  <c r="AO397" i="11"/>
  <c r="AR397" i="11"/>
  <c r="AW397" i="11"/>
  <c r="AX397" i="11"/>
  <c r="AV397" i="11"/>
  <c r="AI397" i="11"/>
  <c r="L390" i="11"/>
  <c r="P390" i="11"/>
  <c r="Q390" i="11"/>
  <c r="N390" i="11"/>
  <c r="O390" i="11"/>
  <c r="R390" i="11"/>
  <c r="X390" i="11"/>
  <c r="U390" i="11"/>
  <c r="T390" i="11"/>
  <c r="W390" i="11"/>
  <c r="V390" i="11"/>
  <c r="K390" i="11"/>
  <c r="H391" i="11"/>
  <c r="J391" i="11" s="1"/>
  <c r="I390" i="11"/>
  <c r="AL398" i="11" l="1"/>
  <c r="AN398" i="11"/>
  <c r="AX398" i="11"/>
  <c r="AK398" i="11"/>
  <c r="AR398" i="11"/>
  <c r="AQ398" i="11"/>
  <c r="AW398" i="11"/>
  <c r="AO398" i="11"/>
  <c r="AT398" i="11"/>
  <c r="AV398" i="11"/>
  <c r="AH399" i="11"/>
  <c r="AJ399" i="11" s="1"/>
  <c r="AP398" i="11"/>
  <c r="AU398" i="11"/>
  <c r="AI398" i="11"/>
  <c r="L391" i="11"/>
  <c r="P391" i="11"/>
  <c r="N391" i="11"/>
  <c r="Q391" i="11"/>
  <c r="R391" i="11"/>
  <c r="O391" i="11"/>
  <c r="U391" i="11"/>
  <c r="T391" i="11"/>
  <c r="V391" i="11"/>
  <c r="W391" i="11"/>
  <c r="X391" i="11"/>
  <c r="K391" i="11"/>
  <c r="I391" i="11"/>
  <c r="H392" i="11"/>
  <c r="J392" i="11" s="1"/>
  <c r="AO399" i="11" l="1"/>
  <c r="AU399" i="11"/>
  <c r="AK399" i="11"/>
  <c r="AI399" i="11"/>
  <c r="AN399" i="11"/>
  <c r="AR399" i="11"/>
  <c r="AW399" i="11"/>
  <c r="AL399" i="11"/>
  <c r="AT399" i="11"/>
  <c r="AQ399" i="11"/>
  <c r="AV399" i="11"/>
  <c r="AX399" i="11"/>
  <c r="AH400" i="11"/>
  <c r="AJ400" i="11" s="1"/>
  <c r="AP399" i="11"/>
  <c r="L392" i="11"/>
  <c r="R392" i="11"/>
  <c r="O392" i="11"/>
  <c r="N392" i="11"/>
  <c r="Q392" i="11"/>
  <c r="P392" i="11"/>
  <c r="V392" i="11"/>
  <c r="U392" i="11"/>
  <c r="W392" i="11"/>
  <c r="X392" i="11"/>
  <c r="T392" i="11"/>
  <c r="K392" i="11"/>
  <c r="I392" i="11"/>
  <c r="H393" i="11"/>
  <c r="J393" i="11" s="1"/>
  <c r="AL400" i="11" l="1"/>
  <c r="AQ400" i="11"/>
  <c r="AT400" i="11"/>
  <c r="AO400" i="11"/>
  <c r="AP400" i="11"/>
  <c r="AV400" i="11"/>
  <c r="AR400" i="11"/>
  <c r="AX400" i="11"/>
  <c r="AW400" i="11"/>
  <c r="AH401" i="11"/>
  <c r="AJ401" i="11" s="1"/>
  <c r="AN400" i="11"/>
  <c r="AU400" i="11"/>
  <c r="AI400" i="11"/>
  <c r="AK400" i="11"/>
  <c r="L393" i="11"/>
  <c r="Q393" i="11"/>
  <c r="O393" i="11"/>
  <c r="P393" i="11"/>
  <c r="R393" i="11"/>
  <c r="N393" i="11"/>
  <c r="V393" i="11"/>
  <c r="T393" i="11"/>
  <c r="X393" i="11"/>
  <c r="W393" i="11"/>
  <c r="U393" i="11"/>
  <c r="K393" i="11"/>
  <c r="I393" i="11"/>
  <c r="H394" i="11"/>
  <c r="J394" i="11" s="1"/>
  <c r="AL401" i="11" l="1"/>
  <c r="AN401" i="11"/>
  <c r="AT401" i="11"/>
  <c r="AK401" i="11"/>
  <c r="AQ401" i="11"/>
  <c r="AO401" i="11"/>
  <c r="AW401" i="11"/>
  <c r="AR401" i="11"/>
  <c r="AX401" i="11"/>
  <c r="AV401" i="11"/>
  <c r="AP401" i="11"/>
  <c r="AU401" i="11"/>
  <c r="AI401" i="11"/>
  <c r="AH402" i="11"/>
  <c r="AJ402" i="11" s="1"/>
  <c r="L394" i="11"/>
  <c r="O394" i="11"/>
  <c r="N394" i="11"/>
  <c r="R394" i="11"/>
  <c r="Q394" i="11"/>
  <c r="P394" i="11"/>
  <c r="V394" i="11"/>
  <c r="U394" i="11"/>
  <c r="X394" i="11"/>
  <c r="T394" i="11"/>
  <c r="W394" i="11"/>
  <c r="I394" i="11"/>
  <c r="H395" i="11"/>
  <c r="J395" i="11" s="1"/>
  <c r="K394" i="11"/>
  <c r="AL402" i="11" l="1"/>
  <c r="AU402" i="11"/>
  <c r="AN402" i="11"/>
  <c r="AO402" i="11"/>
  <c r="AV402" i="11"/>
  <c r="AT402" i="11"/>
  <c r="AX402" i="11"/>
  <c r="AQ402" i="11"/>
  <c r="AI402" i="11"/>
  <c r="AH403" i="11"/>
  <c r="AJ403" i="11" s="1"/>
  <c r="AR402" i="11"/>
  <c r="AW402" i="11"/>
  <c r="AK402" i="11"/>
  <c r="AP402" i="11"/>
  <c r="L395" i="11"/>
  <c r="Q395" i="11"/>
  <c r="R395" i="11"/>
  <c r="P395" i="11"/>
  <c r="N395" i="11"/>
  <c r="O395" i="11"/>
  <c r="V395" i="11"/>
  <c r="W395" i="11"/>
  <c r="U395" i="11"/>
  <c r="T395" i="11"/>
  <c r="X395" i="11"/>
  <c r="H396" i="11"/>
  <c r="J396" i="11" s="1"/>
  <c r="K395" i="11"/>
  <c r="I395" i="11"/>
  <c r="AL403" i="11" l="1"/>
  <c r="AP403" i="11"/>
  <c r="AW403" i="11"/>
  <c r="AK403" i="11"/>
  <c r="AO403" i="11"/>
  <c r="AR403" i="11"/>
  <c r="AV403" i="11"/>
  <c r="AN403" i="11"/>
  <c r="AT403" i="11"/>
  <c r="AU403" i="11"/>
  <c r="AH404" i="11"/>
  <c r="AJ404" i="11" s="1"/>
  <c r="AQ403" i="11"/>
  <c r="AX403" i="11"/>
  <c r="AI403" i="11"/>
  <c r="L396" i="11"/>
  <c r="R396" i="11"/>
  <c r="Q396" i="11"/>
  <c r="P396" i="11"/>
  <c r="N396" i="11"/>
  <c r="O396" i="11"/>
  <c r="V396" i="11"/>
  <c r="W396" i="11"/>
  <c r="U396" i="11"/>
  <c r="X396" i="11"/>
  <c r="T396" i="11"/>
  <c r="I396" i="11"/>
  <c r="K396" i="11"/>
  <c r="H397" i="11"/>
  <c r="J397" i="11" s="1"/>
  <c r="AL404" i="11" l="1"/>
  <c r="AP404" i="11"/>
  <c r="AU404" i="11"/>
  <c r="AR404" i="11"/>
  <c r="AQ404" i="11"/>
  <c r="AV404" i="11"/>
  <c r="AK404" i="11"/>
  <c r="AH405" i="11"/>
  <c r="AJ405" i="11" s="1"/>
  <c r="AO404" i="11"/>
  <c r="AW404" i="11"/>
  <c r="AX404" i="11"/>
  <c r="AI404" i="11"/>
  <c r="AN404" i="11"/>
  <c r="AT404" i="11"/>
  <c r="L397" i="11"/>
  <c r="Q397" i="11"/>
  <c r="N397" i="11"/>
  <c r="P397" i="11"/>
  <c r="R397" i="11"/>
  <c r="O397" i="11"/>
  <c r="T397" i="11"/>
  <c r="W397" i="11"/>
  <c r="V397" i="11"/>
  <c r="U397" i="11"/>
  <c r="X397" i="11"/>
  <c r="H398" i="11"/>
  <c r="J398" i="11" s="1"/>
  <c r="I397" i="11"/>
  <c r="K397" i="11"/>
  <c r="AQ405" i="11" l="1"/>
  <c r="AP405" i="11"/>
  <c r="AW405" i="11"/>
  <c r="AK405" i="11"/>
  <c r="AV405" i="11"/>
  <c r="AO405" i="11"/>
  <c r="AN405" i="11"/>
  <c r="AX405" i="11"/>
  <c r="AT405" i="11"/>
  <c r="AH406" i="11"/>
  <c r="AJ406" i="11" s="1"/>
  <c r="AI405" i="11"/>
  <c r="AL405" i="11"/>
  <c r="AR405" i="11"/>
  <c r="AU405" i="11"/>
  <c r="L398" i="11"/>
  <c r="R398" i="11"/>
  <c r="O398" i="11"/>
  <c r="Q398" i="11"/>
  <c r="N398" i="11"/>
  <c r="P398" i="11"/>
  <c r="T398" i="11"/>
  <c r="U398" i="11"/>
  <c r="W398" i="11"/>
  <c r="V398" i="11"/>
  <c r="X398" i="11"/>
  <c r="K398" i="11"/>
  <c r="I398" i="11"/>
  <c r="H399" i="11"/>
  <c r="J399" i="11" s="1"/>
  <c r="AL406" i="11" l="1"/>
  <c r="AR406" i="11"/>
  <c r="AX406" i="11"/>
  <c r="AP406" i="11"/>
  <c r="AQ406" i="11"/>
  <c r="AV406" i="11"/>
  <c r="AO406" i="11"/>
  <c r="AU406" i="11"/>
  <c r="AW406" i="11"/>
  <c r="AH407" i="11"/>
  <c r="AJ407" i="11" s="1"/>
  <c r="AN406" i="11"/>
  <c r="AT406" i="11"/>
  <c r="AI406" i="11"/>
  <c r="AK406" i="11"/>
  <c r="L399" i="11"/>
  <c r="Q399" i="11"/>
  <c r="N399" i="11"/>
  <c r="O399" i="11"/>
  <c r="P399" i="11"/>
  <c r="R399" i="11"/>
  <c r="V399" i="11"/>
  <c r="T399" i="11"/>
  <c r="U399" i="11"/>
  <c r="X399" i="11"/>
  <c r="W399" i="11"/>
  <c r="I399" i="11"/>
  <c r="K399" i="11"/>
  <c r="H400" i="11"/>
  <c r="J400" i="11" s="1"/>
  <c r="AL407" i="11" l="1"/>
  <c r="AO407" i="11"/>
  <c r="AV407" i="11"/>
  <c r="AN407" i="11"/>
  <c r="AQ407" i="11"/>
  <c r="AW407" i="11"/>
  <c r="AR407" i="11"/>
  <c r="AX407" i="11"/>
  <c r="AT407" i="11"/>
  <c r="AP407" i="11"/>
  <c r="AU407" i="11"/>
  <c r="AI407" i="11"/>
  <c r="AK407" i="11"/>
  <c r="AH408" i="11"/>
  <c r="AJ408" i="11" s="1"/>
  <c r="L400" i="11"/>
  <c r="R400" i="11"/>
  <c r="Q400" i="11"/>
  <c r="N400" i="11"/>
  <c r="O400" i="11"/>
  <c r="P400" i="11"/>
  <c r="V400" i="11"/>
  <c r="W400" i="11"/>
  <c r="U400" i="11"/>
  <c r="T400" i="11"/>
  <c r="X400" i="11"/>
  <c r="I400" i="11"/>
  <c r="H401" i="11"/>
  <c r="J401" i="11" s="1"/>
  <c r="K400" i="11"/>
  <c r="AR408" i="11" l="1"/>
  <c r="AP408" i="11"/>
  <c r="AU408" i="11"/>
  <c r="AO408" i="11"/>
  <c r="AX408" i="11"/>
  <c r="AV408" i="11"/>
  <c r="AN408" i="11"/>
  <c r="AT408" i="11"/>
  <c r="AK408" i="11"/>
  <c r="AL408" i="11"/>
  <c r="AQ408" i="11"/>
  <c r="AW408" i="11"/>
  <c r="AH409" i="11"/>
  <c r="AJ409" i="11" s="1"/>
  <c r="AI408" i="11"/>
  <c r="L401" i="11"/>
  <c r="P401" i="11"/>
  <c r="R401" i="11"/>
  <c r="Q401" i="11"/>
  <c r="N401" i="11"/>
  <c r="O401" i="11"/>
  <c r="T401" i="11"/>
  <c r="W401" i="11"/>
  <c r="X401" i="11"/>
  <c r="V401" i="11"/>
  <c r="U401" i="11"/>
  <c r="K401" i="11"/>
  <c r="I401" i="11"/>
  <c r="H402" i="11"/>
  <c r="J402" i="11" s="1"/>
  <c r="AH410" i="11" l="1"/>
  <c r="AJ410" i="11" s="1"/>
  <c r="AQ409" i="11"/>
  <c r="AR409" i="11"/>
  <c r="AT409" i="11"/>
  <c r="AN409" i="11"/>
  <c r="AX409" i="11"/>
  <c r="AV409" i="11"/>
  <c r="AP409" i="11"/>
  <c r="AU409" i="11"/>
  <c r="AK409" i="11"/>
  <c r="AL409" i="11"/>
  <c r="AO409" i="11"/>
  <c r="AW409" i="11"/>
  <c r="AI409" i="11"/>
  <c r="L402" i="11"/>
  <c r="N402" i="11"/>
  <c r="Q402" i="11"/>
  <c r="O402" i="11"/>
  <c r="P402" i="11"/>
  <c r="R402" i="11"/>
  <c r="W402" i="11"/>
  <c r="T402" i="11"/>
  <c r="U402" i="11"/>
  <c r="V402" i="11"/>
  <c r="X402" i="11"/>
  <c r="K402" i="11"/>
  <c r="H403" i="11"/>
  <c r="J403" i="11" s="1"/>
  <c r="I402" i="11"/>
  <c r="AL410" i="11" l="1"/>
  <c r="AV410" i="11"/>
  <c r="AO410" i="11"/>
  <c r="AR410" i="11"/>
  <c r="AX410" i="11"/>
  <c r="AW410" i="11"/>
  <c r="AI410" i="11"/>
  <c r="AP410" i="11"/>
  <c r="AU410" i="11"/>
  <c r="AQ410" i="11"/>
  <c r="AT410" i="11"/>
  <c r="AK410" i="11"/>
  <c r="AN410" i="11"/>
  <c r="AH411" i="11"/>
  <c r="AJ411" i="11" s="1"/>
  <c r="L403" i="11"/>
  <c r="R403" i="11"/>
  <c r="O403" i="11"/>
  <c r="Q403" i="11"/>
  <c r="P403" i="11"/>
  <c r="N403" i="11"/>
  <c r="U403" i="11"/>
  <c r="X403" i="11"/>
  <c r="W403" i="11"/>
  <c r="V403" i="11"/>
  <c r="T403" i="11"/>
  <c r="H404" i="11"/>
  <c r="J404" i="11" s="1"/>
  <c r="K403" i="11"/>
  <c r="I403" i="11"/>
  <c r="AQ411" i="11" l="1"/>
  <c r="AO411" i="11"/>
  <c r="AV411" i="11"/>
  <c r="AT411" i="11"/>
  <c r="AU411" i="11"/>
  <c r="AH412" i="11"/>
  <c r="AJ412" i="11" s="1"/>
  <c r="AK411" i="11"/>
  <c r="AR411" i="11"/>
  <c r="AL411" i="11"/>
  <c r="AN411" i="11"/>
  <c r="AX411" i="11"/>
  <c r="AI411" i="11"/>
  <c r="AP411" i="11"/>
  <c r="AW411" i="11"/>
  <c r="L404" i="11"/>
  <c r="Q404" i="11"/>
  <c r="O404" i="11"/>
  <c r="R404" i="11"/>
  <c r="N404" i="11"/>
  <c r="P404" i="11"/>
  <c r="U404" i="11"/>
  <c r="V404" i="11"/>
  <c r="W404" i="11"/>
  <c r="T404" i="11"/>
  <c r="X404" i="11"/>
  <c r="K404" i="11"/>
  <c r="H405" i="11"/>
  <c r="J405" i="11" s="1"/>
  <c r="I404" i="11"/>
  <c r="AL412" i="11" l="1"/>
  <c r="AU412" i="11"/>
  <c r="AR412" i="11"/>
  <c r="AP412" i="11"/>
  <c r="AX412" i="11"/>
  <c r="AO412" i="11"/>
  <c r="AT412" i="11"/>
  <c r="AK412" i="11"/>
  <c r="AN412" i="11"/>
  <c r="AW412" i="11"/>
  <c r="AI412" i="11"/>
  <c r="AQ412" i="11"/>
  <c r="AH413" i="11"/>
  <c r="AJ413" i="11" s="1"/>
  <c r="AV412" i="11"/>
  <c r="L405" i="11"/>
  <c r="Q405" i="11"/>
  <c r="R405" i="11"/>
  <c r="N405" i="11"/>
  <c r="O405" i="11"/>
  <c r="P405" i="11"/>
  <c r="T405" i="11"/>
  <c r="U405" i="11"/>
  <c r="W405" i="11"/>
  <c r="X405" i="11"/>
  <c r="V405" i="11"/>
  <c r="H406" i="11"/>
  <c r="J406" i="11" s="1"/>
  <c r="K405" i="11"/>
  <c r="I405" i="11"/>
  <c r="AL413" i="11" l="1"/>
  <c r="AP413" i="11"/>
  <c r="AX413" i="11"/>
  <c r="AQ413" i="11"/>
  <c r="AO413" i="11"/>
  <c r="AV413" i="11"/>
  <c r="AR413" i="11"/>
  <c r="AU413" i="11"/>
  <c r="AT413" i="11"/>
  <c r="AK413" i="11"/>
  <c r="AH414" i="11"/>
  <c r="AJ414" i="11" s="1"/>
  <c r="AI413" i="11"/>
  <c r="AN413" i="11"/>
  <c r="AW413" i="11"/>
  <c r="L406" i="11"/>
  <c r="P406" i="11"/>
  <c r="O406" i="11"/>
  <c r="N406" i="11"/>
  <c r="R406" i="11"/>
  <c r="Q406" i="11"/>
  <c r="V406" i="11"/>
  <c r="U406" i="11"/>
  <c r="T406" i="11"/>
  <c r="X406" i="11"/>
  <c r="W406" i="11"/>
  <c r="K406" i="11"/>
  <c r="I406" i="11"/>
  <c r="H407" i="11"/>
  <c r="J407" i="11" s="1"/>
  <c r="AL414" i="11" l="1"/>
  <c r="AR414" i="11"/>
  <c r="AN414" i="11"/>
  <c r="AV414" i="11"/>
  <c r="AP414" i="11"/>
  <c r="AU414" i="11"/>
  <c r="AX414" i="11"/>
  <c r="AI414" i="11"/>
  <c r="AO414" i="11"/>
  <c r="AT414" i="11"/>
  <c r="AK414" i="11"/>
  <c r="AQ414" i="11"/>
  <c r="AW414" i="11"/>
  <c r="AH415" i="11"/>
  <c r="AJ415" i="11" s="1"/>
  <c r="L407" i="11"/>
  <c r="R407" i="11"/>
  <c r="P407" i="11"/>
  <c r="O407" i="11"/>
  <c r="N407" i="11"/>
  <c r="Q407" i="11"/>
  <c r="U407" i="11"/>
  <c r="V407" i="11"/>
  <c r="X407" i="11"/>
  <c r="W407" i="11"/>
  <c r="T407" i="11"/>
  <c r="H408" i="11"/>
  <c r="J408" i="11" s="1"/>
  <c r="K407" i="11"/>
  <c r="I407" i="11"/>
  <c r="AO415" i="11" l="1"/>
  <c r="AV415" i="11"/>
  <c r="AH416" i="11"/>
  <c r="AJ416" i="11" s="1"/>
  <c r="AP415" i="11"/>
  <c r="AR415" i="11"/>
  <c r="AW415" i="11"/>
  <c r="AN415" i="11"/>
  <c r="AU415" i="11"/>
  <c r="AI415" i="11"/>
  <c r="AT415" i="11"/>
  <c r="AL415" i="11"/>
  <c r="AQ415" i="11"/>
  <c r="AX415" i="11"/>
  <c r="AK415" i="11"/>
  <c r="L408" i="11"/>
  <c r="R408" i="11"/>
  <c r="N408" i="11"/>
  <c r="P408" i="11"/>
  <c r="Q408" i="11"/>
  <c r="O408" i="11"/>
  <c r="T408" i="11"/>
  <c r="W408" i="11"/>
  <c r="U408" i="11"/>
  <c r="V408" i="11"/>
  <c r="X408" i="11"/>
  <c r="I408" i="11"/>
  <c r="K408" i="11"/>
  <c r="H409" i="11"/>
  <c r="J409" i="11" s="1"/>
  <c r="AO416" i="11" l="1"/>
  <c r="AV416" i="11"/>
  <c r="AH417" i="11"/>
  <c r="AJ417" i="11" s="1"/>
  <c r="AI416" i="11"/>
  <c r="AP416" i="11"/>
  <c r="AT416" i="11"/>
  <c r="AX416" i="11"/>
  <c r="AN416" i="11"/>
  <c r="AW416" i="11"/>
  <c r="AL416" i="11"/>
  <c r="AQ416" i="11"/>
  <c r="AU416" i="11"/>
  <c r="AK416" i="11"/>
  <c r="AR416" i="11"/>
  <c r="L409" i="11"/>
  <c r="P409" i="11"/>
  <c r="Q409" i="11"/>
  <c r="O409" i="11"/>
  <c r="N409" i="11"/>
  <c r="R409" i="11"/>
  <c r="W409" i="11"/>
  <c r="T409" i="11"/>
  <c r="U409" i="11"/>
  <c r="X409" i="11"/>
  <c r="V409" i="11"/>
  <c r="K409" i="11"/>
  <c r="I409" i="11"/>
  <c r="H410" i="11"/>
  <c r="J410" i="11" s="1"/>
  <c r="AP417" i="11" l="1"/>
  <c r="AO417" i="11"/>
  <c r="AU417" i="11"/>
  <c r="AK417" i="11"/>
  <c r="AR417" i="11"/>
  <c r="AW417" i="11"/>
  <c r="AQ417" i="11"/>
  <c r="AT417" i="11"/>
  <c r="AV417" i="11"/>
  <c r="AH418" i="11"/>
  <c r="AJ418" i="11" s="1"/>
  <c r="AI417" i="11"/>
  <c r="AL417" i="11"/>
  <c r="AN417" i="11"/>
  <c r="AX417" i="11"/>
  <c r="L410" i="11"/>
  <c r="Q410" i="11"/>
  <c r="P410" i="11"/>
  <c r="R410" i="11"/>
  <c r="O410" i="11"/>
  <c r="N410" i="11"/>
  <c r="T410" i="11"/>
  <c r="X410" i="11"/>
  <c r="U410" i="11"/>
  <c r="V410" i="11"/>
  <c r="W410" i="11"/>
  <c r="K410" i="11"/>
  <c r="I410" i="11"/>
  <c r="H411" i="11"/>
  <c r="J411" i="11" s="1"/>
  <c r="AT418" i="11" l="1"/>
  <c r="AP418" i="11"/>
  <c r="AO418" i="11"/>
  <c r="AX418" i="11"/>
  <c r="AN418" i="11"/>
  <c r="AV418" i="11"/>
  <c r="AW418" i="11"/>
  <c r="AR418" i="11"/>
  <c r="AU418" i="11"/>
  <c r="AK418" i="11"/>
  <c r="AL418" i="11"/>
  <c r="AQ418" i="11"/>
  <c r="AH419" i="11"/>
  <c r="AJ419" i="11" s="1"/>
  <c r="AI418" i="11"/>
  <c r="L411" i="11"/>
  <c r="R411" i="11"/>
  <c r="Q411" i="11"/>
  <c r="P411" i="11"/>
  <c r="N411" i="11"/>
  <c r="O411" i="11"/>
  <c r="T411" i="11"/>
  <c r="X411" i="11"/>
  <c r="W411" i="11"/>
  <c r="V411" i="11"/>
  <c r="U411" i="11"/>
  <c r="I411" i="11"/>
  <c r="K411" i="11"/>
  <c r="H412" i="11"/>
  <c r="J412" i="11" s="1"/>
  <c r="AL419" i="11" l="1"/>
  <c r="AU419" i="11"/>
  <c r="AH420" i="11"/>
  <c r="AJ420" i="11" s="1"/>
  <c r="AI419" i="11"/>
  <c r="AO419" i="11"/>
  <c r="AR419" i="11"/>
  <c r="AW419" i="11"/>
  <c r="AN419" i="11"/>
  <c r="AV419" i="11"/>
  <c r="AX419" i="11"/>
  <c r="AP419" i="11"/>
  <c r="AT419" i="11"/>
  <c r="AK419" i="11"/>
  <c r="AQ419" i="11"/>
  <c r="L412" i="11"/>
  <c r="P412" i="11"/>
  <c r="R412" i="11"/>
  <c r="N412" i="11"/>
  <c r="O412" i="11"/>
  <c r="Q412" i="11"/>
  <c r="T412" i="11"/>
  <c r="W412" i="11"/>
  <c r="U412" i="11"/>
  <c r="X412" i="11"/>
  <c r="V412" i="11"/>
  <c r="H413" i="11"/>
  <c r="J413" i="11" s="1"/>
  <c r="K412" i="11"/>
  <c r="I412" i="11"/>
  <c r="AL420" i="11" l="1"/>
  <c r="AP420" i="11"/>
  <c r="AT420" i="11"/>
  <c r="AQ420" i="11"/>
  <c r="AO420" i="11"/>
  <c r="AX420" i="11"/>
  <c r="AW420" i="11"/>
  <c r="AH421" i="11"/>
  <c r="AJ421" i="11" s="1"/>
  <c r="AR420" i="11"/>
  <c r="AU420" i="11"/>
  <c r="AI420" i="11"/>
  <c r="AK420" i="11"/>
  <c r="AN420" i="11"/>
  <c r="AV420" i="11"/>
  <c r="L413" i="11"/>
  <c r="N413" i="11"/>
  <c r="R413" i="11"/>
  <c r="Q413" i="11"/>
  <c r="P413" i="11"/>
  <c r="O413" i="11"/>
  <c r="X413" i="11"/>
  <c r="V413" i="11"/>
  <c r="T413" i="11"/>
  <c r="W413" i="11"/>
  <c r="U413" i="11"/>
  <c r="K413" i="11"/>
  <c r="I413" i="11"/>
  <c r="H414" i="11"/>
  <c r="J414" i="11" s="1"/>
  <c r="AQ421" i="11" l="1"/>
  <c r="AR421" i="11"/>
  <c r="AV421" i="11"/>
  <c r="AX421" i="11"/>
  <c r="AO421" i="11"/>
  <c r="AT421" i="11"/>
  <c r="AK421" i="11"/>
  <c r="AP421" i="11"/>
  <c r="AI421" i="11"/>
  <c r="AU421" i="11"/>
  <c r="AL421" i="11"/>
  <c r="AN421" i="11"/>
  <c r="AW421" i="11"/>
  <c r="L414" i="11"/>
  <c r="R414" i="11"/>
  <c r="Q414" i="11"/>
  <c r="O414" i="11"/>
  <c r="P414" i="11"/>
  <c r="N414" i="11"/>
  <c r="W414" i="11"/>
  <c r="V414" i="11"/>
  <c r="U414" i="11"/>
  <c r="X414" i="11"/>
  <c r="T414" i="11"/>
  <c r="K414" i="11"/>
  <c r="I414" i="11"/>
  <c r="H415" i="11"/>
  <c r="J415" i="11" s="1"/>
  <c r="AK17" i="11" l="1"/>
  <c r="AK18" i="11"/>
  <c r="AK16" i="11"/>
  <c r="L415" i="11"/>
  <c r="O415" i="11"/>
  <c r="N415" i="11"/>
  <c r="Q415" i="11"/>
  <c r="R415" i="11"/>
  <c r="P415" i="11"/>
  <c r="X415" i="11"/>
  <c r="V415" i="11"/>
  <c r="T415" i="11"/>
  <c r="W415" i="11"/>
  <c r="U415" i="11"/>
  <c r="K415" i="11"/>
  <c r="I415" i="11"/>
  <c r="H416" i="11"/>
  <c r="J416" i="11" s="1"/>
  <c r="L416" i="11" l="1"/>
  <c r="O416" i="11"/>
  <c r="Q416" i="11"/>
  <c r="N416" i="11"/>
  <c r="R416" i="11"/>
  <c r="P416" i="11"/>
  <c r="U416" i="11"/>
  <c r="V416" i="11"/>
  <c r="T416" i="11"/>
  <c r="W416" i="11"/>
  <c r="X416" i="11"/>
  <c r="K416" i="11"/>
  <c r="I416" i="11"/>
  <c r="H417" i="11"/>
  <c r="J417" i="11" s="1"/>
  <c r="L417" i="11" l="1"/>
  <c r="P417" i="11"/>
  <c r="R417" i="11"/>
  <c r="Q417" i="11"/>
  <c r="N417" i="11"/>
  <c r="O417" i="11"/>
  <c r="T417" i="11"/>
  <c r="W417" i="11"/>
  <c r="X417" i="11"/>
  <c r="U417" i="11"/>
  <c r="V417" i="11"/>
  <c r="I417" i="11"/>
  <c r="H418" i="11"/>
  <c r="J418" i="11" s="1"/>
  <c r="K417" i="11"/>
  <c r="L418" i="11" l="1"/>
  <c r="R418" i="11"/>
  <c r="N418" i="11"/>
  <c r="P418" i="11"/>
  <c r="O418" i="11"/>
  <c r="Q418" i="11"/>
  <c r="V418" i="11"/>
  <c r="U418" i="11"/>
  <c r="T418" i="11"/>
  <c r="X418" i="11"/>
  <c r="W418" i="11"/>
  <c r="K418" i="11"/>
  <c r="I418" i="11"/>
  <c r="H419" i="11"/>
  <c r="J419" i="11" s="1"/>
  <c r="L419" i="11" l="1"/>
  <c r="P419" i="11"/>
  <c r="R419" i="11"/>
  <c r="O419" i="11"/>
  <c r="N419" i="11"/>
  <c r="Q419" i="11"/>
  <c r="U419" i="11"/>
  <c r="W419" i="11"/>
  <c r="X419" i="11"/>
  <c r="V419" i="11"/>
  <c r="T419" i="11"/>
  <c r="H420" i="11"/>
  <c r="J420" i="11" s="1"/>
  <c r="I419" i="11"/>
  <c r="K419" i="11"/>
  <c r="L420" i="11" l="1"/>
  <c r="Q420" i="11"/>
  <c r="R420" i="11"/>
  <c r="O420" i="11"/>
  <c r="N420" i="11"/>
  <c r="P420" i="11"/>
  <c r="U420" i="11"/>
  <c r="V420" i="11"/>
  <c r="T420" i="11"/>
  <c r="X420" i="11"/>
  <c r="W420" i="11"/>
  <c r="K420" i="11"/>
  <c r="I420" i="11"/>
  <c r="H421" i="11"/>
  <c r="J421" i="11" s="1"/>
  <c r="L421" i="11" l="1"/>
  <c r="Q421" i="11"/>
  <c r="O421" i="11"/>
  <c r="N421" i="11"/>
  <c r="R421" i="11"/>
  <c r="P421" i="11"/>
  <c r="U421" i="11"/>
  <c r="W421" i="11"/>
  <c r="V421" i="11"/>
  <c r="T421" i="11"/>
  <c r="X421" i="11"/>
  <c r="K421" i="11"/>
  <c r="I421" i="11"/>
  <c r="AK15" i="11"/>
  <c r="K17" i="11" l="1"/>
  <c r="K16" i="11"/>
  <c r="AJ15" i="11" s="1"/>
  <c r="K18" i="11"/>
  <c r="K15" i="11" l="1"/>
  <c r="AS21" i="11"/>
  <c r="AM23" i="11"/>
  <c r="AY23" i="11" s="1"/>
  <c r="AS25" i="11"/>
  <c r="AM27" i="11"/>
  <c r="AY27" i="11" s="1"/>
  <c r="AS29" i="11"/>
  <c r="AM31" i="11"/>
  <c r="AY31" i="11" s="1"/>
  <c r="AM33" i="11"/>
  <c r="AY33" i="11" s="1"/>
  <c r="AM35" i="11"/>
  <c r="AY35" i="11" s="1"/>
  <c r="AS37" i="11"/>
  <c r="AS39" i="11"/>
  <c r="AM41" i="11"/>
  <c r="AY41" i="11" s="1"/>
  <c r="AM43" i="11"/>
  <c r="AY43" i="11" s="1"/>
  <c r="AM45" i="11"/>
  <c r="AY45" i="11" s="1"/>
  <c r="AM47" i="11"/>
  <c r="AY47" i="11" s="1"/>
  <c r="AS49" i="11"/>
  <c r="AM51" i="11"/>
  <c r="AY51" i="11" s="1"/>
  <c r="AM53" i="11"/>
  <c r="AY53" i="11" s="1"/>
  <c r="AM55" i="11"/>
  <c r="AY55" i="11" s="1"/>
  <c r="AS57" i="11"/>
  <c r="AS59" i="11"/>
  <c r="AS61" i="11"/>
  <c r="AM63" i="11"/>
  <c r="AY63" i="11" s="1"/>
  <c r="AS65" i="11"/>
  <c r="AS67" i="11"/>
  <c r="AS69" i="11"/>
  <c r="AM71" i="11"/>
  <c r="AY71" i="11" s="1"/>
  <c r="AS73" i="11"/>
  <c r="AS75" i="11"/>
  <c r="AS77" i="11"/>
  <c r="AM79" i="11"/>
  <c r="AY79" i="11" s="1"/>
  <c r="AS81" i="11"/>
  <c r="AM83" i="11"/>
  <c r="AY83" i="11" s="1"/>
  <c r="AS85" i="11"/>
  <c r="AS87" i="11"/>
  <c r="AS89" i="11"/>
  <c r="AS91" i="11"/>
  <c r="AM93" i="11"/>
  <c r="AY93" i="11" s="1"/>
  <c r="AS95" i="11"/>
  <c r="AM97" i="11"/>
  <c r="AY97" i="11" s="1"/>
  <c r="AM99" i="11"/>
  <c r="AY99" i="11" s="1"/>
  <c r="AM101" i="11"/>
  <c r="AY101" i="11" s="1"/>
  <c r="AM103" i="11"/>
  <c r="AY103" i="11" s="1"/>
  <c r="AM105" i="11"/>
  <c r="AY105" i="11" s="1"/>
  <c r="AS107" i="11"/>
  <c r="AS109" i="11"/>
  <c r="AS111" i="11"/>
  <c r="AM113" i="11"/>
  <c r="AY113" i="11" s="1"/>
  <c r="AS115" i="11"/>
  <c r="AM117" i="11"/>
  <c r="AY117" i="11" s="1"/>
  <c r="AM119" i="11"/>
  <c r="AY119" i="11" s="1"/>
  <c r="AM121" i="11"/>
  <c r="AY121" i="11" s="1"/>
  <c r="AM123" i="11"/>
  <c r="AY123" i="11" s="1"/>
  <c r="AM125" i="11"/>
  <c r="AY125" i="11" s="1"/>
  <c r="AM127" i="11"/>
  <c r="AY127" i="11" s="1"/>
  <c r="AM129" i="11"/>
  <c r="AY129" i="11" s="1"/>
  <c r="AM131" i="11"/>
  <c r="AY131" i="11" s="1"/>
  <c r="AM133" i="11"/>
  <c r="AY133" i="11" s="1"/>
  <c r="AM135" i="11"/>
  <c r="AY135" i="11" s="1"/>
  <c r="AM137" i="11"/>
  <c r="AY137" i="11" s="1"/>
  <c r="AM139" i="11"/>
  <c r="AY139" i="11" s="1"/>
  <c r="AM141" i="11"/>
  <c r="AY141" i="11" s="1"/>
  <c r="AS143" i="11"/>
  <c r="AM145" i="11"/>
  <c r="AY145" i="11" s="1"/>
  <c r="AM147" i="11"/>
  <c r="AY147" i="11" s="1"/>
  <c r="AM149" i="11"/>
  <c r="AY149" i="11" s="1"/>
  <c r="AM151" i="11"/>
  <c r="AY151" i="11" s="1"/>
  <c r="AM153" i="11"/>
  <c r="AY153" i="11" s="1"/>
  <c r="AM155" i="11"/>
  <c r="AY155" i="11" s="1"/>
  <c r="AM157" i="11"/>
  <c r="AY157" i="11" s="1"/>
  <c r="AM159" i="11"/>
  <c r="AY159" i="11" s="1"/>
  <c r="AM161" i="11"/>
  <c r="AY161" i="11" s="1"/>
  <c r="AM163" i="11"/>
  <c r="AY163" i="11" s="1"/>
  <c r="AM165" i="11"/>
  <c r="AY165" i="11" s="1"/>
  <c r="AM167" i="11"/>
  <c r="AY167" i="11" s="1"/>
  <c r="AS169" i="11"/>
  <c r="AM171" i="11"/>
  <c r="AY171" i="11" s="1"/>
  <c r="AM173" i="11"/>
  <c r="AY173" i="11" s="1"/>
  <c r="AM175" i="11"/>
  <c r="AY175" i="11" s="1"/>
  <c r="AM177" i="11"/>
  <c r="AY177" i="11" s="1"/>
  <c r="AM179" i="11"/>
  <c r="AY179" i="11" s="1"/>
  <c r="AM181" i="11"/>
  <c r="AY181" i="11" s="1"/>
  <c r="AM183" i="11"/>
  <c r="AY183" i="11" s="1"/>
  <c r="AM185" i="11"/>
  <c r="AY185" i="11" s="1"/>
  <c r="AM22" i="11"/>
  <c r="AY22" i="11" s="1"/>
  <c r="AS23" i="11"/>
  <c r="AM25" i="11"/>
  <c r="AY25" i="11" s="1"/>
  <c r="AS27" i="11"/>
  <c r="AM29" i="11"/>
  <c r="AY29" i="11" s="1"/>
  <c r="AS31" i="11"/>
  <c r="AS33" i="11"/>
  <c r="AS35" i="11"/>
  <c r="AM37" i="11"/>
  <c r="AY37" i="11" s="1"/>
  <c r="AM39" i="11"/>
  <c r="AY39" i="11" s="1"/>
  <c r="AS41" i="11"/>
  <c r="AS43" i="11"/>
  <c r="AS45" i="11"/>
  <c r="AS47" i="11"/>
  <c r="AM49" i="11"/>
  <c r="AY49" i="11" s="1"/>
  <c r="AS51" i="11"/>
  <c r="AS53" i="11"/>
  <c r="AS55" i="11"/>
  <c r="AM57" i="11"/>
  <c r="AY57" i="11" s="1"/>
  <c r="AM59" i="11"/>
  <c r="AY59" i="11" s="1"/>
  <c r="AM61" i="11"/>
  <c r="AY61" i="11" s="1"/>
  <c r="AS63" i="11"/>
  <c r="AM65" i="11"/>
  <c r="AY65" i="11" s="1"/>
  <c r="AM67" i="11"/>
  <c r="AY67" i="11" s="1"/>
  <c r="AM69" i="11"/>
  <c r="AY69" i="11" s="1"/>
  <c r="AS71" i="11"/>
  <c r="AM73" i="11"/>
  <c r="AY73" i="11" s="1"/>
  <c r="AM75" i="11"/>
  <c r="AY75" i="11" s="1"/>
  <c r="AM77" i="11"/>
  <c r="AY77" i="11" s="1"/>
  <c r="AS79" i="11"/>
  <c r="AM81" i="11"/>
  <c r="AY81" i="11" s="1"/>
  <c r="AS83" i="11"/>
  <c r="AM85" i="11"/>
  <c r="AY85" i="11" s="1"/>
  <c r="AM87" i="11"/>
  <c r="AY87" i="11" s="1"/>
  <c r="AM89" i="11"/>
  <c r="AY89" i="11" s="1"/>
  <c r="AM91" i="11"/>
  <c r="AY91" i="11" s="1"/>
  <c r="AS93" i="11"/>
  <c r="AM95" i="11"/>
  <c r="AY95" i="11" s="1"/>
  <c r="AS97" i="11"/>
  <c r="AS99" i="11"/>
  <c r="AS101" i="11"/>
  <c r="AS103" i="11"/>
  <c r="AS105" i="11"/>
  <c r="AM107" i="11"/>
  <c r="AY107" i="11" s="1"/>
  <c r="AM109" i="11"/>
  <c r="AY109" i="11" s="1"/>
  <c r="AM111" i="11"/>
  <c r="AY111" i="11" s="1"/>
  <c r="AS113" i="11"/>
  <c r="AM115" i="11"/>
  <c r="AY115" i="11" s="1"/>
  <c r="AS117" i="11"/>
  <c r="AS119" i="11"/>
  <c r="AS121" i="11"/>
  <c r="AS123" i="11"/>
  <c r="AS125" i="11"/>
  <c r="AS127" i="11"/>
  <c r="AS129" i="11"/>
  <c r="AS131" i="11"/>
  <c r="AS133" i="11"/>
  <c r="AS135" i="11"/>
  <c r="AS137" i="11"/>
  <c r="AS139" i="11"/>
  <c r="AS141" i="11"/>
  <c r="AM143" i="11"/>
  <c r="AY143" i="11" s="1"/>
  <c r="AS145" i="11"/>
  <c r="AS147" i="11"/>
  <c r="AS149" i="11"/>
  <c r="AS151" i="11"/>
  <c r="AS153" i="11"/>
  <c r="AS155" i="11"/>
  <c r="AS157" i="11"/>
  <c r="AS159" i="11"/>
  <c r="AS161" i="11"/>
  <c r="AS163" i="11"/>
  <c r="AS165" i="11"/>
  <c r="AS167" i="11"/>
  <c r="AM169" i="11"/>
  <c r="AY169" i="11" s="1"/>
  <c r="AS171" i="11"/>
  <c r="AS173" i="11"/>
  <c r="AS175" i="11"/>
  <c r="AS177" i="11"/>
  <c r="AS179" i="11"/>
  <c r="AS181" i="11"/>
  <c r="AS183" i="11"/>
  <c r="AS185" i="11"/>
  <c r="AM21" i="11"/>
  <c r="AS26" i="11"/>
  <c r="AM30" i="11"/>
  <c r="AY30" i="11" s="1"/>
  <c r="AS34" i="11"/>
  <c r="AM38" i="11"/>
  <c r="AY38" i="11" s="1"/>
  <c r="AM42" i="11"/>
  <c r="AY42" i="11" s="1"/>
  <c r="AS46" i="11"/>
  <c r="AM50" i="11"/>
  <c r="AY50" i="11" s="1"/>
  <c r="AM54" i="11"/>
  <c r="AY54" i="11" s="1"/>
  <c r="AS58" i="11"/>
  <c r="AM62" i="11"/>
  <c r="AY62" i="11" s="1"/>
  <c r="AS66" i="11"/>
  <c r="AS70" i="11"/>
  <c r="AS74" i="11"/>
  <c r="AS78" i="11"/>
  <c r="AS82" i="11"/>
  <c r="AM86" i="11"/>
  <c r="AY86" i="11" s="1"/>
  <c r="AM90" i="11"/>
  <c r="AY90" i="11" s="1"/>
  <c r="AS94" i="11"/>
  <c r="AS98" i="11"/>
  <c r="AM102" i="11"/>
  <c r="AY102" i="11" s="1"/>
  <c r="AM106" i="11"/>
  <c r="AY106" i="11" s="1"/>
  <c r="AM110" i="11"/>
  <c r="AY110" i="11" s="1"/>
  <c r="AM114" i="11"/>
  <c r="AY114" i="11" s="1"/>
  <c r="AM118" i="11"/>
  <c r="AY118" i="11" s="1"/>
  <c r="AM122" i="11"/>
  <c r="AY122" i="11" s="1"/>
  <c r="AM126" i="11"/>
  <c r="AY126" i="11" s="1"/>
  <c r="AM130" i="11"/>
  <c r="AY130" i="11" s="1"/>
  <c r="AM134" i="11"/>
  <c r="AY134" i="11" s="1"/>
  <c r="AM138" i="11"/>
  <c r="AY138" i="11" s="1"/>
  <c r="AM142" i="11"/>
  <c r="AY142" i="11" s="1"/>
  <c r="AM146" i="11"/>
  <c r="AY146" i="11" s="1"/>
  <c r="AM150" i="11"/>
  <c r="AY150" i="11" s="1"/>
  <c r="AM154" i="11"/>
  <c r="AY154" i="11" s="1"/>
  <c r="AM158" i="11"/>
  <c r="AY158" i="11" s="1"/>
  <c r="AM162" i="11"/>
  <c r="AY162" i="11" s="1"/>
  <c r="AM166" i="11"/>
  <c r="AY166" i="11" s="1"/>
  <c r="AM170" i="11"/>
  <c r="AY170" i="11" s="1"/>
  <c r="AM174" i="11"/>
  <c r="AY174" i="11" s="1"/>
  <c r="AM178" i="11"/>
  <c r="AY178" i="11" s="1"/>
  <c r="AM182" i="11"/>
  <c r="AY182" i="11" s="1"/>
  <c r="AM186" i="11"/>
  <c r="AY186" i="11" s="1"/>
  <c r="AM188" i="11"/>
  <c r="AY188" i="11" s="1"/>
  <c r="AM190" i="11"/>
  <c r="AY190" i="11" s="1"/>
  <c r="AM192" i="11"/>
  <c r="AY192" i="11" s="1"/>
  <c r="AM194" i="11"/>
  <c r="AY194" i="11" s="1"/>
  <c r="AM196" i="11"/>
  <c r="AY196" i="11" s="1"/>
  <c r="AM198" i="11"/>
  <c r="AY198" i="11" s="1"/>
  <c r="AM200" i="11"/>
  <c r="AY200" i="11" s="1"/>
  <c r="AM202" i="11"/>
  <c r="AY202" i="11" s="1"/>
  <c r="AM204" i="11"/>
  <c r="AY204" i="11" s="1"/>
  <c r="AM206" i="11"/>
  <c r="AY206" i="11" s="1"/>
  <c r="AS208" i="11"/>
  <c r="AS210" i="11"/>
  <c r="AS212" i="11"/>
  <c r="AS214" i="11"/>
  <c r="AM216" i="11"/>
  <c r="AY216" i="11" s="1"/>
  <c r="AM218" i="11"/>
  <c r="AY218" i="11" s="1"/>
  <c r="AM220" i="11"/>
  <c r="AY220" i="11" s="1"/>
  <c r="AM222" i="11"/>
  <c r="AY222" i="11" s="1"/>
  <c r="AS224" i="11"/>
  <c r="AM226" i="11"/>
  <c r="AY226" i="11" s="1"/>
  <c r="AM228" i="11"/>
  <c r="AY228" i="11" s="1"/>
  <c r="AM230" i="11"/>
  <c r="AY230" i="11" s="1"/>
  <c r="AS232" i="11"/>
  <c r="AM234" i="11"/>
  <c r="AY234" i="11" s="1"/>
  <c r="AM236" i="11"/>
  <c r="AY236" i="11" s="1"/>
  <c r="AM238" i="11"/>
  <c r="AY238" i="11" s="1"/>
  <c r="AM240" i="11"/>
  <c r="AY240" i="11" s="1"/>
  <c r="AM242" i="11"/>
  <c r="AY242" i="11" s="1"/>
  <c r="AM244" i="11"/>
  <c r="AY244" i="11" s="1"/>
  <c r="AM246" i="11"/>
  <c r="AY246" i="11" s="1"/>
  <c r="AM248" i="11"/>
  <c r="AY248" i="11" s="1"/>
  <c r="AM250" i="11"/>
  <c r="AY250" i="11" s="1"/>
  <c r="AS252" i="11"/>
  <c r="AS254" i="11"/>
  <c r="AM256" i="11"/>
  <c r="AY256" i="11" s="1"/>
  <c r="AM258" i="11"/>
  <c r="AY258" i="11" s="1"/>
  <c r="AS260" i="11"/>
  <c r="AM262" i="11"/>
  <c r="AY262" i="11" s="1"/>
  <c r="AS264" i="11"/>
  <c r="AM266" i="11"/>
  <c r="AY266" i="11" s="1"/>
  <c r="AM268" i="11"/>
  <c r="AY268" i="11" s="1"/>
  <c r="AM270" i="11"/>
  <c r="AY270" i="11" s="1"/>
  <c r="AM272" i="11"/>
  <c r="AY272" i="11" s="1"/>
  <c r="AM274" i="11"/>
  <c r="AY274" i="11" s="1"/>
  <c r="AM276" i="11"/>
  <c r="AY276" i="11" s="1"/>
  <c r="AM278" i="11"/>
  <c r="AY278" i="11" s="1"/>
  <c r="AM280" i="11"/>
  <c r="AY280" i="11" s="1"/>
  <c r="AM282" i="11"/>
  <c r="AY282" i="11" s="1"/>
  <c r="AM284" i="11"/>
  <c r="AY284" i="11" s="1"/>
  <c r="AM286" i="11"/>
  <c r="AY286" i="11" s="1"/>
  <c r="AM288" i="11"/>
  <c r="AY288" i="11" s="1"/>
  <c r="AM290" i="11"/>
  <c r="AY290" i="11" s="1"/>
  <c r="AS292" i="11"/>
  <c r="AM294" i="11"/>
  <c r="AY294" i="11" s="1"/>
  <c r="AM296" i="11"/>
  <c r="AY296" i="11" s="1"/>
  <c r="AM298" i="11"/>
  <c r="AY298" i="11" s="1"/>
  <c r="AM300" i="11"/>
  <c r="AY300" i="11" s="1"/>
  <c r="AM302" i="11"/>
  <c r="AY302" i="11" s="1"/>
  <c r="AS304" i="11"/>
  <c r="AM306" i="11"/>
  <c r="AY306" i="11" s="1"/>
  <c r="AS308" i="11"/>
  <c r="AM310" i="11"/>
  <c r="AY310" i="11" s="1"/>
  <c r="AM312" i="11"/>
  <c r="AY312" i="11" s="1"/>
  <c r="AM314" i="11"/>
  <c r="AY314" i="11" s="1"/>
  <c r="AM316" i="11"/>
  <c r="AY316" i="11" s="1"/>
  <c r="AM318" i="11"/>
  <c r="AY318" i="11" s="1"/>
  <c r="AM320" i="11"/>
  <c r="AY320" i="11" s="1"/>
  <c r="AM322" i="11"/>
  <c r="AY322" i="11" s="1"/>
  <c r="AM324" i="11"/>
  <c r="AY324" i="11" s="1"/>
  <c r="AM326" i="11"/>
  <c r="AY326" i="11" s="1"/>
  <c r="AM328" i="11"/>
  <c r="AY328" i="11" s="1"/>
  <c r="AM330" i="11"/>
  <c r="AY330" i="11" s="1"/>
  <c r="AM332" i="11"/>
  <c r="AY332" i="11" s="1"/>
  <c r="AM334" i="11"/>
  <c r="AY334" i="11" s="1"/>
  <c r="AM336" i="11"/>
  <c r="AY336" i="11" s="1"/>
  <c r="AM338" i="11"/>
  <c r="AY338" i="11" s="1"/>
  <c r="AM340" i="11"/>
  <c r="AY340" i="11" s="1"/>
  <c r="AM342" i="11"/>
  <c r="AY342" i="11" s="1"/>
  <c r="AM344" i="11"/>
  <c r="AY344" i="11" s="1"/>
  <c r="AM346" i="11"/>
  <c r="AY346" i="11" s="1"/>
  <c r="AM348" i="11"/>
  <c r="AY348" i="11" s="1"/>
  <c r="AM350" i="11"/>
  <c r="AY350" i="11" s="1"/>
  <c r="AM352" i="11"/>
  <c r="AY352" i="11" s="1"/>
  <c r="AM354" i="11"/>
  <c r="AY354" i="11" s="1"/>
  <c r="AS356" i="11"/>
  <c r="AM358" i="11"/>
  <c r="AY358" i="11" s="1"/>
  <c r="AM360" i="11"/>
  <c r="AY360" i="11" s="1"/>
  <c r="AM362" i="11"/>
  <c r="AY362" i="11" s="1"/>
  <c r="AM364" i="11"/>
  <c r="AY364" i="11" s="1"/>
  <c r="AM366" i="11"/>
  <c r="AY366" i="11" s="1"/>
  <c r="AS368" i="11"/>
  <c r="AS370" i="11"/>
  <c r="AS372" i="11"/>
  <c r="AS374" i="11"/>
  <c r="AS376" i="11"/>
  <c r="AS378" i="11"/>
  <c r="AS380" i="11"/>
  <c r="AS382" i="11"/>
  <c r="AS384" i="11"/>
  <c r="AM386" i="11"/>
  <c r="AY386" i="11" s="1"/>
  <c r="AS388" i="11"/>
  <c r="AS390" i="11"/>
  <c r="AM392" i="11"/>
  <c r="AY392" i="11" s="1"/>
  <c r="AS394" i="11"/>
  <c r="AS396" i="11"/>
  <c r="AS398" i="11"/>
  <c r="AM400" i="11"/>
  <c r="AY400" i="11" s="1"/>
  <c r="AM402" i="11"/>
  <c r="AY402" i="11" s="1"/>
  <c r="AS404" i="11"/>
  <c r="AM406" i="11"/>
  <c r="AY406" i="11" s="1"/>
  <c r="AM408" i="11"/>
  <c r="AY408" i="11" s="1"/>
  <c r="AM410" i="11"/>
  <c r="AY410" i="11" s="1"/>
  <c r="AM412" i="11"/>
  <c r="AY412" i="11" s="1"/>
  <c r="AM414" i="11"/>
  <c r="AY414" i="11" s="1"/>
  <c r="AM416" i="11"/>
  <c r="AY416" i="11" s="1"/>
  <c r="AM418" i="11"/>
  <c r="AY418" i="11" s="1"/>
  <c r="AM420" i="11"/>
  <c r="AY420" i="11" s="1"/>
  <c r="AS22" i="11"/>
  <c r="AM26" i="11"/>
  <c r="AY26" i="11" s="1"/>
  <c r="AS30" i="11"/>
  <c r="AM34" i="11"/>
  <c r="AY34" i="11" s="1"/>
  <c r="AS38" i="11"/>
  <c r="AS42" i="11"/>
  <c r="AM46" i="11"/>
  <c r="AY46" i="11" s="1"/>
  <c r="AS50" i="11"/>
  <c r="AS54" i="11"/>
  <c r="AM58" i="11"/>
  <c r="AY58" i="11" s="1"/>
  <c r="AS62" i="11"/>
  <c r="AM66" i="11"/>
  <c r="AY66" i="11" s="1"/>
  <c r="AM70" i="11"/>
  <c r="AY70" i="11" s="1"/>
  <c r="AM74" i="11"/>
  <c r="AY74" i="11" s="1"/>
  <c r="AM78" i="11"/>
  <c r="AY78" i="11" s="1"/>
  <c r="AM82" i="11"/>
  <c r="AY82" i="11" s="1"/>
  <c r="AS86" i="11"/>
  <c r="AS90" i="11"/>
  <c r="AM94" i="11"/>
  <c r="AY94" i="11" s="1"/>
  <c r="AM98" i="11"/>
  <c r="AY98" i="11" s="1"/>
  <c r="AS102" i="11"/>
  <c r="AS106" i="11"/>
  <c r="AS110" i="11"/>
  <c r="AS114" i="11"/>
  <c r="AS118" i="11"/>
  <c r="AS122" i="11"/>
  <c r="AS126" i="11"/>
  <c r="AS130" i="11"/>
  <c r="AS134" i="11"/>
  <c r="AS138" i="11"/>
  <c r="AS142" i="11"/>
  <c r="AS146" i="11"/>
  <c r="AS150" i="11"/>
  <c r="AS154" i="11"/>
  <c r="AS158" i="11"/>
  <c r="AS162" i="11"/>
  <c r="AS166" i="11"/>
  <c r="AS170" i="11"/>
  <c r="AS174" i="11"/>
  <c r="AS178" i="11"/>
  <c r="AS182" i="11"/>
  <c r="AS186" i="11"/>
  <c r="AS188" i="11"/>
  <c r="AS190" i="11"/>
  <c r="AS192" i="11"/>
  <c r="AS194" i="11"/>
  <c r="AS196" i="11"/>
  <c r="AS198" i="11"/>
  <c r="AS200" i="11"/>
  <c r="AS202" i="11"/>
  <c r="AS204" i="11"/>
  <c r="AS206" i="11"/>
  <c r="AM208" i="11"/>
  <c r="AY208" i="11" s="1"/>
  <c r="AM210" i="11"/>
  <c r="AY210" i="11" s="1"/>
  <c r="AM212" i="11"/>
  <c r="AY212" i="11" s="1"/>
  <c r="AM214" i="11"/>
  <c r="AY214" i="11" s="1"/>
  <c r="AS216" i="11"/>
  <c r="AS218" i="11"/>
  <c r="AS220" i="11"/>
  <c r="AS222" i="11"/>
  <c r="AM224" i="11"/>
  <c r="AY224" i="11" s="1"/>
  <c r="AS226" i="11"/>
  <c r="AS228" i="11"/>
  <c r="AS230" i="11"/>
  <c r="AM232" i="11"/>
  <c r="AY232" i="11" s="1"/>
  <c r="AS234" i="11"/>
  <c r="AS236" i="11"/>
  <c r="AS238" i="11"/>
  <c r="AS240" i="11"/>
  <c r="AS242" i="11"/>
  <c r="AS244" i="11"/>
  <c r="AS246" i="11"/>
  <c r="AS248" i="11"/>
  <c r="AS250" i="11"/>
  <c r="AM252" i="11"/>
  <c r="AY252" i="11" s="1"/>
  <c r="AM254" i="11"/>
  <c r="AY254" i="11" s="1"/>
  <c r="AS256" i="11"/>
  <c r="AS258" i="11"/>
  <c r="AM260" i="11"/>
  <c r="AY260" i="11" s="1"/>
  <c r="AS262" i="11"/>
  <c r="AM264" i="11"/>
  <c r="AY264" i="11" s="1"/>
  <c r="AS266" i="11"/>
  <c r="AS268" i="11"/>
  <c r="AS270" i="11"/>
  <c r="AS272" i="11"/>
  <c r="AS274" i="11"/>
  <c r="AS276" i="11"/>
  <c r="AS278" i="11"/>
  <c r="AS280" i="11"/>
  <c r="AS282" i="11"/>
  <c r="AS284" i="11"/>
  <c r="AS286" i="11"/>
  <c r="AS288" i="11"/>
  <c r="AS290" i="11"/>
  <c r="AM292" i="11"/>
  <c r="AY292" i="11" s="1"/>
  <c r="AS294" i="11"/>
  <c r="AS296" i="11"/>
  <c r="AS298" i="11"/>
  <c r="AS300" i="11"/>
  <c r="AS302" i="11"/>
  <c r="AM304" i="11"/>
  <c r="AY304" i="11" s="1"/>
  <c r="AS306" i="11"/>
  <c r="AM308" i="11"/>
  <c r="AY308" i="11" s="1"/>
  <c r="AS310" i="11"/>
  <c r="AS312" i="11"/>
  <c r="AS314" i="11"/>
  <c r="AS316" i="11"/>
  <c r="AS318" i="11"/>
  <c r="AS320" i="11"/>
  <c r="AS322" i="11"/>
  <c r="AS324" i="11"/>
  <c r="AS326" i="11"/>
  <c r="AS328" i="11"/>
  <c r="AS330" i="11"/>
  <c r="AS332" i="11"/>
  <c r="AS334" i="11"/>
  <c r="AS336" i="11"/>
  <c r="AS338" i="11"/>
  <c r="AS340" i="11"/>
  <c r="AS342" i="11"/>
  <c r="AS344" i="11"/>
  <c r="AS346" i="11"/>
  <c r="AS348" i="11"/>
  <c r="AS350" i="11"/>
  <c r="AS352" i="11"/>
  <c r="AS354" i="11"/>
  <c r="AM356" i="11"/>
  <c r="AY356" i="11" s="1"/>
  <c r="AS358" i="11"/>
  <c r="AS360" i="11"/>
  <c r="AS362" i="11"/>
  <c r="AS364" i="11"/>
  <c r="AS366" i="11"/>
  <c r="AM368" i="11"/>
  <c r="AY368" i="11" s="1"/>
  <c r="AM370" i="11"/>
  <c r="AY370" i="11" s="1"/>
  <c r="AM372" i="11"/>
  <c r="AY372" i="11" s="1"/>
  <c r="AM374" i="11"/>
  <c r="AY374" i="11" s="1"/>
  <c r="AM376" i="11"/>
  <c r="AY376" i="11" s="1"/>
  <c r="AM378" i="11"/>
  <c r="AY378" i="11" s="1"/>
  <c r="AM380" i="11"/>
  <c r="AY380" i="11" s="1"/>
  <c r="AM382" i="11"/>
  <c r="AY382" i="11" s="1"/>
  <c r="AM384" i="11"/>
  <c r="AY384" i="11" s="1"/>
  <c r="AS386" i="11"/>
  <c r="AM388" i="11"/>
  <c r="AY388" i="11" s="1"/>
  <c r="AM390" i="11"/>
  <c r="AY390" i="11" s="1"/>
  <c r="AS392" i="11"/>
  <c r="AM394" i="11"/>
  <c r="AY394" i="11" s="1"/>
  <c r="AM396" i="11"/>
  <c r="AY396" i="11" s="1"/>
  <c r="AM398" i="11"/>
  <c r="AY398" i="11" s="1"/>
  <c r="AS400" i="11"/>
  <c r="AS402" i="11"/>
  <c r="AM404" i="11"/>
  <c r="AY404" i="11" s="1"/>
  <c r="AS406" i="11"/>
  <c r="AS408" i="11"/>
  <c r="AS410" i="11"/>
  <c r="AS412" i="11"/>
  <c r="AS414" i="11"/>
  <c r="AS416" i="11"/>
  <c r="AS418" i="11"/>
  <c r="AS420" i="11"/>
  <c r="AS24" i="11"/>
  <c r="AM28" i="11"/>
  <c r="AY28" i="11" s="1"/>
  <c r="AS32" i="11"/>
  <c r="AS36" i="11"/>
  <c r="AM40" i="11"/>
  <c r="AY40" i="11" s="1"/>
  <c r="AM44" i="11"/>
  <c r="AY44" i="11" s="1"/>
  <c r="AM48" i="11"/>
  <c r="AY48" i="11" s="1"/>
  <c r="AM52" i="11"/>
  <c r="AY52" i="11" s="1"/>
  <c r="AS28" i="11"/>
  <c r="AS44" i="11"/>
  <c r="AS56" i="11"/>
  <c r="AM64" i="11"/>
  <c r="AY64" i="11" s="1"/>
  <c r="AM72" i="11"/>
  <c r="AY72" i="11" s="1"/>
  <c r="AS80" i="11"/>
  <c r="AS88" i="11"/>
  <c r="AS96" i="11"/>
  <c r="AM104" i="11"/>
  <c r="AY104" i="11" s="1"/>
  <c r="AS112" i="11"/>
  <c r="AS120" i="11"/>
  <c r="AS128" i="11"/>
  <c r="AS136" i="11"/>
  <c r="AS144" i="11"/>
  <c r="AS152" i="11"/>
  <c r="AS160" i="11"/>
  <c r="AS168" i="11"/>
  <c r="AS176" i="11"/>
  <c r="AS184" i="11"/>
  <c r="AS189" i="11"/>
  <c r="AS193" i="11"/>
  <c r="AS197" i="11"/>
  <c r="AS201" i="11"/>
  <c r="AS205" i="11"/>
  <c r="AS209" i="11"/>
  <c r="AS213" i="11"/>
  <c r="AS217" i="11"/>
  <c r="AS221" i="11"/>
  <c r="AS225" i="11"/>
  <c r="AS229" i="11"/>
  <c r="AM233" i="11"/>
  <c r="AY233" i="11" s="1"/>
  <c r="AS237" i="11"/>
  <c r="AS241" i="11"/>
  <c r="AM245" i="11"/>
  <c r="AY245" i="11" s="1"/>
  <c r="AS249" i="11"/>
  <c r="AS253" i="11"/>
  <c r="AS257" i="11"/>
  <c r="AS261" i="11"/>
  <c r="AS265" i="11"/>
  <c r="AM269" i="11"/>
  <c r="AY269" i="11" s="1"/>
  <c r="AS273" i="11"/>
  <c r="AM277" i="11"/>
  <c r="AY277" i="11" s="1"/>
  <c r="AM281" i="11"/>
  <c r="AY281" i="11" s="1"/>
  <c r="AM285" i="11"/>
  <c r="AY285" i="11" s="1"/>
  <c r="AM289" i="11"/>
  <c r="AY289" i="11" s="1"/>
  <c r="AM293" i="11"/>
  <c r="AY293" i="11" s="1"/>
  <c r="AM297" i="11"/>
  <c r="AY297" i="11" s="1"/>
  <c r="AM301" i="11"/>
  <c r="AY301" i="11" s="1"/>
  <c r="AM305" i="11"/>
  <c r="AY305" i="11" s="1"/>
  <c r="AS309" i="11"/>
  <c r="AM313" i="11"/>
  <c r="AY313" i="11" s="1"/>
  <c r="AM317" i="11"/>
  <c r="AY317" i="11" s="1"/>
  <c r="AM321" i="11"/>
  <c r="AY321" i="11" s="1"/>
  <c r="AM325" i="11"/>
  <c r="AY325" i="11" s="1"/>
  <c r="AM329" i="11"/>
  <c r="AY329" i="11" s="1"/>
  <c r="AM333" i="11"/>
  <c r="AY333" i="11" s="1"/>
  <c r="AM337" i="11"/>
  <c r="AY337" i="11" s="1"/>
  <c r="AM341" i="11"/>
  <c r="AY341" i="11" s="1"/>
  <c r="AM345" i="11"/>
  <c r="AY345" i="11" s="1"/>
  <c r="AM349" i="11"/>
  <c r="AY349" i="11" s="1"/>
  <c r="AM357" i="11"/>
  <c r="AY357" i="11" s="1"/>
  <c r="AS373" i="11"/>
  <c r="AM397" i="11"/>
  <c r="AY397" i="11" s="1"/>
  <c r="AM32" i="11"/>
  <c r="AY32" i="11" s="1"/>
  <c r="AS48" i="11"/>
  <c r="AS60" i="11"/>
  <c r="AS68" i="11"/>
  <c r="AS76" i="11"/>
  <c r="AM84" i="11"/>
  <c r="AY84" i="11" s="1"/>
  <c r="AS92" i="11"/>
  <c r="AM100" i="11"/>
  <c r="AY100" i="11" s="1"/>
  <c r="AM108" i="11"/>
  <c r="AY108" i="11" s="1"/>
  <c r="AM116" i="11"/>
  <c r="AY116" i="11" s="1"/>
  <c r="AM124" i="11"/>
  <c r="AY124" i="11" s="1"/>
  <c r="AM132" i="11"/>
  <c r="AY132" i="11" s="1"/>
  <c r="AM140" i="11"/>
  <c r="AY140" i="11" s="1"/>
  <c r="AM148" i="11"/>
  <c r="AY148" i="11" s="1"/>
  <c r="AM156" i="11"/>
  <c r="AY156" i="11" s="1"/>
  <c r="AM164" i="11"/>
  <c r="AY164" i="11" s="1"/>
  <c r="AM172" i="11"/>
  <c r="AY172" i="11" s="1"/>
  <c r="AM180" i="11"/>
  <c r="AY180" i="11" s="1"/>
  <c r="AM187" i="11"/>
  <c r="AY187" i="11" s="1"/>
  <c r="AM191" i="11"/>
  <c r="AY191" i="11" s="1"/>
  <c r="AS195" i="11"/>
  <c r="AM199" i="11"/>
  <c r="AY199" i="11" s="1"/>
  <c r="AM203" i="11"/>
  <c r="AY203" i="11" s="1"/>
  <c r="AS207" i="11"/>
  <c r="AM211" i="11"/>
  <c r="AY211" i="11" s="1"/>
  <c r="AM215" i="11"/>
  <c r="AY215" i="11" s="1"/>
  <c r="AM219" i="11"/>
  <c r="AY219" i="11" s="1"/>
  <c r="AS223" i="11"/>
  <c r="AM227" i="11"/>
  <c r="AY227" i="11" s="1"/>
  <c r="AM231" i="11"/>
  <c r="AY231" i="11" s="1"/>
  <c r="AM235" i="11"/>
  <c r="AY235" i="11" s="1"/>
  <c r="AM239" i="11"/>
  <c r="AY239" i="11" s="1"/>
  <c r="AM243" i="11"/>
  <c r="AY243" i="11" s="1"/>
  <c r="AS247" i="11"/>
  <c r="AM251" i="11"/>
  <c r="AY251" i="11" s="1"/>
  <c r="AM255" i="11"/>
  <c r="AY255" i="11" s="1"/>
  <c r="AS259" i="11"/>
  <c r="AM263" i="11"/>
  <c r="AY263" i="11" s="1"/>
  <c r="AM267" i="11"/>
  <c r="AY267" i="11" s="1"/>
  <c r="AM271" i="11"/>
  <c r="AY271" i="11" s="1"/>
  <c r="AM275" i="11"/>
  <c r="AY275" i="11" s="1"/>
  <c r="AS279" i="11"/>
  <c r="AS283" i="11"/>
  <c r="AM287" i="11"/>
  <c r="AY287" i="11" s="1"/>
  <c r="AS291" i="11"/>
  <c r="AM295" i="11"/>
  <c r="AY295" i="11" s="1"/>
  <c r="AM299" i="11"/>
  <c r="AY299" i="11" s="1"/>
  <c r="AS303" i="11"/>
  <c r="AS307" i="11"/>
  <c r="AS311" i="11"/>
  <c r="AM315" i="11"/>
  <c r="AY315" i="11" s="1"/>
  <c r="AS319" i="11"/>
  <c r="AM323" i="11"/>
  <c r="AY323" i="11" s="1"/>
  <c r="AS327" i="11"/>
  <c r="AS331" i="11"/>
  <c r="AS335" i="11"/>
  <c r="AS339" i="11"/>
  <c r="AS343" i="11"/>
  <c r="AS347" i="11"/>
  <c r="AS351" i="11"/>
  <c r="AS355" i="11"/>
  <c r="AS359" i="11"/>
  <c r="AS363" i="11"/>
  <c r="AS367" i="11"/>
  <c r="AM371" i="11"/>
  <c r="AY371" i="11" s="1"/>
  <c r="AM375" i="11"/>
  <c r="AY375" i="11" s="1"/>
  <c r="AM379" i="11"/>
  <c r="AY379" i="11" s="1"/>
  <c r="AM383" i="11"/>
  <c r="AY383" i="11" s="1"/>
  <c r="AS387" i="11"/>
  <c r="AM391" i="11"/>
  <c r="AY391" i="11" s="1"/>
  <c r="AM395" i="11"/>
  <c r="AY395" i="11" s="1"/>
  <c r="AS399" i="11"/>
  <c r="AS403" i="11"/>
  <c r="AS407" i="11"/>
  <c r="AS411" i="11"/>
  <c r="AS415" i="11"/>
  <c r="AS419" i="11"/>
  <c r="AS383" i="11"/>
  <c r="AS391" i="11"/>
  <c r="AM399" i="11"/>
  <c r="AY399" i="11" s="1"/>
  <c r="AM403" i="11"/>
  <c r="AY403" i="11" s="1"/>
  <c r="AM411" i="11"/>
  <c r="AY411" i="11" s="1"/>
  <c r="AM419" i="11"/>
  <c r="AY419" i="11" s="1"/>
  <c r="AM36" i="11"/>
  <c r="AY36" i="11" s="1"/>
  <c r="AS52" i="11"/>
  <c r="AM60" i="11"/>
  <c r="AY60" i="11" s="1"/>
  <c r="AM68" i="11"/>
  <c r="AY68" i="11" s="1"/>
  <c r="AM76" i="11"/>
  <c r="AY76" i="11" s="1"/>
  <c r="AS84" i="11"/>
  <c r="AM92" i="11"/>
  <c r="AY92" i="11" s="1"/>
  <c r="AS100" i="11"/>
  <c r="AS108" i="11"/>
  <c r="AS116" i="11"/>
  <c r="AS124" i="11"/>
  <c r="AS132" i="11"/>
  <c r="AS140" i="11"/>
  <c r="AS148" i="11"/>
  <c r="AS156" i="11"/>
  <c r="AS164" i="11"/>
  <c r="AS172" i="11"/>
  <c r="AS180" i="11"/>
  <c r="AS187" i="11"/>
  <c r="AS191" i="11"/>
  <c r="AM195" i="11"/>
  <c r="AY195" i="11" s="1"/>
  <c r="AS199" i="11"/>
  <c r="AS203" i="11"/>
  <c r="AM207" i="11"/>
  <c r="AY207" i="11" s="1"/>
  <c r="AS211" i="11"/>
  <c r="AS215" i="11"/>
  <c r="AS219" i="11"/>
  <c r="AM223" i="11"/>
  <c r="AY223" i="11" s="1"/>
  <c r="AS227" i="11"/>
  <c r="AS231" i="11"/>
  <c r="AS235" i="11"/>
  <c r="AS239" i="11"/>
  <c r="AS243" i="11"/>
  <c r="AM247" i="11"/>
  <c r="AY247" i="11" s="1"/>
  <c r="AS251" i="11"/>
  <c r="AS255" i="11"/>
  <c r="AM259" i="11"/>
  <c r="AY259" i="11" s="1"/>
  <c r="AS263" i="11"/>
  <c r="AS267" i="11"/>
  <c r="AS271" i="11"/>
  <c r="AS275" i="11"/>
  <c r="AM279" i="11"/>
  <c r="AY279" i="11" s="1"/>
  <c r="AM283" i="11"/>
  <c r="AY283" i="11" s="1"/>
  <c r="AS287" i="11"/>
  <c r="AM291" i="11"/>
  <c r="AY291" i="11" s="1"/>
  <c r="AS295" i="11"/>
  <c r="AS299" i="11"/>
  <c r="AM303" i="11"/>
  <c r="AY303" i="11" s="1"/>
  <c r="AM307" i="11"/>
  <c r="AY307" i="11" s="1"/>
  <c r="AM311" i="11"/>
  <c r="AY311" i="11" s="1"/>
  <c r="AS315" i="11"/>
  <c r="AM319" i="11"/>
  <c r="AY319" i="11" s="1"/>
  <c r="AS323" i="11"/>
  <c r="AM327" i="11"/>
  <c r="AY327" i="11" s="1"/>
  <c r="AM331" i="11"/>
  <c r="AY331" i="11" s="1"/>
  <c r="AM335" i="11"/>
  <c r="AY335" i="11" s="1"/>
  <c r="AM339" i="11"/>
  <c r="AY339" i="11" s="1"/>
  <c r="AM343" i="11"/>
  <c r="AY343" i="11" s="1"/>
  <c r="AM347" i="11"/>
  <c r="AY347" i="11" s="1"/>
  <c r="AM351" i="11"/>
  <c r="AY351" i="11" s="1"/>
  <c r="AM355" i="11"/>
  <c r="AY355" i="11" s="1"/>
  <c r="AM359" i="11"/>
  <c r="AY359" i="11" s="1"/>
  <c r="AM363" i="11"/>
  <c r="AY363" i="11" s="1"/>
  <c r="AM367" i="11"/>
  <c r="AY367" i="11" s="1"/>
  <c r="AS371" i="11"/>
  <c r="AS375" i="11"/>
  <c r="AS379" i="11"/>
  <c r="AM387" i="11"/>
  <c r="AY387" i="11" s="1"/>
  <c r="AS395" i="11"/>
  <c r="AM407" i="11"/>
  <c r="AY407" i="11" s="1"/>
  <c r="AM24" i="11"/>
  <c r="AY24" i="11" s="1"/>
  <c r="AS40" i="11"/>
  <c r="AM56" i="11"/>
  <c r="AY56" i="11" s="1"/>
  <c r="AS64" i="11"/>
  <c r="AS72" i="11"/>
  <c r="AM80" i="11"/>
  <c r="AY80" i="11" s="1"/>
  <c r="AM88" i="11"/>
  <c r="AY88" i="11" s="1"/>
  <c r="AM96" i="11"/>
  <c r="AY96" i="11" s="1"/>
  <c r="AS104" i="11"/>
  <c r="AM112" i="11"/>
  <c r="AY112" i="11" s="1"/>
  <c r="AM120" i="11"/>
  <c r="AY120" i="11" s="1"/>
  <c r="AM128" i="11"/>
  <c r="AY128" i="11" s="1"/>
  <c r="AM136" i="11"/>
  <c r="AY136" i="11" s="1"/>
  <c r="AM144" i="11"/>
  <c r="AY144" i="11" s="1"/>
  <c r="AM152" i="11"/>
  <c r="AY152" i="11" s="1"/>
  <c r="AM160" i="11"/>
  <c r="AY160" i="11" s="1"/>
  <c r="AM168" i="11"/>
  <c r="AY168" i="11" s="1"/>
  <c r="AM176" i="11"/>
  <c r="AY176" i="11" s="1"/>
  <c r="AM184" i="11"/>
  <c r="AY184" i="11" s="1"/>
  <c r="AM189" i="11"/>
  <c r="AY189" i="11" s="1"/>
  <c r="AM193" i="11"/>
  <c r="AY193" i="11" s="1"/>
  <c r="AM197" i="11"/>
  <c r="AY197" i="11" s="1"/>
  <c r="AM201" i="11"/>
  <c r="AY201" i="11" s="1"/>
  <c r="AM205" i="11"/>
  <c r="AY205" i="11" s="1"/>
  <c r="AM209" i="11"/>
  <c r="AY209" i="11" s="1"/>
  <c r="AM213" i="11"/>
  <c r="AY213" i="11" s="1"/>
  <c r="AM217" i="11"/>
  <c r="AY217" i="11" s="1"/>
  <c r="AM221" i="11"/>
  <c r="AY221" i="11" s="1"/>
  <c r="AM225" i="11"/>
  <c r="AY225" i="11" s="1"/>
  <c r="AM229" i="11"/>
  <c r="AY229" i="11" s="1"/>
  <c r="AS233" i="11"/>
  <c r="AM237" i="11"/>
  <c r="AY237" i="11" s="1"/>
  <c r="AM241" i="11"/>
  <c r="AY241" i="11" s="1"/>
  <c r="AS245" i="11"/>
  <c r="AM249" i="11"/>
  <c r="AY249" i="11" s="1"/>
  <c r="AM253" i="11"/>
  <c r="AY253" i="11" s="1"/>
  <c r="AM257" i="11"/>
  <c r="AY257" i="11" s="1"/>
  <c r="AM261" i="11"/>
  <c r="AY261" i="11" s="1"/>
  <c r="AM265" i="11"/>
  <c r="AY265" i="11" s="1"/>
  <c r="AS269" i="11"/>
  <c r="AM273" i="11"/>
  <c r="AY273" i="11" s="1"/>
  <c r="AS277" i="11"/>
  <c r="AS281" i="11"/>
  <c r="AS285" i="11"/>
  <c r="AS289" i="11"/>
  <c r="AS293" i="11"/>
  <c r="AS297" i="11"/>
  <c r="AS301" i="11"/>
  <c r="AS305" i="11"/>
  <c r="AM309" i="11"/>
  <c r="AY309" i="11" s="1"/>
  <c r="AS313" i="11"/>
  <c r="AS317" i="11"/>
  <c r="AS321" i="11"/>
  <c r="AS325" i="11"/>
  <c r="AS329" i="11"/>
  <c r="AS333" i="11"/>
  <c r="AS337" i="11"/>
  <c r="AS341" i="11"/>
  <c r="AS345" i="11"/>
  <c r="AS349" i="11"/>
  <c r="AS353" i="11"/>
  <c r="AS357" i="11"/>
  <c r="AS361" i="11"/>
  <c r="AS365" i="11"/>
  <c r="AS369" i="11"/>
  <c r="AM373" i="11"/>
  <c r="AY373" i="11" s="1"/>
  <c r="AM377" i="11"/>
  <c r="AY377" i="11" s="1"/>
  <c r="AM381" i="11"/>
  <c r="AY381" i="11" s="1"/>
  <c r="AM385" i="11"/>
  <c r="AY385" i="11" s="1"/>
  <c r="AM389" i="11"/>
  <c r="AY389" i="11" s="1"/>
  <c r="AM393" i="11"/>
  <c r="AY393" i="11" s="1"/>
  <c r="AS397" i="11"/>
  <c r="AS401" i="11"/>
  <c r="AS405" i="11"/>
  <c r="AM409" i="11"/>
  <c r="AY409" i="11" s="1"/>
  <c r="AS413" i="11"/>
  <c r="AS417" i="11"/>
  <c r="AS421" i="11"/>
  <c r="AM353" i="11"/>
  <c r="AY353" i="11" s="1"/>
  <c r="AM361" i="11"/>
  <c r="AY361" i="11" s="1"/>
  <c r="AM365" i="11"/>
  <c r="AY365" i="11" s="1"/>
  <c r="AM369" i="11"/>
  <c r="AY369" i="11" s="1"/>
  <c r="AS377" i="11"/>
  <c r="AS381" i="11"/>
  <c r="AS385" i="11"/>
  <c r="AS389" i="11"/>
  <c r="AS393" i="11"/>
  <c r="AM401" i="11"/>
  <c r="AY401" i="11" s="1"/>
  <c r="AM405" i="11"/>
  <c r="AY405" i="11" s="1"/>
  <c r="AS409" i="11"/>
  <c r="AM413" i="11"/>
  <c r="AY413" i="11" s="1"/>
  <c r="AM417" i="11"/>
  <c r="AY417" i="11" s="1"/>
  <c r="AM421" i="11"/>
  <c r="AY421" i="11" s="1"/>
  <c r="AM415" i="11"/>
  <c r="AY415" i="11" s="1"/>
  <c r="J15" i="11" l="1"/>
  <c r="BB405" i="11"/>
  <c r="BD405" i="11"/>
  <c r="BC405" i="11"/>
  <c r="BA405" i="11"/>
  <c r="AZ405" i="11"/>
  <c r="BC385" i="11"/>
  <c r="BB385" i="11"/>
  <c r="BD385" i="11"/>
  <c r="AZ385" i="11"/>
  <c r="BA385" i="11"/>
  <c r="BA257" i="11"/>
  <c r="AZ257" i="11"/>
  <c r="BB257" i="11"/>
  <c r="BD257" i="11"/>
  <c r="BC257" i="11"/>
  <c r="BA209" i="11"/>
  <c r="AZ209" i="11"/>
  <c r="BB209" i="11"/>
  <c r="BC209" i="11"/>
  <c r="BD209" i="11"/>
  <c r="BD363" i="11"/>
  <c r="BC363" i="11"/>
  <c r="BB363" i="11"/>
  <c r="BA363" i="11"/>
  <c r="AZ363" i="11"/>
  <c r="BA215" i="11"/>
  <c r="BC215" i="11"/>
  <c r="BD215" i="11"/>
  <c r="BB215" i="11"/>
  <c r="AZ215" i="11"/>
  <c r="BC116" i="11"/>
  <c r="BB116" i="11"/>
  <c r="AZ116" i="11"/>
  <c r="BD116" i="11"/>
  <c r="BA116" i="11"/>
  <c r="BA357" i="11"/>
  <c r="AZ357" i="11"/>
  <c r="BC357" i="11"/>
  <c r="BB357" i="11"/>
  <c r="BD357" i="11"/>
  <c r="BA289" i="11"/>
  <c r="BB289" i="11"/>
  <c r="AZ289" i="11"/>
  <c r="BC289" i="11"/>
  <c r="BD289" i="11"/>
  <c r="BB382" i="11"/>
  <c r="BA382" i="11"/>
  <c r="BD382" i="11"/>
  <c r="BC382" i="11"/>
  <c r="AZ382" i="11"/>
  <c r="BC254" i="11"/>
  <c r="BD254" i="11"/>
  <c r="AZ254" i="11"/>
  <c r="BB254" i="11"/>
  <c r="BA254" i="11"/>
  <c r="BC82" i="11"/>
  <c r="BB82" i="11"/>
  <c r="BD82" i="11"/>
  <c r="BA82" i="11"/>
  <c r="AZ82" i="11"/>
  <c r="BC420" i="11"/>
  <c r="BD420" i="11"/>
  <c r="BB420" i="11"/>
  <c r="AZ420" i="11"/>
  <c r="BA420" i="11"/>
  <c r="BA324" i="11"/>
  <c r="AZ324" i="11"/>
  <c r="BB324" i="11"/>
  <c r="BC324" i="11"/>
  <c r="BD324" i="11"/>
  <c r="BC284" i="11"/>
  <c r="AZ284" i="11"/>
  <c r="BA284" i="11"/>
  <c r="BD284" i="11"/>
  <c r="BB284" i="11"/>
  <c r="BB220" i="11"/>
  <c r="BD220" i="11"/>
  <c r="BC220" i="11"/>
  <c r="AZ220" i="11"/>
  <c r="BA220" i="11"/>
  <c r="BA174" i="11"/>
  <c r="BC174" i="11"/>
  <c r="BD174" i="11"/>
  <c r="AZ174" i="11"/>
  <c r="BB174" i="11"/>
  <c r="BA110" i="11"/>
  <c r="BB110" i="11"/>
  <c r="AZ110" i="11"/>
  <c r="BC110" i="11"/>
  <c r="BD110" i="11"/>
  <c r="BA143" i="11"/>
  <c r="BD143" i="11"/>
  <c r="BC143" i="11"/>
  <c r="AZ143" i="11"/>
  <c r="BB143" i="11"/>
  <c r="AZ95" i="11"/>
  <c r="BD95" i="11"/>
  <c r="BB95" i="11"/>
  <c r="BC95" i="11"/>
  <c r="BA95" i="11"/>
  <c r="BB39" i="11"/>
  <c r="BD39" i="11"/>
  <c r="BA39" i="11"/>
  <c r="BC39" i="11"/>
  <c r="AZ39" i="11"/>
  <c r="AZ165" i="11"/>
  <c r="BC165" i="11"/>
  <c r="BA165" i="11"/>
  <c r="BD165" i="11"/>
  <c r="BB165" i="11"/>
  <c r="AZ157" i="11"/>
  <c r="BB157" i="11"/>
  <c r="BC157" i="11"/>
  <c r="BD157" i="11"/>
  <c r="BA157" i="11"/>
  <c r="BC133" i="11"/>
  <c r="AZ133" i="11"/>
  <c r="BD133" i="11"/>
  <c r="BB133" i="11"/>
  <c r="BA133" i="11"/>
  <c r="BB117" i="11"/>
  <c r="AZ117" i="11"/>
  <c r="BD117" i="11"/>
  <c r="BC117" i="11"/>
  <c r="BA117" i="11"/>
  <c r="AZ93" i="11"/>
  <c r="BC93" i="11"/>
  <c r="BB93" i="11"/>
  <c r="BA93" i="11"/>
  <c r="BD93" i="11"/>
  <c r="BD53" i="11"/>
  <c r="AZ53" i="11"/>
  <c r="BB53" i="11"/>
  <c r="BC53" i="11"/>
  <c r="BA53" i="11"/>
  <c r="BA417" i="11"/>
  <c r="BD417" i="11"/>
  <c r="AZ417" i="11"/>
  <c r="BB417" i="11"/>
  <c r="BC417" i="11"/>
  <c r="BB401" i="11"/>
  <c r="BD401" i="11"/>
  <c r="BA401" i="11"/>
  <c r="AZ401" i="11"/>
  <c r="BC401" i="11"/>
  <c r="BD361" i="11"/>
  <c r="BA361" i="11"/>
  <c r="BB361" i="11"/>
  <c r="AZ361" i="11"/>
  <c r="BC361" i="11"/>
  <c r="BD381" i="11"/>
  <c r="AZ381" i="11"/>
  <c r="BB381" i="11"/>
  <c r="BC381" i="11"/>
  <c r="BA381" i="11"/>
  <c r="BB253" i="11"/>
  <c r="BC253" i="11"/>
  <c r="AZ253" i="11"/>
  <c r="BD253" i="11"/>
  <c r="BA253" i="11"/>
  <c r="BD237" i="11"/>
  <c r="BA237" i="11"/>
  <c r="BB237" i="11"/>
  <c r="BC237" i="11"/>
  <c r="AZ237" i="11"/>
  <c r="BB221" i="11"/>
  <c r="BC221" i="11"/>
  <c r="AZ221" i="11"/>
  <c r="BD221" i="11"/>
  <c r="BA221" i="11"/>
  <c r="BD205" i="11"/>
  <c r="BB205" i="11"/>
  <c r="BC205" i="11"/>
  <c r="BA205" i="11"/>
  <c r="AZ205" i="11"/>
  <c r="BB189" i="11"/>
  <c r="BA189" i="11"/>
  <c r="BD189" i="11"/>
  <c r="BC189" i="11"/>
  <c r="AZ189" i="11"/>
  <c r="BA160" i="11"/>
  <c r="AZ160" i="11"/>
  <c r="BB160" i="11"/>
  <c r="BC160" i="11"/>
  <c r="BD160" i="11"/>
  <c r="BD128" i="11"/>
  <c r="BB128" i="11"/>
  <c r="AZ128" i="11"/>
  <c r="BA128" i="11"/>
  <c r="BC128" i="11"/>
  <c r="BC96" i="11"/>
  <c r="BB96" i="11"/>
  <c r="AZ96" i="11"/>
  <c r="BA96" i="11"/>
  <c r="BD96" i="11"/>
  <c r="BA407" i="11"/>
  <c r="BC407" i="11"/>
  <c r="BD407" i="11"/>
  <c r="AZ407" i="11"/>
  <c r="BB407" i="11"/>
  <c r="BA359" i="11"/>
  <c r="BC359" i="11"/>
  <c r="BD359" i="11"/>
  <c r="AZ359" i="11"/>
  <c r="BB359" i="11"/>
  <c r="BA343" i="11"/>
  <c r="AZ343" i="11"/>
  <c r="BD343" i="11"/>
  <c r="BB343" i="11"/>
  <c r="BC343" i="11"/>
  <c r="BD327" i="11"/>
  <c r="BA327" i="11"/>
  <c r="BB327" i="11"/>
  <c r="BC327" i="11"/>
  <c r="AZ327" i="11"/>
  <c r="BA311" i="11"/>
  <c r="AZ311" i="11"/>
  <c r="BC311" i="11"/>
  <c r="BD311" i="11"/>
  <c r="BB311" i="11"/>
  <c r="BB279" i="11"/>
  <c r="BD279" i="11"/>
  <c r="BA279" i="11"/>
  <c r="AZ279" i="11"/>
  <c r="BC279" i="11"/>
  <c r="BC247" i="11"/>
  <c r="BD247" i="11"/>
  <c r="BA247" i="11"/>
  <c r="AZ247" i="11"/>
  <c r="BB247" i="11"/>
  <c r="BB403" i="11"/>
  <c r="BA403" i="11"/>
  <c r="BD403" i="11"/>
  <c r="BC403" i="11"/>
  <c r="AZ403" i="11"/>
  <c r="BA371" i="11"/>
  <c r="BD371" i="11"/>
  <c r="AZ371" i="11"/>
  <c r="BC371" i="11"/>
  <c r="BB371" i="11"/>
  <c r="BA323" i="11"/>
  <c r="BC323" i="11"/>
  <c r="BD323" i="11"/>
  <c r="BB323" i="11"/>
  <c r="AZ323" i="11"/>
  <c r="AZ275" i="11"/>
  <c r="BA275" i="11"/>
  <c r="BC275" i="11"/>
  <c r="BD275" i="11"/>
  <c r="BB275" i="11"/>
  <c r="BC243" i="11"/>
  <c r="BA243" i="11"/>
  <c r="BD243" i="11"/>
  <c r="AZ243" i="11"/>
  <c r="BB243" i="11"/>
  <c r="BA227" i="11"/>
  <c r="BC227" i="11"/>
  <c r="BB227" i="11"/>
  <c r="AZ227" i="11"/>
  <c r="BD227" i="11"/>
  <c r="BB211" i="11"/>
  <c r="BC211" i="11"/>
  <c r="AZ211" i="11"/>
  <c r="BA211" i="11"/>
  <c r="BD211" i="11"/>
  <c r="BD172" i="11"/>
  <c r="BB172" i="11"/>
  <c r="BA172" i="11"/>
  <c r="BC172" i="11"/>
  <c r="AZ172" i="11"/>
  <c r="BA140" i="11"/>
  <c r="BC140" i="11"/>
  <c r="AZ140" i="11"/>
  <c r="BD140" i="11"/>
  <c r="BB140" i="11"/>
  <c r="AZ108" i="11"/>
  <c r="BA108" i="11"/>
  <c r="BB108" i="11"/>
  <c r="BC108" i="11"/>
  <c r="BD108" i="11"/>
  <c r="BA32" i="11"/>
  <c r="BD32" i="11"/>
  <c r="BC32" i="11"/>
  <c r="BB32" i="11"/>
  <c r="AZ32" i="11"/>
  <c r="BB349" i="11"/>
  <c r="AZ349" i="11"/>
  <c r="BA349" i="11"/>
  <c r="BD349" i="11"/>
  <c r="BC349" i="11"/>
  <c r="BB333" i="11"/>
  <c r="AZ333" i="11"/>
  <c r="BC333" i="11"/>
  <c r="BA333" i="11"/>
  <c r="BD333" i="11"/>
  <c r="BC317" i="11"/>
  <c r="BB317" i="11"/>
  <c r="BA317" i="11"/>
  <c r="AZ317" i="11"/>
  <c r="BD317" i="11"/>
  <c r="BD301" i="11"/>
  <c r="AZ301" i="11"/>
  <c r="BB301" i="11"/>
  <c r="BA301" i="11"/>
  <c r="BC301" i="11"/>
  <c r="BB285" i="11"/>
  <c r="AZ285" i="11"/>
  <c r="BD285" i="11"/>
  <c r="BA285" i="11"/>
  <c r="BC285" i="11"/>
  <c r="AZ269" i="11"/>
  <c r="BC269" i="11"/>
  <c r="BB269" i="11"/>
  <c r="BA269" i="11"/>
  <c r="BD269" i="11"/>
  <c r="BC64" i="11"/>
  <c r="BB64" i="11"/>
  <c r="BA64" i="11"/>
  <c r="AZ64" i="11"/>
  <c r="BD64" i="11"/>
  <c r="BA52" i="11"/>
  <c r="BB52" i="11"/>
  <c r="AZ52" i="11"/>
  <c r="BC52" i="11"/>
  <c r="BD52" i="11"/>
  <c r="BD404" i="11"/>
  <c r="BC404" i="11"/>
  <c r="BA404" i="11"/>
  <c r="AZ404" i="11"/>
  <c r="BB404" i="11"/>
  <c r="BC396" i="11"/>
  <c r="BD396" i="11"/>
  <c r="AZ396" i="11"/>
  <c r="BB396" i="11"/>
  <c r="BA396" i="11"/>
  <c r="AZ388" i="11"/>
  <c r="BA388" i="11"/>
  <c r="BC388" i="11"/>
  <c r="BB388" i="11"/>
  <c r="BD388" i="11"/>
  <c r="BC380" i="11"/>
  <c r="AZ380" i="11"/>
  <c r="BA380" i="11"/>
  <c r="BB380" i="11"/>
  <c r="BD380" i="11"/>
  <c r="BD372" i="11"/>
  <c r="BA372" i="11"/>
  <c r="AZ372" i="11"/>
  <c r="BB372" i="11"/>
  <c r="BC372" i="11"/>
  <c r="BC356" i="11"/>
  <c r="BB356" i="11"/>
  <c r="BD356" i="11"/>
  <c r="BA356" i="11"/>
  <c r="AZ356" i="11"/>
  <c r="BC308" i="11"/>
  <c r="AZ308" i="11"/>
  <c r="BB308" i="11"/>
  <c r="BD308" i="11"/>
  <c r="BA308" i="11"/>
  <c r="BA292" i="11"/>
  <c r="BD292" i="11"/>
  <c r="AZ292" i="11"/>
  <c r="BC292" i="11"/>
  <c r="BB292" i="11"/>
  <c r="AZ260" i="11"/>
  <c r="BC260" i="11"/>
  <c r="BD260" i="11"/>
  <c r="BB260" i="11"/>
  <c r="BA260" i="11"/>
  <c r="AZ252" i="11"/>
  <c r="BA252" i="11"/>
  <c r="BC252" i="11"/>
  <c r="BD252" i="11"/>
  <c r="BB252" i="11"/>
  <c r="AZ212" i="11"/>
  <c r="BB212" i="11"/>
  <c r="BA212" i="11"/>
  <c r="BC212" i="11"/>
  <c r="BD212" i="11"/>
  <c r="BA94" i="11"/>
  <c r="BB94" i="11"/>
  <c r="AZ94" i="11"/>
  <c r="BC94" i="11"/>
  <c r="BD94" i="11"/>
  <c r="BD78" i="11"/>
  <c r="BB78" i="11"/>
  <c r="AZ78" i="11"/>
  <c r="BA78" i="11"/>
  <c r="BC78" i="11"/>
  <c r="AZ46" i="11"/>
  <c r="BC46" i="11"/>
  <c r="BA46" i="11"/>
  <c r="BB46" i="11"/>
  <c r="BD46" i="11"/>
  <c r="BC418" i="11"/>
  <c r="BB418" i="11"/>
  <c r="BD418" i="11"/>
  <c r="AZ418" i="11"/>
  <c r="BA418" i="11"/>
  <c r="BC410" i="11"/>
  <c r="BB410" i="11"/>
  <c r="BD410" i="11"/>
  <c r="BA410" i="11"/>
  <c r="AZ410" i="11"/>
  <c r="BA402" i="11"/>
  <c r="AZ402" i="11"/>
  <c r="BC402" i="11"/>
  <c r="BD402" i="11"/>
  <c r="BB402" i="11"/>
  <c r="BA386" i="11"/>
  <c r="BB386" i="11"/>
  <c r="AZ386" i="11"/>
  <c r="BD386" i="11"/>
  <c r="BC386" i="11"/>
  <c r="BC362" i="11"/>
  <c r="BD362" i="11"/>
  <c r="BA362" i="11"/>
  <c r="BB362" i="11"/>
  <c r="AZ362" i="11"/>
  <c r="BD354" i="11"/>
  <c r="BA354" i="11"/>
  <c r="AZ354" i="11"/>
  <c r="BC354" i="11"/>
  <c r="BB354" i="11"/>
  <c r="AZ346" i="11"/>
  <c r="BC346" i="11"/>
  <c r="BA346" i="11"/>
  <c r="BB346" i="11"/>
  <c r="BD346" i="11"/>
  <c r="BD338" i="11"/>
  <c r="AZ338" i="11"/>
  <c r="BC338" i="11"/>
  <c r="BA338" i="11"/>
  <c r="BB338" i="11"/>
  <c r="BA330" i="11"/>
  <c r="BC330" i="11"/>
  <c r="BD330" i="11"/>
  <c r="AZ330" i="11"/>
  <c r="BB330" i="11"/>
  <c r="AZ322" i="11"/>
  <c r="BD322" i="11"/>
  <c r="BC322" i="11"/>
  <c r="BB322" i="11"/>
  <c r="BA322" i="11"/>
  <c r="BB314" i="11"/>
  <c r="BA314" i="11"/>
  <c r="BD314" i="11"/>
  <c r="BC314" i="11"/>
  <c r="AZ314" i="11"/>
  <c r="AZ306" i="11"/>
  <c r="BA306" i="11"/>
  <c r="BB306" i="11"/>
  <c r="BC306" i="11"/>
  <c r="BD306" i="11"/>
  <c r="BA298" i="11"/>
  <c r="AZ298" i="11"/>
  <c r="BD298" i="11"/>
  <c r="BC298" i="11"/>
  <c r="BB298" i="11"/>
  <c r="BB290" i="11"/>
  <c r="BC290" i="11"/>
  <c r="BD290" i="11"/>
  <c r="AZ290" i="11"/>
  <c r="BA290" i="11"/>
  <c r="BB282" i="11"/>
  <c r="AZ282" i="11"/>
  <c r="BC282" i="11"/>
  <c r="BD282" i="11"/>
  <c r="BA282" i="11"/>
  <c r="BB274" i="11"/>
  <c r="AZ274" i="11"/>
  <c r="BD274" i="11"/>
  <c r="BA274" i="11"/>
  <c r="BC274" i="11"/>
  <c r="BA266" i="11"/>
  <c r="BB266" i="11"/>
  <c r="BC266" i="11"/>
  <c r="BD266" i="11"/>
  <c r="AZ266" i="11"/>
  <c r="BC258" i="11"/>
  <c r="BB258" i="11"/>
  <c r="BD258" i="11"/>
  <c r="AZ258" i="11"/>
  <c r="BA258" i="11"/>
  <c r="BB250" i="11"/>
  <c r="BD250" i="11"/>
  <c r="BA250" i="11"/>
  <c r="AZ250" i="11"/>
  <c r="BC250" i="11"/>
  <c r="BA242" i="11"/>
  <c r="BB242" i="11"/>
  <c r="BC242" i="11"/>
  <c r="BD242" i="11"/>
  <c r="AZ242" i="11"/>
  <c r="BC234" i="11"/>
  <c r="BD234" i="11"/>
  <c r="BB234" i="11"/>
  <c r="AZ234" i="11"/>
  <c r="BA234" i="11"/>
  <c r="BD226" i="11"/>
  <c r="BC226" i="11"/>
  <c r="BA226" i="11"/>
  <c r="AZ226" i="11"/>
  <c r="BB226" i="11"/>
  <c r="AZ218" i="11"/>
  <c r="BD218" i="11"/>
  <c r="BB218" i="11"/>
  <c r="BC218" i="11"/>
  <c r="BA218" i="11"/>
  <c r="BD202" i="11"/>
  <c r="AZ202" i="11"/>
  <c r="BC202" i="11"/>
  <c r="BB202" i="11"/>
  <c r="BA202" i="11"/>
  <c r="AZ194" i="11"/>
  <c r="BA194" i="11"/>
  <c r="BC194" i="11"/>
  <c r="BD194" i="11"/>
  <c r="BB194" i="11"/>
  <c r="BB186" i="11"/>
  <c r="BA186" i="11"/>
  <c r="BC186" i="11"/>
  <c r="BD186" i="11"/>
  <c r="AZ186" i="11"/>
  <c r="BC170" i="11"/>
  <c r="BB170" i="11"/>
  <c r="BA170" i="11"/>
  <c r="AZ170" i="11"/>
  <c r="BD170" i="11"/>
  <c r="BB154" i="11"/>
  <c r="AZ154" i="11"/>
  <c r="BD154" i="11"/>
  <c r="BA154" i="11"/>
  <c r="BC154" i="11"/>
  <c r="BB138" i="11"/>
  <c r="BC138" i="11"/>
  <c r="BA138" i="11"/>
  <c r="BD138" i="11"/>
  <c r="AZ138" i="11"/>
  <c r="BB122" i="11"/>
  <c r="AZ122" i="11"/>
  <c r="BD122" i="11"/>
  <c r="BA122" i="11"/>
  <c r="BC122" i="11"/>
  <c r="BD106" i="11"/>
  <c r="BC106" i="11"/>
  <c r="BA106" i="11"/>
  <c r="AZ106" i="11"/>
  <c r="BB106" i="11"/>
  <c r="BD90" i="11"/>
  <c r="AZ90" i="11"/>
  <c r="BB90" i="11"/>
  <c r="BC90" i="11"/>
  <c r="BA90" i="11"/>
  <c r="AZ42" i="11"/>
  <c r="BA42" i="11"/>
  <c r="BD42" i="11"/>
  <c r="BC42" i="11"/>
  <c r="BB42" i="11"/>
  <c r="AZ109" i="11"/>
  <c r="BD109" i="11"/>
  <c r="BA109" i="11"/>
  <c r="BC109" i="11"/>
  <c r="BB109" i="11"/>
  <c r="AZ85" i="11"/>
  <c r="BA85" i="11"/>
  <c r="BC85" i="11"/>
  <c r="BB85" i="11"/>
  <c r="BD85" i="11"/>
  <c r="BA77" i="11"/>
  <c r="AZ77" i="11"/>
  <c r="BD77" i="11"/>
  <c r="BB77" i="11"/>
  <c r="BC77" i="11"/>
  <c r="BC69" i="11"/>
  <c r="BD69" i="11"/>
  <c r="BA69" i="11"/>
  <c r="BB69" i="11"/>
  <c r="AZ69" i="11"/>
  <c r="BC61" i="11"/>
  <c r="BA61" i="11"/>
  <c r="BD61" i="11"/>
  <c r="BB61" i="11"/>
  <c r="AZ61" i="11"/>
  <c r="AZ37" i="11"/>
  <c r="BA37" i="11"/>
  <c r="BC37" i="11"/>
  <c r="BB37" i="11"/>
  <c r="BD37" i="11"/>
  <c r="BC29" i="11"/>
  <c r="AZ29" i="11"/>
  <c r="BD29" i="11"/>
  <c r="BA29" i="11"/>
  <c r="BB29" i="11"/>
  <c r="BD22" i="11"/>
  <c r="BC22" i="11"/>
  <c r="AZ22" i="11"/>
  <c r="BA22" i="11"/>
  <c r="BB22" i="11"/>
  <c r="BA179" i="11"/>
  <c r="BC179" i="11"/>
  <c r="BD179" i="11"/>
  <c r="BB179" i="11"/>
  <c r="AZ179" i="11"/>
  <c r="BD171" i="11"/>
  <c r="AZ171" i="11"/>
  <c r="BA171" i="11"/>
  <c r="BC171" i="11"/>
  <c r="BB171" i="11"/>
  <c r="BD163" i="11"/>
  <c r="BB163" i="11"/>
  <c r="BA163" i="11"/>
  <c r="BC163" i="11"/>
  <c r="AZ163" i="11"/>
  <c r="BC155" i="11"/>
  <c r="BA155" i="11"/>
  <c r="AZ155" i="11"/>
  <c r="BD155" i="11"/>
  <c r="BB155" i="11"/>
  <c r="BC147" i="11"/>
  <c r="AZ147" i="11"/>
  <c r="BB147" i="11"/>
  <c r="BD147" i="11"/>
  <c r="BA147" i="11"/>
  <c r="BB139" i="11"/>
  <c r="BA139" i="11"/>
  <c r="BD139" i="11"/>
  <c r="BC139" i="11"/>
  <c r="AZ139" i="11"/>
  <c r="AZ131" i="11"/>
  <c r="BC131" i="11"/>
  <c r="BD131" i="11"/>
  <c r="BA131" i="11"/>
  <c r="BB131" i="11"/>
  <c r="BA123" i="11"/>
  <c r="BC123" i="11"/>
  <c r="AZ123" i="11"/>
  <c r="BB123" i="11"/>
  <c r="BD123" i="11"/>
  <c r="BB99" i="11"/>
  <c r="AZ99" i="11"/>
  <c r="BD99" i="11"/>
  <c r="BA99" i="11"/>
  <c r="BC99" i="11"/>
  <c r="BC83" i="11"/>
  <c r="BD83" i="11"/>
  <c r="BA83" i="11"/>
  <c r="AZ83" i="11"/>
  <c r="BB83" i="11"/>
  <c r="BB51" i="11"/>
  <c r="BC51" i="11"/>
  <c r="AZ51" i="11"/>
  <c r="BD51" i="11"/>
  <c r="BA51" i="11"/>
  <c r="BC43" i="11"/>
  <c r="AZ43" i="11"/>
  <c r="BB43" i="11"/>
  <c r="BD43" i="11"/>
  <c r="BA43" i="11"/>
  <c r="BB35" i="11"/>
  <c r="AZ35" i="11"/>
  <c r="BA35" i="11"/>
  <c r="BD35" i="11"/>
  <c r="BC35" i="11"/>
  <c r="BB27" i="11"/>
  <c r="BD27" i="11"/>
  <c r="BC27" i="11"/>
  <c r="AZ27" i="11"/>
  <c r="BA27" i="11"/>
  <c r="AZ421" i="11"/>
  <c r="BB421" i="11"/>
  <c r="BD421" i="11"/>
  <c r="BC421" i="11"/>
  <c r="BA421" i="11"/>
  <c r="BA241" i="11"/>
  <c r="AZ241" i="11"/>
  <c r="BC241" i="11"/>
  <c r="BD241" i="11"/>
  <c r="BB241" i="11"/>
  <c r="BA168" i="11"/>
  <c r="BB168" i="11"/>
  <c r="BD168" i="11"/>
  <c r="BC168" i="11"/>
  <c r="AZ168" i="11"/>
  <c r="BC24" i="11"/>
  <c r="BB24" i="11"/>
  <c r="BA24" i="11"/>
  <c r="AZ24" i="11"/>
  <c r="BD24" i="11"/>
  <c r="BC331" i="11"/>
  <c r="BB331" i="11"/>
  <c r="AZ331" i="11"/>
  <c r="BD331" i="11"/>
  <c r="BA331" i="11"/>
  <c r="BB60" i="11"/>
  <c r="AZ60" i="11"/>
  <c r="BC60" i="11"/>
  <c r="BA60" i="11"/>
  <c r="BD60" i="11"/>
  <c r="BA391" i="11"/>
  <c r="BB391" i="11"/>
  <c r="AZ391" i="11"/>
  <c r="BC391" i="11"/>
  <c r="BD391" i="11"/>
  <c r="AZ199" i="11"/>
  <c r="BA199" i="11"/>
  <c r="BC199" i="11"/>
  <c r="BD199" i="11"/>
  <c r="BB199" i="11"/>
  <c r="BD84" i="11"/>
  <c r="BB84" i="11"/>
  <c r="AZ84" i="11"/>
  <c r="BC84" i="11"/>
  <c r="BA84" i="11"/>
  <c r="BB321" i="11"/>
  <c r="BA321" i="11"/>
  <c r="BC321" i="11"/>
  <c r="AZ321" i="11"/>
  <c r="BD321" i="11"/>
  <c r="AZ104" i="11"/>
  <c r="BA104" i="11"/>
  <c r="BC104" i="11"/>
  <c r="BD104" i="11"/>
  <c r="BB104" i="11"/>
  <c r="BD398" i="11"/>
  <c r="BA398" i="11"/>
  <c r="AZ398" i="11"/>
  <c r="BC398" i="11"/>
  <c r="BB398" i="11"/>
  <c r="BC66" i="11"/>
  <c r="BA66" i="11"/>
  <c r="BB66" i="11"/>
  <c r="AZ66" i="11"/>
  <c r="BD66" i="11"/>
  <c r="BC412" i="11"/>
  <c r="BD412" i="11"/>
  <c r="AZ412" i="11"/>
  <c r="BB412" i="11"/>
  <c r="BA412" i="11"/>
  <c r="BC348" i="11"/>
  <c r="BA348" i="11"/>
  <c r="BB348" i="11"/>
  <c r="BD348" i="11"/>
  <c r="AZ348" i="11"/>
  <c r="AZ316" i="11"/>
  <c r="BA316" i="11"/>
  <c r="BB316" i="11"/>
  <c r="BD316" i="11"/>
  <c r="BC316" i="11"/>
  <c r="BA228" i="11"/>
  <c r="BC228" i="11"/>
  <c r="BB228" i="11"/>
  <c r="AZ228" i="11"/>
  <c r="BD228" i="11"/>
  <c r="AZ196" i="11"/>
  <c r="BB196" i="11"/>
  <c r="BA196" i="11"/>
  <c r="BD196" i="11"/>
  <c r="BC196" i="11"/>
  <c r="BC126" i="11"/>
  <c r="BD126" i="11"/>
  <c r="BB126" i="11"/>
  <c r="AZ126" i="11"/>
  <c r="BA126" i="11"/>
  <c r="BA30" i="11"/>
  <c r="BD30" i="11"/>
  <c r="BC30" i="11"/>
  <c r="AZ30" i="11"/>
  <c r="BB30" i="11"/>
  <c r="BA413" i="11"/>
  <c r="BB413" i="11"/>
  <c r="BD413" i="11"/>
  <c r="AZ413" i="11"/>
  <c r="BC413" i="11"/>
  <c r="BD409" i="11"/>
  <c r="BC409" i="11"/>
  <c r="BB409" i="11"/>
  <c r="BA409" i="11"/>
  <c r="AZ409" i="11"/>
  <c r="BC265" i="11"/>
  <c r="AZ265" i="11"/>
  <c r="BD265" i="11"/>
  <c r="BA265" i="11"/>
  <c r="BB265" i="11"/>
  <c r="BA201" i="11"/>
  <c r="BD201" i="11"/>
  <c r="AZ201" i="11"/>
  <c r="BC201" i="11"/>
  <c r="BB201" i="11"/>
  <c r="BC120" i="11"/>
  <c r="AZ120" i="11"/>
  <c r="BD120" i="11"/>
  <c r="BA120" i="11"/>
  <c r="BB120" i="11"/>
  <c r="BB56" i="11"/>
  <c r="AZ56" i="11"/>
  <c r="BA56" i="11"/>
  <c r="BC56" i="11"/>
  <c r="BD56" i="11"/>
  <c r="BD355" i="11"/>
  <c r="BB355" i="11"/>
  <c r="BC355" i="11"/>
  <c r="AZ355" i="11"/>
  <c r="BA355" i="11"/>
  <c r="BD307" i="11"/>
  <c r="BA307" i="11"/>
  <c r="BB307" i="11"/>
  <c r="BC307" i="11"/>
  <c r="AZ307" i="11"/>
  <c r="BD76" i="11"/>
  <c r="BA76" i="11"/>
  <c r="BC76" i="11"/>
  <c r="BB76" i="11"/>
  <c r="AZ76" i="11"/>
  <c r="AZ399" i="11"/>
  <c r="BD399" i="11"/>
  <c r="BC399" i="11"/>
  <c r="BA399" i="11"/>
  <c r="BB399" i="11"/>
  <c r="BD271" i="11"/>
  <c r="BA271" i="11"/>
  <c r="AZ271" i="11"/>
  <c r="BC271" i="11"/>
  <c r="BB271" i="11"/>
  <c r="BD239" i="11"/>
  <c r="BA239" i="11"/>
  <c r="AZ239" i="11"/>
  <c r="BC239" i="11"/>
  <c r="BB239" i="11"/>
  <c r="BC191" i="11"/>
  <c r="BB191" i="11"/>
  <c r="BD191" i="11"/>
  <c r="BA191" i="11"/>
  <c r="AZ191" i="11"/>
  <c r="BC132" i="11"/>
  <c r="AZ132" i="11"/>
  <c r="BA132" i="11"/>
  <c r="BD132" i="11"/>
  <c r="BB132" i="11"/>
  <c r="BB397" i="11"/>
  <c r="BA397" i="11"/>
  <c r="BC397" i="11"/>
  <c r="BD397" i="11"/>
  <c r="AZ397" i="11"/>
  <c r="BC329" i="11"/>
  <c r="BB329" i="11"/>
  <c r="BD329" i="11"/>
  <c r="BA329" i="11"/>
  <c r="AZ329" i="11"/>
  <c r="BB313" i="11"/>
  <c r="BD313" i="11"/>
  <c r="BC313" i="11"/>
  <c r="AZ313" i="11"/>
  <c r="BA313" i="11"/>
  <c r="BA281" i="11"/>
  <c r="AZ281" i="11"/>
  <c r="BC281" i="11"/>
  <c r="BB281" i="11"/>
  <c r="BD281" i="11"/>
  <c r="BC233" i="11"/>
  <c r="AZ233" i="11"/>
  <c r="BD233" i="11"/>
  <c r="BA233" i="11"/>
  <c r="BB233" i="11"/>
  <c r="BB48" i="11"/>
  <c r="AZ48" i="11"/>
  <c r="BD48" i="11"/>
  <c r="BC48" i="11"/>
  <c r="BA48" i="11"/>
  <c r="BB394" i="11"/>
  <c r="AZ394" i="11"/>
  <c r="BD394" i="11"/>
  <c r="BC394" i="11"/>
  <c r="BA394" i="11"/>
  <c r="AZ378" i="11"/>
  <c r="BC378" i="11"/>
  <c r="BD378" i="11"/>
  <c r="BB378" i="11"/>
  <c r="BA378" i="11"/>
  <c r="BD370" i="11"/>
  <c r="BC370" i="11"/>
  <c r="AZ370" i="11"/>
  <c r="BA370" i="11"/>
  <c r="BB370" i="11"/>
  <c r="BB210" i="11"/>
  <c r="BC210" i="11"/>
  <c r="BA210" i="11"/>
  <c r="BD210" i="11"/>
  <c r="AZ210" i="11"/>
  <c r="BC74" i="11"/>
  <c r="BA74" i="11"/>
  <c r="AZ74" i="11"/>
  <c r="BD74" i="11"/>
  <c r="BB74" i="11"/>
  <c r="BC58" i="11"/>
  <c r="BD58" i="11"/>
  <c r="BB58" i="11"/>
  <c r="BA58" i="11"/>
  <c r="AZ58" i="11"/>
  <c r="BD26" i="11"/>
  <c r="BC26" i="11"/>
  <c r="BA26" i="11"/>
  <c r="AZ26" i="11"/>
  <c r="BB26" i="11"/>
  <c r="BA416" i="11"/>
  <c r="AZ416" i="11"/>
  <c r="BB416" i="11"/>
  <c r="BD416" i="11"/>
  <c r="BC416" i="11"/>
  <c r="BD408" i="11"/>
  <c r="BA408" i="11"/>
  <c r="BB408" i="11"/>
  <c r="AZ408" i="11"/>
  <c r="BC408" i="11"/>
  <c r="BC400" i="11"/>
  <c r="BD400" i="11"/>
  <c r="AZ400" i="11"/>
  <c r="BA400" i="11"/>
  <c r="BB400" i="11"/>
  <c r="BA392" i="11"/>
  <c r="BB392" i="11"/>
  <c r="BC392" i="11"/>
  <c r="AZ392" i="11"/>
  <c r="BD392" i="11"/>
  <c r="AZ360" i="11"/>
  <c r="BB360" i="11"/>
  <c r="BA360" i="11"/>
  <c r="BC360" i="11"/>
  <c r="BD360" i="11"/>
  <c r="BA352" i="11"/>
  <c r="BD352" i="11"/>
  <c r="BC352" i="11"/>
  <c r="BB352" i="11"/>
  <c r="AZ352" i="11"/>
  <c r="BB344" i="11"/>
  <c r="BC344" i="11"/>
  <c r="BD344" i="11"/>
  <c r="AZ344" i="11"/>
  <c r="BA344" i="11"/>
  <c r="BB336" i="11"/>
  <c r="BD336" i="11"/>
  <c r="BC336" i="11"/>
  <c r="BA336" i="11"/>
  <c r="AZ336" i="11"/>
  <c r="BC328" i="11"/>
  <c r="AZ328" i="11"/>
  <c r="BA328" i="11"/>
  <c r="BD328" i="11"/>
  <c r="BB328" i="11"/>
  <c r="BD320" i="11"/>
  <c r="BB320" i="11"/>
  <c r="BC320" i="11"/>
  <c r="AZ320" i="11"/>
  <c r="BA320" i="11"/>
  <c r="BC312" i="11"/>
  <c r="AZ312" i="11"/>
  <c r="BD312" i="11"/>
  <c r="BB312" i="11"/>
  <c r="BA312" i="11"/>
  <c r="BA296" i="11"/>
  <c r="AZ296" i="11"/>
  <c r="BB296" i="11"/>
  <c r="BD296" i="11"/>
  <c r="BC296" i="11"/>
  <c r="AZ288" i="11"/>
  <c r="BB288" i="11"/>
  <c r="BC288" i="11"/>
  <c r="BA288" i="11"/>
  <c r="BD288" i="11"/>
  <c r="AZ280" i="11"/>
  <c r="BA280" i="11"/>
  <c r="BD280" i="11"/>
  <c r="BC280" i="11"/>
  <c r="BB280" i="11"/>
  <c r="BB272" i="11"/>
  <c r="AZ272" i="11"/>
  <c r="BC272" i="11"/>
  <c r="BA272" i="11"/>
  <c r="BD272" i="11"/>
  <c r="BD256" i="11"/>
  <c r="BA256" i="11"/>
  <c r="BB256" i="11"/>
  <c r="AZ256" i="11"/>
  <c r="BC256" i="11"/>
  <c r="BC248" i="11"/>
  <c r="BD248" i="11"/>
  <c r="AZ248" i="11"/>
  <c r="BB248" i="11"/>
  <c r="BA248" i="11"/>
  <c r="BD240" i="11"/>
  <c r="BA240" i="11"/>
  <c r="AZ240" i="11"/>
  <c r="BB240" i="11"/>
  <c r="BC240" i="11"/>
  <c r="BA216" i="11"/>
  <c r="AZ216" i="11"/>
  <c r="BD216" i="11"/>
  <c r="BB216" i="11"/>
  <c r="BC216" i="11"/>
  <c r="BD200" i="11"/>
  <c r="AZ200" i="11"/>
  <c r="BC200" i="11"/>
  <c r="BB200" i="11"/>
  <c r="BA200" i="11"/>
  <c r="BB192" i="11"/>
  <c r="BC192" i="11"/>
  <c r="BA192" i="11"/>
  <c r="BD192" i="11"/>
  <c r="AZ192" i="11"/>
  <c r="BB182" i="11"/>
  <c r="BA182" i="11"/>
  <c r="BD182" i="11"/>
  <c r="AZ182" i="11"/>
  <c r="BC182" i="11"/>
  <c r="BB166" i="11"/>
  <c r="AZ166" i="11"/>
  <c r="BC166" i="11"/>
  <c r="BA166" i="11"/>
  <c r="BD166" i="11"/>
  <c r="BA150" i="11"/>
  <c r="BD150" i="11"/>
  <c r="AZ150" i="11"/>
  <c r="BC150" i="11"/>
  <c r="BB150" i="11"/>
  <c r="AZ134" i="11"/>
  <c r="BA134" i="11"/>
  <c r="BD134" i="11"/>
  <c r="BC134" i="11"/>
  <c r="BB134" i="11"/>
  <c r="AZ118" i="11"/>
  <c r="BA118" i="11"/>
  <c r="BD118" i="11"/>
  <c r="BC118" i="11"/>
  <c r="BB118" i="11"/>
  <c r="BA102" i="11"/>
  <c r="AZ102" i="11"/>
  <c r="BC102" i="11"/>
  <c r="BB102" i="11"/>
  <c r="BD102" i="11"/>
  <c r="AZ86" i="11"/>
  <c r="BC86" i="11"/>
  <c r="BD86" i="11"/>
  <c r="BA86" i="11"/>
  <c r="BB86" i="11"/>
  <c r="BA54" i="11"/>
  <c r="BB54" i="11"/>
  <c r="BD54" i="11"/>
  <c r="AZ54" i="11"/>
  <c r="BC54" i="11"/>
  <c r="BD38" i="11"/>
  <c r="BC38" i="11"/>
  <c r="BB38" i="11"/>
  <c r="BA38" i="11"/>
  <c r="AZ38" i="11"/>
  <c r="AY21" i="11"/>
  <c r="BD115" i="11"/>
  <c r="BA115" i="11"/>
  <c r="AZ115" i="11"/>
  <c r="BC115" i="11"/>
  <c r="BB115" i="11"/>
  <c r="BD107" i="11"/>
  <c r="BC107" i="11"/>
  <c r="AZ107" i="11"/>
  <c r="BB107" i="11"/>
  <c r="BA107" i="11"/>
  <c r="BD91" i="11"/>
  <c r="BB91" i="11"/>
  <c r="AZ91" i="11"/>
  <c r="BC91" i="11"/>
  <c r="BA91" i="11"/>
  <c r="BD75" i="11"/>
  <c r="BB75" i="11"/>
  <c r="AZ75" i="11"/>
  <c r="BC75" i="11"/>
  <c r="BA75" i="11"/>
  <c r="BC67" i="11"/>
  <c r="BB67" i="11"/>
  <c r="BA67" i="11"/>
  <c r="AZ67" i="11"/>
  <c r="BD67" i="11"/>
  <c r="BA59" i="11"/>
  <c r="BB59" i="11"/>
  <c r="AZ59" i="11"/>
  <c r="BC59" i="11"/>
  <c r="BD59" i="11"/>
  <c r="BB185" i="11"/>
  <c r="BC185" i="11"/>
  <c r="AZ185" i="11"/>
  <c r="BD185" i="11"/>
  <c r="BA185" i="11"/>
  <c r="BD177" i="11"/>
  <c r="AZ177" i="11"/>
  <c r="BC177" i="11"/>
  <c r="BB177" i="11"/>
  <c r="BA177" i="11"/>
  <c r="AZ161" i="11"/>
  <c r="BA161" i="11"/>
  <c r="BD161" i="11"/>
  <c r="BC161" i="11"/>
  <c r="BB161" i="11"/>
  <c r="AZ153" i="11"/>
  <c r="BD153" i="11"/>
  <c r="BB153" i="11"/>
  <c r="BA153" i="11"/>
  <c r="BC153" i="11"/>
  <c r="BD145" i="11"/>
  <c r="AZ145" i="11"/>
  <c r="BB145" i="11"/>
  <c r="BA145" i="11"/>
  <c r="BC145" i="11"/>
  <c r="BC137" i="11"/>
  <c r="BD137" i="11"/>
  <c r="AZ137" i="11"/>
  <c r="BA137" i="11"/>
  <c r="BB137" i="11"/>
  <c r="BC129" i="11"/>
  <c r="BA129" i="11"/>
  <c r="BB129" i="11"/>
  <c r="BD129" i="11"/>
  <c r="AZ129" i="11"/>
  <c r="BB121" i="11"/>
  <c r="BA121" i="11"/>
  <c r="AZ121" i="11"/>
  <c r="BD121" i="11"/>
  <c r="BC121" i="11"/>
  <c r="BA113" i="11"/>
  <c r="AZ113" i="11"/>
  <c r="BD113" i="11"/>
  <c r="BB113" i="11"/>
  <c r="BC113" i="11"/>
  <c r="AZ105" i="11"/>
  <c r="BA105" i="11"/>
  <c r="BC105" i="11"/>
  <c r="BD105" i="11"/>
  <c r="BB105" i="11"/>
  <c r="BA97" i="11"/>
  <c r="BC97" i="11"/>
  <c r="BD97" i="11"/>
  <c r="BB97" i="11"/>
  <c r="AZ97" i="11"/>
  <c r="BB41" i="11"/>
  <c r="BD41" i="11"/>
  <c r="BC41" i="11"/>
  <c r="AZ41" i="11"/>
  <c r="BA41" i="11"/>
  <c r="BD33" i="11"/>
  <c r="AZ33" i="11"/>
  <c r="BA33" i="11"/>
  <c r="BC33" i="11"/>
  <c r="BB33" i="11"/>
  <c r="AZ273" i="11"/>
  <c r="BC273" i="11"/>
  <c r="BD273" i="11"/>
  <c r="BB273" i="11"/>
  <c r="BA273" i="11"/>
  <c r="BA193" i="11"/>
  <c r="BC193" i="11"/>
  <c r="BD193" i="11"/>
  <c r="BB193" i="11"/>
  <c r="AZ193" i="11"/>
  <c r="BB347" i="11"/>
  <c r="AZ347" i="11"/>
  <c r="BD347" i="11"/>
  <c r="BC347" i="11"/>
  <c r="BA347" i="11"/>
  <c r="BC411" i="11"/>
  <c r="BB411" i="11"/>
  <c r="BA411" i="11"/>
  <c r="AZ411" i="11"/>
  <c r="BD411" i="11"/>
  <c r="BA375" i="11"/>
  <c r="BC375" i="11"/>
  <c r="BD375" i="11"/>
  <c r="AZ375" i="11"/>
  <c r="BB375" i="11"/>
  <c r="BB295" i="11"/>
  <c r="AZ295" i="11"/>
  <c r="BA295" i="11"/>
  <c r="BD295" i="11"/>
  <c r="BC295" i="11"/>
  <c r="BA231" i="11"/>
  <c r="AZ231" i="11"/>
  <c r="BB231" i="11"/>
  <c r="BC231" i="11"/>
  <c r="BD231" i="11"/>
  <c r="BD148" i="11"/>
  <c r="AZ148" i="11"/>
  <c r="BB148" i="11"/>
  <c r="BC148" i="11"/>
  <c r="BA148" i="11"/>
  <c r="BA337" i="11"/>
  <c r="BB337" i="11"/>
  <c r="BC337" i="11"/>
  <c r="AZ337" i="11"/>
  <c r="BD337" i="11"/>
  <c r="AZ72" i="11"/>
  <c r="BA72" i="11"/>
  <c r="BB72" i="11"/>
  <c r="BD72" i="11"/>
  <c r="BC72" i="11"/>
  <c r="BA390" i="11"/>
  <c r="BB390" i="11"/>
  <c r="BC390" i="11"/>
  <c r="BD390" i="11"/>
  <c r="AZ390" i="11"/>
  <c r="BA98" i="11"/>
  <c r="BB98" i="11"/>
  <c r="BC98" i="11"/>
  <c r="BD98" i="11"/>
  <c r="AZ98" i="11"/>
  <c r="BD34" i="11"/>
  <c r="BC34" i="11"/>
  <c r="BB34" i="11"/>
  <c r="AZ34" i="11"/>
  <c r="BA34" i="11"/>
  <c r="BB364" i="11"/>
  <c r="BC364" i="11"/>
  <c r="BA364" i="11"/>
  <c r="AZ364" i="11"/>
  <c r="BD364" i="11"/>
  <c r="BD332" i="11"/>
  <c r="BB332" i="11"/>
  <c r="BA332" i="11"/>
  <c r="BC332" i="11"/>
  <c r="AZ332" i="11"/>
  <c r="BB300" i="11"/>
  <c r="BD300" i="11"/>
  <c r="AZ300" i="11"/>
  <c r="BC300" i="11"/>
  <c r="BA300" i="11"/>
  <c r="BB268" i="11"/>
  <c r="BD268" i="11"/>
  <c r="BA268" i="11"/>
  <c r="AZ268" i="11"/>
  <c r="BC268" i="11"/>
  <c r="BD244" i="11"/>
  <c r="BC244" i="11"/>
  <c r="BA244" i="11"/>
  <c r="BB244" i="11"/>
  <c r="AZ244" i="11"/>
  <c r="AZ188" i="11"/>
  <c r="BB188" i="11"/>
  <c r="BD188" i="11"/>
  <c r="BC188" i="11"/>
  <c r="BA188" i="11"/>
  <c r="BC142" i="11"/>
  <c r="AZ142" i="11"/>
  <c r="BD142" i="11"/>
  <c r="BA142" i="11"/>
  <c r="BB142" i="11"/>
  <c r="BC62" i="11"/>
  <c r="AZ62" i="11"/>
  <c r="BB62" i="11"/>
  <c r="BA62" i="11"/>
  <c r="BD62" i="11"/>
  <c r="BD173" i="11"/>
  <c r="BA173" i="11"/>
  <c r="BB173" i="11"/>
  <c r="BC173" i="11"/>
  <c r="AZ173" i="11"/>
  <c r="BB141" i="11"/>
  <c r="BD141" i="11"/>
  <c r="AZ141" i="11"/>
  <c r="BC141" i="11"/>
  <c r="BA141" i="11"/>
  <c r="AZ353" i="11"/>
  <c r="BD353" i="11"/>
  <c r="BB353" i="11"/>
  <c r="BA353" i="11"/>
  <c r="BC353" i="11"/>
  <c r="BD393" i="11"/>
  <c r="AZ393" i="11"/>
  <c r="BC393" i="11"/>
  <c r="BA393" i="11"/>
  <c r="BB393" i="11"/>
  <c r="BB377" i="11"/>
  <c r="BA377" i="11"/>
  <c r="BC377" i="11"/>
  <c r="AZ377" i="11"/>
  <c r="BD377" i="11"/>
  <c r="BD249" i="11"/>
  <c r="BA249" i="11"/>
  <c r="BB249" i="11"/>
  <c r="BC249" i="11"/>
  <c r="AZ249" i="11"/>
  <c r="BD217" i="11"/>
  <c r="BB217" i="11"/>
  <c r="BA217" i="11"/>
  <c r="AZ217" i="11"/>
  <c r="BC217" i="11"/>
  <c r="AZ184" i="11"/>
  <c r="BC184" i="11"/>
  <c r="BD184" i="11"/>
  <c r="BB184" i="11"/>
  <c r="BA184" i="11"/>
  <c r="BC152" i="11"/>
  <c r="AZ152" i="11"/>
  <c r="BD152" i="11"/>
  <c r="BB152" i="11"/>
  <c r="BA152" i="11"/>
  <c r="BA88" i="11"/>
  <c r="BD88" i="11"/>
  <c r="BC88" i="11"/>
  <c r="AZ88" i="11"/>
  <c r="BB88" i="11"/>
  <c r="BA339" i="11"/>
  <c r="BB339" i="11"/>
  <c r="BD339" i="11"/>
  <c r="BC339" i="11"/>
  <c r="AZ339" i="11"/>
  <c r="BB291" i="11"/>
  <c r="BD291" i="11"/>
  <c r="AZ291" i="11"/>
  <c r="BC291" i="11"/>
  <c r="BA291" i="11"/>
  <c r="BC259" i="11"/>
  <c r="AZ259" i="11"/>
  <c r="BA259" i="11"/>
  <c r="BB259" i="11"/>
  <c r="BD259" i="11"/>
  <c r="AZ195" i="11"/>
  <c r="BB195" i="11"/>
  <c r="BD195" i="11"/>
  <c r="BC195" i="11"/>
  <c r="BA195" i="11"/>
  <c r="BB36" i="11"/>
  <c r="AZ36" i="11"/>
  <c r="BA36" i="11"/>
  <c r="BD36" i="11"/>
  <c r="BC36" i="11"/>
  <c r="BD383" i="11"/>
  <c r="BC383" i="11"/>
  <c r="BA383" i="11"/>
  <c r="BB383" i="11"/>
  <c r="AZ383" i="11"/>
  <c r="BB287" i="11"/>
  <c r="BA287" i="11"/>
  <c r="BC287" i="11"/>
  <c r="AZ287" i="11"/>
  <c r="BD287" i="11"/>
  <c r="BC255" i="11"/>
  <c r="BA255" i="11"/>
  <c r="BD255" i="11"/>
  <c r="BB255" i="11"/>
  <c r="AZ255" i="11"/>
  <c r="AZ164" i="11"/>
  <c r="BD164" i="11"/>
  <c r="BB164" i="11"/>
  <c r="BA164" i="11"/>
  <c r="BC164" i="11"/>
  <c r="BD100" i="11"/>
  <c r="BC100" i="11"/>
  <c r="AZ100" i="11"/>
  <c r="BA100" i="11"/>
  <c r="BB100" i="11"/>
  <c r="BD345" i="11"/>
  <c r="BA345" i="11"/>
  <c r="BB345" i="11"/>
  <c r="BC345" i="11"/>
  <c r="AZ345" i="11"/>
  <c r="BC297" i="11"/>
  <c r="AZ297" i="11"/>
  <c r="BB297" i="11"/>
  <c r="BA297" i="11"/>
  <c r="BD297" i="11"/>
  <c r="BC415" i="11"/>
  <c r="AZ415" i="11"/>
  <c r="BD415" i="11"/>
  <c r="BA415" i="11"/>
  <c r="BB415" i="11"/>
  <c r="BA369" i="11"/>
  <c r="BD369" i="11"/>
  <c r="BB369" i="11"/>
  <c r="AZ369" i="11"/>
  <c r="BC369" i="11"/>
  <c r="BD389" i="11"/>
  <c r="BC389" i="11"/>
  <c r="AZ389" i="11"/>
  <c r="BB389" i="11"/>
  <c r="BA389" i="11"/>
  <c r="BD373" i="11"/>
  <c r="BB373" i="11"/>
  <c r="AZ373" i="11"/>
  <c r="BA373" i="11"/>
  <c r="BC373" i="11"/>
  <c r="AZ309" i="11"/>
  <c r="BC309" i="11"/>
  <c r="BA309" i="11"/>
  <c r="BB309" i="11"/>
  <c r="BD309" i="11"/>
  <c r="AZ261" i="11"/>
  <c r="BB261" i="11"/>
  <c r="BD261" i="11"/>
  <c r="BC261" i="11"/>
  <c r="BA261" i="11"/>
  <c r="BC229" i="11"/>
  <c r="AZ229" i="11"/>
  <c r="BA229" i="11"/>
  <c r="BD229" i="11"/>
  <c r="BB229" i="11"/>
  <c r="AZ213" i="11"/>
  <c r="BC213" i="11"/>
  <c r="BD213" i="11"/>
  <c r="BA213" i="11"/>
  <c r="BB213" i="11"/>
  <c r="AZ197" i="11"/>
  <c r="BC197" i="11"/>
  <c r="BB197" i="11"/>
  <c r="BA197" i="11"/>
  <c r="BD197" i="11"/>
  <c r="BD176" i="11"/>
  <c r="BA176" i="11"/>
  <c r="BC176" i="11"/>
  <c r="AZ176" i="11"/>
  <c r="BB176" i="11"/>
  <c r="BA144" i="11"/>
  <c r="AZ144" i="11"/>
  <c r="BC144" i="11"/>
  <c r="BB144" i="11"/>
  <c r="BD144" i="11"/>
  <c r="BB112" i="11"/>
  <c r="BC112" i="11"/>
  <c r="AZ112" i="11"/>
  <c r="BA112" i="11"/>
  <c r="BD112" i="11"/>
  <c r="BB80" i="11"/>
  <c r="BA80" i="11"/>
  <c r="BD80" i="11"/>
  <c r="BC80" i="11"/>
  <c r="AZ80" i="11"/>
  <c r="BD387" i="11"/>
  <c r="BB387" i="11"/>
  <c r="BC387" i="11"/>
  <c r="BA387" i="11"/>
  <c r="AZ387" i="11"/>
  <c r="BA367" i="11"/>
  <c r="BD367" i="11"/>
  <c r="AZ367" i="11"/>
  <c r="BC367" i="11"/>
  <c r="BB367" i="11"/>
  <c r="BC351" i="11"/>
  <c r="AZ351" i="11"/>
  <c r="BD351" i="11"/>
  <c r="BA351" i="11"/>
  <c r="BB351" i="11"/>
  <c r="AZ335" i="11"/>
  <c r="BD335" i="11"/>
  <c r="BC335" i="11"/>
  <c r="BA335" i="11"/>
  <c r="BB335" i="11"/>
  <c r="BD319" i="11"/>
  <c r="AZ319" i="11"/>
  <c r="BB319" i="11"/>
  <c r="BC319" i="11"/>
  <c r="BA319" i="11"/>
  <c r="BB303" i="11"/>
  <c r="BC303" i="11"/>
  <c r="AZ303" i="11"/>
  <c r="BA303" i="11"/>
  <c r="BD303" i="11"/>
  <c r="AZ223" i="11"/>
  <c r="BD223" i="11"/>
  <c r="BA223" i="11"/>
  <c r="BC223" i="11"/>
  <c r="BB223" i="11"/>
  <c r="BA207" i="11"/>
  <c r="BB207" i="11"/>
  <c r="BD207" i="11"/>
  <c r="BC207" i="11"/>
  <c r="AZ207" i="11"/>
  <c r="BA68" i="11"/>
  <c r="BB68" i="11"/>
  <c r="BD68" i="11"/>
  <c r="BC68" i="11"/>
  <c r="AZ68" i="11"/>
  <c r="BD419" i="11"/>
  <c r="AZ419" i="11"/>
  <c r="BB419" i="11"/>
  <c r="BA419" i="11"/>
  <c r="BC419" i="11"/>
  <c r="BB395" i="11"/>
  <c r="BA395" i="11"/>
  <c r="BD395" i="11"/>
  <c r="BC395" i="11"/>
  <c r="AZ395" i="11"/>
  <c r="BD379" i="11"/>
  <c r="AZ379" i="11"/>
  <c r="BB379" i="11"/>
  <c r="BC379" i="11"/>
  <c r="BA379" i="11"/>
  <c r="BC315" i="11"/>
  <c r="BA315" i="11"/>
  <c r="BD315" i="11"/>
  <c r="BB315" i="11"/>
  <c r="AZ315" i="11"/>
  <c r="AZ299" i="11"/>
  <c r="BA299" i="11"/>
  <c r="BC299" i="11"/>
  <c r="BD299" i="11"/>
  <c r="BB299" i="11"/>
  <c r="AZ267" i="11"/>
  <c r="BB267" i="11"/>
  <c r="BA267" i="11"/>
  <c r="BD267" i="11"/>
  <c r="BC267" i="11"/>
  <c r="BA251" i="11"/>
  <c r="BB251" i="11"/>
  <c r="BD251" i="11"/>
  <c r="AZ251" i="11"/>
  <c r="BC251" i="11"/>
  <c r="AZ235" i="11"/>
  <c r="BB235" i="11"/>
  <c r="BD235" i="11"/>
  <c r="BC235" i="11"/>
  <c r="BA235" i="11"/>
  <c r="BA219" i="11"/>
  <c r="AZ219" i="11"/>
  <c r="BD219" i="11"/>
  <c r="BC219" i="11"/>
  <c r="BB219" i="11"/>
  <c r="BD203" i="11"/>
  <c r="AZ203" i="11"/>
  <c r="BC203" i="11"/>
  <c r="BA203" i="11"/>
  <c r="BB203" i="11"/>
  <c r="BC187" i="11"/>
  <c r="AZ187" i="11"/>
  <c r="BD187" i="11"/>
  <c r="BA187" i="11"/>
  <c r="BB187" i="11"/>
  <c r="BC156" i="11"/>
  <c r="BA156" i="11"/>
  <c r="BB156" i="11"/>
  <c r="BD156" i="11"/>
  <c r="AZ156" i="11"/>
  <c r="BB124" i="11"/>
  <c r="BC124" i="11"/>
  <c r="BA124" i="11"/>
  <c r="AZ124" i="11"/>
  <c r="BD124" i="11"/>
  <c r="AZ341" i="11"/>
  <c r="BA341" i="11"/>
  <c r="BD341" i="11"/>
  <c r="BB341" i="11"/>
  <c r="BC341" i="11"/>
  <c r="BB325" i="11"/>
  <c r="BC325" i="11"/>
  <c r="AZ325" i="11"/>
  <c r="BD325" i="11"/>
  <c r="BA325" i="11"/>
  <c r="BD293" i="11"/>
  <c r="AZ293" i="11"/>
  <c r="BA293" i="11"/>
  <c r="BC293" i="11"/>
  <c r="BB293" i="11"/>
  <c r="BA277" i="11"/>
  <c r="AZ277" i="11"/>
  <c r="BC277" i="11"/>
  <c r="BD277" i="11"/>
  <c r="BB277" i="11"/>
  <c r="BA245" i="11"/>
  <c r="BC245" i="11"/>
  <c r="AZ245" i="11"/>
  <c r="BB245" i="11"/>
  <c r="BD245" i="11"/>
  <c r="BA44" i="11"/>
  <c r="BC44" i="11"/>
  <c r="BD44" i="11"/>
  <c r="BB44" i="11"/>
  <c r="AZ44" i="11"/>
  <c r="BB28" i="11"/>
  <c r="BD28" i="11"/>
  <c r="AZ28" i="11"/>
  <c r="BA28" i="11"/>
  <c r="BC28" i="11"/>
  <c r="BB384" i="11"/>
  <c r="BA384" i="11"/>
  <c r="BD384" i="11"/>
  <c r="AZ384" i="11"/>
  <c r="BC384" i="11"/>
  <c r="AZ376" i="11"/>
  <c r="BD376" i="11"/>
  <c r="BB376" i="11"/>
  <c r="BC376" i="11"/>
  <c r="BA376" i="11"/>
  <c r="BB368" i="11"/>
  <c r="BA368" i="11"/>
  <c r="AZ368" i="11"/>
  <c r="BC368" i="11"/>
  <c r="BD368" i="11"/>
  <c r="BA304" i="11"/>
  <c r="BB304" i="11"/>
  <c r="BC304" i="11"/>
  <c r="AZ304" i="11"/>
  <c r="BD304" i="11"/>
  <c r="BB264" i="11"/>
  <c r="BD264" i="11"/>
  <c r="AZ264" i="11"/>
  <c r="BC264" i="11"/>
  <c r="BA264" i="11"/>
  <c r="BC232" i="11"/>
  <c r="BA232" i="11"/>
  <c r="BD232" i="11"/>
  <c r="AZ232" i="11"/>
  <c r="BB232" i="11"/>
  <c r="BB224" i="11"/>
  <c r="AZ224" i="11"/>
  <c r="BD224" i="11"/>
  <c r="BA224" i="11"/>
  <c r="BC224" i="11"/>
  <c r="BB208" i="11"/>
  <c r="BD208" i="11"/>
  <c r="BC208" i="11"/>
  <c r="BA208" i="11"/>
  <c r="AZ208" i="11"/>
  <c r="BD70" i="11"/>
  <c r="BA70" i="11"/>
  <c r="AZ70" i="11"/>
  <c r="BB70" i="11"/>
  <c r="BC70" i="11"/>
  <c r="BB414" i="11"/>
  <c r="BA414" i="11"/>
  <c r="BD414" i="11"/>
  <c r="BC414" i="11"/>
  <c r="AZ414" i="11"/>
  <c r="BB406" i="11"/>
  <c r="BA406" i="11"/>
  <c r="BD406" i="11"/>
  <c r="AZ406" i="11"/>
  <c r="BC406" i="11"/>
  <c r="BD366" i="11"/>
  <c r="BA366" i="11"/>
  <c r="BC366" i="11"/>
  <c r="AZ366" i="11"/>
  <c r="BB366" i="11"/>
  <c r="BA358" i="11"/>
  <c r="BC358" i="11"/>
  <c r="BB358" i="11"/>
  <c r="BD358" i="11"/>
  <c r="AZ358" i="11"/>
  <c r="BB350" i="11"/>
  <c r="AZ350" i="11"/>
  <c r="BC350" i="11"/>
  <c r="BA350" i="11"/>
  <c r="BD350" i="11"/>
  <c r="BB342" i="11"/>
  <c r="BC342" i="11"/>
  <c r="BD342" i="11"/>
  <c r="AZ342" i="11"/>
  <c r="BA342" i="11"/>
  <c r="BC334" i="11"/>
  <c r="BB334" i="11"/>
  <c r="BA334" i="11"/>
  <c r="BD334" i="11"/>
  <c r="AZ334" i="11"/>
  <c r="BC326" i="11"/>
  <c r="BD326" i="11"/>
  <c r="BB326" i="11"/>
  <c r="BA326" i="11"/>
  <c r="AZ326" i="11"/>
  <c r="BA318" i="11"/>
  <c r="BB318" i="11"/>
  <c r="BD318" i="11"/>
  <c r="BC318" i="11"/>
  <c r="AZ318" i="11"/>
  <c r="BC310" i="11"/>
  <c r="AZ310" i="11"/>
  <c r="BB310" i="11"/>
  <c r="BD310" i="11"/>
  <c r="BA310" i="11"/>
  <c r="BC302" i="11"/>
  <c r="AZ302" i="11"/>
  <c r="BD302" i="11"/>
  <c r="BA302" i="11"/>
  <c r="BB302" i="11"/>
  <c r="BD294" i="11"/>
  <c r="BB294" i="11"/>
  <c r="BC294" i="11"/>
  <c r="BA294" i="11"/>
  <c r="AZ294" i="11"/>
  <c r="AZ286" i="11"/>
  <c r="BB286" i="11"/>
  <c r="BD286" i="11"/>
  <c r="BA286" i="11"/>
  <c r="BC286" i="11"/>
  <c r="BA278" i="11"/>
  <c r="AZ278" i="11"/>
  <c r="BB278" i="11"/>
  <c r="BD278" i="11"/>
  <c r="BC278" i="11"/>
  <c r="AZ270" i="11"/>
  <c r="BD270" i="11"/>
  <c r="BC270" i="11"/>
  <c r="BA270" i="11"/>
  <c r="BB270" i="11"/>
  <c r="AZ262" i="11"/>
  <c r="BB262" i="11"/>
  <c r="BC262" i="11"/>
  <c r="BA262" i="11"/>
  <c r="BD262" i="11"/>
  <c r="BD246" i="11"/>
  <c r="BC246" i="11"/>
  <c r="AZ246" i="11"/>
  <c r="BA246" i="11"/>
  <c r="BB246" i="11"/>
  <c r="BD238" i="11"/>
  <c r="AZ238" i="11"/>
  <c r="BC238" i="11"/>
  <c r="BB238" i="11"/>
  <c r="BA238" i="11"/>
  <c r="BB230" i="11"/>
  <c r="AZ230" i="11"/>
  <c r="BD230" i="11"/>
  <c r="BC230" i="11"/>
  <c r="BA230" i="11"/>
  <c r="BD222" i="11"/>
  <c r="AZ222" i="11"/>
  <c r="BA222" i="11"/>
  <c r="BC222" i="11"/>
  <c r="BB222" i="11"/>
  <c r="BD206" i="11"/>
  <c r="BB206" i="11"/>
  <c r="BC206" i="11"/>
  <c r="BA206" i="11"/>
  <c r="AZ206" i="11"/>
  <c r="AZ198" i="11"/>
  <c r="BB198" i="11"/>
  <c r="BA198" i="11"/>
  <c r="BC198" i="11"/>
  <c r="BD198" i="11"/>
  <c r="BD190" i="11"/>
  <c r="AZ190" i="11"/>
  <c r="BA190" i="11"/>
  <c r="BB190" i="11"/>
  <c r="BC190" i="11"/>
  <c r="BC178" i="11"/>
  <c r="AZ178" i="11"/>
  <c r="BD178" i="11"/>
  <c r="BA178" i="11"/>
  <c r="BB178" i="11"/>
  <c r="AZ162" i="11"/>
  <c r="BC162" i="11"/>
  <c r="BA162" i="11"/>
  <c r="BD162" i="11"/>
  <c r="BB162" i="11"/>
  <c r="BA146" i="11"/>
  <c r="AZ146" i="11"/>
  <c r="BC146" i="11"/>
  <c r="BB146" i="11"/>
  <c r="BD146" i="11"/>
  <c r="BC130" i="11"/>
  <c r="AZ130" i="11"/>
  <c r="BD130" i="11"/>
  <c r="BA130" i="11"/>
  <c r="BB130" i="11"/>
  <c r="BC114" i="11"/>
  <c r="AZ114" i="11"/>
  <c r="BD114" i="11"/>
  <c r="BB114" i="11"/>
  <c r="BA114" i="11"/>
  <c r="BD50" i="11"/>
  <c r="BB50" i="11"/>
  <c r="AZ50" i="11"/>
  <c r="BA50" i="11"/>
  <c r="BC50" i="11"/>
  <c r="BC169" i="11"/>
  <c r="AZ169" i="11"/>
  <c r="BD169" i="11"/>
  <c r="BA169" i="11"/>
  <c r="BB169" i="11"/>
  <c r="BD89" i="11"/>
  <c r="BB89" i="11"/>
  <c r="BA89" i="11"/>
  <c r="AZ89" i="11"/>
  <c r="BC89" i="11"/>
  <c r="AZ81" i="11"/>
  <c r="BA81" i="11"/>
  <c r="BB81" i="11"/>
  <c r="BD81" i="11"/>
  <c r="BC81" i="11"/>
  <c r="BA73" i="11"/>
  <c r="BD73" i="11"/>
  <c r="AZ73" i="11"/>
  <c r="BC73" i="11"/>
  <c r="BB73" i="11"/>
  <c r="AZ65" i="11"/>
  <c r="BA65" i="11"/>
  <c r="BC65" i="11"/>
  <c r="BB65" i="11"/>
  <c r="BD65" i="11"/>
  <c r="BA57" i="11"/>
  <c r="AZ57" i="11"/>
  <c r="BD57" i="11"/>
  <c r="BC57" i="11"/>
  <c r="BB57" i="11"/>
  <c r="BC49" i="11"/>
  <c r="AZ49" i="11"/>
  <c r="BB49" i="11"/>
  <c r="BA49" i="11"/>
  <c r="BD49" i="11"/>
  <c r="BD25" i="11"/>
  <c r="BC25" i="11"/>
  <c r="BB25" i="11"/>
  <c r="AZ25" i="11"/>
  <c r="BA25" i="11"/>
  <c r="BD183" i="11"/>
  <c r="BA183" i="11"/>
  <c r="BC183" i="11"/>
  <c r="AZ183" i="11"/>
  <c r="BB183" i="11"/>
  <c r="BD175" i="11"/>
  <c r="AZ175" i="11"/>
  <c r="BA175" i="11"/>
  <c r="BC175" i="11"/>
  <c r="BB175" i="11"/>
  <c r="BA167" i="11"/>
  <c r="BC167" i="11"/>
  <c r="BD167" i="11"/>
  <c r="BB167" i="11"/>
  <c r="AZ167" i="11"/>
  <c r="BB159" i="11"/>
  <c r="BD159" i="11"/>
  <c r="AZ159" i="11"/>
  <c r="BA159" i="11"/>
  <c r="BC159" i="11"/>
  <c r="BA151" i="11"/>
  <c r="BD151" i="11"/>
  <c r="BC151" i="11"/>
  <c r="AZ151" i="11"/>
  <c r="BB151" i="11"/>
  <c r="AZ135" i="11"/>
  <c r="BA135" i="11"/>
  <c r="BD135" i="11"/>
  <c r="BC135" i="11"/>
  <c r="BB135" i="11"/>
  <c r="AZ127" i="11"/>
  <c r="BB127" i="11"/>
  <c r="BD127" i="11"/>
  <c r="BC127" i="11"/>
  <c r="BA127" i="11"/>
  <c r="BA119" i="11"/>
  <c r="BC119" i="11"/>
  <c r="BB119" i="11"/>
  <c r="BD119" i="11"/>
  <c r="AZ119" i="11"/>
  <c r="BA103" i="11"/>
  <c r="BC103" i="11"/>
  <c r="BB103" i="11"/>
  <c r="BD103" i="11"/>
  <c r="AZ103" i="11"/>
  <c r="BA79" i="11"/>
  <c r="AZ79" i="11"/>
  <c r="BB79" i="11"/>
  <c r="BD79" i="11"/>
  <c r="BC79" i="11"/>
  <c r="BB71" i="11"/>
  <c r="BD71" i="11"/>
  <c r="AZ71" i="11"/>
  <c r="BC71" i="11"/>
  <c r="BA71" i="11"/>
  <c r="BD63" i="11"/>
  <c r="BA63" i="11"/>
  <c r="AZ63" i="11"/>
  <c r="BB63" i="11"/>
  <c r="BC63" i="11"/>
  <c r="AZ55" i="11"/>
  <c r="BB55" i="11"/>
  <c r="BD55" i="11"/>
  <c r="BC55" i="11"/>
  <c r="BA55" i="11"/>
  <c r="BB47" i="11"/>
  <c r="BA47" i="11"/>
  <c r="BC47" i="11"/>
  <c r="BD47" i="11"/>
  <c r="AZ47" i="11"/>
  <c r="BD31" i="11"/>
  <c r="AZ31" i="11"/>
  <c r="BA31" i="11"/>
  <c r="BC31" i="11"/>
  <c r="BB31" i="11"/>
  <c r="AZ23" i="11"/>
  <c r="BB23" i="11"/>
  <c r="BA23" i="11"/>
  <c r="BC23" i="11"/>
  <c r="BD23" i="11"/>
  <c r="BB365" i="11"/>
  <c r="BD365" i="11"/>
  <c r="BA365" i="11"/>
  <c r="AZ365" i="11"/>
  <c r="BC365" i="11"/>
  <c r="BD225" i="11"/>
  <c r="BC225" i="11"/>
  <c r="BA225" i="11"/>
  <c r="AZ225" i="11"/>
  <c r="BB225" i="11"/>
  <c r="BC136" i="11"/>
  <c r="BD136" i="11"/>
  <c r="AZ136" i="11"/>
  <c r="BB136" i="11"/>
  <c r="BA136" i="11"/>
  <c r="BA283" i="11"/>
  <c r="AZ283" i="11"/>
  <c r="BD283" i="11"/>
  <c r="BC283" i="11"/>
  <c r="BB283" i="11"/>
  <c r="AZ92" i="11"/>
  <c r="BA92" i="11"/>
  <c r="BC92" i="11"/>
  <c r="BD92" i="11"/>
  <c r="BB92" i="11"/>
  <c r="BA263" i="11"/>
  <c r="BC263" i="11"/>
  <c r="AZ263" i="11"/>
  <c r="BB263" i="11"/>
  <c r="BD263" i="11"/>
  <c r="BD180" i="11"/>
  <c r="AZ180" i="11"/>
  <c r="BB180" i="11"/>
  <c r="BA180" i="11"/>
  <c r="BC180" i="11"/>
  <c r="BC305" i="11"/>
  <c r="AZ305" i="11"/>
  <c r="BA305" i="11"/>
  <c r="BD305" i="11"/>
  <c r="BB305" i="11"/>
  <c r="BC40" i="11"/>
  <c r="BD40" i="11"/>
  <c r="AZ40" i="11"/>
  <c r="BB40" i="11"/>
  <c r="BA40" i="11"/>
  <c r="BA374" i="11"/>
  <c r="BD374" i="11"/>
  <c r="AZ374" i="11"/>
  <c r="BC374" i="11"/>
  <c r="BB374" i="11"/>
  <c r="BB214" i="11"/>
  <c r="AZ214" i="11"/>
  <c r="BC214" i="11"/>
  <c r="BA214" i="11"/>
  <c r="BD214" i="11"/>
  <c r="BD340" i="11"/>
  <c r="AZ340" i="11"/>
  <c r="BB340" i="11"/>
  <c r="BA340" i="11"/>
  <c r="BC340" i="11"/>
  <c r="BB276" i="11"/>
  <c r="BA276" i="11"/>
  <c r="BD276" i="11"/>
  <c r="BC276" i="11"/>
  <c r="AZ276" i="11"/>
  <c r="BA236" i="11"/>
  <c r="BC236" i="11"/>
  <c r="AZ236" i="11"/>
  <c r="BD236" i="11"/>
  <c r="BB236" i="11"/>
  <c r="BD204" i="11"/>
  <c r="AZ204" i="11"/>
  <c r="BC204" i="11"/>
  <c r="BA204" i="11"/>
  <c r="BB204" i="11"/>
  <c r="BB158" i="11"/>
  <c r="BD158" i="11"/>
  <c r="BA158" i="11"/>
  <c r="AZ158" i="11"/>
  <c r="BC158" i="11"/>
  <c r="BB111" i="11"/>
  <c r="BA111" i="11"/>
  <c r="BD111" i="11"/>
  <c r="AZ111" i="11"/>
  <c r="BC111" i="11"/>
  <c r="BC87" i="11"/>
  <c r="BD87" i="11"/>
  <c r="BB87" i="11"/>
  <c r="BA87" i="11"/>
  <c r="AZ87" i="11"/>
  <c r="BB181" i="11"/>
  <c r="AZ181" i="11"/>
  <c r="BA181" i="11"/>
  <c r="BD181" i="11"/>
  <c r="BC181" i="11"/>
  <c r="AZ149" i="11"/>
  <c r="BB149" i="11"/>
  <c r="BC149" i="11"/>
  <c r="BA149" i="11"/>
  <c r="BD149" i="11"/>
  <c r="BA125" i="11"/>
  <c r="BC125" i="11"/>
  <c r="BB125" i="11"/>
  <c r="AZ125" i="11"/>
  <c r="BD125" i="11"/>
  <c r="BB101" i="11"/>
  <c r="BA101" i="11"/>
  <c r="BD101" i="11"/>
  <c r="AZ101" i="11"/>
  <c r="BC101" i="11"/>
  <c r="BC45" i="11"/>
  <c r="AZ45" i="11"/>
  <c r="BD45" i="11"/>
  <c r="BB45" i="11"/>
  <c r="BA45" i="11"/>
  <c r="M94" i="11" l="1"/>
  <c r="Y94" i="11" s="1"/>
  <c r="AD94" i="11" s="1"/>
  <c r="M300" i="11"/>
  <c r="Y300" i="11" s="1"/>
  <c r="Z300" i="11" s="1"/>
  <c r="M308" i="11"/>
  <c r="Y308" i="11" s="1"/>
  <c r="AB308" i="11" s="1"/>
  <c r="S46" i="11"/>
  <c r="M112" i="11"/>
  <c r="Y112" i="11" s="1"/>
  <c r="AC112" i="11" s="1"/>
  <c r="S172" i="11"/>
  <c r="M365" i="11"/>
  <c r="Y365" i="11" s="1"/>
  <c r="AC365" i="11" s="1"/>
  <c r="M62" i="11"/>
  <c r="Y62" i="11" s="1"/>
  <c r="AA62" i="11" s="1"/>
  <c r="M52" i="11"/>
  <c r="Y52" i="11" s="1"/>
  <c r="Z52" i="11" s="1"/>
  <c r="S218" i="11"/>
  <c r="M192" i="11"/>
  <c r="Y192" i="11" s="1"/>
  <c r="AA192" i="11" s="1"/>
  <c r="S279" i="11"/>
  <c r="S108" i="11"/>
  <c r="M224" i="11"/>
  <c r="Y224" i="11" s="1"/>
  <c r="AB224" i="11" s="1"/>
  <c r="S286" i="11"/>
  <c r="M183" i="11"/>
  <c r="Y183" i="11" s="1"/>
  <c r="AC183" i="11" s="1"/>
  <c r="M80" i="11"/>
  <c r="Y80" i="11" s="1"/>
  <c r="AA80" i="11" s="1"/>
  <c r="M208" i="11"/>
  <c r="Y208" i="11" s="1"/>
  <c r="Z208" i="11" s="1"/>
  <c r="M306" i="11"/>
  <c r="Y306" i="11" s="1"/>
  <c r="Z306" i="11" s="1"/>
  <c r="S168" i="11"/>
  <c r="S124" i="11"/>
  <c r="M88" i="11"/>
  <c r="Y88" i="11" s="1"/>
  <c r="AC88" i="11" s="1"/>
  <c r="S204" i="11"/>
  <c r="S66" i="11"/>
  <c r="S202" i="11"/>
  <c r="S343" i="11"/>
  <c r="M352" i="11"/>
  <c r="Y352" i="11" s="1"/>
  <c r="AD352" i="11" s="1"/>
  <c r="S301" i="11"/>
  <c r="M60" i="11"/>
  <c r="Y60" i="11" s="1"/>
  <c r="AA60" i="11" s="1"/>
  <c r="M159" i="11"/>
  <c r="Y159" i="11" s="1"/>
  <c r="AA159" i="11" s="1"/>
  <c r="M360" i="11"/>
  <c r="Y360" i="11" s="1"/>
  <c r="Z360" i="11" s="1"/>
  <c r="S319" i="11"/>
  <c r="M53" i="11"/>
  <c r="Y53" i="11" s="1"/>
  <c r="AD53" i="11" s="1"/>
  <c r="M393" i="11"/>
  <c r="Y393" i="11" s="1"/>
  <c r="AA393" i="11" s="1"/>
  <c r="M148" i="11"/>
  <c r="Y148" i="11" s="1"/>
  <c r="AD148" i="11" s="1"/>
  <c r="M188" i="11"/>
  <c r="Y188" i="11" s="1"/>
  <c r="AC188" i="11" s="1"/>
  <c r="M336" i="11"/>
  <c r="Y336" i="11" s="1"/>
  <c r="AC336" i="11" s="1"/>
  <c r="M72" i="11"/>
  <c r="Y72" i="11" s="1"/>
  <c r="AD72" i="11" s="1"/>
  <c r="M76" i="11"/>
  <c r="Y76" i="11" s="1"/>
  <c r="AA76" i="11" s="1"/>
  <c r="M242" i="11"/>
  <c r="Y242" i="11" s="1"/>
  <c r="AA242" i="11" s="1"/>
  <c r="M37" i="11"/>
  <c r="Y37" i="11" s="1"/>
  <c r="AD37" i="11" s="1"/>
  <c r="S239" i="11"/>
  <c r="S309" i="11"/>
  <c r="S206" i="11"/>
  <c r="M272" i="11"/>
  <c r="Y272" i="11" s="1"/>
  <c r="AA272" i="11" s="1"/>
  <c r="M362" i="11"/>
  <c r="Y362" i="11" s="1"/>
  <c r="AC362" i="11" s="1"/>
  <c r="M102" i="11"/>
  <c r="Y102" i="11" s="1"/>
  <c r="AD102" i="11" s="1"/>
  <c r="S138" i="11"/>
  <c r="S113" i="11"/>
  <c r="M158" i="11"/>
  <c r="Y158" i="11" s="1"/>
  <c r="AA158" i="11" s="1"/>
  <c r="S165" i="11"/>
  <c r="S351" i="11"/>
  <c r="M294" i="11"/>
  <c r="Y294" i="11" s="1"/>
  <c r="AC294" i="11" s="1"/>
  <c r="M212" i="11"/>
  <c r="Y212" i="11" s="1"/>
  <c r="AB212" i="11" s="1"/>
  <c r="S36" i="11"/>
  <c r="S262" i="11"/>
  <c r="M215" i="11"/>
  <c r="Y215" i="11" s="1"/>
  <c r="AD215" i="11" s="1"/>
  <c r="S96" i="11"/>
  <c r="M316" i="11"/>
  <c r="Y316" i="11" s="1"/>
  <c r="AA316" i="11" s="1"/>
  <c r="M78" i="11"/>
  <c r="Y78" i="11" s="1"/>
  <c r="AC78" i="11" s="1"/>
  <c r="M281" i="11"/>
  <c r="Y281" i="11" s="1"/>
  <c r="AD281" i="11" s="1"/>
  <c r="S376" i="11"/>
  <c r="M335" i="11"/>
  <c r="Y335" i="11" s="1"/>
  <c r="AC335" i="11" s="1"/>
  <c r="S92" i="11"/>
  <c r="M398" i="11"/>
  <c r="Y398" i="11" s="1"/>
  <c r="AC398" i="11" s="1"/>
  <c r="M240" i="11"/>
  <c r="Y240" i="11" s="1"/>
  <c r="AB240" i="11" s="1"/>
  <c r="S230" i="11"/>
  <c r="S24" i="11"/>
  <c r="S237" i="11"/>
  <c r="S148" i="11"/>
  <c r="M390" i="11"/>
  <c r="Y390" i="11" s="1"/>
  <c r="AB390" i="11" s="1"/>
  <c r="M166" i="11"/>
  <c r="Y166" i="11" s="1"/>
  <c r="Z166" i="11" s="1"/>
  <c r="S88" i="11"/>
  <c r="M93" i="11"/>
  <c r="Y93" i="11" s="1"/>
  <c r="AB93" i="11" s="1"/>
  <c r="S398" i="11"/>
  <c r="M64" i="11"/>
  <c r="Y64" i="11" s="1"/>
  <c r="AC64" i="11" s="1"/>
  <c r="S389" i="11"/>
  <c r="S308" i="11"/>
  <c r="M29" i="11"/>
  <c r="Y29" i="11" s="1"/>
  <c r="Z29" i="11" s="1"/>
  <c r="M284" i="11"/>
  <c r="Y284" i="11" s="1"/>
  <c r="AC284" i="11" s="1"/>
  <c r="M399" i="11"/>
  <c r="Y399" i="11" s="1"/>
  <c r="AB399" i="11" s="1"/>
  <c r="M100" i="11"/>
  <c r="Y100" i="11" s="1"/>
  <c r="Z100" i="11" s="1"/>
  <c r="M156" i="11"/>
  <c r="Y156" i="11" s="1"/>
  <c r="AC156" i="11" s="1"/>
  <c r="M221" i="11"/>
  <c r="Y221" i="11" s="1"/>
  <c r="Z221" i="11" s="1"/>
  <c r="M44" i="11"/>
  <c r="Y44" i="11" s="1"/>
  <c r="Z44" i="11" s="1"/>
  <c r="S222" i="11"/>
  <c r="M348" i="11"/>
  <c r="Y348" i="11" s="1"/>
  <c r="AB348" i="11" s="1"/>
  <c r="S86" i="11"/>
  <c r="M256" i="11"/>
  <c r="Y256" i="11" s="1"/>
  <c r="AA256" i="11" s="1"/>
  <c r="M144" i="11"/>
  <c r="Y144" i="11" s="1"/>
  <c r="AB144" i="11" s="1"/>
  <c r="S151" i="11"/>
  <c r="S297" i="11"/>
  <c r="M372" i="11"/>
  <c r="Y372" i="11" s="1"/>
  <c r="Z372" i="11" s="1"/>
  <c r="S198" i="11"/>
  <c r="M141" i="11"/>
  <c r="Y141" i="11" s="1"/>
  <c r="AB141" i="11" s="1"/>
  <c r="S47" i="11"/>
  <c r="S162" i="11"/>
  <c r="M128" i="11"/>
  <c r="Y128" i="11" s="1"/>
  <c r="AA128" i="11" s="1"/>
  <c r="S360" i="11"/>
  <c r="S190" i="11"/>
  <c r="M304" i="11"/>
  <c r="Y304" i="11" s="1"/>
  <c r="AD304" i="11" s="1"/>
  <c r="M69" i="11"/>
  <c r="Y69" i="11" s="1"/>
  <c r="AD69" i="11" s="1"/>
  <c r="M116" i="11"/>
  <c r="Y116" i="11" s="1"/>
  <c r="AA116" i="11" s="1"/>
  <c r="M117" i="11"/>
  <c r="Y117" i="11" s="1"/>
  <c r="AC117" i="11" s="1"/>
  <c r="S340" i="11"/>
  <c r="M271" i="11"/>
  <c r="Y271" i="11" s="1"/>
  <c r="AA271" i="11" s="1"/>
  <c r="M338" i="11"/>
  <c r="Y338" i="11" s="1"/>
  <c r="AB338" i="11" s="1"/>
  <c r="M340" i="11"/>
  <c r="Y340" i="11" s="1"/>
  <c r="AD340" i="11" s="1"/>
  <c r="M207" i="11"/>
  <c r="Y207" i="11" s="1"/>
  <c r="Z207" i="11" s="1"/>
  <c r="S400" i="11"/>
  <c r="M54" i="11"/>
  <c r="Y54" i="11" s="1"/>
  <c r="AC54" i="11" s="1"/>
  <c r="M380" i="11"/>
  <c r="Y380" i="11" s="1"/>
  <c r="AC380" i="11" s="1"/>
  <c r="M252" i="11"/>
  <c r="Y252" i="11" s="1"/>
  <c r="AB252" i="11" s="1"/>
  <c r="S196" i="11"/>
  <c r="S318" i="11"/>
  <c r="S326" i="11"/>
  <c r="M343" i="11"/>
  <c r="Y343" i="11" s="1"/>
  <c r="AB343" i="11" s="1"/>
  <c r="M357" i="11"/>
  <c r="Y357" i="11" s="1"/>
  <c r="AD357" i="11" s="1"/>
  <c r="M118" i="11"/>
  <c r="Y118" i="11" s="1"/>
  <c r="AD118" i="11" s="1"/>
  <c r="S37" i="11"/>
  <c r="S72" i="11"/>
  <c r="M146" i="11"/>
  <c r="Y146" i="11" s="1"/>
  <c r="AA146" i="11" s="1"/>
  <c r="S74" i="11"/>
  <c r="C5" i="14"/>
  <c r="B14" i="2"/>
  <c r="C12" i="2" a="1"/>
  <c r="C12" i="2" s="1"/>
  <c r="S128" i="11"/>
  <c r="M25" i="11"/>
  <c r="Y25" i="11" s="1"/>
  <c r="Z25" i="11" s="1"/>
  <c r="M259" i="11"/>
  <c r="Y259" i="11" s="1"/>
  <c r="Z259" i="11" s="1"/>
  <c r="M376" i="11"/>
  <c r="Y376" i="11" s="1"/>
  <c r="AA376" i="11" s="1"/>
  <c r="S324" i="11"/>
  <c r="M244" i="11"/>
  <c r="Y244" i="11" s="1"/>
  <c r="AA244" i="11" s="1"/>
  <c r="M38" i="11"/>
  <c r="Y38" i="11" s="1"/>
  <c r="AD38" i="11" s="1"/>
  <c r="S104" i="11"/>
  <c r="S372" i="11"/>
  <c r="S270" i="11"/>
  <c r="M124" i="11"/>
  <c r="Y124" i="11" s="1"/>
  <c r="Z124" i="11" s="1"/>
  <c r="S396" i="11"/>
  <c r="S254" i="11"/>
  <c r="S133" i="11"/>
  <c r="M351" i="11"/>
  <c r="Y351" i="11" s="1"/>
  <c r="AC351" i="11" s="1"/>
  <c r="M220" i="11"/>
  <c r="Y220" i="11" s="1"/>
  <c r="Z220" i="11" s="1"/>
  <c r="M418" i="11"/>
  <c r="Y418" i="11" s="1"/>
  <c r="AA418" i="11" s="1"/>
  <c r="M49" i="11"/>
  <c r="Y49" i="11" s="1"/>
  <c r="AC49" i="11" s="1"/>
  <c r="M370" i="11"/>
  <c r="Y370" i="11" s="1"/>
  <c r="Z370" i="11" s="1"/>
  <c r="M310" i="11"/>
  <c r="Y310" i="11" s="1"/>
  <c r="AD310" i="11" s="1"/>
  <c r="S354" i="11"/>
  <c r="S114" i="11"/>
  <c r="S245" i="11"/>
  <c r="S261" i="11"/>
  <c r="S274" i="11"/>
  <c r="S284" i="11"/>
  <c r="M374" i="11"/>
  <c r="Y374" i="11" s="1"/>
  <c r="AD374" i="11" s="1"/>
  <c r="M280" i="11"/>
  <c r="Y280" i="11" s="1"/>
  <c r="AA280" i="11" s="1"/>
  <c r="S296" i="11"/>
  <c r="S268" i="11"/>
  <c r="S263" i="11"/>
  <c r="S117" i="11"/>
  <c r="S23" i="11"/>
  <c r="S321" i="11"/>
  <c r="S60" i="11"/>
  <c r="S106" i="11"/>
  <c r="M268" i="11"/>
  <c r="Y268" i="11" s="1"/>
  <c r="AD268" i="11" s="1"/>
  <c r="S303" i="11"/>
  <c r="M350" i="11"/>
  <c r="Y350" i="11" s="1"/>
  <c r="Z350" i="11" s="1"/>
  <c r="S384" i="11"/>
  <c r="S264" i="11"/>
  <c r="M214" i="11"/>
  <c r="Y214" i="11" s="1"/>
  <c r="Z214" i="11" s="1"/>
  <c r="M108" i="11"/>
  <c r="Y108" i="11" s="1"/>
  <c r="AA108" i="11" s="1"/>
  <c r="M332" i="11"/>
  <c r="Y332" i="11" s="1"/>
  <c r="AC332" i="11" s="1"/>
  <c r="S210" i="11"/>
  <c r="S101" i="11"/>
  <c r="M227" i="11"/>
  <c r="Y227" i="11" s="1"/>
  <c r="AA227" i="11" s="1"/>
  <c r="M176" i="11"/>
  <c r="Y176" i="11" s="1"/>
  <c r="AD176" i="11" s="1"/>
  <c r="S183" i="11"/>
  <c r="M160" i="11"/>
  <c r="Y160" i="11" s="1"/>
  <c r="AA160" i="11" s="1"/>
  <c r="S187" i="11"/>
  <c r="M150" i="11"/>
  <c r="Y150" i="11" s="1"/>
  <c r="AC150" i="11" s="1"/>
  <c r="M328" i="11"/>
  <c r="Y328" i="11" s="1"/>
  <c r="AA328" i="11" s="1"/>
  <c r="M346" i="11"/>
  <c r="Y346" i="11" s="1"/>
  <c r="Z346" i="11" s="1"/>
  <c r="S55" i="11"/>
  <c r="M282" i="11"/>
  <c r="Y282" i="11" s="1"/>
  <c r="Z282" i="11" s="1"/>
  <c r="M288" i="11"/>
  <c r="Y288" i="11" s="1"/>
  <c r="AC288" i="11" s="1"/>
  <c r="S64" i="11"/>
  <c r="S253" i="11"/>
  <c r="M385" i="11"/>
  <c r="Y385" i="11" s="1"/>
  <c r="Z385" i="11" s="1"/>
  <c r="S146" i="11"/>
  <c r="M199" i="11"/>
  <c r="Y199" i="11" s="1"/>
  <c r="AC199" i="11" s="1"/>
  <c r="M151" i="11"/>
  <c r="Y151" i="11" s="1"/>
  <c r="AC151" i="11" s="1"/>
  <c r="S350" i="11"/>
  <c r="M261" i="11"/>
  <c r="Y261" i="11" s="1"/>
  <c r="AD261" i="11" s="1"/>
  <c r="M168" i="11"/>
  <c r="Y168" i="11" s="1"/>
  <c r="AD168" i="11" s="1"/>
  <c r="S130" i="11"/>
  <c r="S212" i="11"/>
  <c r="S143" i="11"/>
  <c r="S199" i="11"/>
  <c r="M286" i="11"/>
  <c r="Y286" i="11" s="1"/>
  <c r="AB286" i="11" s="1"/>
  <c r="M274" i="11"/>
  <c r="Y274" i="11" s="1"/>
  <c r="AB274" i="11" s="1"/>
  <c r="M83" i="11"/>
  <c r="Y83" i="11" s="1"/>
  <c r="AA83" i="11" s="1"/>
  <c r="M342" i="11"/>
  <c r="Y342" i="11" s="1"/>
  <c r="Z342" i="11" s="1"/>
  <c r="M364" i="11"/>
  <c r="Y364" i="11" s="1"/>
  <c r="Z364" i="11" s="1"/>
  <c r="S50" i="11"/>
  <c r="M278" i="11"/>
  <c r="Y278" i="11" s="1"/>
  <c r="AD278" i="11" s="1"/>
  <c r="S250" i="11"/>
  <c r="M287" i="11"/>
  <c r="Y287" i="11" s="1"/>
  <c r="AC287" i="11" s="1"/>
  <c r="S289" i="11"/>
  <c r="S356" i="11"/>
  <c r="S120" i="11"/>
  <c r="S215" i="11"/>
  <c r="M400" i="11"/>
  <c r="Y400" i="11" s="1"/>
  <c r="AC400" i="11" s="1"/>
  <c r="M126" i="11"/>
  <c r="Y126" i="11" s="1"/>
  <c r="AD126" i="11" s="1"/>
  <c r="S244" i="11"/>
  <c r="M239" i="11"/>
  <c r="Y239" i="11" s="1"/>
  <c r="AC239" i="11" s="1"/>
  <c r="S260" i="11"/>
  <c r="M99" i="11"/>
  <c r="Y99" i="11" s="1"/>
  <c r="AD99" i="11" s="1"/>
  <c r="M311" i="11"/>
  <c r="Y311" i="11" s="1"/>
  <c r="AC311" i="11" s="1"/>
  <c r="M262" i="11"/>
  <c r="Y262" i="11" s="1"/>
  <c r="AA262" i="11" s="1"/>
  <c r="M318" i="11"/>
  <c r="Y318" i="11" s="1"/>
  <c r="AB318" i="11" s="1"/>
  <c r="M179" i="11"/>
  <c r="Y179" i="11" s="1"/>
  <c r="AA179" i="11" s="1"/>
  <c r="M320" i="11"/>
  <c r="Y320" i="11" s="1"/>
  <c r="Z320" i="11" s="1"/>
  <c r="M327" i="11"/>
  <c r="Y327" i="11" s="1"/>
  <c r="AA327" i="11" s="1"/>
  <c r="S87" i="11"/>
  <c r="S330" i="11"/>
  <c r="S353" i="11"/>
  <c r="S374" i="11"/>
  <c r="M127" i="11"/>
  <c r="Y127" i="11" s="1"/>
  <c r="AB127" i="11" s="1"/>
  <c r="S312" i="11"/>
  <c r="S82" i="11"/>
  <c r="S335" i="11"/>
  <c r="M236" i="11"/>
  <c r="Y236" i="11" s="1"/>
  <c r="AB236" i="11" s="1"/>
  <c r="S186" i="11"/>
  <c r="M202" i="11"/>
  <c r="Y202" i="11" s="1"/>
  <c r="AC202" i="11" s="1"/>
  <c r="S273" i="11"/>
  <c r="M51" i="11"/>
  <c r="Y51" i="11" s="1"/>
  <c r="Z51" i="11" s="1"/>
  <c r="S292" i="11"/>
  <c r="S364" i="11"/>
  <c r="S170" i="11"/>
  <c r="S131" i="11"/>
  <c r="M205" i="11"/>
  <c r="Y205" i="11" s="1"/>
  <c r="AB205" i="11" s="1"/>
  <c r="S306" i="11"/>
  <c r="S368" i="11"/>
  <c r="S69" i="11"/>
  <c r="M326" i="11"/>
  <c r="Y326" i="11" s="1"/>
  <c r="Z326" i="11" s="1"/>
  <c r="S293" i="11"/>
  <c r="S31" i="11"/>
  <c r="S276" i="11"/>
  <c r="S207" i="11"/>
  <c r="S188" i="11"/>
  <c r="S390" i="11"/>
  <c r="S76" i="11"/>
  <c r="S388" i="11"/>
  <c r="S136" i="11"/>
  <c r="M389" i="11"/>
  <c r="Y389" i="11" s="1"/>
  <c r="AB389" i="11" s="1"/>
  <c r="S375" i="11"/>
  <c r="M96" i="11"/>
  <c r="Y96" i="11" s="1"/>
  <c r="Z96" i="11" s="1"/>
  <c r="M92" i="11"/>
  <c r="Y92" i="11" s="1"/>
  <c r="Z92" i="11" s="1"/>
  <c r="M136" i="11"/>
  <c r="Y136" i="11" s="1"/>
  <c r="AB136" i="11" s="1"/>
  <c r="M392" i="11"/>
  <c r="Y392" i="11" s="1"/>
  <c r="AA392" i="11" s="1"/>
  <c r="M222" i="11"/>
  <c r="Y222" i="11" s="1"/>
  <c r="AB222" i="11" s="1"/>
  <c r="M382" i="11"/>
  <c r="Y382" i="11" s="1"/>
  <c r="AA382" i="11" s="1"/>
  <c r="S314" i="11"/>
  <c r="S373" i="11"/>
  <c r="M40" i="11"/>
  <c r="Y40" i="11" s="1"/>
  <c r="AC40" i="11" s="1"/>
  <c r="S232" i="11"/>
  <c r="S316" i="11"/>
  <c r="M384" i="11"/>
  <c r="Y384" i="11" s="1"/>
  <c r="AA384" i="11" s="1"/>
  <c r="M56" i="11"/>
  <c r="Y56" i="11" s="1"/>
  <c r="Z56" i="11" s="1"/>
  <c r="S229" i="11"/>
  <c r="S115" i="11"/>
  <c r="S357" i="11"/>
  <c r="M330" i="11"/>
  <c r="Y330" i="11" s="1"/>
  <c r="AA330" i="11" s="1"/>
  <c r="S116" i="11"/>
  <c r="S238" i="11"/>
  <c r="M396" i="11"/>
  <c r="Y396" i="11" s="1"/>
  <c r="Z396" i="11" s="1"/>
  <c r="S44" i="11"/>
  <c r="M388" i="11"/>
  <c r="Y388" i="11" s="1"/>
  <c r="Z388" i="11" s="1"/>
  <c r="M230" i="11"/>
  <c r="Y230" i="11" s="1"/>
  <c r="AD230" i="11" s="1"/>
  <c r="M377" i="11"/>
  <c r="Y377" i="11" s="1"/>
  <c r="AB377" i="11" s="1"/>
  <c r="M180" i="11"/>
  <c r="Y180" i="11" s="1"/>
  <c r="Z180" i="11" s="1"/>
  <c r="M134" i="11"/>
  <c r="Y134" i="11" s="1"/>
  <c r="AB134" i="11" s="1"/>
  <c r="M61" i="11"/>
  <c r="Y61" i="11" s="1"/>
  <c r="Z61" i="11" s="1"/>
  <c r="M190" i="11"/>
  <c r="Y190" i="11" s="1"/>
  <c r="AA190" i="11" s="1"/>
  <c r="S152" i="11"/>
  <c r="S277" i="11"/>
  <c r="S246" i="11"/>
  <c r="M296" i="11"/>
  <c r="Y296" i="11" s="1"/>
  <c r="AB296" i="11" s="1"/>
  <c r="S34" i="11"/>
  <c r="M325" i="11"/>
  <c r="Y325" i="11" s="1"/>
  <c r="AA325" i="11" s="1"/>
  <c r="S32" i="11"/>
  <c r="M175" i="11"/>
  <c r="Y175" i="11" s="1"/>
  <c r="AA175" i="11" s="1"/>
  <c r="S380" i="11"/>
  <c r="S197" i="11"/>
  <c r="M70" i="11"/>
  <c r="Y70" i="11" s="1"/>
  <c r="AB70" i="11" s="1"/>
  <c r="S180" i="11"/>
  <c r="M303" i="11"/>
  <c r="Y303" i="11" s="1"/>
  <c r="AD303" i="11" s="1"/>
  <c r="S366" i="11"/>
  <c r="S358" i="11"/>
  <c r="M182" i="11"/>
  <c r="Y182" i="11" s="1"/>
  <c r="AC182" i="11" s="1"/>
  <c r="M266" i="11"/>
  <c r="Y266" i="11" s="1"/>
  <c r="Z266" i="11" s="1"/>
  <c r="M32" i="11"/>
  <c r="Y32" i="11" s="1"/>
  <c r="AB32" i="11" s="1"/>
  <c r="M263" i="11"/>
  <c r="Y263" i="11" s="1"/>
  <c r="Z263" i="11" s="1"/>
  <c r="M358" i="11"/>
  <c r="Y358" i="11" s="1"/>
  <c r="Z358" i="11" s="1"/>
  <c r="S298" i="11"/>
  <c r="M333" i="11"/>
  <c r="Y333" i="11" s="1"/>
  <c r="AB333" i="11" s="1"/>
  <c r="S182" i="11"/>
  <c r="S294" i="11"/>
  <c r="S145" i="11"/>
  <c r="S35" i="11"/>
  <c r="S342" i="11"/>
  <c r="M295" i="11"/>
  <c r="Y295" i="11" s="1"/>
  <c r="Z295" i="11" s="1"/>
  <c r="M198" i="11"/>
  <c r="Y198" i="11" s="1"/>
  <c r="AB198" i="11" s="1"/>
  <c r="S52" i="11"/>
  <c r="M84" i="11"/>
  <c r="Y84" i="11" s="1"/>
  <c r="AC84" i="11" s="1"/>
  <c r="S67" i="11"/>
  <c r="M361" i="11"/>
  <c r="Y361" i="11" s="1"/>
  <c r="AA361" i="11" s="1"/>
  <c r="M254" i="11"/>
  <c r="Y254" i="11" s="1"/>
  <c r="Z254" i="11" s="1"/>
  <c r="M373" i="11"/>
  <c r="Y373" i="11" s="1"/>
  <c r="AA373" i="11" s="1"/>
  <c r="M270" i="11"/>
  <c r="Y270" i="11" s="1"/>
  <c r="AC270" i="11" s="1"/>
  <c r="S40" i="11"/>
  <c r="S157" i="11"/>
  <c r="S313" i="11"/>
  <c r="S178" i="11"/>
  <c r="M178" i="11"/>
  <c r="Y178" i="11" s="1"/>
  <c r="AC178" i="11" s="1"/>
  <c r="S155" i="11"/>
  <c r="M391" i="11"/>
  <c r="Y391" i="11" s="1"/>
  <c r="AA391" i="11" s="1"/>
  <c r="S241" i="11"/>
  <c r="M82" i="11"/>
  <c r="Y82" i="11" s="1"/>
  <c r="AC82" i="11" s="1"/>
  <c r="M234" i="11"/>
  <c r="Y234" i="11" s="1"/>
  <c r="Z234" i="11" s="1"/>
  <c r="M341" i="11"/>
  <c r="Y341" i="11" s="1"/>
  <c r="AC341" i="11" s="1"/>
  <c r="S220" i="11"/>
  <c r="M366" i="11"/>
  <c r="Y366" i="11" s="1"/>
  <c r="AA366" i="11" s="1"/>
  <c r="M172" i="11"/>
  <c r="Y172" i="11" s="1"/>
  <c r="Z172" i="11" s="1"/>
  <c r="M184" i="11"/>
  <c r="Y184" i="11" s="1"/>
  <c r="Z184" i="11" s="1"/>
  <c r="S386" i="11"/>
  <c r="S39" i="11"/>
  <c r="M200" i="11"/>
  <c r="Y200" i="11" s="1"/>
  <c r="AC200" i="11" s="1"/>
  <c r="M31" i="11"/>
  <c r="Y31" i="11" s="1"/>
  <c r="AB31" i="11" s="1"/>
  <c r="M152" i="11"/>
  <c r="Y152" i="11" s="1"/>
  <c r="AA152" i="11" s="1"/>
  <c r="M74" i="11"/>
  <c r="Y74" i="11" s="1"/>
  <c r="Z74" i="11" s="1"/>
  <c r="M197" i="11"/>
  <c r="Y197" i="11" s="1"/>
  <c r="AB197" i="11" s="1"/>
  <c r="S271" i="11"/>
  <c r="S127" i="11"/>
  <c r="M293" i="11"/>
  <c r="Y293" i="11" s="1"/>
  <c r="AC293" i="11" s="1"/>
  <c r="S228" i="11"/>
  <c r="M67" i="11"/>
  <c r="Y67" i="11" s="1"/>
  <c r="Z67" i="11" s="1"/>
  <c r="M147" i="11"/>
  <c r="Y147" i="11" s="1"/>
  <c r="AD147" i="11" s="1"/>
  <c r="M223" i="11"/>
  <c r="Y223" i="11" s="1"/>
  <c r="AD223" i="11" s="1"/>
  <c r="M229" i="11"/>
  <c r="Y229" i="11" s="1"/>
  <c r="AD229" i="11" s="1"/>
  <c r="S334" i="11"/>
  <c r="M22" i="11"/>
  <c r="Y22" i="11" s="1"/>
  <c r="Z22" i="11" s="1"/>
  <c r="S200" i="11"/>
  <c r="M28" i="11"/>
  <c r="Y28" i="11" s="1"/>
  <c r="AD28" i="11" s="1"/>
  <c r="S119" i="11"/>
  <c r="S338" i="11"/>
  <c r="M181" i="11"/>
  <c r="Y181" i="11" s="1"/>
  <c r="AB181" i="11" s="1"/>
  <c r="M375" i="11"/>
  <c r="Y375" i="11" s="1"/>
  <c r="AA375" i="11" s="1"/>
  <c r="S252" i="11"/>
  <c r="S142" i="11"/>
  <c r="M50" i="11"/>
  <c r="Y50" i="11" s="1"/>
  <c r="AB50" i="11" s="1"/>
  <c r="S111" i="11"/>
  <c r="S164" i="11"/>
  <c r="S369" i="11"/>
  <c r="M110" i="11"/>
  <c r="Y110" i="11" s="1"/>
  <c r="Z110" i="11" s="1"/>
  <c r="M106" i="11"/>
  <c r="Y106" i="11" s="1"/>
  <c r="AA106" i="11" s="1"/>
  <c r="M309" i="11"/>
  <c r="Y309" i="11" s="1"/>
  <c r="AD309" i="11" s="1"/>
  <c r="M228" i="11"/>
  <c r="Y228" i="11" s="1"/>
  <c r="AB228" i="11" s="1"/>
  <c r="M140" i="11"/>
  <c r="Y140" i="11" s="1"/>
  <c r="AD140" i="11" s="1"/>
  <c r="M125" i="11"/>
  <c r="Y125" i="11" s="1"/>
  <c r="AD125" i="11" s="1"/>
  <c r="M356" i="11"/>
  <c r="Y356" i="11" s="1"/>
  <c r="AA356" i="11" s="1"/>
  <c r="S226" i="11"/>
  <c r="S383" i="11"/>
  <c r="S328" i="11"/>
  <c r="M35" i="11"/>
  <c r="Y35" i="11" s="1"/>
  <c r="AB35" i="11" s="1"/>
  <c r="M324" i="11"/>
  <c r="Y324" i="11" s="1"/>
  <c r="AA324" i="11" s="1"/>
  <c r="S300" i="11"/>
  <c r="S302" i="11"/>
  <c r="S242" i="11"/>
  <c r="S305" i="11"/>
  <c r="S48" i="11"/>
  <c r="M114" i="11"/>
  <c r="Y114" i="11" s="1"/>
  <c r="AC114" i="11" s="1"/>
  <c r="M368" i="11"/>
  <c r="Y368" i="11" s="1"/>
  <c r="AC368" i="11" s="1"/>
  <c r="M232" i="11"/>
  <c r="Y232" i="11" s="1"/>
  <c r="AD232" i="11" s="1"/>
  <c r="S80" i="11"/>
  <c r="M264" i="11"/>
  <c r="Y264" i="11" s="1"/>
  <c r="Z264" i="11" s="1"/>
  <c r="M30" i="11"/>
  <c r="Y30" i="11" s="1"/>
  <c r="AA30" i="11" s="1"/>
  <c r="M305" i="11"/>
  <c r="Y305" i="11" s="1"/>
  <c r="AD305" i="11" s="1"/>
  <c r="M170" i="11"/>
  <c r="Y170" i="11" s="1"/>
  <c r="AB170" i="11" s="1"/>
  <c r="S149" i="11"/>
  <c r="S392" i="11"/>
  <c r="M103" i="11"/>
  <c r="Y103" i="11" s="1"/>
  <c r="AB103" i="11" s="1"/>
  <c r="S99" i="11"/>
  <c r="S176" i="11"/>
  <c r="M292" i="11"/>
  <c r="Y292" i="11" s="1"/>
  <c r="AD292" i="11" s="1"/>
  <c r="M196" i="11"/>
  <c r="Y196" i="11" s="1"/>
  <c r="AB196" i="11" s="1"/>
  <c r="S304" i="11"/>
  <c r="M290" i="11"/>
  <c r="Y290" i="11" s="1"/>
  <c r="AB290" i="11" s="1"/>
  <c r="S211" i="11"/>
  <c r="M345" i="11"/>
  <c r="Y345" i="11" s="1"/>
  <c r="Z345" i="11" s="1"/>
  <c r="S310" i="11"/>
  <c r="M120" i="11"/>
  <c r="Y120" i="11" s="1"/>
  <c r="AB120" i="11" s="1"/>
  <c r="S122" i="11"/>
  <c r="S345" i="11"/>
  <c r="S349" i="11"/>
  <c r="S266" i="11"/>
  <c r="S163" i="11"/>
  <c r="S89" i="11"/>
  <c r="M107" i="11"/>
  <c r="Y107" i="11" s="1"/>
  <c r="AA107" i="11" s="1"/>
  <c r="M322" i="11"/>
  <c r="Y322" i="11" s="1"/>
  <c r="AB322" i="11" s="1"/>
  <c r="M269" i="11"/>
  <c r="Y269" i="11" s="1"/>
  <c r="AB269" i="11" s="1"/>
  <c r="M213" i="11"/>
  <c r="Y213" i="11" s="1"/>
  <c r="Z213" i="11" s="1"/>
  <c r="M133" i="11"/>
  <c r="Y133" i="11" s="1"/>
  <c r="Z133" i="11" s="1"/>
  <c r="M48" i="11"/>
  <c r="Y48" i="11" s="1"/>
  <c r="AD48" i="11" s="1"/>
  <c r="S209" i="11"/>
  <c r="M258" i="11"/>
  <c r="Y258" i="11" s="1"/>
  <c r="AA258" i="11" s="1"/>
  <c r="S359" i="11"/>
  <c r="S217" i="11"/>
  <c r="M104" i="11"/>
  <c r="Y104" i="11" s="1"/>
  <c r="Z104" i="11" s="1"/>
  <c r="M194" i="11"/>
  <c r="Y194" i="11" s="1"/>
  <c r="AB194" i="11" s="1"/>
  <c r="S81" i="11"/>
  <c r="M329" i="11"/>
  <c r="Y329" i="11" s="1"/>
  <c r="AD329" i="11" s="1"/>
  <c r="S25" i="11"/>
  <c r="M153" i="11"/>
  <c r="Y153" i="11" s="1"/>
  <c r="AA153" i="11" s="1"/>
  <c r="M66" i="11"/>
  <c r="Y66" i="11" s="1"/>
  <c r="AD66" i="11" s="1"/>
  <c r="M238" i="11"/>
  <c r="Y238" i="11" s="1"/>
  <c r="AD238" i="11" s="1"/>
  <c r="S214" i="11"/>
  <c r="S377" i="11"/>
  <c r="M98" i="11"/>
  <c r="Y98" i="11" s="1"/>
  <c r="AD98" i="11" s="1"/>
  <c r="M39" i="11"/>
  <c r="Y39" i="11" s="1"/>
  <c r="Z39" i="11" s="1"/>
  <c r="M354" i="11"/>
  <c r="Y354" i="11" s="1"/>
  <c r="Z354" i="11" s="1"/>
  <c r="S272" i="11"/>
  <c r="S317" i="11"/>
  <c r="M63" i="11"/>
  <c r="Y63" i="11" s="1"/>
  <c r="AB63" i="11" s="1"/>
  <c r="S231" i="11"/>
  <c r="M226" i="11"/>
  <c r="Y226" i="11" s="1"/>
  <c r="AD226" i="11" s="1"/>
  <c r="M219" i="11"/>
  <c r="Y219" i="11" s="1"/>
  <c r="AB219" i="11" s="1"/>
  <c r="M273" i="11"/>
  <c r="Y273" i="11" s="1"/>
  <c r="AC273" i="11" s="1"/>
  <c r="S391" i="11"/>
  <c r="S98" i="11"/>
  <c r="S95" i="11"/>
  <c r="M177" i="11"/>
  <c r="Y177" i="11" s="1"/>
  <c r="AA177" i="11" s="1"/>
  <c r="M298" i="11"/>
  <c r="Y298" i="11" s="1"/>
  <c r="AD298" i="11" s="1"/>
  <c r="M138" i="11"/>
  <c r="Y138" i="11" s="1"/>
  <c r="AB138" i="11" s="1"/>
  <c r="S208" i="11"/>
  <c r="S43" i="11"/>
  <c r="S79" i="11"/>
  <c r="S234" i="11"/>
  <c r="S56" i="11"/>
  <c r="M383" i="11"/>
  <c r="Y383" i="11" s="1"/>
  <c r="AC383" i="11" s="1"/>
  <c r="M204" i="11"/>
  <c r="Y204" i="11" s="1"/>
  <c r="AC204" i="11" s="1"/>
  <c r="S332" i="11"/>
  <c r="M210" i="11"/>
  <c r="Y210" i="11" s="1"/>
  <c r="AB210" i="11" s="1"/>
  <c r="M42" i="11"/>
  <c r="Y42" i="11" s="1"/>
  <c r="AA42" i="11" s="1"/>
  <c r="S337" i="11"/>
  <c r="M143" i="11"/>
  <c r="Y143" i="11" s="1"/>
  <c r="AB143" i="11" s="1"/>
  <c r="M319" i="11"/>
  <c r="Y319" i="11" s="1"/>
  <c r="AD319" i="11" s="1"/>
  <c r="M185" i="11"/>
  <c r="Y185" i="11" s="1"/>
  <c r="AC185" i="11" s="1"/>
  <c r="M164" i="11"/>
  <c r="Y164" i="11" s="1"/>
  <c r="AA164" i="11" s="1"/>
  <c r="S57" i="11"/>
  <c r="S63" i="11"/>
  <c r="M36" i="11"/>
  <c r="Y36" i="11" s="1"/>
  <c r="AC36" i="11" s="1"/>
  <c r="S287" i="11"/>
  <c r="M334" i="11"/>
  <c r="Y334" i="11" s="1"/>
  <c r="AD334" i="11" s="1"/>
  <c r="S327" i="11"/>
  <c r="M386" i="11"/>
  <c r="Y386" i="11" s="1"/>
  <c r="Z386" i="11" s="1"/>
  <c r="M85" i="11"/>
  <c r="Y85" i="11" s="1"/>
  <c r="Z85" i="11" s="1"/>
  <c r="S249" i="11"/>
  <c r="M206" i="11"/>
  <c r="Y206" i="11" s="1"/>
  <c r="AA206" i="11" s="1"/>
  <c r="M394" i="11"/>
  <c r="Y394" i="11" s="1"/>
  <c r="AD394" i="11" s="1"/>
  <c r="M90" i="11"/>
  <c r="Y90" i="11" s="1"/>
  <c r="AA90" i="11" s="1"/>
  <c r="S258" i="11"/>
  <c r="M397" i="11"/>
  <c r="Y397" i="11" s="1"/>
  <c r="AB397" i="11" s="1"/>
  <c r="M248" i="11"/>
  <c r="Y248" i="11" s="1"/>
  <c r="AB248" i="11" s="1"/>
  <c r="S325" i="11"/>
  <c r="S370" i="11"/>
  <c r="S121" i="11"/>
  <c r="S42" i="11"/>
  <c r="S280" i="11"/>
  <c r="S167" i="11"/>
  <c r="M101" i="11"/>
  <c r="Y101" i="11" s="1"/>
  <c r="Z101" i="11" s="1"/>
  <c r="M193" i="11"/>
  <c r="Y193" i="11" s="1"/>
  <c r="Z193" i="11" s="1"/>
  <c r="S378" i="11"/>
  <c r="S240" i="11"/>
  <c r="S75" i="11"/>
  <c r="M23" i="11"/>
  <c r="Y23" i="11" s="1"/>
  <c r="AB23" i="11" s="1"/>
  <c r="S132" i="11"/>
  <c r="M135" i="11"/>
  <c r="Y135" i="11" s="1"/>
  <c r="Z135" i="11" s="1"/>
  <c r="M246" i="11"/>
  <c r="Y246" i="11" s="1"/>
  <c r="AB246" i="11" s="1"/>
  <c r="S281" i="11"/>
  <c r="M34" i="11"/>
  <c r="Y34" i="11" s="1"/>
  <c r="Z34" i="11" s="1"/>
  <c r="M313" i="11"/>
  <c r="Y313" i="11" s="1"/>
  <c r="AC313" i="11" s="1"/>
  <c r="M71" i="11"/>
  <c r="Y71" i="11" s="1"/>
  <c r="AD71" i="11" s="1"/>
  <c r="M162" i="11"/>
  <c r="Y162" i="11" s="1"/>
  <c r="AD162" i="11" s="1"/>
  <c r="M109" i="11"/>
  <c r="Y109" i="11" s="1"/>
  <c r="AA109" i="11" s="1"/>
  <c r="M165" i="11"/>
  <c r="Y165" i="11" s="1"/>
  <c r="AC165" i="11" s="1"/>
  <c r="M132" i="11"/>
  <c r="Y132" i="11" s="1"/>
  <c r="Z132" i="11" s="1"/>
  <c r="S97" i="11"/>
  <c r="M279" i="11"/>
  <c r="Y279" i="11" s="1"/>
  <c r="AC279" i="11" s="1"/>
  <c r="M79" i="11"/>
  <c r="Y79" i="11" s="1"/>
  <c r="AC79" i="11" s="1"/>
  <c r="S184" i="11"/>
  <c r="M314" i="11"/>
  <c r="Y314" i="11" s="1"/>
  <c r="AB314" i="11" s="1"/>
  <c r="S344" i="11"/>
  <c r="S290" i="11"/>
  <c r="M130" i="11"/>
  <c r="Y130" i="11" s="1"/>
  <c r="Z130" i="11" s="1"/>
  <c r="S156" i="11"/>
  <c r="S195" i="11"/>
  <c r="S53" i="11"/>
  <c r="S144" i="11"/>
  <c r="M321" i="11"/>
  <c r="Y321" i="11" s="1"/>
  <c r="AA321" i="11" s="1"/>
  <c r="M302" i="11"/>
  <c r="Y302" i="11" s="1"/>
  <c r="AD302" i="11" s="1"/>
  <c r="S175" i="11"/>
  <c r="M353" i="11"/>
  <c r="Y353" i="11" s="1"/>
  <c r="AB353" i="11" s="1"/>
  <c r="M154" i="11"/>
  <c r="Y154" i="11" s="1"/>
  <c r="AB154" i="11" s="1"/>
  <c r="M111" i="11"/>
  <c r="Y111" i="11" s="1"/>
  <c r="AA111" i="11" s="1"/>
  <c r="M218" i="11"/>
  <c r="Y218" i="11" s="1"/>
  <c r="Z218" i="11" s="1"/>
  <c r="S336" i="11"/>
  <c r="S348" i="11"/>
  <c r="S85" i="11"/>
  <c r="M167" i="11"/>
  <c r="Y167" i="11" s="1"/>
  <c r="AD167" i="11" s="1"/>
  <c r="M21" i="11"/>
  <c r="M65" i="11"/>
  <c r="Y65" i="11" s="1"/>
  <c r="AD65" i="11" s="1"/>
  <c r="M115" i="11"/>
  <c r="Y115" i="11" s="1"/>
  <c r="AD115" i="11" s="1"/>
  <c r="S58" i="11"/>
  <c r="M312" i="11"/>
  <c r="Y312" i="11" s="1"/>
  <c r="AB312" i="11" s="1"/>
  <c r="M95" i="11"/>
  <c r="Y95" i="11" s="1"/>
  <c r="AC95" i="11" s="1"/>
  <c r="S68" i="11"/>
  <c r="S160" i="11"/>
  <c r="M186" i="11"/>
  <c r="Y186" i="11" s="1"/>
  <c r="AC186" i="11" s="1"/>
  <c r="M369" i="11"/>
  <c r="Y369" i="11" s="1"/>
  <c r="AB369" i="11" s="1"/>
  <c r="S225" i="11"/>
  <c r="M276" i="11"/>
  <c r="Y276" i="11" s="1"/>
  <c r="AC276" i="11" s="1"/>
  <c r="M344" i="11"/>
  <c r="Y344" i="11" s="1"/>
  <c r="AA344" i="11" s="1"/>
  <c r="M260" i="11"/>
  <c r="Y260" i="11" s="1"/>
  <c r="AB260" i="11" s="1"/>
  <c r="M174" i="11"/>
  <c r="Y174" i="11" s="1"/>
  <c r="AD174" i="11" s="1"/>
  <c r="M378" i="11"/>
  <c r="Y378" i="11" s="1"/>
  <c r="AC378" i="11" s="1"/>
  <c r="M337" i="11"/>
  <c r="Y337" i="11" s="1"/>
  <c r="AB337" i="11" s="1"/>
  <c r="S282" i="11"/>
  <c r="S51" i="11"/>
  <c r="S140" i="11"/>
  <c r="S278" i="11"/>
  <c r="M255" i="11"/>
  <c r="Y255" i="11" s="1"/>
  <c r="Z255" i="11" s="1"/>
  <c r="S362" i="11"/>
  <c r="S352" i="11"/>
  <c r="M169" i="11"/>
  <c r="Y169" i="11" s="1"/>
  <c r="AC169" i="11" s="1"/>
  <c r="S216" i="11"/>
  <c r="M367" i="11"/>
  <c r="Y367" i="11" s="1"/>
  <c r="AC367" i="11" s="1"/>
  <c r="M231" i="11"/>
  <c r="Y231" i="11" s="1"/>
  <c r="AC231" i="11" s="1"/>
  <c r="S251" i="11"/>
  <c r="S288" i="11"/>
  <c r="S83" i="11"/>
  <c r="S45" i="11"/>
  <c r="M289" i="11"/>
  <c r="Y289" i="11" s="1"/>
  <c r="AD289" i="11" s="1"/>
  <c r="S191" i="11"/>
  <c r="S329" i="11"/>
  <c r="S385" i="11"/>
  <c r="S236" i="11"/>
  <c r="M47" i="11"/>
  <c r="Y47" i="11" s="1"/>
  <c r="AD47" i="11" s="1"/>
  <c r="S256" i="11"/>
  <c r="M277" i="11"/>
  <c r="Y277" i="11" s="1"/>
  <c r="Z277" i="11" s="1"/>
  <c r="M243" i="11"/>
  <c r="Y243" i="11" s="1"/>
  <c r="AB243" i="11" s="1"/>
  <c r="M331" i="11"/>
  <c r="Y331" i="11" s="1"/>
  <c r="AD331" i="11" s="1"/>
  <c r="S365" i="11"/>
  <c r="M58" i="11"/>
  <c r="Y58" i="11" s="1"/>
  <c r="AD58" i="11" s="1"/>
  <c r="S382" i="11"/>
  <c r="S341" i="11"/>
  <c r="M216" i="11"/>
  <c r="Y216" i="11" s="1"/>
  <c r="AB216" i="11" s="1"/>
  <c r="S311" i="11"/>
  <c r="S295" i="11"/>
  <c r="S137" i="11"/>
  <c r="S399" i="11"/>
  <c r="S84" i="11"/>
  <c r="M131" i="11"/>
  <c r="Y131" i="11" s="1"/>
  <c r="AA131" i="11" s="1"/>
  <c r="S41" i="11"/>
  <c r="S346" i="11"/>
  <c r="M381" i="11"/>
  <c r="Y381" i="11" s="1"/>
  <c r="Z381" i="11" s="1"/>
  <c r="M55" i="11"/>
  <c r="Y55" i="11" s="1"/>
  <c r="AC55" i="11" s="1"/>
  <c r="M57" i="11"/>
  <c r="Y57" i="11" s="1"/>
  <c r="AB57" i="11" s="1"/>
  <c r="M191" i="11"/>
  <c r="Y191" i="11" s="1"/>
  <c r="AA191" i="11" s="1"/>
  <c r="M77" i="11"/>
  <c r="Y77" i="11" s="1"/>
  <c r="AA77" i="11" s="1"/>
  <c r="S189" i="11"/>
  <c r="S59" i="11"/>
  <c r="S185" i="11"/>
  <c r="M339" i="11"/>
  <c r="Y339" i="11" s="1"/>
  <c r="AC339" i="11" s="1"/>
  <c r="S233" i="11"/>
  <c r="S363" i="11"/>
  <c r="S257" i="11"/>
  <c r="M122" i="11"/>
  <c r="Y122" i="11" s="1"/>
  <c r="Z122" i="11" s="1"/>
  <c r="M161" i="11"/>
  <c r="Y161" i="11" s="1"/>
  <c r="AB161" i="11" s="1"/>
  <c r="S322" i="11"/>
  <c r="S103" i="11"/>
  <c r="S224" i="11"/>
  <c r="S248" i="11"/>
  <c r="S90" i="11"/>
  <c r="S247" i="11"/>
  <c r="S112" i="11"/>
  <c r="M285" i="11"/>
  <c r="Y285" i="11" s="1"/>
  <c r="AC285" i="11" s="1"/>
  <c r="M173" i="11"/>
  <c r="Y173" i="11" s="1"/>
  <c r="AB173" i="11" s="1"/>
  <c r="S201" i="11"/>
  <c r="S203" i="11"/>
  <c r="S109" i="11"/>
  <c r="S100" i="11"/>
  <c r="S361" i="11"/>
  <c r="M301" i="11"/>
  <c r="Y301" i="11" s="1"/>
  <c r="AC301" i="11" s="1"/>
  <c r="S393" i="11"/>
  <c r="M359" i="11"/>
  <c r="Y359" i="11" s="1"/>
  <c r="AB359" i="11" s="1"/>
  <c r="M26" i="11"/>
  <c r="Y26" i="11" s="1"/>
  <c r="AD26" i="11" s="1"/>
  <c r="S267" i="11"/>
  <c r="S371" i="11"/>
  <c r="M297" i="11"/>
  <c r="Y297" i="11" s="1"/>
  <c r="AD297" i="11" s="1"/>
  <c r="M91" i="11"/>
  <c r="Y91" i="11" s="1"/>
  <c r="Z91" i="11" s="1"/>
  <c r="M45" i="11"/>
  <c r="Y45" i="11" s="1"/>
  <c r="AA45" i="11" s="1"/>
  <c r="S154" i="11"/>
  <c r="S21" i="11"/>
  <c r="S166" i="11"/>
  <c r="M257" i="11"/>
  <c r="Y257" i="11" s="1"/>
  <c r="Z257" i="11" s="1"/>
  <c r="M250" i="11"/>
  <c r="Y250" i="11" s="1"/>
  <c r="AC250" i="11" s="1"/>
  <c r="S26" i="11"/>
  <c r="M87" i="11"/>
  <c r="Y87" i="11" s="1"/>
  <c r="AD87" i="11" s="1"/>
  <c r="S28" i="11"/>
  <c r="M73" i="11"/>
  <c r="Y73" i="11" s="1"/>
  <c r="Z73" i="11" s="1"/>
  <c r="S395" i="11"/>
  <c r="M68" i="11"/>
  <c r="Y68" i="11" s="1"/>
  <c r="AD68" i="11" s="1"/>
  <c r="S134" i="11"/>
  <c r="S243" i="11"/>
  <c r="M149" i="11"/>
  <c r="Y149" i="11" s="1"/>
  <c r="AA149" i="11" s="1"/>
  <c r="M253" i="11"/>
  <c r="Y253" i="11" s="1"/>
  <c r="AA253" i="11" s="1"/>
  <c r="S194" i="11"/>
  <c r="S320" i="11"/>
  <c r="M33" i="11"/>
  <c r="Y33" i="11" s="1"/>
  <c r="AB33" i="11" s="1"/>
  <c r="S135" i="11"/>
  <c r="M265" i="11"/>
  <c r="Y265" i="11" s="1"/>
  <c r="AA265" i="11" s="1"/>
  <c r="M237" i="11"/>
  <c r="Y237" i="11" s="1"/>
  <c r="Z237" i="11" s="1"/>
  <c r="S91" i="11"/>
  <c r="S27" i="11"/>
  <c r="M89" i="11"/>
  <c r="Y89" i="11" s="1"/>
  <c r="Z89" i="11" s="1"/>
  <c r="S70" i="11"/>
  <c r="S73" i="11"/>
  <c r="M275" i="11"/>
  <c r="Y275" i="11" s="1"/>
  <c r="AC275" i="11" s="1"/>
  <c r="S102" i="11"/>
  <c r="M379" i="11"/>
  <c r="Y379" i="11" s="1"/>
  <c r="AC379" i="11" s="1"/>
  <c r="M119" i="11"/>
  <c r="Y119" i="11" s="1"/>
  <c r="Z119" i="11" s="1"/>
  <c r="M121" i="11"/>
  <c r="Y121" i="11" s="1"/>
  <c r="Z121" i="11" s="1"/>
  <c r="S275" i="11"/>
  <c r="S394" i="11"/>
  <c r="M217" i="11"/>
  <c r="Y217" i="11" s="1"/>
  <c r="AA217" i="11" s="1"/>
  <c r="M247" i="11"/>
  <c r="Y247" i="11" s="1"/>
  <c r="AA247" i="11" s="1"/>
  <c r="S173" i="11"/>
  <c r="S192" i="11"/>
  <c r="S38" i="11"/>
  <c r="S235" i="11"/>
  <c r="S179" i="11"/>
  <c r="M299" i="11"/>
  <c r="Y299" i="11" s="1"/>
  <c r="AB299" i="11" s="1"/>
  <c r="M46" i="11"/>
  <c r="Y46" i="11" s="1"/>
  <c r="AC46" i="11" s="1"/>
  <c r="S355" i="11"/>
  <c r="S139" i="11"/>
  <c r="M249" i="11"/>
  <c r="Y249" i="11" s="1"/>
  <c r="AD249" i="11" s="1"/>
  <c r="S129" i="11"/>
  <c r="M105" i="11"/>
  <c r="Y105" i="11" s="1"/>
  <c r="AB105" i="11" s="1"/>
  <c r="M27" i="11"/>
  <c r="Y27" i="11" s="1"/>
  <c r="AD27" i="11" s="1"/>
  <c r="S367" i="11"/>
  <c r="S307" i="11"/>
  <c r="S171" i="11"/>
  <c r="S147" i="11"/>
  <c r="S153" i="11"/>
  <c r="M307" i="11"/>
  <c r="Y307" i="11" s="1"/>
  <c r="Z307" i="11" s="1"/>
  <c r="S33" i="11"/>
  <c r="M251" i="11"/>
  <c r="Y251" i="11" s="1"/>
  <c r="Z251" i="11" s="1"/>
  <c r="S291" i="11"/>
  <c r="M363" i="11"/>
  <c r="Y363" i="11" s="1"/>
  <c r="AA363" i="11" s="1"/>
  <c r="M413" i="11"/>
  <c r="Y413" i="11" s="1"/>
  <c r="AA413" i="11" s="1"/>
  <c r="S65" i="11"/>
  <c r="S339" i="11"/>
  <c r="M235" i="11"/>
  <c r="Y235" i="11" s="1"/>
  <c r="Z235" i="11" s="1"/>
  <c r="S107" i="11"/>
  <c r="M211" i="11"/>
  <c r="Y211" i="11" s="1"/>
  <c r="Z211" i="11" s="1"/>
  <c r="M201" i="11"/>
  <c r="Y201" i="11" s="1"/>
  <c r="AB201" i="11" s="1"/>
  <c r="S49" i="11"/>
  <c r="M245" i="11"/>
  <c r="Y245" i="11" s="1"/>
  <c r="AA245" i="11" s="1"/>
  <c r="M24" i="11"/>
  <c r="Y24" i="11" s="1"/>
  <c r="Z24" i="11" s="1"/>
  <c r="M129" i="11"/>
  <c r="Y129" i="11" s="1"/>
  <c r="Z129" i="11" s="1"/>
  <c r="M97" i="11"/>
  <c r="Y97" i="11" s="1"/>
  <c r="AA97" i="11" s="1"/>
  <c r="M283" i="11"/>
  <c r="Y283" i="11" s="1"/>
  <c r="Z283" i="11" s="1"/>
  <c r="M203" i="11"/>
  <c r="Y203" i="11" s="1"/>
  <c r="AA203" i="11" s="1"/>
  <c r="S213" i="11"/>
  <c r="S223" i="11"/>
  <c r="S78" i="11"/>
  <c r="S411" i="11"/>
  <c r="M81" i="11"/>
  <c r="Y81" i="11" s="1"/>
  <c r="AC81" i="11" s="1"/>
  <c r="M267" i="11"/>
  <c r="Y267" i="11" s="1"/>
  <c r="AA267" i="11" s="1"/>
  <c r="M225" i="11"/>
  <c r="Y225" i="11" s="1"/>
  <c r="Z225" i="11" s="1"/>
  <c r="M155" i="11"/>
  <c r="Y155" i="11" s="1"/>
  <c r="AA155" i="11" s="1"/>
  <c r="S141" i="11"/>
  <c r="M86" i="11"/>
  <c r="Y86" i="11" s="1"/>
  <c r="Z86" i="11" s="1"/>
  <c r="S177" i="11"/>
  <c r="M403" i="11"/>
  <c r="Y403" i="11" s="1"/>
  <c r="AA403" i="11" s="1"/>
  <c r="S419" i="11"/>
  <c r="S105" i="11"/>
  <c r="S420" i="11"/>
  <c r="S174" i="11"/>
  <c r="M317" i="11"/>
  <c r="Y317" i="11" s="1"/>
  <c r="AD317" i="11" s="1"/>
  <c r="M315" i="11"/>
  <c r="Y315" i="11" s="1"/>
  <c r="AB315" i="11" s="1"/>
  <c r="S397" i="11"/>
  <c r="M163" i="11"/>
  <c r="Y163" i="11" s="1"/>
  <c r="Z163" i="11" s="1"/>
  <c r="M349" i="11"/>
  <c r="Y349" i="11" s="1"/>
  <c r="AB349" i="11" s="1"/>
  <c r="M405" i="11"/>
  <c r="Y405" i="11" s="1"/>
  <c r="AC405" i="11" s="1"/>
  <c r="M371" i="11"/>
  <c r="Y371" i="11" s="1"/>
  <c r="AA371" i="11" s="1"/>
  <c r="M233" i="11"/>
  <c r="Y233" i="11" s="1"/>
  <c r="AA233" i="11" s="1"/>
  <c r="M43" i="11"/>
  <c r="Y43" i="11" s="1"/>
  <c r="AC43" i="11" s="1"/>
  <c r="S93" i="11"/>
  <c r="S94" i="11"/>
  <c r="S407" i="11"/>
  <c r="S415" i="11"/>
  <c r="S61" i="11"/>
  <c r="M187" i="11"/>
  <c r="Y187" i="11" s="1"/>
  <c r="AA187" i="11" s="1"/>
  <c r="M387" i="11"/>
  <c r="Y387" i="11" s="1"/>
  <c r="AA387" i="11" s="1"/>
  <c r="M402" i="11"/>
  <c r="Y402" i="11" s="1"/>
  <c r="AA402" i="11" s="1"/>
  <c r="M142" i="11"/>
  <c r="Y142" i="11" s="1"/>
  <c r="AB142" i="11" s="1"/>
  <c r="M401" i="11"/>
  <c r="Y401" i="11" s="1"/>
  <c r="AC401" i="11" s="1"/>
  <c r="S409" i="11"/>
  <c r="M417" i="11"/>
  <c r="Y417" i="11" s="1"/>
  <c r="AA417" i="11" s="1"/>
  <c r="S381" i="11"/>
  <c r="S347" i="11"/>
  <c r="M323" i="11"/>
  <c r="Y323" i="11" s="1"/>
  <c r="AD323" i="11" s="1"/>
  <c r="S404" i="11"/>
  <c r="S169" i="11"/>
  <c r="S255" i="11"/>
  <c r="M75" i="11"/>
  <c r="Y75" i="11" s="1"/>
  <c r="AC75" i="11" s="1"/>
  <c r="S418" i="11"/>
  <c r="S315" i="11"/>
  <c r="S205" i="11"/>
  <c r="S118" i="11"/>
  <c r="M209" i="11"/>
  <c r="Y209" i="11" s="1"/>
  <c r="AB209" i="11" s="1"/>
  <c r="M395" i="11"/>
  <c r="Y395" i="11" s="1"/>
  <c r="AD395" i="11" s="1"/>
  <c r="S410" i="11"/>
  <c r="S125" i="11"/>
  <c r="M291" i="11"/>
  <c r="Y291" i="11" s="1"/>
  <c r="AA291" i="11" s="1"/>
  <c r="S219" i="11"/>
  <c r="M59" i="11"/>
  <c r="Y59" i="11" s="1"/>
  <c r="AA59" i="11" s="1"/>
  <c r="M195" i="11"/>
  <c r="Y195" i="11" s="1"/>
  <c r="AC195" i="11" s="1"/>
  <c r="M157" i="11"/>
  <c r="Y157" i="11" s="1"/>
  <c r="AB157" i="11" s="1"/>
  <c r="S126" i="11"/>
  <c r="S412" i="11"/>
  <c r="M189" i="11"/>
  <c r="Y189" i="11" s="1"/>
  <c r="Z189" i="11" s="1"/>
  <c r="S150" i="11"/>
  <c r="M113" i="11"/>
  <c r="Y113" i="11" s="1"/>
  <c r="AC113" i="11" s="1"/>
  <c r="M406" i="11"/>
  <c r="Y406" i="11" s="1"/>
  <c r="AC406" i="11" s="1"/>
  <c r="M414" i="11"/>
  <c r="Y414" i="11" s="1"/>
  <c r="AD414" i="11" s="1"/>
  <c r="S161" i="11"/>
  <c r="M347" i="11"/>
  <c r="Y347" i="11" s="1"/>
  <c r="AB347" i="11" s="1"/>
  <c r="M137" i="11"/>
  <c r="Y137" i="11" s="1"/>
  <c r="AC137" i="11" s="1"/>
  <c r="M355" i="11"/>
  <c r="Y355" i="11" s="1"/>
  <c r="AA355" i="11" s="1"/>
  <c r="S54" i="11"/>
  <c r="M404" i="11"/>
  <c r="Y404" i="11" s="1"/>
  <c r="AC404" i="11" s="1"/>
  <c r="S408" i="11"/>
  <c r="S416" i="11"/>
  <c r="S193" i="11"/>
  <c r="S283" i="11"/>
  <c r="S269" i="11"/>
  <c r="S159" i="11"/>
  <c r="S29" i="11"/>
  <c r="M41" i="11"/>
  <c r="Y41" i="11" s="1"/>
  <c r="Z41" i="11" s="1"/>
  <c r="S110" i="11"/>
  <c r="S62" i="11"/>
  <c r="S227" i="11"/>
  <c r="S221" i="11"/>
  <c r="M145" i="11"/>
  <c r="Y145" i="11" s="1"/>
  <c r="AB145" i="11" s="1"/>
  <c r="S387" i="11"/>
  <c r="S265" i="11"/>
  <c r="M412" i="11"/>
  <c r="Y412" i="11" s="1"/>
  <c r="AD412" i="11" s="1"/>
  <c r="S30" i="11"/>
  <c r="M123" i="11"/>
  <c r="Y123" i="11" s="1"/>
  <c r="AB123" i="11" s="1"/>
  <c r="S181" i="11"/>
  <c r="M171" i="11"/>
  <c r="Y171" i="11" s="1"/>
  <c r="Z171" i="11" s="1"/>
  <c r="S299" i="11"/>
  <c r="M420" i="11"/>
  <c r="Y420" i="11" s="1"/>
  <c r="AA420" i="11" s="1"/>
  <c r="S285" i="11"/>
  <c r="M415" i="11"/>
  <c r="Y415" i="11" s="1"/>
  <c r="AC415" i="11" s="1"/>
  <c r="S123" i="11"/>
  <c r="S158" i="11"/>
  <c r="S379" i="11"/>
  <c r="M409" i="11"/>
  <c r="Y409" i="11" s="1"/>
  <c r="Z409" i="11" s="1"/>
  <c r="S414" i="11"/>
  <c r="S417" i="11"/>
  <c r="M410" i="11"/>
  <c r="Y410" i="11" s="1"/>
  <c r="AD410" i="11" s="1"/>
  <c r="M408" i="11"/>
  <c r="Y408" i="11" s="1"/>
  <c r="AA408" i="11" s="1"/>
  <c r="S77" i="11"/>
  <c r="S401" i="11"/>
  <c r="S259" i="11"/>
  <c r="S403" i="11"/>
  <c r="S402" i="11"/>
  <c r="S405" i="11"/>
  <c r="S333" i="11"/>
  <c r="M241" i="11"/>
  <c r="Y241" i="11" s="1"/>
  <c r="Z241" i="11" s="1"/>
  <c r="M139" i="11"/>
  <c r="Y139" i="11" s="1"/>
  <c r="M411" i="11"/>
  <c r="Y411" i="11" s="1"/>
  <c r="S421" i="11"/>
  <c r="M421" i="11"/>
  <c r="Y421" i="11" s="1"/>
  <c r="M416" i="11"/>
  <c r="Y416" i="11" s="1"/>
  <c r="S323" i="11"/>
  <c r="S331" i="11"/>
  <c r="S413" i="11"/>
  <c r="S22" i="11"/>
  <c r="M407" i="11"/>
  <c r="Y407" i="11" s="1"/>
  <c r="M419" i="11"/>
  <c r="Y419" i="11" s="1"/>
  <c r="S406" i="11"/>
  <c r="S71" i="11"/>
  <c r="AD362" i="11"/>
  <c r="AD348" i="11"/>
  <c r="Z399" i="11"/>
  <c r="AA281" i="11"/>
  <c r="Z294" i="11"/>
  <c r="AB294" i="11"/>
  <c r="AB336" i="11"/>
  <c r="AA53" i="11"/>
  <c r="AD224" i="11"/>
  <c r="AC300" i="11"/>
  <c r="Z94" i="11"/>
  <c r="AC94" i="11"/>
  <c r="AA94" i="11"/>
  <c r="AB94" i="11"/>
  <c r="AB80" i="11"/>
  <c r="BC21" i="11"/>
  <c r="BD21" i="11"/>
  <c r="BB21" i="11"/>
  <c r="BA21" i="11"/>
  <c r="AZ21" i="11"/>
  <c r="AA343" i="11" l="1"/>
  <c r="AD60" i="11"/>
  <c r="AD52" i="11"/>
  <c r="AB60" i="11"/>
  <c r="AB207" i="11"/>
  <c r="AD54" i="11"/>
  <c r="AB148" i="11"/>
  <c r="AD262" i="11"/>
  <c r="Z308" i="11"/>
  <c r="AD308" i="11"/>
  <c r="AC338" i="11"/>
  <c r="AD141" i="11"/>
  <c r="Z76" i="11"/>
  <c r="Z338" i="11"/>
  <c r="Z352" i="11"/>
  <c r="AB335" i="11"/>
  <c r="AC192" i="11"/>
  <c r="Z141" i="11"/>
  <c r="Z224" i="11"/>
  <c r="AB116" i="11"/>
  <c r="AB300" i="11"/>
  <c r="AA365" i="11"/>
  <c r="Z102" i="11"/>
  <c r="AD300" i="11"/>
  <c r="AC316" i="11"/>
  <c r="AB360" i="11"/>
  <c r="AB306" i="11"/>
  <c r="AC29" i="11"/>
  <c r="AD365" i="11"/>
  <c r="Z69" i="11"/>
  <c r="AA102" i="11"/>
  <c r="AD156" i="11"/>
  <c r="AB118" i="11"/>
  <c r="AA300" i="11"/>
  <c r="Z242" i="11"/>
  <c r="AB188" i="11"/>
  <c r="AD117" i="11"/>
  <c r="AA340" i="11"/>
  <c r="Z183" i="11"/>
  <c r="AC62" i="11"/>
  <c r="Z78" i="11"/>
  <c r="AB117" i="11"/>
  <c r="AB284" i="11"/>
  <c r="AB221" i="11"/>
  <c r="AB64" i="11"/>
  <c r="AC242" i="11"/>
  <c r="Z64" i="11"/>
  <c r="AA166" i="11"/>
  <c r="AC221" i="11"/>
  <c r="AA64" i="11"/>
  <c r="AD242" i="11"/>
  <c r="AA284" i="11"/>
  <c r="AD183" i="11"/>
  <c r="AD166" i="11"/>
  <c r="Z284" i="11"/>
  <c r="Z188" i="11"/>
  <c r="AD78" i="11"/>
  <c r="Z62" i="11"/>
  <c r="Z380" i="11"/>
  <c r="AB380" i="11"/>
  <c r="AD221" i="11"/>
  <c r="AD188" i="11"/>
  <c r="AA78" i="11"/>
  <c r="AC148" i="11"/>
  <c r="AD192" i="11"/>
  <c r="AC308" i="11"/>
  <c r="Z117" i="11"/>
  <c r="AC340" i="11"/>
  <c r="AB166" i="11"/>
  <c r="AB340" i="11"/>
  <c r="AD380" i="11"/>
  <c r="AC102" i="11"/>
  <c r="AB242" i="11"/>
  <c r="AA188" i="11"/>
  <c r="AC166" i="11"/>
  <c r="Z390" i="11"/>
  <c r="AC76" i="11"/>
  <c r="AD284" i="11"/>
  <c r="Z348" i="11"/>
  <c r="AB183" i="11"/>
  <c r="AA308" i="11"/>
  <c r="AA338" i="11"/>
  <c r="AD116" i="11"/>
  <c r="AA117" i="11"/>
  <c r="Z340" i="11"/>
  <c r="Z365" i="11"/>
  <c r="AB352" i="11"/>
  <c r="AD62" i="11"/>
  <c r="AB62" i="11"/>
  <c r="AA380" i="11"/>
  <c r="AA221" i="11"/>
  <c r="AD64" i="11"/>
  <c r="Z148" i="11"/>
  <c r="AA156" i="11"/>
  <c r="AA183" i="11"/>
  <c r="AB78" i="11"/>
  <c r="Z156" i="11"/>
  <c r="AD316" i="11"/>
  <c r="AC348" i="11"/>
  <c r="AD390" i="11"/>
  <c r="AD306" i="11"/>
  <c r="AB52" i="11"/>
  <c r="AA112" i="11"/>
  <c r="Z256" i="11"/>
  <c r="AA336" i="11"/>
  <c r="AD112" i="11"/>
  <c r="AC80" i="11"/>
  <c r="AB37" i="11"/>
  <c r="Z336" i="11"/>
  <c r="Z112" i="11"/>
  <c r="AB112" i="11"/>
  <c r="AD124" i="11"/>
  <c r="Z53" i="11"/>
  <c r="AD335" i="11"/>
  <c r="AA148" i="11"/>
  <c r="AA141" i="11"/>
  <c r="AC116" i="11"/>
  <c r="AA360" i="11"/>
  <c r="AA54" i="11"/>
  <c r="AC360" i="11"/>
  <c r="AA306" i="11"/>
  <c r="AB29" i="11"/>
  <c r="AC390" i="11"/>
  <c r="Z118" i="11"/>
  <c r="AB96" i="11"/>
  <c r="AC328" i="11"/>
  <c r="AA118" i="11"/>
  <c r="AD338" i="11"/>
  <c r="AA348" i="11"/>
  <c r="AB102" i="11"/>
  <c r="AC205" i="11"/>
  <c r="Z116" i="11"/>
  <c r="AB54" i="11"/>
  <c r="AA335" i="11"/>
  <c r="AC141" i="11"/>
  <c r="Z192" i="11"/>
  <c r="AB192" i="11"/>
  <c r="AB365" i="11"/>
  <c r="AA352" i="11"/>
  <c r="AD360" i="11"/>
  <c r="AA29" i="11"/>
  <c r="AC352" i="11"/>
  <c r="Z54" i="11"/>
  <c r="AA390" i="11"/>
  <c r="AD29" i="11"/>
  <c r="AD76" i="11"/>
  <c r="AC118" i="11"/>
  <c r="AB156" i="11"/>
  <c r="AC306" i="11"/>
  <c r="Z335" i="11"/>
  <c r="AB76" i="11"/>
  <c r="Z316" i="11"/>
  <c r="AB316" i="11"/>
  <c r="Z80" i="11"/>
  <c r="AD272" i="11"/>
  <c r="AB259" i="11"/>
  <c r="AC44" i="11"/>
  <c r="AC53" i="11"/>
  <c r="AC227" i="11"/>
  <c r="AB350" i="11"/>
  <c r="AC399" i="11"/>
  <c r="AA364" i="11"/>
  <c r="AC37" i="11"/>
  <c r="AC281" i="11"/>
  <c r="AD343" i="11"/>
  <c r="AC343" i="11"/>
  <c r="AA252" i="11"/>
  <c r="AD364" i="11"/>
  <c r="Z374" i="11"/>
  <c r="AC124" i="11"/>
  <c r="AD256" i="11"/>
  <c r="Z60" i="11"/>
  <c r="AA52" i="11"/>
  <c r="Z37" i="11"/>
  <c r="AD336" i="11"/>
  <c r="AC60" i="11"/>
  <c r="AB272" i="11"/>
  <c r="AC272" i="11"/>
  <c r="AD294" i="11"/>
  <c r="AC52" i="11"/>
  <c r="AB53" i="11"/>
  <c r="AA37" i="11"/>
  <c r="AB151" i="11"/>
  <c r="Z351" i="11"/>
  <c r="AB215" i="11"/>
  <c r="AD80" i="11"/>
  <c r="Z343" i="11"/>
  <c r="Z272" i="11"/>
  <c r="AB88" i="11"/>
  <c r="AD208" i="11"/>
  <c r="AA208" i="11"/>
  <c r="AC159" i="11"/>
  <c r="Z159" i="11"/>
  <c r="AB393" i="11"/>
  <c r="AB362" i="11"/>
  <c r="AB357" i="11"/>
  <c r="AC208" i="11"/>
  <c r="Z88" i="11"/>
  <c r="AB208" i="11"/>
  <c r="AA224" i="11"/>
  <c r="AD88" i="11"/>
  <c r="AA88" i="11"/>
  <c r="AC224" i="11"/>
  <c r="AA72" i="11"/>
  <c r="AD393" i="11"/>
  <c r="AD240" i="11"/>
  <c r="AA362" i="11"/>
  <c r="AB146" i="11"/>
  <c r="AC212" i="11"/>
  <c r="AA144" i="11"/>
  <c r="AA212" i="11"/>
  <c r="AC69" i="11"/>
  <c r="AB159" i="11"/>
  <c r="AD159" i="11"/>
  <c r="AB72" i="11"/>
  <c r="AC72" i="11"/>
  <c r="AC393" i="11"/>
  <c r="Z72" i="11"/>
  <c r="AA100" i="11"/>
  <c r="Z393" i="11"/>
  <c r="Z362" i="11"/>
  <c r="AC128" i="11"/>
  <c r="AB271" i="11"/>
  <c r="AC158" i="11"/>
  <c r="AD93" i="11"/>
  <c r="AB100" i="11"/>
  <c r="AB158" i="11"/>
  <c r="Z128" i="11"/>
  <c r="AD128" i="11"/>
  <c r="AB69" i="11"/>
  <c r="AA69" i="11"/>
  <c r="AA93" i="11"/>
  <c r="AC271" i="11"/>
  <c r="AD100" i="11"/>
  <c r="Z357" i="11"/>
  <c r="AD144" i="11"/>
  <c r="Z144" i="11"/>
  <c r="AD212" i="11"/>
  <c r="AD146" i="11"/>
  <c r="AB128" i="11"/>
  <c r="AC93" i="11"/>
  <c r="Z240" i="11"/>
  <c r="Z146" i="11"/>
  <c r="AC144" i="11"/>
  <c r="Z212" i="11"/>
  <c r="AC228" i="11"/>
  <c r="Z271" i="11"/>
  <c r="AC240" i="11"/>
  <c r="AD271" i="11"/>
  <c r="AA240" i="11"/>
  <c r="AC357" i="11"/>
  <c r="Z93" i="11"/>
  <c r="AC100" i="11"/>
  <c r="Z158" i="11"/>
  <c r="AA357" i="11"/>
  <c r="AC146" i="11"/>
  <c r="AD158" i="11"/>
  <c r="AB262" i="11"/>
  <c r="AD398" i="11"/>
  <c r="AB256" i="11"/>
  <c r="AD399" i="11"/>
  <c r="AB398" i="11"/>
  <c r="AD136" i="11"/>
  <c r="AA287" i="11"/>
  <c r="Z281" i="11"/>
  <c r="AD151" i="11"/>
  <c r="Z252" i="11"/>
  <c r="AB370" i="11"/>
  <c r="AC230" i="11"/>
  <c r="AB44" i="11"/>
  <c r="AC372" i="11"/>
  <c r="AC70" i="11"/>
  <c r="AA207" i="11"/>
  <c r="AC215" i="11"/>
  <c r="Z215" i="11"/>
  <c r="AA399" i="11"/>
  <c r="AA389" i="11"/>
  <c r="AB227" i="11"/>
  <c r="AB281" i="11"/>
  <c r="AB364" i="11"/>
  <c r="Z286" i="11"/>
  <c r="AA215" i="11"/>
  <c r="AA294" i="11"/>
  <c r="AC259" i="11"/>
  <c r="AA372" i="11"/>
  <c r="AB372" i="11"/>
  <c r="Z70" i="11"/>
  <c r="AB304" i="11"/>
  <c r="AC304" i="11"/>
  <c r="Z304" i="11"/>
  <c r="AA38" i="11"/>
  <c r="AA44" i="11"/>
  <c r="Z389" i="11"/>
  <c r="AC108" i="11"/>
  <c r="AC286" i="11"/>
  <c r="AD287" i="11"/>
  <c r="Z239" i="11"/>
  <c r="AB287" i="11"/>
  <c r="AA398" i="11"/>
  <c r="AB351" i="11"/>
  <c r="AD372" i="11"/>
  <c r="AD263" i="11"/>
  <c r="AA304" i="11"/>
  <c r="AC207" i="11"/>
  <c r="AD252" i="11"/>
  <c r="AD44" i="11"/>
  <c r="AC256" i="11"/>
  <c r="AC252" i="11"/>
  <c r="Z398" i="11"/>
  <c r="AB61" i="11"/>
  <c r="AA136" i="11"/>
  <c r="AD286" i="11"/>
  <c r="Z108" i="11"/>
  <c r="AD327" i="11"/>
  <c r="AA370" i="11"/>
  <c r="AD207" i="11"/>
  <c r="AA350" i="11"/>
  <c r="AB374" i="11"/>
  <c r="AB230" i="11"/>
  <c r="AA61" i="11"/>
  <c r="AD61" i="11"/>
  <c r="Z327" i="11"/>
  <c r="AC222" i="11"/>
  <c r="AD96" i="11"/>
  <c r="AC268" i="11"/>
  <c r="Z99" i="11"/>
  <c r="AD418" i="11"/>
  <c r="F6" i="14"/>
  <c r="B15" i="14" s="1"/>
  <c r="AN4" i="11"/>
  <c r="J12" i="2" a="1"/>
  <c r="J12" i="2" s="1"/>
  <c r="F81" i="2" s="1"/>
  <c r="N4" i="11"/>
  <c r="F12" i="2" a="1"/>
  <c r="F12" i="2" s="1"/>
  <c r="H69" i="2" s="1"/>
  <c r="H12" i="2" a="1"/>
  <c r="H12" i="2" s="1"/>
  <c r="H19" i="2" s="1"/>
  <c r="AC126" i="11"/>
  <c r="AD198" i="11"/>
  <c r="Z328" i="11"/>
  <c r="AA96" i="11"/>
  <c r="AC83" i="11"/>
  <c r="AA288" i="11"/>
  <c r="Z268" i="11"/>
  <c r="AA326" i="11"/>
  <c r="AC99" i="11"/>
  <c r="Z262" i="11"/>
  <c r="AB263" i="11"/>
  <c r="AA70" i="11"/>
  <c r="AA259" i="11"/>
  <c r="AC38" i="11"/>
  <c r="AD259" i="11"/>
  <c r="AA230" i="11"/>
  <c r="AC61" i="11"/>
  <c r="Z227" i="11"/>
  <c r="AD350" i="11"/>
  <c r="AA239" i="11"/>
  <c r="AC350" i="11"/>
  <c r="AB239" i="11"/>
  <c r="AC389" i="11"/>
  <c r="AD70" i="11"/>
  <c r="AB327" i="11"/>
  <c r="AA374" i="11"/>
  <c r="AB124" i="11"/>
  <c r="AD239" i="11"/>
  <c r="AC327" i="11"/>
  <c r="AA124" i="11"/>
  <c r="AC262" i="11"/>
  <c r="AC263" i="11"/>
  <c r="AA263" i="11"/>
  <c r="Z38" i="11"/>
  <c r="AD389" i="11"/>
  <c r="AC136" i="11"/>
  <c r="Z230" i="11"/>
  <c r="AD108" i="11"/>
  <c r="AA286" i="11"/>
  <c r="AB108" i="11"/>
  <c r="Z287" i="11"/>
  <c r="AD351" i="11"/>
  <c r="AA151" i="11"/>
  <c r="AA351" i="11"/>
  <c r="AD227" i="11"/>
  <c r="AC370" i="11"/>
  <c r="AC374" i="11"/>
  <c r="Z136" i="11"/>
  <c r="AD370" i="11"/>
  <c r="AB38" i="11"/>
  <c r="AC364" i="11"/>
  <c r="Z151" i="11"/>
  <c r="Z296" i="11"/>
  <c r="Z175" i="11"/>
  <c r="AA295" i="11"/>
  <c r="Z377" i="11"/>
  <c r="Z310" i="11"/>
  <c r="AA396" i="11"/>
  <c r="AC280" i="11"/>
  <c r="AD318" i="11"/>
  <c r="AD190" i="11"/>
  <c r="AD396" i="11"/>
  <c r="Z176" i="11"/>
  <c r="AD377" i="11"/>
  <c r="AD280" i="11"/>
  <c r="Z274" i="11"/>
  <c r="AB175" i="11"/>
  <c r="AD127" i="11"/>
  <c r="AB385" i="11"/>
  <c r="AD376" i="11"/>
  <c r="Z190" i="11"/>
  <c r="AB396" i="11"/>
  <c r="AC296" i="11"/>
  <c r="AC274" i="11"/>
  <c r="AB332" i="11"/>
  <c r="AD274" i="11"/>
  <c r="AA318" i="11"/>
  <c r="AD282" i="11"/>
  <c r="AC220" i="11"/>
  <c r="Z332" i="11"/>
  <c r="AB282" i="11"/>
  <c r="Z280" i="11"/>
  <c r="AC236" i="11"/>
  <c r="Z400" i="11"/>
  <c r="AC318" i="11"/>
  <c r="AB376" i="11"/>
  <c r="AD296" i="11"/>
  <c r="AB384" i="11"/>
  <c r="Z236" i="11"/>
  <c r="Z127" i="11"/>
  <c r="AA358" i="11"/>
  <c r="AB176" i="11"/>
  <c r="AD332" i="11"/>
  <c r="AB150" i="11"/>
  <c r="AD220" i="11"/>
  <c r="AC282" i="11"/>
  <c r="AC376" i="11"/>
  <c r="AD150" i="11"/>
  <c r="AA51" i="11"/>
  <c r="AC358" i="11"/>
  <c r="AB358" i="11"/>
  <c r="AA182" i="11"/>
  <c r="Z182" i="11"/>
  <c r="Z392" i="11"/>
  <c r="AA377" i="11"/>
  <c r="AD358" i="11"/>
  <c r="AB182" i="11"/>
  <c r="AC190" i="11"/>
  <c r="AD384" i="11"/>
  <c r="AC176" i="11"/>
  <c r="AC385" i="11"/>
  <c r="AD51" i="11"/>
  <c r="AD236" i="11"/>
  <c r="AA400" i="11"/>
  <c r="AA274" i="11"/>
  <c r="AA150" i="11"/>
  <c r="AA220" i="11"/>
  <c r="AA236" i="11"/>
  <c r="AB280" i="11"/>
  <c r="AD392" i="11"/>
  <c r="AC310" i="11"/>
  <c r="AD295" i="11"/>
  <c r="AA296" i="11"/>
  <c r="AC127" i="11"/>
  <c r="Z384" i="11"/>
  <c r="AA282" i="11"/>
  <c r="AD385" i="11"/>
  <c r="AB310" i="11"/>
  <c r="Z318" i="11"/>
  <c r="AD182" i="11"/>
  <c r="AD175" i="11"/>
  <c r="Z376" i="11"/>
  <c r="AB392" i="11"/>
  <c r="AC175" i="11"/>
  <c r="AC396" i="11"/>
  <c r="AC384" i="11"/>
  <c r="AC392" i="11"/>
  <c r="AC377" i="11"/>
  <c r="AB190" i="11"/>
  <c r="AA332" i="11"/>
  <c r="AA176" i="11"/>
  <c r="Z150" i="11"/>
  <c r="AC51" i="11"/>
  <c r="AD400" i="11"/>
  <c r="AA385" i="11"/>
  <c r="AB51" i="11"/>
  <c r="AB400" i="11"/>
  <c r="AA127" i="11"/>
  <c r="AB295" i="11"/>
  <c r="AA310" i="11"/>
  <c r="AC295" i="11"/>
  <c r="AB220" i="11"/>
  <c r="AD202" i="11"/>
  <c r="AD342" i="11"/>
  <c r="AB266" i="11"/>
  <c r="AA40" i="11"/>
  <c r="AD56" i="11"/>
  <c r="Z330" i="11"/>
  <c r="AD83" i="11"/>
  <c r="AD205" i="11"/>
  <c r="AB326" i="11"/>
  <c r="Z126" i="11"/>
  <c r="AD328" i="11"/>
  <c r="AB261" i="11"/>
  <c r="AD222" i="11"/>
  <c r="Z198" i="11"/>
  <c r="AC56" i="11"/>
  <c r="AA180" i="11"/>
  <c r="AA261" i="11"/>
  <c r="AB418" i="11"/>
  <c r="AD266" i="11"/>
  <c r="AB303" i="11"/>
  <c r="AD330" i="11"/>
  <c r="AB40" i="11"/>
  <c r="AB99" i="11"/>
  <c r="Z205" i="11"/>
  <c r="AD288" i="11"/>
  <c r="AB56" i="11"/>
  <c r="AA268" i="11"/>
  <c r="Z278" i="11"/>
  <c r="AC32" i="11"/>
  <c r="AA320" i="11"/>
  <c r="Z333" i="11"/>
  <c r="AD325" i="11"/>
  <c r="AD388" i="11"/>
  <c r="AC342" i="11"/>
  <c r="Z244" i="11"/>
  <c r="AC346" i="11"/>
  <c r="AB382" i="11"/>
  <c r="AB325" i="11"/>
  <c r="Z49" i="11"/>
  <c r="AC214" i="11"/>
  <c r="Z32" i="11"/>
  <c r="AC333" i="11"/>
  <c r="AC92" i="11"/>
  <c r="Z325" i="11"/>
  <c r="AD346" i="11"/>
  <c r="AB342" i="11"/>
  <c r="AA202" i="11"/>
  <c r="AC320" i="11"/>
  <c r="AB388" i="11"/>
  <c r="AA49" i="11"/>
  <c r="Z202" i="11"/>
  <c r="Z199" i="11"/>
  <c r="AC179" i="11"/>
  <c r="AD179" i="11"/>
  <c r="AC303" i="11"/>
  <c r="AA32" i="11"/>
  <c r="AC266" i="11"/>
  <c r="Z303" i="11"/>
  <c r="AD333" i="11"/>
  <c r="AC244" i="11"/>
  <c r="AA266" i="11"/>
  <c r="AA222" i="11"/>
  <c r="AC134" i="11"/>
  <c r="AD134" i="11"/>
  <c r="AD92" i="11"/>
  <c r="Z222" i="11"/>
  <c r="AC180" i="11"/>
  <c r="Z168" i="11"/>
  <c r="AB168" i="11"/>
  <c r="AA311" i="11"/>
  <c r="AD160" i="11"/>
  <c r="AA346" i="11"/>
  <c r="Z311" i="11"/>
  <c r="AB278" i="11"/>
  <c r="AD326" i="11"/>
  <c r="AB346" i="11"/>
  <c r="AD199" i="11"/>
  <c r="AD214" i="11"/>
  <c r="AC261" i="11"/>
  <c r="Z40" i="11"/>
  <c r="AA198" i="11"/>
  <c r="AD40" i="11"/>
  <c r="AB311" i="11"/>
  <c r="AB126" i="11"/>
  <c r="Z83" i="11"/>
  <c r="Z418" i="11"/>
  <c r="AC418" i="11"/>
  <c r="AB320" i="11"/>
  <c r="AA134" i="11"/>
  <c r="AC388" i="11"/>
  <c r="AA388" i="11"/>
  <c r="AC168" i="11"/>
  <c r="AA168" i="11"/>
  <c r="AC160" i="11"/>
  <c r="AA199" i="11"/>
  <c r="AB214" i="11"/>
  <c r="AC382" i="11"/>
  <c r="AD49" i="11"/>
  <c r="AB199" i="11"/>
  <c r="AA342" i="11"/>
  <c r="AB179" i="11"/>
  <c r="AD320" i="11"/>
  <c r="AA303" i="11"/>
  <c r="AA333" i="11"/>
  <c r="AD32" i="11"/>
  <c r="AB244" i="11"/>
  <c r="AD244" i="11"/>
  <c r="AB92" i="11"/>
  <c r="AB180" i="11"/>
  <c r="AC325" i="11"/>
  <c r="Z382" i="11"/>
  <c r="AD180" i="11"/>
  <c r="AA56" i="11"/>
  <c r="AD382" i="11"/>
  <c r="AC96" i="11"/>
  <c r="AB83" i="11"/>
  <c r="Z179" i="11"/>
  <c r="AA205" i="11"/>
  <c r="AA126" i="11"/>
  <c r="AB202" i="11"/>
  <c r="Z261" i="11"/>
  <c r="AB160" i="11"/>
  <c r="AD311" i="11"/>
  <c r="AA278" i="11"/>
  <c r="AA214" i="11"/>
  <c r="AA99" i="11"/>
  <c r="AB330" i="11"/>
  <c r="AC198" i="11"/>
  <c r="AB49" i="11"/>
  <c r="AA92" i="11"/>
  <c r="Z134" i="11"/>
  <c r="Z160" i="11"/>
  <c r="AB288" i="11"/>
  <c r="AB268" i="11"/>
  <c r="AC326" i="11"/>
  <c r="Z288" i="11"/>
  <c r="AC330" i="11"/>
  <c r="AC278" i="11"/>
  <c r="AB328" i="11"/>
  <c r="AB254" i="11"/>
  <c r="Z84" i="11"/>
  <c r="AA84" i="11"/>
  <c r="AB84" i="11"/>
  <c r="AD84" i="11"/>
  <c r="AA28" i="11"/>
  <c r="AC229" i="11"/>
  <c r="AD172" i="11"/>
  <c r="AA234" i="11"/>
  <c r="Z361" i="11"/>
  <c r="AB178" i="11"/>
  <c r="AD181" i="11"/>
  <c r="AD375" i="11"/>
  <c r="AC234" i="11"/>
  <c r="AC125" i="11"/>
  <c r="AA200" i="11"/>
  <c r="AA229" i="11"/>
  <c r="AB177" i="11"/>
  <c r="AA110" i="11"/>
  <c r="AD50" i="11"/>
  <c r="AB28" i="11"/>
  <c r="AC42" i="11"/>
  <c r="AD234" i="11"/>
  <c r="AC254" i="11"/>
  <c r="AB229" i="11"/>
  <c r="AA254" i="11"/>
  <c r="Z48" i="11"/>
  <c r="AA125" i="11"/>
  <c r="AC177" i="11"/>
  <c r="AC172" i="11"/>
  <c r="AB264" i="11"/>
  <c r="AC120" i="11"/>
  <c r="AA114" i="11"/>
  <c r="AD254" i="11"/>
  <c r="AB234" i="11"/>
  <c r="AB114" i="11"/>
  <c r="Z106" i="11"/>
  <c r="AC28" i="11"/>
  <c r="Z114" i="11"/>
  <c r="Z375" i="11"/>
  <c r="AC197" i="11"/>
  <c r="AD200" i="11"/>
  <c r="AD273" i="11"/>
  <c r="AD290" i="11"/>
  <c r="Z28" i="11"/>
  <c r="AB298" i="11"/>
  <c r="AB104" i="11"/>
  <c r="Z269" i="11"/>
  <c r="AD30" i="11"/>
  <c r="AA35" i="11"/>
  <c r="AB354" i="11"/>
  <c r="AC106" i="11"/>
  <c r="AA264" i="11"/>
  <c r="AD114" i="11"/>
  <c r="AB42" i="11"/>
  <c r="AD322" i="11"/>
  <c r="AA39" i="11"/>
  <c r="AB172" i="11"/>
  <c r="Z197" i="11"/>
  <c r="AA197" i="11"/>
  <c r="AA383" i="11"/>
  <c r="AB329" i="11"/>
  <c r="AB106" i="11"/>
  <c r="Z125" i="11"/>
  <c r="AD106" i="11"/>
  <c r="AC264" i="11"/>
  <c r="AB375" i="11"/>
  <c r="AB125" i="11"/>
  <c r="AB200" i="11"/>
  <c r="AD197" i="11"/>
  <c r="Z229" i="11"/>
  <c r="AA172" i="11"/>
  <c r="AC394" i="11"/>
  <c r="AC375" i="11"/>
  <c r="AD264" i="11"/>
  <c r="Z200" i="11"/>
  <c r="AB368" i="11"/>
  <c r="AC30" i="11"/>
  <c r="AB309" i="11"/>
  <c r="AA309" i="11"/>
  <c r="AD373" i="11"/>
  <c r="AB67" i="11"/>
  <c r="AC67" i="11"/>
  <c r="AC373" i="11"/>
  <c r="AC184" i="11"/>
  <c r="Z35" i="11"/>
  <c r="AA368" i="11"/>
  <c r="AA184" i="11"/>
  <c r="AC309" i="11"/>
  <c r="Z368" i="11"/>
  <c r="AD31" i="11"/>
  <c r="AD386" i="11"/>
  <c r="AA185" i="11"/>
  <c r="AD42" i="11"/>
  <c r="AA238" i="11"/>
  <c r="AA386" i="11"/>
  <c r="AB321" i="11"/>
  <c r="AA162" i="11"/>
  <c r="AC23" i="11"/>
  <c r="AA23" i="11"/>
  <c r="AC248" i="11"/>
  <c r="AA279" i="11"/>
  <c r="AD361" i="11"/>
  <c r="AA170" i="11"/>
  <c r="AB110" i="11"/>
  <c r="Z140" i="11"/>
  <c r="AC74" i="11"/>
  <c r="Z366" i="11"/>
  <c r="Z293" i="11"/>
  <c r="AD170" i="11"/>
  <c r="AC170" i="11"/>
  <c r="AA140" i="11"/>
  <c r="AA50" i="11"/>
  <c r="AC140" i="11"/>
  <c r="AC50" i="11"/>
  <c r="Z181" i="11"/>
  <c r="AD82" i="11"/>
  <c r="AA293" i="11"/>
  <c r="AB366" i="11"/>
  <c r="AC361" i="11"/>
  <c r="AD366" i="11"/>
  <c r="AA82" i="11"/>
  <c r="AB140" i="11"/>
  <c r="Z170" i="11"/>
  <c r="AD110" i="11"/>
  <c r="AB293" i="11"/>
  <c r="AB82" i="11"/>
  <c r="AB223" i="11"/>
  <c r="Z82" i="11"/>
  <c r="AA223" i="11"/>
  <c r="AD293" i="11"/>
  <c r="AC110" i="11"/>
  <c r="Z50" i="11"/>
  <c r="AD178" i="11"/>
  <c r="AB74" i="11"/>
  <c r="AC181" i="11"/>
  <c r="Z178" i="11"/>
  <c r="AD74" i="11"/>
  <c r="AA178" i="11"/>
  <c r="AC223" i="11"/>
  <c r="AA74" i="11"/>
  <c r="AC366" i="11"/>
  <c r="AB361" i="11"/>
  <c r="AA181" i="11"/>
  <c r="Z223" i="11"/>
  <c r="Z228" i="11"/>
  <c r="Z309" i="11"/>
  <c r="AB30" i="11"/>
  <c r="Z356" i="11"/>
  <c r="Z30" i="11"/>
  <c r="AD35" i="11"/>
  <c r="AB341" i="11"/>
  <c r="AA67" i="11"/>
  <c r="AD184" i="11"/>
  <c r="Z341" i="11"/>
  <c r="AC391" i="11"/>
  <c r="Z373" i="11"/>
  <c r="Z298" i="11"/>
  <c r="AD67" i="11"/>
  <c r="AD356" i="11"/>
  <c r="AB356" i="11"/>
  <c r="AD368" i="11"/>
  <c r="Z391" i="11"/>
  <c r="AA31" i="11"/>
  <c r="AB184" i="11"/>
  <c r="AD341" i="11"/>
  <c r="AD391" i="11"/>
  <c r="AC31" i="11"/>
  <c r="AB373" i="11"/>
  <c r="Z31" i="11"/>
  <c r="AC356" i="11"/>
  <c r="AC35" i="11"/>
  <c r="AA341" i="11"/>
  <c r="AB391" i="11"/>
  <c r="AA228" i="11"/>
  <c r="AA232" i="11"/>
  <c r="AC152" i="11"/>
  <c r="AC22" i="11"/>
  <c r="AD270" i="11"/>
  <c r="AC305" i="11"/>
  <c r="Z305" i="11"/>
  <c r="AD324" i="11"/>
  <c r="Z232" i="11"/>
  <c r="Z324" i="11"/>
  <c r="AD22" i="11"/>
  <c r="AB232" i="11"/>
  <c r="AA147" i="11"/>
  <c r="Z147" i="11"/>
  <c r="AA270" i="11"/>
  <c r="AC147" i="11"/>
  <c r="AB270" i="11"/>
  <c r="AB147" i="11"/>
  <c r="Z152" i="11"/>
  <c r="AD152" i="11"/>
  <c r="Z270" i="11"/>
  <c r="AB324" i="11"/>
  <c r="AA305" i="11"/>
  <c r="AB305" i="11"/>
  <c r="AB22" i="11"/>
  <c r="AB152" i="11"/>
  <c r="AD228" i="11"/>
  <c r="AC324" i="11"/>
  <c r="AC232" i="11"/>
  <c r="AA22" i="11"/>
  <c r="AB162" i="11"/>
  <c r="Y21" i="11"/>
  <c r="AD21" i="11" s="1"/>
  <c r="B57" i="14"/>
  <c r="B63" i="14" s="1"/>
  <c r="D57" i="14"/>
  <c r="D63" i="14" s="1"/>
  <c r="F57" i="14"/>
  <c r="F63" i="14" s="1"/>
  <c r="C57" i="14"/>
  <c r="C63" i="14" s="1"/>
  <c r="E57" i="14"/>
  <c r="E63" i="14" s="1"/>
  <c r="D69" i="14"/>
  <c r="F69" i="14"/>
  <c r="C69" i="14"/>
  <c r="B69" i="14"/>
  <c r="E69" i="14"/>
  <c r="AD204" i="11"/>
  <c r="AA34" i="11"/>
  <c r="AC298" i="11"/>
  <c r="AD354" i="11"/>
  <c r="AA292" i="11"/>
  <c r="AA85" i="11"/>
  <c r="Z204" i="11"/>
  <c r="AD85" i="11"/>
  <c r="AD104" i="11"/>
  <c r="AC269" i="11"/>
  <c r="AD269" i="11"/>
  <c r="AB164" i="11"/>
  <c r="AA354" i="11"/>
  <c r="AB292" i="11"/>
  <c r="Z164" i="11"/>
  <c r="Z292" i="11"/>
  <c r="Z279" i="11"/>
  <c r="AB109" i="11"/>
  <c r="AA120" i="11"/>
  <c r="AC238" i="11"/>
  <c r="Z42" i="11"/>
  <c r="AD177" i="11"/>
  <c r="AB48" i="11"/>
  <c r="AC48" i="11"/>
  <c r="AC290" i="11"/>
  <c r="AC329" i="11"/>
  <c r="Z394" i="11"/>
  <c r="AB383" i="11"/>
  <c r="AD36" i="11"/>
  <c r="Z36" i="11"/>
  <c r="Z321" i="11"/>
  <c r="AB394" i="11"/>
  <c r="AC193" i="11"/>
  <c r="AD383" i="11"/>
  <c r="AB386" i="11"/>
  <c r="AD314" i="11"/>
  <c r="AA48" i="11"/>
  <c r="AA273" i="11"/>
  <c r="Z314" i="11"/>
  <c r="Z120" i="11"/>
  <c r="Z238" i="11"/>
  <c r="AB185" i="11"/>
  <c r="AC322" i="11"/>
  <c r="AD63" i="11"/>
  <c r="AA322" i="11"/>
  <c r="AA63" i="11"/>
  <c r="AC386" i="11"/>
  <c r="AD248" i="11"/>
  <c r="AA329" i="11"/>
  <c r="AB36" i="11"/>
  <c r="Z383" i="11"/>
  <c r="AA36" i="11"/>
  <c r="AD369" i="11"/>
  <c r="AA193" i="11"/>
  <c r="AB193" i="11"/>
  <c r="AB273" i="11"/>
  <c r="AC314" i="11"/>
  <c r="Z273" i="11"/>
  <c r="AB238" i="11"/>
  <c r="AD120" i="11"/>
  <c r="AD185" i="11"/>
  <c r="Z322" i="11"/>
  <c r="AB39" i="11"/>
  <c r="Z63" i="11"/>
  <c r="AD39" i="11"/>
  <c r="Z177" i="11"/>
  <c r="Z248" i="11"/>
  <c r="Z290" i="11"/>
  <c r="AA248" i="11"/>
  <c r="Z329" i="11"/>
  <c r="Z185" i="11"/>
  <c r="AA394" i="11"/>
  <c r="Z23" i="11"/>
  <c r="AC369" i="11"/>
  <c r="AC162" i="11"/>
  <c r="AC321" i="11"/>
  <c r="AA290" i="11"/>
  <c r="AC63" i="11"/>
  <c r="AC39" i="11"/>
  <c r="AA331" i="11"/>
  <c r="AA255" i="11"/>
  <c r="Z95" i="11"/>
  <c r="AC174" i="11"/>
  <c r="AC65" i="11"/>
  <c r="AA367" i="11"/>
  <c r="AD109" i="11"/>
  <c r="Z57" i="11"/>
  <c r="Z260" i="11"/>
  <c r="Z154" i="11"/>
  <c r="AC154" i="11"/>
  <c r="AD321" i="11"/>
  <c r="AB255" i="11"/>
  <c r="AD95" i="11"/>
  <c r="AD193" i="11"/>
  <c r="AB47" i="11"/>
  <c r="AB331" i="11"/>
  <c r="Z331" i="11"/>
  <c r="AC47" i="11"/>
  <c r="AA154" i="11"/>
  <c r="Z369" i="11"/>
  <c r="Z47" i="11"/>
  <c r="AD255" i="11"/>
  <c r="Z65" i="11"/>
  <c r="Z378" i="11"/>
  <c r="Z162" i="11"/>
  <c r="AD260" i="11"/>
  <c r="AD23" i="11"/>
  <c r="AA334" i="11"/>
  <c r="AD135" i="11"/>
  <c r="AC381" i="11"/>
  <c r="AB334" i="11"/>
  <c r="Z334" i="11"/>
  <c r="AD73" i="11"/>
  <c r="AC57" i="11"/>
  <c r="AD359" i="11"/>
  <c r="AA186" i="11"/>
  <c r="AD258" i="11"/>
  <c r="Z153" i="11"/>
  <c r="AD138" i="11"/>
  <c r="AA138" i="11"/>
  <c r="Z103" i="11"/>
  <c r="Z258" i="11"/>
  <c r="AD276" i="11"/>
  <c r="Z165" i="11"/>
  <c r="AA226" i="11"/>
  <c r="AB58" i="11"/>
  <c r="AC167" i="11"/>
  <c r="AD301" i="11"/>
  <c r="AC104" i="11"/>
  <c r="AC213" i="11"/>
  <c r="AC164" i="11"/>
  <c r="AB153" i="11"/>
  <c r="AC85" i="11"/>
  <c r="Z90" i="11"/>
  <c r="AB204" i="11"/>
  <c r="AA204" i="11"/>
  <c r="AD279" i="11"/>
  <c r="AC109" i="11"/>
  <c r="AD34" i="11"/>
  <c r="AC359" i="11"/>
  <c r="AA47" i="11"/>
  <c r="AA79" i="11"/>
  <c r="AC331" i="11"/>
  <c r="AC255" i="11"/>
  <c r="AB279" i="11"/>
  <c r="AB235" i="11"/>
  <c r="AA95" i="11"/>
  <c r="AA314" i="11"/>
  <c r="AB65" i="11"/>
  <c r="AA298" i="11"/>
  <c r="AA65" i="11"/>
  <c r="AA213" i="11"/>
  <c r="AA269" i="11"/>
  <c r="AC194" i="11"/>
  <c r="AA104" i="11"/>
  <c r="AD164" i="11"/>
  <c r="AC354" i="11"/>
  <c r="AB85" i="11"/>
  <c r="AB90" i="11"/>
  <c r="AC90" i="11"/>
  <c r="AC292" i="11"/>
  <c r="AC34" i="11"/>
  <c r="AD111" i="11"/>
  <c r="AD90" i="11"/>
  <c r="AB34" i="11"/>
  <c r="AC297" i="11"/>
  <c r="AA237" i="11"/>
  <c r="AD253" i="11"/>
  <c r="Z87" i="11"/>
  <c r="AB122" i="11"/>
  <c r="AB133" i="11"/>
  <c r="AB107" i="11"/>
  <c r="AB317" i="11"/>
  <c r="Z253" i="11"/>
  <c r="AA345" i="11"/>
  <c r="AB213" i="11"/>
  <c r="AA194" i="11"/>
  <c r="AD143" i="11"/>
  <c r="Z138" i="11"/>
  <c r="Z226" i="11"/>
  <c r="Z196" i="11"/>
  <c r="AA103" i="11"/>
  <c r="AA143" i="11"/>
  <c r="Z79" i="11"/>
  <c r="AA165" i="11"/>
  <c r="Z276" i="11"/>
  <c r="Z313" i="11"/>
  <c r="AA121" i="11"/>
  <c r="AA87" i="11"/>
  <c r="AB381" i="11"/>
  <c r="AA167" i="11"/>
  <c r="AD339" i="11"/>
  <c r="AC218" i="11"/>
  <c r="AD378" i="11"/>
  <c r="AB378" i="11"/>
  <c r="Z97" i="11"/>
  <c r="AA301" i="11"/>
  <c r="AD313" i="11"/>
  <c r="AB77" i="11"/>
  <c r="AD194" i="11"/>
  <c r="AD213" i="11"/>
  <c r="Z143" i="11"/>
  <c r="AC138" i="11"/>
  <c r="AD153" i="11"/>
  <c r="AB226" i="11"/>
  <c r="AC196" i="11"/>
  <c r="AC103" i="11"/>
  <c r="AC58" i="11"/>
  <c r="AA313" i="11"/>
  <c r="AA135" i="11"/>
  <c r="Z194" i="11"/>
  <c r="AB313" i="11"/>
  <c r="AC122" i="11"/>
  <c r="AC135" i="11"/>
  <c r="AC277" i="11"/>
  <c r="AA277" i="11"/>
  <c r="AD196" i="11"/>
  <c r="AD79" i="11"/>
  <c r="AC153" i="11"/>
  <c r="AB167" i="11"/>
  <c r="AA235" i="11"/>
  <c r="AD381" i="11"/>
  <c r="AB165" i="11"/>
  <c r="AA218" i="11"/>
  <c r="AC97" i="11"/>
  <c r="AB135" i="11"/>
  <c r="Z301" i="11"/>
  <c r="AC25" i="11"/>
  <c r="Z43" i="11"/>
  <c r="AD345" i="11"/>
  <c r="AC345" i="11"/>
  <c r="AC143" i="11"/>
  <c r="AB345" i="11"/>
  <c r="AC226" i="11"/>
  <c r="AD103" i="11"/>
  <c r="AB79" i="11"/>
  <c r="AA196" i="11"/>
  <c r="AA122" i="11"/>
  <c r="AB258" i="11"/>
  <c r="AC334" i="11"/>
  <c r="AB277" i="11"/>
  <c r="AD267" i="11"/>
  <c r="AD165" i="11"/>
  <c r="Z349" i="11"/>
  <c r="AD218" i="11"/>
  <c r="Z339" i="11"/>
  <c r="Z58" i="11"/>
  <c r="AA275" i="11"/>
  <c r="AD235" i="11"/>
  <c r="AC258" i="11"/>
  <c r="AD77" i="11"/>
  <c r="AB97" i="11"/>
  <c r="AB25" i="11"/>
  <c r="AC107" i="11"/>
  <c r="AB45" i="11"/>
  <c r="AA210" i="11"/>
  <c r="AC98" i="11"/>
  <c r="AC132" i="11"/>
  <c r="AB71" i="11"/>
  <c r="AA161" i="11"/>
  <c r="AB55" i="11"/>
  <c r="AD45" i="11"/>
  <c r="AB98" i="11"/>
  <c r="AA98" i="11"/>
  <c r="AD107" i="11"/>
  <c r="AA130" i="11"/>
  <c r="AA312" i="11"/>
  <c r="AD186" i="11"/>
  <c r="AD257" i="11"/>
  <c r="AA66" i="11"/>
  <c r="AC319" i="11"/>
  <c r="AC206" i="11"/>
  <c r="AD210" i="11"/>
  <c r="AD130" i="11"/>
  <c r="AA246" i="11"/>
  <c r="AA55" i="11"/>
  <c r="AD219" i="11"/>
  <c r="AC337" i="11"/>
  <c r="Z169" i="11"/>
  <c r="AC66" i="11"/>
  <c r="Z210" i="11"/>
  <c r="Z98" i="11"/>
  <c r="AD101" i="11"/>
  <c r="AB186" i="11"/>
  <c r="Z186" i="11"/>
  <c r="AA71" i="11"/>
  <c r="AD132" i="11"/>
  <c r="AA289" i="11"/>
  <c r="AA353" i="11"/>
  <c r="AC289" i="11"/>
  <c r="AA27" i="11"/>
  <c r="AA132" i="11"/>
  <c r="AA319" i="11"/>
  <c r="AA225" i="11"/>
  <c r="AA257" i="11"/>
  <c r="AC101" i="11"/>
  <c r="AD337" i="11"/>
  <c r="AA251" i="11"/>
  <c r="AC344" i="11"/>
  <c r="AB27" i="11"/>
  <c r="AD243" i="11"/>
  <c r="AC312" i="11"/>
  <c r="AC397" i="11"/>
  <c r="AB130" i="11"/>
  <c r="AA101" i="11"/>
  <c r="AD161" i="11"/>
  <c r="AD133" i="11"/>
  <c r="Z246" i="11"/>
  <c r="AB289" i="11"/>
  <c r="AD353" i="11"/>
  <c r="Z312" i="11"/>
  <c r="Z27" i="11"/>
  <c r="AB131" i="11"/>
  <c r="AB169" i="11"/>
  <c r="AA337" i="11"/>
  <c r="AB251" i="11"/>
  <c r="AB89" i="11"/>
  <c r="Z219" i="11"/>
  <c r="Z55" i="11"/>
  <c r="AA285" i="11"/>
  <c r="AD397" i="11"/>
  <c r="Z206" i="11"/>
  <c r="Z353" i="11"/>
  <c r="Z66" i="11"/>
  <c r="AA133" i="11"/>
  <c r="AC133" i="11"/>
  <c r="AB319" i="11"/>
  <c r="AB66" i="11"/>
  <c r="Z319" i="11"/>
  <c r="AC210" i="11"/>
  <c r="AC219" i="11"/>
  <c r="AB206" i="11"/>
  <c r="AA397" i="11"/>
  <c r="AC130" i="11"/>
  <c r="AB132" i="11"/>
  <c r="AC353" i="11"/>
  <c r="AD312" i="11"/>
  <c r="Z161" i="11"/>
  <c r="AC246" i="11"/>
  <c r="AD206" i="11"/>
  <c r="Z289" i="11"/>
  <c r="Z107" i="11"/>
  <c r="AC257" i="11"/>
  <c r="Z397" i="11"/>
  <c r="AD344" i="11"/>
  <c r="Z131" i="11"/>
  <c r="AA219" i="11"/>
  <c r="AB257" i="11"/>
  <c r="AA243" i="11"/>
  <c r="AC161" i="11"/>
  <c r="Z359" i="11"/>
  <c r="AA359" i="11"/>
  <c r="AD250" i="11"/>
  <c r="AA260" i="11"/>
  <c r="AB95" i="11"/>
  <c r="Z297" i="11"/>
  <c r="Z109" i="11"/>
  <c r="AD154" i="11"/>
  <c r="Z249" i="11"/>
  <c r="AB73" i="11"/>
  <c r="AA250" i="11"/>
  <c r="AA57" i="11"/>
  <c r="AD237" i="11"/>
  <c r="AC260" i="11"/>
  <c r="AB379" i="11"/>
  <c r="AA369" i="11"/>
  <c r="AD43" i="11"/>
  <c r="AA379" i="11"/>
  <c r="AD55" i="11"/>
  <c r="AC131" i="11"/>
  <c r="AD169" i="11"/>
  <c r="AC45" i="11"/>
  <c r="Z344" i="11"/>
  <c r="AC251" i="11"/>
  <c r="AC71" i="11"/>
  <c r="AD285" i="11"/>
  <c r="AB285" i="11"/>
  <c r="Z285" i="11"/>
  <c r="Z71" i="11"/>
  <c r="AC27" i="11"/>
  <c r="Z45" i="11"/>
  <c r="AD131" i="11"/>
  <c r="AD251" i="11"/>
  <c r="AA169" i="11"/>
  <c r="Z337" i="11"/>
  <c r="AB344" i="11"/>
  <c r="AB101" i="11"/>
  <c r="AD246" i="11"/>
  <c r="AA406" i="11"/>
  <c r="Z406" i="11"/>
  <c r="AD59" i="11"/>
  <c r="AB401" i="11"/>
  <c r="AC59" i="11"/>
  <c r="AA401" i="11"/>
  <c r="Z187" i="11"/>
  <c r="AC187" i="11"/>
  <c r="AB59" i="11"/>
  <c r="AB187" i="11"/>
  <c r="Z401" i="11"/>
  <c r="AC24" i="11"/>
  <c r="AB225" i="11"/>
  <c r="Z250" i="11"/>
  <c r="Z137" i="11"/>
  <c r="Z317" i="11"/>
  <c r="AA73" i="11"/>
  <c r="AB237" i="11"/>
  <c r="AC237" i="11"/>
  <c r="AA349" i="11"/>
  <c r="AC349" i="11"/>
  <c r="AC225" i="11"/>
  <c r="Z379" i="11"/>
  <c r="Z173" i="11"/>
  <c r="AD379" i="11"/>
  <c r="AD173" i="11"/>
  <c r="AB297" i="11"/>
  <c r="AD57" i="11"/>
  <c r="AC299" i="11"/>
  <c r="AB137" i="11"/>
  <c r="AC73" i="11"/>
  <c r="AC317" i="11"/>
  <c r="AA317" i="11"/>
  <c r="AD137" i="11"/>
  <c r="AD187" i="11"/>
  <c r="AD401" i="11"/>
  <c r="AD349" i="11"/>
  <c r="AD225" i="11"/>
  <c r="AB250" i="11"/>
  <c r="AA137" i="11"/>
  <c r="Z59" i="11"/>
  <c r="AA43" i="11"/>
  <c r="AB43" i="11"/>
  <c r="AC173" i="11"/>
  <c r="AA297" i="11"/>
  <c r="AD91" i="11"/>
  <c r="AA173" i="11"/>
  <c r="AB46" i="11"/>
  <c r="AA46" i="11"/>
  <c r="AA24" i="11"/>
  <c r="AC217" i="11"/>
  <c r="AC26" i="11"/>
  <c r="AC87" i="11"/>
  <c r="AD277" i="11"/>
  <c r="Z174" i="11"/>
  <c r="Z216" i="11"/>
  <c r="AD191" i="11"/>
  <c r="AA381" i="11"/>
  <c r="AC216" i="11"/>
  <c r="AD367" i="11"/>
  <c r="AB218" i="11"/>
  <c r="AB339" i="11"/>
  <c r="Z231" i="11"/>
  <c r="AD275" i="11"/>
  <c r="AC115" i="11"/>
  <c r="AB275" i="11"/>
  <c r="AC253" i="11"/>
  <c r="AA276" i="11"/>
  <c r="AA129" i="11"/>
  <c r="AC68" i="11"/>
  <c r="AC129" i="11"/>
  <c r="AC77" i="11"/>
  <c r="Z77" i="11"/>
  <c r="AB276" i="11"/>
  <c r="AD122" i="11"/>
  <c r="AD217" i="11"/>
  <c r="Z81" i="11"/>
  <c r="AB87" i="11"/>
  <c r="AA58" i="11"/>
  <c r="AB253" i="11"/>
  <c r="Z275" i="11"/>
  <c r="AA378" i="11"/>
  <c r="AA231" i="11"/>
  <c r="Z167" i="11"/>
  <c r="AD231" i="11"/>
  <c r="AB307" i="11"/>
  <c r="AA339" i="11"/>
  <c r="AB231" i="11"/>
  <c r="AB68" i="11"/>
  <c r="AD25" i="11"/>
  <c r="AB301" i="11"/>
  <c r="Z68" i="11"/>
  <c r="AA68" i="11"/>
  <c r="AC363" i="11"/>
  <c r="AA414" i="11"/>
  <c r="AA33" i="11"/>
  <c r="Z203" i="11"/>
  <c r="AA195" i="11"/>
  <c r="Z323" i="11"/>
  <c r="AB75" i="11"/>
  <c r="AC211" i="11"/>
  <c r="AB174" i="11"/>
  <c r="AC302" i="11"/>
  <c r="AC111" i="11"/>
  <c r="AB119" i="11"/>
  <c r="AB217" i="11"/>
  <c r="AD46" i="11"/>
  <c r="Z363" i="11"/>
  <c r="AA26" i="11"/>
  <c r="AD363" i="11"/>
  <c r="AB111" i="11"/>
  <c r="AA315" i="11"/>
  <c r="AC355" i="11"/>
  <c r="AA307" i="11"/>
  <c r="AC149" i="11"/>
  <c r="AB115" i="11"/>
  <c r="AC203" i="11"/>
  <c r="Z149" i="11"/>
  <c r="AB149" i="11"/>
  <c r="Z33" i="11"/>
  <c r="AD203" i="11"/>
  <c r="Z46" i="11"/>
  <c r="AA211" i="11"/>
  <c r="AC91" i="11"/>
  <c r="AB24" i="11"/>
  <c r="AA302" i="11"/>
  <c r="Z217" i="11"/>
  <c r="Z302" i="11"/>
  <c r="Z191" i="11"/>
  <c r="AA174" i="11"/>
  <c r="AD189" i="11"/>
  <c r="AC414" i="11"/>
  <c r="AA216" i="11"/>
  <c r="AC191" i="11"/>
  <c r="Z115" i="11"/>
  <c r="Z367" i="11"/>
  <c r="AB203" i="11"/>
  <c r="AB191" i="11"/>
  <c r="AD33" i="11"/>
  <c r="Z26" i="11"/>
  <c r="AB91" i="11"/>
  <c r="AD211" i="11"/>
  <c r="AA91" i="11"/>
  <c r="AD307" i="11"/>
  <c r="Z111" i="11"/>
  <c r="AC119" i="11"/>
  <c r="AD119" i="11"/>
  <c r="AA119" i="11"/>
  <c r="AB26" i="11"/>
  <c r="AC387" i="11"/>
  <c r="AB302" i="11"/>
  <c r="AC307" i="11"/>
  <c r="AD149" i="11"/>
  <c r="AB367" i="11"/>
  <c r="AC33" i="11"/>
  <c r="AC155" i="11"/>
  <c r="AD216" i="11"/>
  <c r="AA115" i="11"/>
  <c r="AB363" i="11"/>
  <c r="AD24" i="11"/>
  <c r="AA25" i="11"/>
  <c r="AC243" i="11"/>
  <c r="Z243" i="11"/>
  <c r="AB211" i="11"/>
  <c r="AC121" i="11"/>
  <c r="AA105" i="11"/>
  <c r="AB121" i="11"/>
  <c r="AB247" i="11"/>
  <c r="AD247" i="11"/>
  <c r="AB189" i="11"/>
  <c r="AA189" i="11"/>
  <c r="Z315" i="11"/>
  <c r="AB265" i="11"/>
  <c r="AC315" i="11"/>
  <c r="AC89" i="11"/>
  <c r="AC265" i="11"/>
  <c r="AB405" i="11"/>
  <c r="AD387" i="11"/>
  <c r="AC189" i="11"/>
  <c r="AC323" i="11"/>
  <c r="AD129" i="11"/>
  <c r="AB323" i="11"/>
  <c r="AD403" i="11"/>
  <c r="AB129" i="11"/>
  <c r="AC201" i="11"/>
  <c r="AD121" i="11"/>
  <c r="AC247" i="11"/>
  <c r="Z155" i="11"/>
  <c r="AB81" i="11"/>
  <c r="AB355" i="11"/>
  <c r="AC105" i="11"/>
  <c r="AD265" i="11"/>
  <c r="AD89" i="11"/>
  <c r="AB414" i="11"/>
  <c r="AA409" i="11"/>
  <c r="AA81" i="11"/>
  <c r="AC403" i="11"/>
  <c r="AA201" i="11"/>
  <c r="AD201" i="11"/>
  <c r="Z247" i="11"/>
  <c r="AD155" i="11"/>
  <c r="AD81" i="11"/>
  <c r="AA405" i="11"/>
  <c r="AB155" i="11"/>
  <c r="Z387" i="11"/>
  <c r="Z405" i="11"/>
  <c r="Z355" i="11"/>
  <c r="AD105" i="11"/>
  <c r="Z414" i="11"/>
  <c r="AD195" i="11"/>
  <c r="Z265" i="11"/>
  <c r="AB195" i="11"/>
  <c r="AA89" i="11"/>
  <c r="Z105" i="11"/>
  <c r="Z195" i="11"/>
  <c r="AB387" i="11"/>
  <c r="AD315" i="11"/>
  <c r="AA299" i="11"/>
  <c r="AC249" i="11"/>
  <c r="AC409" i="11"/>
  <c r="AB283" i="11"/>
  <c r="AD299" i="11"/>
  <c r="AA249" i="11"/>
  <c r="AB249" i="11"/>
  <c r="Z299" i="11"/>
  <c r="AD355" i="11"/>
  <c r="AA75" i="11"/>
  <c r="AA323" i="11"/>
  <c r="Z267" i="11"/>
  <c r="AC267" i="11"/>
  <c r="AB267" i="11"/>
  <c r="AD97" i="11"/>
  <c r="Z145" i="11"/>
  <c r="AC145" i="11"/>
  <c r="AC235" i="11"/>
  <c r="AD405" i="11"/>
  <c r="Z201" i="11"/>
  <c r="Z413" i="11"/>
  <c r="Z233" i="11"/>
  <c r="AD413" i="11"/>
  <c r="AB413" i="11"/>
  <c r="AC413" i="11"/>
  <c r="AC163" i="11"/>
  <c r="AA113" i="11"/>
  <c r="AC245" i="11"/>
  <c r="AA283" i="11"/>
  <c r="AD283" i="11"/>
  <c r="AC283" i="11"/>
  <c r="Z245" i="11"/>
  <c r="AD245" i="11"/>
  <c r="AA410" i="11"/>
  <c r="AA86" i="11"/>
  <c r="AB245" i="11"/>
  <c r="AD233" i="11"/>
  <c r="AC86" i="11"/>
  <c r="Z142" i="11"/>
  <c r="AD163" i="11"/>
  <c r="AB163" i="11"/>
  <c r="AD409" i="11"/>
  <c r="AB233" i="11"/>
  <c r="AD86" i="11"/>
  <c r="AC142" i="11"/>
  <c r="AB409" i="11"/>
  <c r="AB410" i="11"/>
  <c r="AA163" i="11"/>
  <c r="AD142" i="11"/>
  <c r="AB86" i="11"/>
  <c r="Z410" i="11"/>
  <c r="AC233" i="11"/>
  <c r="AA142" i="11"/>
  <c r="AC371" i="11"/>
  <c r="AC408" i="11"/>
  <c r="AB408" i="11"/>
  <c r="AA171" i="11"/>
  <c r="Z403" i="11"/>
  <c r="AB403" i="11"/>
  <c r="Z371" i="11"/>
  <c r="AD371" i="11"/>
  <c r="AA145" i="11"/>
  <c r="AD157" i="11"/>
  <c r="AD291" i="11"/>
  <c r="AD209" i="11"/>
  <c r="AD145" i="11"/>
  <c r="Z157" i="11"/>
  <c r="AB371" i="11"/>
  <c r="AB402" i="11"/>
  <c r="AC209" i="11"/>
  <c r="AB417" i="11"/>
  <c r="AA157" i="11"/>
  <c r="AC291" i="11"/>
  <c r="Z402" i="11"/>
  <c r="AB291" i="11"/>
  <c r="AC417" i="11"/>
  <c r="AD402" i="11"/>
  <c r="Z291" i="11"/>
  <c r="AA209" i="11"/>
  <c r="AC157" i="11"/>
  <c r="Z209" i="11"/>
  <c r="Z417" i="11"/>
  <c r="AD417" i="11"/>
  <c r="AC402" i="11"/>
  <c r="AC412" i="11"/>
  <c r="Z113" i="11"/>
  <c r="AA412" i="11"/>
  <c r="AD75" i="11"/>
  <c r="Z75" i="11"/>
  <c r="AB395" i="11"/>
  <c r="AD113" i="11"/>
  <c r="Z395" i="11"/>
  <c r="AA347" i="11"/>
  <c r="AC123" i="11"/>
  <c r="AA395" i="11"/>
  <c r="AC395" i="11"/>
  <c r="AD41" i="11"/>
  <c r="AB113" i="11"/>
  <c r="AC347" i="11"/>
  <c r="AD123" i="11"/>
  <c r="Z347" i="11"/>
  <c r="AC41" i="11"/>
  <c r="AA41" i="11"/>
  <c r="AD347" i="11"/>
  <c r="AB404" i="11"/>
  <c r="AB420" i="11"/>
  <c r="AA404" i="11"/>
  <c r="AD404" i="11"/>
  <c r="AA123" i="11"/>
  <c r="AB41" i="11"/>
  <c r="Z123" i="11"/>
  <c r="Z404" i="11"/>
  <c r="AD406" i="11"/>
  <c r="AB406" i="11"/>
  <c r="AB412" i="11"/>
  <c r="Z412" i="11"/>
  <c r="AB241" i="11"/>
  <c r="AD241" i="11"/>
  <c r="AC420" i="11"/>
  <c r="AC410" i="11"/>
  <c r="AD415" i="11"/>
  <c r="Z415" i="11"/>
  <c r="AB415" i="11"/>
  <c r="AB171" i="11"/>
  <c r="AD171" i="11"/>
  <c r="AA415" i="11"/>
  <c r="Z420" i="11"/>
  <c r="AD420" i="11"/>
  <c r="AC171" i="11"/>
  <c r="Z408" i="11"/>
  <c r="AD408" i="11"/>
  <c r="AD407" i="11"/>
  <c r="AA407" i="11"/>
  <c r="Z407" i="11"/>
  <c r="AC407" i="11"/>
  <c r="AB407" i="11"/>
  <c r="AD139" i="11"/>
  <c r="AC139" i="11"/>
  <c r="Z139" i="11"/>
  <c r="AB139" i="11"/>
  <c r="AA139" i="11"/>
  <c r="AD416" i="11"/>
  <c r="AB416" i="11"/>
  <c r="AC416" i="11"/>
  <c r="AA416" i="11"/>
  <c r="Z416" i="11"/>
  <c r="Z421" i="11"/>
  <c r="AC421" i="11"/>
  <c r="AD421" i="11"/>
  <c r="AA421" i="11"/>
  <c r="AB421" i="11"/>
  <c r="AC241" i="11"/>
  <c r="AA241" i="11"/>
  <c r="AC419" i="11"/>
  <c r="AA419" i="11"/>
  <c r="Z419" i="11"/>
  <c r="AB419" i="11"/>
  <c r="AD419" i="11"/>
  <c r="AB411" i="11"/>
  <c r="AC411" i="11"/>
  <c r="Z411" i="11"/>
  <c r="AD411" i="11"/>
  <c r="AA411" i="11"/>
  <c r="F69" i="2" l="1"/>
  <c r="J69" i="2"/>
  <c r="G26" i="2"/>
  <c r="G33" i="2" s="1"/>
  <c r="I69" i="2"/>
  <c r="F39" i="14"/>
  <c r="F44" i="14" s="1"/>
  <c r="F19" i="2"/>
  <c r="G69" i="2"/>
  <c r="F15" i="14"/>
  <c r="F42" i="14" s="1"/>
  <c r="I26" i="2"/>
  <c r="I33" i="2" s="1"/>
  <c r="J26" i="2"/>
  <c r="J33" i="2" s="1"/>
  <c r="B21" i="14"/>
  <c r="B33" i="14" s="1"/>
  <c r="H26" i="2"/>
  <c r="H33" i="2" s="1"/>
  <c r="F26" i="2"/>
  <c r="F33" i="2" s="1"/>
  <c r="B39" i="14"/>
  <c r="B44" i="14" s="1"/>
  <c r="E21" i="14"/>
  <c r="C21" i="14"/>
  <c r="C33" i="14" s="1"/>
  <c r="D39" i="14"/>
  <c r="D44" i="14" s="1"/>
  <c r="D21" i="14"/>
  <c r="D33" i="14" s="1"/>
  <c r="D15" i="14"/>
  <c r="C39" i="14"/>
  <c r="C44" i="14" s="1"/>
  <c r="E39" i="14"/>
  <c r="E44" i="14" s="1"/>
  <c r="F21" i="14"/>
  <c r="F33" i="14" s="1"/>
  <c r="G55" i="2"/>
  <c r="J81" i="2"/>
  <c r="H81" i="2"/>
  <c r="G81" i="2"/>
  <c r="AQ4" i="11"/>
  <c r="AQ5" i="11" s="1"/>
  <c r="Q4" i="11"/>
  <c r="Q5" i="11" s="1"/>
  <c r="H20" i="2"/>
  <c r="F55" i="2"/>
  <c r="H55" i="2"/>
  <c r="I55" i="2"/>
  <c r="I81" i="2"/>
  <c r="AP4" i="11"/>
  <c r="P4" i="11"/>
  <c r="I27" i="2"/>
  <c r="F20" i="2"/>
  <c r="H27" i="2"/>
  <c r="J27" i="2"/>
  <c r="G27" i="2"/>
  <c r="F27" i="2"/>
  <c r="AR4" i="11"/>
  <c r="R4" i="11"/>
  <c r="I56" i="2"/>
  <c r="H56" i="2"/>
  <c r="F56" i="2"/>
  <c r="G56" i="2"/>
  <c r="J56" i="2"/>
  <c r="J20" i="2"/>
  <c r="J55" i="2"/>
  <c r="J19" i="2"/>
  <c r="Z21" i="11"/>
  <c r="AC21" i="11"/>
  <c r="AA21" i="11"/>
  <c r="AB21" i="11"/>
  <c r="B42" i="14" l="1"/>
  <c r="C27" i="14"/>
  <c r="E27" i="14"/>
  <c r="B27" i="14"/>
  <c r="E33" i="14"/>
  <c r="F27" i="14"/>
  <c r="D27" i="14"/>
  <c r="I34" i="2"/>
  <c r="I49" i="2" s="1"/>
  <c r="P11" i="11"/>
  <c r="N11" i="11"/>
  <c r="R11" i="11"/>
  <c r="O11" i="11"/>
  <c r="R5" i="11"/>
  <c r="Q11" i="11"/>
  <c r="J34" i="2"/>
  <c r="J49" i="2" s="1"/>
  <c r="N7" i="11"/>
  <c r="R7" i="11"/>
  <c r="P5" i="11"/>
  <c r="P7" i="11"/>
  <c r="O7" i="11"/>
  <c r="Q7" i="11"/>
  <c r="Y15" i="11"/>
  <c r="Y16" i="11"/>
  <c r="AR5" i="11"/>
  <c r="AR11" i="11"/>
  <c r="AP11" i="11"/>
  <c r="AQ11" i="11"/>
  <c r="AN11" i="11"/>
  <c r="AO11" i="11"/>
  <c r="H34" i="2"/>
  <c r="H49" i="2" s="1"/>
  <c r="AO7" i="11"/>
  <c r="AN7" i="11"/>
  <c r="AP5" i="11"/>
  <c r="AP7" i="11"/>
  <c r="AP8" i="11" s="1"/>
  <c r="AR7" i="11"/>
  <c r="AQ7" i="11"/>
  <c r="AQ8" i="11" s="1"/>
  <c r="G34" i="2"/>
  <c r="G49" i="2" s="1"/>
  <c r="F34" i="2"/>
  <c r="F49" i="2" s="1"/>
  <c r="I40" i="2" l="1"/>
  <c r="G40" i="2"/>
  <c r="H40" i="2"/>
  <c r="J40" i="2"/>
  <c r="F40" i="2"/>
  <c r="R8" i="11"/>
  <c r="AR8" i="11"/>
  <c r="AR9" i="11" s="1"/>
  <c r="O8" i="11"/>
  <c r="N8" i="11"/>
  <c r="AQ10" i="11"/>
  <c r="AQ9" i="11"/>
  <c r="AO8" i="11"/>
  <c r="AO9" i="11" s="1"/>
  <c r="AP10" i="11"/>
  <c r="AP9" i="11"/>
  <c r="P10" i="11"/>
  <c r="P8" i="11"/>
  <c r="P9" i="11" s="1"/>
  <c r="AN8" i="11"/>
  <c r="AN9" i="11" s="1"/>
  <c r="Q10" i="11"/>
  <c r="Q8" i="11"/>
  <c r="Q9" i="11" s="1"/>
  <c r="F41" i="2"/>
  <c r="F75" i="2"/>
  <c r="F48" i="2"/>
  <c r="G41" i="2"/>
  <c r="G48" i="2"/>
  <c r="G75" i="2"/>
  <c r="H41" i="2"/>
  <c r="H75" i="2"/>
  <c r="H48" i="2"/>
  <c r="J41" i="2"/>
  <c r="J48" i="2"/>
  <c r="J75" i="2"/>
  <c r="I41" i="2"/>
  <c r="I75" i="2"/>
  <c r="I48" i="2"/>
  <c r="R9" i="11" l="1"/>
  <c r="AR10" i="11"/>
  <c r="O9" i="11"/>
  <c r="O10" i="11"/>
  <c r="R10" i="11"/>
  <c r="AO10" i="11"/>
  <c r="N9" i="11"/>
  <c r="N10" i="11"/>
  <c r="AN10" i="11"/>
</calcChain>
</file>

<file path=xl/sharedStrings.xml><?xml version="1.0" encoding="utf-8"?>
<sst xmlns="http://schemas.openxmlformats.org/spreadsheetml/2006/main" count="975" uniqueCount="472">
  <si>
    <t>Inputs</t>
  </si>
  <si>
    <t>Unnormalised photon spectral system action spectra</t>
  </si>
  <si>
    <t>Photon spectral system action spectra</t>
  </si>
  <si>
    <t>Quantity</t>
  </si>
  <si>
    <t>radiance</t>
  </si>
  <si>
    <t>h</t>
  </si>
  <si>
    <t xml:space="preserve"> J.s</t>
  </si>
  <si>
    <t>Prefix</t>
  </si>
  <si>
    <t>m</t>
  </si>
  <si>
    <t>c</t>
  </si>
  <si>
    <t xml:space="preserve"> m.s-1</t>
  </si>
  <si>
    <t>n</t>
  </si>
  <si>
    <t>nm</t>
  </si>
  <si>
    <t>sc</t>
  </si>
  <si>
    <t>mc</t>
  </si>
  <si>
    <t>lc</t>
  </si>
  <si>
    <t>rh</t>
  </si>
  <si>
    <t>mel</t>
  </si>
  <si>
    <t>SI prefix table (blanks and cases are important)</t>
  </si>
  <si>
    <t>J</t>
  </si>
  <si>
    <t>τ(32,λ)</t>
  </si>
  <si>
    <t>ASCII</t>
  </si>
  <si>
    <t>Value</t>
  </si>
  <si>
    <t>E</t>
  </si>
  <si>
    <t>exa</t>
  </si>
  <si>
    <t>P</t>
  </si>
  <si>
    <t>peta</t>
  </si>
  <si>
    <t>T</t>
  </si>
  <si>
    <t>tera</t>
  </si>
  <si>
    <t>G</t>
  </si>
  <si>
    <t>giga</t>
  </si>
  <si>
    <t>M</t>
  </si>
  <si>
    <t>mega</t>
  </si>
  <si>
    <t>k</t>
  </si>
  <si>
    <t>kilo</t>
  </si>
  <si>
    <t>milli</t>
  </si>
  <si>
    <t>µ</t>
  </si>
  <si>
    <t>micro</t>
  </si>
  <si>
    <t>nano</t>
  </si>
  <si>
    <t>p</t>
  </si>
  <si>
    <t>pico</t>
  </si>
  <si>
    <t>f</t>
  </si>
  <si>
    <t>femto</t>
  </si>
  <si>
    <t>a</t>
  </si>
  <si>
    <t>atto</t>
  </si>
  <si>
    <t>quantity</t>
  </si>
  <si>
    <t>units</t>
  </si>
  <si>
    <t>radiant intensity</t>
  </si>
  <si>
    <t>W.sr-1</t>
  </si>
  <si>
    <t>luminous intensity</t>
  </si>
  <si>
    <t>cd</t>
  </si>
  <si>
    <t>W.m-2.sr-1</t>
  </si>
  <si>
    <t>luminance</t>
  </si>
  <si>
    <t>cd.m-2</t>
  </si>
  <si>
    <t>irradiance</t>
  </si>
  <si>
    <t>W.m-2</t>
  </si>
  <si>
    <t>illuminance</t>
  </si>
  <si>
    <t>lx</t>
  </si>
  <si>
    <t>radiant exposure</t>
  </si>
  <si>
    <t>J.m-2</t>
  </si>
  <si>
    <t>luminous exposure</t>
  </si>
  <si>
    <t>lx.s</t>
  </si>
  <si>
    <t>radiant flux</t>
  </si>
  <si>
    <t>W</t>
  </si>
  <si>
    <t>luminous flux</t>
  </si>
  <si>
    <t>lm</t>
  </si>
  <si>
    <t>radiant energy</t>
  </si>
  <si>
    <t>luminous energy</t>
  </si>
  <si>
    <t>lm.s</t>
  </si>
  <si>
    <t>Parameters for CIE 203@2012 age-adjustment formula (as amended in erratum)</t>
  </si>
  <si>
    <t>n/a</t>
  </si>
  <si>
    <t>Orange text are not used, or are dummy values to simplify formulae checking (zeros above).</t>
  </si>
  <si>
    <t>Values for</t>
  </si>
  <si>
    <t>S-cone-opic</t>
  </si>
  <si>
    <t>M-cone-opic</t>
  </si>
  <si>
    <t>L-cone-opic</t>
  </si>
  <si>
    <t>Rhodopic</t>
  </si>
  <si>
    <t>Melanopic</t>
  </si>
  <si>
    <t>Charts</t>
  </si>
  <si>
    <t>Outputs</t>
  </si>
  <si>
    <t>Units:</t>
  </si>
  <si>
    <t>Basis of system:</t>
  </si>
  <si>
    <t>Standard age</t>
  </si>
  <si>
    <t>luminous flux, lm</t>
  </si>
  <si>
    <t>photon flux, s-1</t>
  </si>
  <si>
    <t>s-1.sr-1</t>
  </si>
  <si>
    <t>s-1.m-2.sr-1</t>
  </si>
  <si>
    <t>s-1.m-2</t>
  </si>
  <si>
    <t>m-2</t>
  </si>
  <si>
    <t>s-1</t>
  </si>
  <si>
    <t>photon radiance</t>
  </si>
  <si>
    <t>photon irradiance</t>
  </si>
  <si>
    <t>photon intensity</t>
  </si>
  <si>
    <t>photon flux</t>
  </si>
  <si>
    <t>photon exposure</t>
  </si>
  <si>
    <t>number of photons</t>
  </si>
  <si>
    <t>Action spectra for radiometric system</t>
  </si>
  <si>
    <t>CIE photopic curve</t>
  </si>
  <si>
    <t>max</t>
  </si>
  <si>
    <t xml:space="preserve"> lm.W-1</t>
  </si>
  <si>
    <r>
      <rPr>
        <i/>
        <sz val="11"/>
        <rFont val="Calibri"/>
        <family val="2"/>
        <scheme val="minor"/>
      </rPr>
      <t>V</t>
    </r>
    <r>
      <rPr>
        <sz val="11"/>
        <rFont val="Calibri"/>
        <family val="2"/>
        <scheme val="minor"/>
      </rPr>
      <t>(</t>
    </r>
    <r>
      <rPr>
        <i/>
        <sz val="11"/>
        <rFont val="Times New Roman"/>
        <family val="1"/>
      </rPr>
      <t>λ</t>
    </r>
    <r>
      <rPr>
        <sz val="11"/>
        <rFont val="Calibri"/>
        <family val="2"/>
        <scheme val="minor"/>
      </rPr>
      <t>), extract</t>
    </r>
  </si>
  <si>
    <t>Tables for SI system, SI radiometric, CIE photometric system and photon system</t>
  </si>
  <si>
    <t>radiant flux (power), W</t>
  </si>
  <si>
    <t>Output prefix</t>
  </si>
  <si>
    <r>
      <rPr>
        <i/>
        <sz val="11"/>
        <rFont val="Calibri"/>
        <family val="2"/>
        <scheme val="minor"/>
      </rPr>
      <t>s</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 xml:space="preserve">) = </t>
    </r>
    <r>
      <rPr>
        <i/>
        <sz val="11"/>
        <rFont val="Calibri"/>
        <family val="2"/>
        <scheme val="minor"/>
      </rPr>
      <t>s</t>
    </r>
    <r>
      <rPr>
        <vertAlign val="subscript"/>
        <sz val="11"/>
        <rFont val="Calibri"/>
        <family val="2"/>
        <scheme val="minor"/>
      </rPr>
      <t>e,α</t>
    </r>
    <r>
      <rPr>
        <sz val="11"/>
        <rFont val="Calibri"/>
        <family val="2"/>
        <scheme val="minor"/>
      </rPr>
      <t>(</t>
    </r>
    <r>
      <rPr>
        <i/>
        <sz val="11"/>
        <rFont val="Times New Roman"/>
        <family val="1"/>
      </rPr>
      <t>λ</t>
    </r>
    <r>
      <rPr>
        <sz val="11"/>
        <rFont val="Calibri"/>
        <family val="2"/>
        <scheme val="minor"/>
      </rPr>
      <t>)</t>
    </r>
  </si>
  <si>
    <t>Area prefix</t>
  </si>
  <si>
    <t>cento</t>
  </si>
  <si>
    <t>Relative spectral power distributions of illuminants representing typical fluorescent lamps (1) - 1 nm data</t>
  </si>
  <si>
    <t>Relative spectral power distributions of illuminants representing typical fluorescent lamps (2) - 1 nm data</t>
  </si>
  <si>
    <t>Relative spectral power distributions of illuminants representing typical fluorescent lamps (3) - 1 nm data</t>
  </si>
  <si>
    <t>(FL1–FL6: standard; FL7–FL9: broad-band; FL10–FL12: narrow-band)</t>
  </si>
  <si>
    <t>(FL3.1–FL3.3: Standard halophosphate; FL3.4–FL3.6: DeLuxe type; FL3.7–FL3.8: Three-band)</t>
  </si>
  <si>
    <t>(FL3.9–FL3.11: Three-band; FL3.12–FL3.14: Multi-band; FL3.15: D65 simulator)</t>
  </si>
  <si>
    <t>FL1</t>
  </si>
  <si>
    <t>FL2</t>
  </si>
  <si>
    <t>FL3</t>
  </si>
  <si>
    <t>FL4</t>
  </si>
  <si>
    <t>FL5</t>
  </si>
  <si>
    <t>FL6</t>
  </si>
  <si>
    <t>FL7</t>
  </si>
  <si>
    <t>FL8</t>
  </si>
  <si>
    <t>FL9</t>
  </si>
  <si>
    <t>FL10</t>
  </si>
  <si>
    <t>FL11</t>
  </si>
  <si>
    <t>FL12</t>
  </si>
  <si>
    <t>FL3.1</t>
  </si>
  <si>
    <t>FL3.2</t>
  </si>
  <si>
    <t>FL3.3</t>
  </si>
  <si>
    <t>FL3.4</t>
  </si>
  <si>
    <t>FL3.5</t>
  </si>
  <si>
    <t>FL3.6</t>
  </si>
  <si>
    <t>FL3.7</t>
  </si>
  <si>
    <t>FL3.8</t>
  </si>
  <si>
    <t>FL3.9</t>
  </si>
  <si>
    <t>FL3.10</t>
  </si>
  <si>
    <t>FL3.11</t>
  </si>
  <si>
    <t>FL3.12</t>
  </si>
  <si>
    <t>FL3.13</t>
  </si>
  <si>
    <t>FL3.14</t>
  </si>
  <si>
    <t>FL3.15</t>
  </si>
  <si>
    <t>Relative spectral power distributions of illuminants representing typical LED lamps - 1 nm data</t>
  </si>
  <si>
    <t>(LED-B1 … LED-B5: Phosphor-type LEDs in different CCT categories; LED-BH1: Hybrid-type; LED-RGB1: RGB-type; LED-V1, LED-V2: violet-pumped phosphor-type LEDs)</t>
  </si>
  <si>
    <t>LED-B1</t>
  </si>
  <si>
    <t>LED-B2</t>
  </si>
  <si>
    <t>LED-B3</t>
  </si>
  <si>
    <t>LED-B4</t>
  </si>
  <si>
    <t>LED-B5</t>
  </si>
  <si>
    <t>LED-BH1</t>
  </si>
  <si>
    <t>LED-RGB1</t>
  </si>
  <si>
    <t>LED-V1</t>
  </si>
  <si>
    <t>LED-V2</t>
  </si>
  <si>
    <t>C</t>
  </si>
  <si>
    <t>D50</t>
  </si>
  <si>
    <t>D55</t>
  </si>
  <si>
    <t>D75</t>
  </si>
  <si>
    <t>Table 11 – Relative spectral power distributions of high pressure discharge lamp illuminants</t>
  </si>
  <si>
    <t>(HP1: Standard high pressure sodium lamp; HP2: Colour enhanced high pressure sodium lamp; HP3–HP5: High pressure metal halide lamps)</t>
  </si>
  <si>
    <t>HP1</t>
  </si>
  <si>
    <t>HP2</t>
  </si>
  <si>
    <t>HP3</t>
  </si>
  <si>
    <t>HP4</t>
  </si>
  <si>
    <t>HP5</t>
  </si>
  <si>
    <t>D65</t>
  </si>
  <si>
    <t>A</t>
  </si>
  <si>
    <t>(Familiar CIE illuminants)</t>
  </si>
  <si>
    <t>Radiometric</t>
  </si>
  <si>
    <t xml:space="preserve"> </t>
  </si>
  <si>
    <t>Photon system</t>
  </si>
  <si>
    <t>System</t>
  </si>
  <si>
    <t>Spectra</t>
  </si>
  <si>
    <t>Daylight (D65)</t>
  </si>
  <si>
    <t>Photometric</t>
  </si>
  <si>
    <t>SI-type table for area prefixes</t>
  </si>
  <si>
    <t>REFERENCE</t>
  </si>
  <si>
    <t>Tables of spectral data from Input sheet</t>
  </si>
  <si>
    <t>CIE S 026 action spectra</t>
  </si>
  <si>
    <r>
      <rPr>
        <i/>
        <sz val="11"/>
        <rFont val="Calibri"/>
        <family val="2"/>
        <scheme val="minor"/>
      </rPr>
      <t>N</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</si>
  <si>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Interpolated from 5 nm</t>
  </si>
  <si>
    <t>Physical photometry adjustments</t>
  </si>
  <si>
    <t>Input units</t>
  </si>
  <si>
    <t>Basic units</t>
  </si>
  <si>
    <t>value to match the units.</t>
  </si>
  <si>
    <r>
      <rPr>
        <b/>
        <sz val="11"/>
        <color rgb="FF2B4D89"/>
        <rFont val="Calibri"/>
        <family val="2"/>
        <scheme val="minor"/>
      </rPr>
      <t>CELL C17</t>
    </r>
    <r>
      <rPr>
        <sz val="11"/>
        <color theme="1"/>
        <rFont val="Calibri"/>
        <family val="2"/>
        <scheme val="minor"/>
      </rPr>
      <t xml:space="preserve">: Enter the measurement </t>
    </r>
  </si>
  <si>
    <t>Values</t>
  </si>
  <si>
    <t>Spectral units (Calcs)</t>
  </si>
  <si>
    <t>Row Table 1</t>
  </si>
  <si>
    <t>(TEST)</t>
  </si>
  <si>
    <t>Scaling factors</t>
  </si>
  <si>
    <t>TEST spectra</t>
  </si>
  <si>
    <t>TEST (value)</t>
  </si>
  <si>
    <t>z</t>
  </si>
  <si>
    <t>r</t>
  </si>
  <si>
    <t>Use</t>
  </si>
  <si>
    <t>offset</t>
  </si>
  <si>
    <t>Select publication</t>
  </si>
  <si>
    <t>CIE S 026</t>
  </si>
  <si>
    <r>
      <t xml:space="preserve">Clear </t>
    </r>
    <r>
      <rPr>
        <b/>
        <sz val="11"/>
        <color rgb="FF2B4D89"/>
        <rFont val="Calibri"/>
        <family val="2"/>
        <scheme val="minor"/>
      </rPr>
      <t>CELL C17</t>
    </r>
    <r>
      <rPr>
        <sz val="11"/>
        <rFont val="Calibri"/>
        <family val="2"/>
        <scheme val="minor"/>
      </rPr>
      <t>.</t>
    </r>
  </si>
  <si>
    <t>RESTRICTED LIST</t>
  </si>
  <si>
    <t>TESTING LIST</t>
  </si>
  <si>
    <t>NB only data for the restricted list are included in the tables. Other data are available from the relevant CIE standards.</t>
  </si>
  <si>
    <t>Note to (T2)</t>
  </si>
  <si>
    <t>R1. Select CIE S 026 for standard calculations</t>
  </si>
  <si>
    <t>Advanced Inputs</t>
  </si>
  <si>
    <t>Advanced input instructions (optional)</t>
  </si>
  <si>
    <r>
      <t xml:space="preserve">Clear </t>
    </r>
    <r>
      <rPr>
        <b/>
        <sz val="11"/>
        <color rgb="FF2B4D89"/>
        <rFont val="Calibri"/>
        <family val="2"/>
        <scheme val="minor"/>
      </rPr>
      <t>CELLS J24:J424</t>
    </r>
    <r>
      <rPr>
        <sz val="11"/>
        <rFont val="Calibri"/>
        <family val="2"/>
        <scheme val="minor"/>
      </rPr>
      <t>.</t>
    </r>
  </si>
  <si>
    <t>Reset defaults for standard calculations:</t>
  </si>
  <si>
    <r>
      <t xml:space="preserve">Clear </t>
    </r>
    <r>
      <rPr>
        <b/>
        <sz val="11"/>
        <color rgb="FF2B4D89"/>
        <rFont val="Calibri"/>
        <family val="2"/>
        <scheme val="minor"/>
      </rPr>
      <t>CELLS C24:C424</t>
    </r>
    <r>
      <rPr>
        <sz val="11"/>
        <color theme="1"/>
        <rFont val="Calibri"/>
        <family val="2"/>
        <scheme val="minor"/>
      </rPr>
      <t>.</t>
    </r>
  </si>
  <si>
    <r>
      <rPr>
        <b/>
        <sz val="11"/>
        <color rgb="FF2B4D89"/>
        <rFont val="Calibri"/>
        <family val="2"/>
        <scheme val="minor"/>
      </rPr>
      <t>CELLS C24:C424</t>
    </r>
    <r>
      <rPr>
        <sz val="11"/>
        <color theme="1"/>
        <rFont val="Calibri"/>
        <family val="2"/>
        <scheme val="minor"/>
      </rPr>
      <t>: Enter spectral data to</t>
    </r>
  </si>
  <si>
    <r>
      <rPr>
        <b/>
        <sz val="11"/>
        <color rgb="FF2B4D89"/>
        <rFont val="Calibri"/>
        <family val="2"/>
        <scheme val="minor"/>
      </rPr>
      <t>CELLS J24:J424</t>
    </r>
    <r>
      <rPr>
        <sz val="11"/>
        <rFont val="Calibri"/>
        <family val="2"/>
        <scheme val="minor"/>
      </rPr>
      <t>: the spectral data itself.</t>
    </r>
  </si>
  <si>
    <r>
      <t xml:space="preserve">sensitivity curves. </t>
    </r>
    <r>
      <rPr>
        <b/>
        <sz val="11"/>
        <rFont val="Calibri"/>
        <family val="2"/>
        <scheme val="minor"/>
      </rPr>
      <t>CIE S 026</t>
    </r>
    <r>
      <rPr>
        <sz val="11"/>
        <rFont val="Calibri"/>
        <family val="2"/>
        <scheme val="minor"/>
      </rPr>
      <t xml:space="preserve"> is the default.</t>
    </r>
  </si>
  <si>
    <t>User</t>
  </si>
  <si>
    <t>Table 1 of SI systems and quantities</t>
  </si>
  <si>
    <t>Table 3a Inputs</t>
  </si>
  <si>
    <t>Table 3b Lookup</t>
  </si>
  <si>
    <t>Table 2b Outputs</t>
  </si>
  <si>
    <t>If you did not select UserRef:</t>
  </si>
  <si>
    <t>UserRef</t>
  </si>
  <si>
    <t>Glossary</t>
  </si>
  <si>
    <t>Disclaimer</t>
  </si>
  <si>
    <t>Resolution</t>
  </si>
  <si>
    <t>V</t>
  </si>
  <si>
    <t>numerical weight</t>
  </si>
  <si>
    <t>conversion</t>
  </si>
  <si>
    <t>Resolution, nm</t>
  </si>
  <si>
    <t>Input value</t>
  </si>
  <si>
    <t>Unnormalised</t>
  </si>
  <si>
    <t>N/A</t>
  </si>
  <si>
    <t>lookup column</t>
  </si>
  <si>
    <r>
      <rPr>
        <b/>
        <sz val="11"/>
        <color rgb="FF2B4D89"/>
        <rFont val="Calibri"/>
        <family val="2"/>
        <scheme val="minor"/>
      </rPr>
      <t xml:space="preserve"> CELL B5</t>
    </r>
    <r>
      <rPr>
        <sz val="11"/>
        <rFont val="Calibri"/>
        <family val="2"/>
        <scheme val="minor"/>
      </rPr>
      <t>: Enter measurement name.</t>
    </r>
  </si>
  <si>
    <t xml:space="preserve"> select the built-in spectrum matching the</t>
  </si>
  <si>
    <t xml:space="preserve"> conditions of your measurement value.</t>
  </si>
  <si>
    <r>
      <rPr>
        <b/>
        <sz val="11"/>
        <color rgb="FF2B4D89"/>
        <rFont val="Calibri"/>
        <family val="2"/>
        <scheme val="minor"/>
      </rPr>
      <t xml:space="preserve"> CELLS C11-C13</t>
    </r>
    <r>
      <rPr>
        <sz val="11"/>
        <color theme="1"/>
        <rFont val="Calibri"/>
        <family val="2"/>
        <scheme val="minor"/>
      </rPr>
      <t xml:space="preserve">: Enter the type of quantity </t>
    </r>
  </si>
  <si>
    <t xml:space="preserve"> and unit prefixes for your data.</t>
  </si>
  <si>
    <t>Instructions</t>
  </si>
  <si>
    <t xml:space="preserve">Deliberately not accessible. Please note the toolbox </t>
  </si>
  <si>
    <t>is not part of the official International Standard.</t>
  </si>
  <si>
    <t>5nmD65</t>
  </si>
  <si>
    <t>Scaling Factor</t>
  </si>
  <si>
    <t>ELR</t>
  </si>
  <si>
    <t>DER</t>
  </si>
  <si>
    <t>radiometric</t>
  </si>
  <si>
    <t>EDI</t>
  </si>
  <si>
    <t>photon system</t>
  </si>
  <si>
    <t>photometric</t>
  </si>
  <si>
    <t>input</t>
  </si>
  <si>
    <t>weighted radiometric</t>
  </si>
  <si>
    <t>weighted photon system</t>
  </si>
  <si>
    <t>Sacling factor</t>
  </si>
  <si>
    <t>values</t>
  </si>
  <si>
    <t>adj fact</t>
  </si>
  <si>
    <t>TEST</t>
  </si>
  <si>
    <t>REF</t>
  </si>
  <si>
    <t xml:space="preserve">for your data (≤ 5 nm). </t>
  </si>
  <si>
    <r>
      <t>Table 5 – Relative spectral power distributions of CIE illuminants</t>
    </r>
    <r>
      <rPr>
        <b/>
        <sz val="11"/>
        <rFont val="Calibri"/>
        <family val="2"/>
        <scheme val="minor"/>
      </rPr>
      <t>  </t>
    </r>
  </si>
  <si>
    <r>
      <t>l</t>
    </r>
    <r>
      <rPr>
        <sz val="10"/>
        <rFont val="Arial"/>
        <family val="2"/>
      </rPr>
      <t>/nm</t>
    </r>
  </si>
  <si>
    <r>
      <rPr>
        <i/>
        <sz val="11"/>
        <rFont val="Calibri"/>
        <family val="2"/>
        <scheme val="minor"/>
      </rPr>
      <t>K</t>
    </r>
    <r>
      <rPr>
        <vertAlign val="subscript"/>
        <sz val="11"/>
        <rFont val="Calibri"/>
        <family val="2"/>
        <scheme val="minor"/>
      </rPr>
      <t>cd</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</si>
  <si>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r>
      <rPr>
        <i/>
        <sz val="11"/>
        <rFont val="Times New Roman"/>
        <family val="1"/>
      </rPr>
      <t>λ</t>
    </r>
    <r>
      <rPr>
        <vertAlign val="subscript"/>
        <sz val="11"/>
        <rFont val="Calibri"/>
        <family val="2"/>
        <scheme val="minor"/>
      </rPr>
      <t>d</t>
    </r>
  </si>
  <si>
    <r>
      <rPr>
        <i/>
        <sz val="11"/>
        <rFont val="Calibri"/>
        <family val="2"/>
        <scheme val="minor"/>
      </rPr>
      <t>V</t>
    </r>
    <r>
      <rPr>
        <sz val="11"/>
        <rFont val="Calibri"/>
        <family val="2"/>
        <scheme val="minor"/>
      </rPr>
      <t>(</t>
    </r>
    <r>
      <rPr>
        <i/>
        <sz val="11"/>
        <rFont val="Times New Roman"/>
        <family val="1"/>
      </rPr>
      <t>λ</t>
    </r>
    <r>
      <rPr>
        <vertAlign val="subscript"/>
        <sz val="11"/>
        <rFont val="Times New Roman"/>
        <family val="1"/>
      </rPr>
      <t>d</t>
    </r>
    <r>
      <rPr>
        <sz val="11"/>
        <rFont val="Calibri"/>
        <family val="2"/>
        <scheme val="minor"/>
      </rPr>
      <t>)</t>
    </r>
  </si>
  <si>
    <r>
      <rPr>
        <i/>
        <sz val="11"/>
        <rFont val="Calibri"/>
        <family val="2"/>
        <scheme val="minor"/>
      </rPr>
      <t>n</t>
    </r>
    <r>
      <rPr>
        <vertAlign val="subscript"/>
        <sz val="11"/>
        <rFont val="Calibri"/>
        <family val="2"/>
        <scheme val="minor"/>
      </rPr>
      <t>a</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</si>
  <si>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K</t>
    </r>
    <r>
      <rPr>
        <vertAlign val="subscript"/>
        <sz val="11"/>
        <rFont val="Calibri"/>
        <family val="2"/>
        <scheme val="minor"/>
      </rPr>
      <t>m</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r>
      <rPr>
        <i/>
        <sz val="11"/>
        <rFont val="Calibri"/>
        <family val="2"/>
        <scheme val="minor"/>
      </rPr>
      <t>V</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</si>
  <si>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t>D11</t>
  </si>
  <si>
    <t>D12</t>
  </si>
  <si>
    <t>D13</t>
  </si>
  <si>
    <t>D17</t>
  </si>
  <si>
    <t>C14</t>
  </si>
  <si>
    <t>J9</t>
  </si>
  <si>
    <t>J13</t>
  </si>
  <si>
    <t>J17</t>
  </si>
  <si>
    <t>J18</t>
  </si>
  <si>
    <t>E24</t>
  </si>
  <si>
    <t>E26</t>
  </si>
  <si>
    <t>E28</t>
  </si>
  <si>
    <t>E30</t>
  </si>
  <si>
    <t>L24</t>
  </si>
  <si>
    <t>L26</t>
  </si>
  <si>
    <t>L28</t>
  </si>
  <si>
    <t>L30</t>
  </si>
  <si>
    <t>L32</t>
  </si>
  <si>
    <t>L24 only</t>
  </si>
  <si>
    <t>E24 only</t>
  </si>
  <si>
    <t>No dependents</t>
  </si>
  <si>
    <t>Error indicator - No dependents</t>
  </si>
  <si>
    <t>log base - No dependents</t>
  </si>
  <si>
    <t>Output!B14 message only</t>
  </si>
  <si>
    <t>Default indicator - No dependents</t>
  </si>
  <si>
    <t>List of completely hidden formulae for maintenance</t>
  </si>
  <si>
    <t>Some prompts also contain formulae, but have not dependents</t>
  </si>
  <si>
    <t>Only user inputs are shaded cells together with Ages!D7 and Outputs!F10:11, H10:11 and J11</t>
  </si>
  <si>
    <t>Outputs!I11 is another error indicator - no dependents</t>
  </si>
  <si>
    <t>There are disclaimer messages as formulae on each sheet</t>
  </si>
  <si>
    <t>Formulae in columns BP:BX only</t>
  </si>
  <si>
    <t>Formulae in columns AA:AS only</t>
  </si>
  <si>
    <t>Physics</t>
  </si>
  <si>
    <t>Photobiology</t>
  </si>
  <si>
    <t>Calculations</t>
  </si>
  <si>
    <t>Action spectra options - Inputs!$J$8</t>
  </si>
  <si>
    <t>Inputs!$C$8 and $J$8</t>
  </si>
  <si>
    <t>Units</t>
  </si>
  <si>
    <t>Quantity Lookup</t>
  </si>
  <si>
    <t>Area prefix Lookup</t>
  </si>
  <si>
    <t>Main prefix Lookup</t>
  </si>
  <si>
    <r>
      <rPr>
        <i/>
        <sz val="11"/>
        <rFont val="Calibri"/>
        <family val="2"/>
        <scheme val="minor"/>
      </rPr>
      <t>s</t>
    </r>
    <r>
      <rPr>
        <vertAlign val="subscript"/>
        <sz val="11"/>
        <rFont val="Calibri"/>
        <family val="2"/>
        <scheme val="minor"/>
      </rPr>
      <t>p,</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</si>
  <si>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Cyanopic</t>
  </si>
  <si>
    <t>Chloropic</t>
  </si>
  <si>
    <t>Erythropic</t>
  </si>
  <si>
    <t>Age</t>
  </si>
  <si>
    <t>Lucas et al., 2014</t>
  </si>
  <si>
    <t>Status</t>
  </si>
  <si>
    <t>Code</t>
  </si>
  <si>
    <t>Comments</t>
  </si>
  <si>
    <r>
      <rPr>
        <b/>
        <sz val="11"/>
        <color rgb="FF2B4D89"/>
        <rFont val="Calibri"/>
        <family val="2"/>
        <scheme val="minor"/>
      </rPr>
      <t>CELL C20</t>
    </r>
    <r>
      <rPr>
        <sz val="11"/>
        <color theme="1"/>
        <rFont val="Calibri"/>
        <family val="2"/>
        <scheme val="minor"/>
      </rPr>
      <t>: Enter wavelength step</t>
    </r>
  </si>
  <si>
    <t>SI Brochure 9th edition</t>
  </si>
  <si>
    <t>Quantity, Q:</t>
  </si>
  <si>
    <t>match the units and wavelength step.</t>
  </si>
  <si>
    <t>6:421 row height 0.1</t>
  </si>
  <si>
    <t>&amp; formulae in white text</t>
  </si>
  <si>
    <t>Maintenance</t>
  </si>
  <si>
    <t>Date</t>
  </si>
  <si>
    <t>See BA1:BA3</t>
  </si>
  <si>
    <t>See BA1:BA3, and A422</t>
  </si>
  <si>
    <t>* hide from here down</t>
  </si>
  <si>
    <t>Hide from here down and G:G right when updates complete and proceed to Disclaimer, and then Hide this tab, as well as Spectra, Physics, Photobiology and Calculations tabs</t>
  </si>
  <si>
    <t>G:BD column width 0.1</t>
  </si>
  <si>
    <t>Advanced Outputs</t>
  </si>
  <si>
    <t>Table 2a Outputs and Advanced Outputs</t>
  </si>
  <si>
    <t>Scaling factor for inputs</t>
  </si>
  <si>
    <t>Transmittance</t>
  </si>
  <si>
    <t xml:space="preserve"> age (complete yrs)</t>
  </si>
  <si>
    <r>
      <t xml:space="preserve">spectral transmittance ratio, c(a,λ) </t>
    </r>
    <r>
      <rPr>
        <i/>
        <sz val="10"/>
        <color theme="1"/>
        <rFont val="Calibri"/>
        <family val="2"/>
      </rPr>
      <t>≈</t>
    </r>
    <r>
      <rPr>
        <i/>
        <sz val="10"/>
        <color theme="1"/>
        <rFont val="Calibri"/>
        <family val="2"/>
        <scheme val="minor"/>
      </rPr>
      <t xml:space="preserve"> τ(a,λ) / τ(32,λ)</t>
    </r>
  </si>
  <si>
    <t>Adjustment</t>
  </si>
  <si>
    <t>Standard eye</t>
  </si>
  <si>
    <t>Action spectra</t>
  </si>
  <si>
    <r>
      <rPr>
        <i/>
        <sz val="11"/>
        <rFont val="Calibri"/>
        <family val="2"/>
        <scheme val="minor"/>
      </rPr>
      <t>s</t>
    </r>
    <r>
      <rPr>
        <vertAlign val="subscript"/>
        <sz val="11"/>
        <rFont val="Times New Roman"/>
        <family val="1"/>
      </rPr>
      <t>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</si>
  <si>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</si>
  <si>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</si>
  <si>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</si>
  <si>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mel</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</si>
  <si>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</si>
  <si>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</si>
  <si>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</si>
  <si>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</si>
  <si>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p,mel</t>
    </r>
    <r>
      <rPr>
        <sz val="11"/>
        <rFont val="Calibri"/>
        <family val="2"/>
        <scheme val="minor"/>
      </rPr>
      <t>(</t>
    </r>
    <r>
      <rPr>
        <i/>
        <sz val="11"/>
        <rFont val="Times New Roman"/>
        <family val="1"/>
      </rPr>
      <t>λ</t>
    </r>
    <r>
      <rPr>
        <sz val="11"/>
        <rFont val="Calibri"/>
        <family val="2"/>
        <scheme val="minor"/>
      </rPr>
      <t>)</t>
    </r>
  </si>
  <si>
    <t/>
  </si>
  <si>
    <t>Photon system (calculated based on rounded radiometric values)</t>
  </si>
  <si>
    <t>Radiometric system (displayed with standard rounding)</t>
  </si>
  <si>
    <t>CIE S 026 action spectra are standardised in the radiometric system (left), and different values apply in the photon system (right), see 2019 SI Brochure 9th Edition Appendix III.</t>
  </si>
  <si>
    <r>
      <t xml:space="preserve">Further spectific details for the origins and derivations for the new, standard, </t>
    </r>
    <r>
      <rPr>
        <sz val="11"/>
        <rFont val="Calibri"/>
        <family val="2"/>
      </rPr>
      <t>α</t>
    </r>
    <r>
      <rPr>
        <sz val="11"/>
        <rFont val="Calibri"/>
        <family val="2"/>
        <scheme val="minor"/>
      </rPr>
      <t>-opic action spectra are given in CIE S 026/E:2018.</t>
    </r>
  </si>
  <si>
    <t>mW.lm-1</t>
  </si>
  <si>
    <r>
      <rPr>
        <sz val="11"/>
        <rFont val="Calibri"/>
        <family val="2"/>
      </rPr>
      <t>Unrounded α-opic</t>
    </r>
    <r>
      <rPr>
        <sz val="11"/>
        <rFont val="Calibri"/>
        <family val="2"/>
        <scheme val="minor"/>
      </rPr>
      <t xml:space="preserve"> efficacy of luminance radiation (ELR) for daylight (D65), </t>
    </r>
    <r>
      <rPr>
        <i/>
        <sz val="11"/>
        <rFont val="Calibri"/>
        <family val="2"/>
        <scheme val="minor"/>
      </rPr>
      <t>K</t>
    </r>
    <r>
      <rPr>
        <vertAlign val="superscript"/>
        <sz val="11"/>
        <rFont val="Calibri"/>
        <family val="2"/>
        <scheme val="minor"/>
      </rPr>
      <t>D65</t>
    </r>
    <r>
      <rPr>
        <vertAlign val="subscript"/>
        <sz val="11"/>
        <rFont val="Calibri"/>
        <family val="2"/>
        <scheme val="minor"/>
      </rPr>
      <t xml:space="preserve">α,v </t>
    </r>
    <r>
      <rPr>
        <sz val="11"/>
        <rFont val="Calibri"/>
        <family val="2"/>
        <scheme val="minor"/>
      </rPr>
      <t>(values used in Toolbox calculations)</t>
    </r>
  </si>
  <si>
    <r>
      <t xml:space="preserve">Observer age, </t>
    </r>
    <r>
      <rPr>
        <i/>
        <sz val="11"/>
        <rFont val="Calibri"/>
        <family val="2"/>
        <scheme val="minor"/>
      </rPr>
      <t>a</t>
    </r>
  </si>
  <si>
    <r>
      <rPr>
        <i/>
        <sz val="11"/>
        <color theme="1"/>
        <rFont val="Calibri"/>
        <family val="2"/>
        <scheme val="minor"/>
      </rPr>
      <t xml:space="preserve">a </t>
    </r>
    <r>
      <rPr>
        <sz val="11"/>
        <color theme="1"/>
        <rFont val="Calibri"/>
        <family val="2"/>
        <scheme val="minor"/>
      </rPr>
      <t>is limited to an age range from 10 to 100</t>
    </r>
  </si>
  <si>
    <t>Inputs = blue</t>
  </si>
  <si>
    <t>Inputs sheet</t>
  </si>
  <si>
    <t>Non-standard = red</t>
  </si>
  <si>
    <r>
      <rPr>
        <b/>
        <sz val="11"/>
        <color rgb="FF2B4D89"/>
        <rFont val="Calibri"/>
        <family val="2"/>
        <scheme val="minor"/>
      </rPr>
      <t>CELL I6</t>
    </r>
    <r>
      <rPr>
        <sz val="11"/>
        <rFont val="Calibri"/>
        <family val="2"/>
        <scheme val="minor"/>
      </rPr>
      <t>: Enter reference spectrum name.</t>
    </r>
  </si>
  <si>
    <r>
      <rPr>
        <b/>
        <sz val="11"/>
        <color rgb="FF2B4D89"/>
        <rFont val="Calibri"/>
        <family val="2"/>
        <scheme val="minor"/>
      </rPr>
      <t>CELL J9</t>
    </r>
    <r>
      <rPr>
        <sz val="11"/>
        <rFont val="Calibri"/>
        <family val="2"/>
        <scheme val="minor"/>
      </rPr>
      <t>: Select desired set of published</t>
    </r>
  </si>
  <si>
    <r>
      <rPr>
        <b/>
        <sz val="11"/>
        <color rgb="FF2B4D89"/>
        <rFont val="Calibri"/>
        <family val="2"/>
        <scheme val="minor"/>
      </rPr>
      <t>CELLS J17</t>
    </r>
    <r>
      <rPr>
        <sz val="11"/>
        <rFont val="Calibri"/>
        <family val="2"/>
        <scheme val="minor"/>
      </rPr>
      <t>: reference spectral system,</t>
    </r>
  </si>
  <si>
    <r>
      <rPr>
        <b/>
        <sz val="11"/>
        <color rgb="FF2B4D89"/>
        <rFont val="Calibri"/>
        <family val="2"/>
        <scheme val="minor"/>
      </rPr>
      <t>CELL J17</t>
    </r>
    <r>
      <rPr>
        <sz val="11"/>
        <rFont val="Calibri"/>
        <family val="2"/>
        <scheme val="minor"/>
      </rPr>
      <t xml:space="preserve">: Enter </t>
    </r>
    <r>
      <rPr>
        <b/>
        <sz val="11"/>
        <rFont val="Calibri"/>
        <family val="2"/>
        <scheme val="minor"/>
      </rPr>
      <t>Radiometric</t>
    </r>
    <r>
      <rPr>
        <sz val="11"/>
        <rFont val="Calibri"/>
        <family val="2"/>
        <scheme val="minor"/>
      </rPr>
      <t>.</t>
    </r>
  </si>
  <si>
    <r>
      <rPr>
        <b/>
        <sz val="11"/>
        <color rgb="FF2B4D89"/>
        <rFont val="Calibri"/>
        <family val="2"/>
        <scheme val="minor"/>
      </rPr>
      <t>CELL I6</t>
    </r>
    <r>
      <rPr>
        <sz val="11"/>
        <rFont val="Calibri"/>
        <family val="2"/>
        <scheme val="minor"/>
      </rPr>
      <t xml:space="preserve">: </t>
    </r>
    <r>
      <rPr>
        <b/>
        <sz val="11"/>
        <rFont val="Calibri"/>
        <family val="2"/>
        <scheme val="minor"/>
      </rPr>
      <t>Daylight (D65),</t>
    </r>
    <r>
      <rPr>
        <sz val="11"/>
        <rFont val="Calibri"/>
        <family val="2"/>
        <scheme val="minor"/>
      </rPr>
      <t xml:space="preserve"> </t>
    </r>
    <r>
      <rPr>
        <b/>
        <sz val="11"/>
        <color rgb="FF2B4D89"/>
        <rFont val="Calibri"/>
        <family val="2"/>
        <scheme val="minor"/>
      </rPr>
      <t>CELL J9:</t>
    </r>
    <r>
      <rPr>
        <sz val="11"/>
        <rFont val="Calibri"/>
        <family val="2"/>
        <scheme val="minor"/>
      </rPr>
      <t xml:space="preserve"> </t>
    </r>
    <r>
      <rPr>
        <b/>
        <sz val="11"/>
        <rFont val="Calibri"/>
        <family val="2"/>
        <scheme val="minor"/>
      </rPr>
      <t>CIE S 026</t>
    </r>
    <r>
      <rPr>
        <sz val="11"/>
        <rFont val="Calibri"/>
        <family val="2"/>
        <scheme val="minor"/>
      </rPr>
      <t/>
    </r>
  </si>
  <si>
    <r>
      <rPr>
        <b/>
        <sz val="11"/>
        <color rgb="FF2B4D89"/>
        <rFont val="Calibri"/>
        <family val="2"/>
        <scheme val="minor"/>
      </rPr>
      <t xml:space="preserve">CELL J13: </t>
    </r>
    <r>
      <rPr>
        <b/>
        <sz val="11"/>
        <rFont val="Calibri"/>
        <family val="2"/>
        <scheme val="minor"/>
      </rPr>
      <t>D65,</t>
    </r>
    <r>
      <rPr>
        <b/>
        <sz val="11"/>
        <color rgb="FF2B4D89"/>
        <rFont val="Calibri"/>
        <family val="2"/>
        <scheme val="minor"/>
      </rPr>
      <t xml:space="preserve"> </t>
    </r>
    <r>
      <rPr>
        <sz val="11"/>
        <rFont val="Calibri"/>
        <family val="2"/>
        <scheme val="minor"/>
      </rPr>
      <t>and</t>
    </r>
    <r>
      <rPr>
        <b/>
        <sz val="11"/>
        <color rgb="FF2B4D89"/>
        <rFont val="Calibri"/>
        <family val="2"/>
        <scheme val="minor"/>
      </rPr>
      <t xml:space="preserve"> CELL J17</t>
    </r>
    <r>
      <rPr>
        <sz val="11"/>
        <rFont val="Calibri"/>
        <family val="2"/>
        <scheme val="minor"/>
      </rPr>
      <t xml:space="preserve">: </t>
    </r>
    <r>
      <rPr>
        <b/>
        <sz val="11"/>
        <rFont val="Calibri"/>
        <family val="2"/>
        <scheme val="minor"/>
      </rPr>
      <t>Radiometric</t>
    </r>
    <r>
      <rPr>
        <sz val="11"/>
        <rFont val="Calibri"/>
        <family val="2"/>
        <scheme val="minor"/>
      </rPr>
      <t>.</t>
    </r>
  </si>
  <si>
    <t>Age-adjustment</t>
  </si>
  <si>
    <t>Notes on age-adjustment formulae (also see Transmittance)</t>
  </si>
  <si>
    <t>Notes on age adjustment formulae (also see Advanced Outputs)</t>
  </si>
  <si>
    <r>
      <t xml:space="preserve">The age input </t>
    </r>
    <r>
      <rPr>
        <i/>
        <sz val="11"/>
        <rFont val="Calibri"/>
        <family val="2"/>
        <scheme val="minor"/>
      </rPr>
      <t>a</t>
    </r>
    <r>
      <rPr>
        <sz val="11"/>
        <rFont val="Calibri"/>
        <family val="2"/>
        <scheme val="minor"/>
      </rPr>
      <t xml:space="preserve"> is to be found on the Advanced Outputs sheet.</t>
    </r>
  </si>
  <si>
    <r>
      <t xml:space="preserve"> (Ir)radiance and photon (ir)radiance </t>
    </r>
    <r>
      <rPr>
        <b/>
        <sz val="11"/>
        <color rgb="FFFF0000"/>
        <rFont val="Calibri"/>
        <family val="2"/>
        <scheme val="minor"/>
      </rPr>
      <t xml:space="preserve">cannot </t>
    </r>
    <r>
      <rPr>
        <sz val="11"/>
        <color rgb="FFFF0000"/>
        <rFont val="Calibri"/>
        <family val="2"/>
        <scheme val="minor"/>
      </rPr>
      <t xml:space="preserve">be age-adjusted; (il)luminance, ELRs and DERs </t>
    </r>
    <r>
      <rPr>
        <b/>
        <sz val="11"/>
        <color rgb="FFFF0000"/>
        <rFont val="Calibri"/>
        <family val="2"/>
        <scheme val="minor"/>
      </rPr>
      <t>should not</t>
    </r>
    <r>
      <rPr>
        <sz val="11"/>
        <color rgb="FFFF0000"/>
        <rFont val="Calibri"/>
        <family val="2"/>
        <scheme val="minor"/>
      </rPr>
      <t>.</t>
    </r>
  </si>
  <si>
    <r>
      <t xml:space="preserve"> </t>
    </r>
    <r>
      <rPr>
        <b/>
        <sz val="11"/>
        <color rgb="FFFF0000"/>
        <rFont val="Calibri"/>
        <family val="2"/>
        <scheme val="minor"/>
      </rPr>
      <t>All</t>
    </r>
    <r>
      <rPr>
        <sz val="11"/>
        <color rgb="FFFF0000"/>
        <rFont val="Calibri"/>
        <family val="2"/>
        <scheme val="minor"/>
      </rPr>
      <t xml:space="preserve"> age-adjusted quantities are non-standard, and conflict with a key principle in physical photometry.</t>
    </r>
  </si>
  <si>
    <t>Human eye transmittance τ(a,λ) and age-adjustment factors c(a,λ)</t>
  </si>
  <si>
    <r>
      <t xml:space="preserve">are calucated according to CIE 203:2012 </t>
    </r>
    <r>
      <rPr>
        <i/>
        <sz val="11"/>
        <color theme="1"/>
        <rFont val="Calibri"/>
        <family val="2"/>
        <scheme val="minor"/>
      </rPr>
      <t>A Computerized Approach</t>
    </r>
  </si>
  <si>
    <t>to Transmission and Absorption Characteristics of the Human Eye.</t>
  </si>
  <si>
    <t>Age-adjustment factors in CIE S 026/E:2018 are only informative,</t>
  </si>
  <si>
    <t>and all age-adjusted quantities are non-standard. τ(32,λ) and the</t>
  </si>
  <si>
    <r>
      <t xml:space="preserve">CIE S 026 </t>
    </r>
    <r>
      <rPr>
        <sz val="11"/>
        <color rgb="FFFF0000"/>
        <rFont val="Calibri"/>
        <family val="2"/>
      </rPr>
      <t>α</t>
    </r>
    <r>
      <rPr>
        <sz val="11"/>
        <color rgb="FFFF0000"/>
        <rFont val="Calibri"/>
        <family val="2"/>
        <scheme val="minor"/>
      </rPr>
      <t>-opic action spectra were derived separately, but they</t>
    </r>
  </si>
  <si>
    <t>should be reasonably consistent for calculations with white light.</t>
  </si>
  <si>
    <t>Error messages</t>
  </si>
  <si>
    <t>Enter a title for your data</t>
  </si>
  <si>
    <t>Test source</t>
  </si>
  <si>
    <t>2. Select measurement details</t>
  </si>
  <si>
    <t>Spectrum</t>
  </si>
  <si>
    <t>1. Select source of spectral data</t>
  </si>
  <si>
    <t>Select:</t>
  </si>
  <si>
    <r>
      <t xml:space="preserve"> The values above are for a standard observer, age 32, and the values below are for an observer, age </t>
    </r>
    <r>
      <rPr>
        <i/>
        <sz val="11"/>
        <color rgb="FFFF0000"/>
        <rFont val="Calibri"/>
        <family val="2"/>
        <scheme val="minor"/>
      </rPr>
      <t>a</t>
    </r>
    <r>
      <rPr>
        <sz val="11"/>
        <color rgb="FFFF0000"/>
        <rFont val="Calibri"/>
        <family val="2"/>
        <scheme val="minor"/>
      </rPr>
      <t xml:space="preserve">. </t>
    </r>
  </si>
  <si>
    <t>R2. Select source of reference spectrum</t>
  </si>
  <si>
    <t>Spectral system</t>
  </si>
  <si>
    <t>For backward compatibility with the non-</t>
  </si>
  <si>
    <t>standard calculations in Lucas et al., 2014</t>
  </si>
  <si>
    <t>For the standard CIE calcuations (which</t>
  </si>
  <si>
    <t>are recommended for all publications</t>
  </si>
  <si>
    <t>going forward):</t>
  </si>
  <si>
    <t>the following input combination applies:</t>
  </si>
  <si>
    <t>CIE standard vs Lucas et al. 2014 modes</t>
  </si>
  <si>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Lucas et al., 2014</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</si>
  <si>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E</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</si>
  <si>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CIE S 026</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</si>
  <si>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D65</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</si>
  <si>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R3</t>
    </r>
    <r>
      <rPr>
        <sz val="11"/>
        <color theme="1"/>
        <rFont val="Calibri"/>
        <family val="2"/>
        <scheme val="minor"/>
      </rPr>
      <t xml:space="preserve">: Select </t>
    </r>
    <r>
      <rPr>
        <b/>
        <sz val="11"/>
        <color theme="1"/>
        <rFont val="Calibri"/>
        <family val="2"/>
        <scheme val="minor"/>
      </rPr>
      <t>Radiometric</t>
    </r>
    <r>
      <rPr>
        <sz val="11"/>
        <color theme="1"/>
        <rFont val="Calibri"/>
        <family val="2"/>
        <scheme val="minor"/>
      </rPr>
      <t xml:space="preserve"> in </t>
    </r>
    <r>
      <rPr>
        <b/>
        <sz val="11"/>
        <color rgb="FF2B4D89"/>
        <rFont val="Calibri"/>
        <family val="2"/>
        <scheme val="minor"/>
      </rPr>
      <t>CELL J17</t>
    </r>
  </si>
  <si>
    <r>
      <rPr>
        <b/>
        <sz val="11"/>
        <color rgb="FF2B4D89"/>
        <rFont val="Calibri"/>
        <family val="2"/>
        <scheme val="minor"/>
      </rPr>
      <t>R4</t>
    </r>
    <r>
      <rPr>
        <sz val="11"/>
        <color theme="1"/>
        <rFont val="Calibri"/>
        <family val="2"/>
        <scheme val="minor"/>
      </rPr>
      <t xml:space="preserve"> not used: Set to </t>
    </r>
    <r>
      <rPr>
        <b/>
        <sz val="11"/>
        <color theme="1"/>
        <rFont val="Calibri"/>
        <family val="2"/>
        <scheme val="minor"/>
      </rPr>
      <t>1</t>
    </r>
    <r>
      <rPr>
        <sz val="11"/>
        <color theme="1"/>
        <rFont val="Calibri"/>
        <family val="2"/>
        <scheme val="minor"/>
      </rPr>
      <t xml:space="preserve"> in </t>
    </r>
    <r>
      <rPr>
        <b/>
        <sz val="11"/>
        <color rgb="FF2B4D89"/>
        <rFont val="Calibri"/>
        <family val="2"/>
        <scheme val="minor"/>
      </rPr>
      <t>CELL J20</t>
    </r>
  </si>
  <si>
    <r>
      <rPr>
        <b/>
        <sz val="11"/>
        <color rgb="FF2B4D89"/>
        <rFont val="Calibri"/>
        <family val="2"/>
        <scheme val="minor"/>
      </rPr>
      <t>R5</t>
    </r>
    <r>
      <rPr>
        <sz val="11"/>
        <color theme="1"/>
        <rFont val="Calibri"/>
        <family val="2"/>
        <scheme val="minor"/>
      </rPr>
      <t xml:space="preserve"> not used: Clear </t>
    </r>
    <r>
      <rPr>
        <b/>
        <sz val="11"/>
        <color rgb="FF2B4D89"/>
        <rFont val="Calibri"/>
        <family val="2"/>
        <scheme val="minor"/>
      </rPr>
      <t>CELLS J24:J424</t>
    </r>
  </si>
  <si>
    <t>For both of these options:</t>
  </si>
  <si>
    <r>
      <rPr>
        <b/>
        <sz val="11"/>
        <color rgb="FF2B4D89"/>
        <rFont val="Calibri"/>
        <family val="2"/>
        <scheme val="minor"/>
      </rPr>
      <t>CELLS J20</t>
    </r>
    <r>
      <rPr>
        <sz val="11"/>
        <rFont val="Calibri"/>
        <family val="2"/>
        <scheme val="minor"/>
      </rPr>
      <t>: spectral wavelength step, &amp;</t>
    </r>
  </si>
  <si>
    <t>an unlisted reference spectrum, and in:</t>
  </si>
  <si>
    <r>
      <rPr>
        <sz val="11"/>
        <rFont val="Calibri"/>
        <family val="2"/>
        <scheme val="minor"/>
      </rPr>
      <t xml:space="preserve">Lucas et al., 2014. Select </t>
    </r>
    <r>
      <rPr>
        <b/>
        <sz val="11"/>
        <rFont val="Calibri"/>
        <family val="2"/>
        <scheme val="minor"/>
      </rPr>
      <t>UserRef</t>
    </r>
    <r>
      <rPr>
        <sz val="11"/>
        <rFont val="Calibri"/>
        <family val="2"/>
        <scheme val="minor"/>
      </rPr>
      <t xml:space="preserve"> to enter</t>
    </r>
  </si>
  <si>
    <r>
      <rPr>
        <b/>
        <sz val="11"/>
        <color rgb="FF2B4D89"/>
        <rFont val="Calibri"/>
        <family val="2"/>
        <scheme val="minor"/>
      </rPr>
      <t>CELL J13</t>
    </r>
    <r>
      <rPr>
        <sz val="11"/>
        <rFont val="Calibri"/>
        <family val="2"/>
        <scheme val="minor"/>
      </rPr>
      <t xml:space="preserve">: Select reference spectrum. </t>
    </r>
    <r>
      <rPr>
        <b/>
        <sz val="11"/>
        <rFont val="Calibri"/>
        <family val="2"/>
        <scheme val="minor"/>
      </rPr>
      <t>D65</t>
    </r>
  </si>
  <si>
    <r>
      <t>is the default (for</t>
    </r>
    <r>
      <rPr>
        <b/>
        <sz val="11"/>
        <rFont val="Calibri"/>
        <family val="2"/>
        <scheme val="minor"/>
      </rPr>
      <t xml:space="preserve"> </t>
    </r>
    <r>
      <rPr>
        <sz val="11"/>
        <rFont val="Calibri"/>
        <family val="2"/>
        <scheme val="minor"/>
      </rPr>
      <t xml:space="preserve">CIE S 026). Select </t>
    </r>
    <r>
      <rPr>
        <b/>
        <sz val="11"/>
        <rFont val="Calibri"/>
        <family val="2"/>
        <scheme val="minor"/>
      </rPr>
      <t xml:space="preserve">E </t>
    </r>
    <r>
      <rPr>
        <sz val="11"/>
        <rFont val="Calibri"/>
        <family val="2"/>
        <scheme val="minor"/>
      </rPr>
      <t>for</t>
    </r>
  </si>
  <si>
    <t>Select reference</t>
  </si>
  <si>
    <t>Not available in this version.</t>
  </si>
  <si>
    <t>Select current "CIE S 026" or old "Lucas et al., 2014" quantities:</t>
  </si>
  <si>
    <t>Deliberately not accessible.</t>
  </si>
  <si>
    <t>LP1</t>
  </si>
  <si>
    <t>Changed</t>
  </si>
  <si>
    <t>Unlocked and unhidden created</t>
  </si>
  <si>
    <t>Showing updates from 1.045:</t>
  </si>
  <si>
    <t>Updated version number to 1.047 and date to 2019/11/11 on Disclaimer sheet</t>
  </si>
  <si>
    <t>LP2</t>
  </si>
  <si>
    <t>A:G moved to inputs</t>
  </si>
  <si>
    <t>LP3</t>
  </si>
  <si>
    <t>Error markers on Inputs sheet changed to vertical centred 18 pt, cells D11, D12, D13 and D17. Visible row heights all set at 15, except row 1.</t>
  </si>
  <si>
    <t>LP4</t>
  </si>
  <si>
    <t>Correct display of illuminance Outputs D15 and Advanced Outputs H17, H18 to 2 d.p.</t>
  </si>
  <si>
    <t>LP5</t>
  </si>
  <si>
    <t>Correct title for "a-opic photon irradiance in standard notation" Ouputs B41</t>
  </si>
  <si>
    <t>LP6</t>
  </si>
  <si>
    <r>
      <t xml:space="preserve">Updated version number to 1.048, title to </t>
    </r>
    <r>
      <rPr>
        <sz val="11"/>
        <color theme="1"/>
        <rFont val="Calibri"/>
        <family val="2"/>
      </rPr>
      <t>α</t>
    </r>
    <r>
      <rPr>
        <sz val="11"/>
        <color theme="1"/>
        <rFont val="Calibri"/>
        <family val="2"/>
        <scheme val="minor"/>
      </rPr>
      <t>-opic Toolbox (from EDI Toolbox),date to 2020/02/19 on Disclaimer sheet and updated the main message from CB agreed Powerpoint slide</t>
    </r>
  </si>
  <si>
    <t>LP7</t>
  </si>
  <si>
    <t>Display length</t>
  </si>
  <si>
    <t>Use 43 to include yyyy/mm, 24 for Powerpoint images</t>
  </si>
  <si>
    <t>Added display length input in Maintenance to support version-free Powerpoint images, and updated B1 formula in all other sheets</t>
  </si>
  <si>
    <t>Added</t>
  </si>
  <si>
    <r>
      <t xml:space="preserve">Please note the </t>
    </r>
    <r>
      <rPr>
        <sz val="11"/>
        <color rgb="FFFF0000"/>
        <rFont val="Calibri"/>
        <family val="2"/>
      </rPr>
      <t>α</t>
    </r>
    <r>
      <rPr>
        <sz val="11"/>
        <color rgb="FFFF0000"/>
        <rFont val="Calibri"/>
        <family val="2"/>
        <scheme val="minor"/>
      </rPr>
      <t>-opic Toolbox is not part of CIE S 026. See Disclaimer sheet.</t>
    </r>
  </si>
  <si>
    <t>Updated the EDI Toolbox text in Ouputs!C3, and linked Charts, Action spectra, Glossary and Advanced Warnings cells C3 to Ouputs!C3</t>
  </si>
  <si>
    <t>LP8</t>
  </si>
  <si>
    <t>LP9</t>
  </si>
  <si>
    <t>Calculations: Spectral conversion to radiometric corrected from SI Brochure error - refractive index goes in denomintor of this factor</t>
  </si>
  <si>
    <t>LP10</t>
  </si>
  <si>
    <t>Not changed</t>
  </si>
  <si>
    <t>Dependency of chart title. Quantity value and units match the photometric units selected on advanced outputs, which can lead to zeros.</t>
  </si>
  <si>
    <t>LP11</t>
  </si>
  <si>
    <t>The simplest option would be to add a futher scaling factor and quantity value for the chart versions of Test and Ref on the calculations sheet.</t>
  </si>
  <si>
    <t xml:space="preserve">This is left until a later version if necessary. </t>
  </si>
  <si>
    <t>Another option would be to allow user control on the charts sheet itself, requiring additional calculation columns as well.</t>
  </si>
  <si>
    <t>However, changing this to be overridden by another option, e.g. main input units if these are photometric, requires a change to the calculations.</t>
  </si>
  <si>
    <t>The input data is called the Test source. The default CIE S 026 Reference source is daylight (D65); Lucas et al., 2014 uses equi-energy (E).</t>
  </si>
  <si>
    <t>LP12</t>
  </si>
  <si>
    <t>Added "The input data is called the Test source. The default CIE S 026 Reference source is daylight (D65); Lucas et al., 2014 uses equi-energy (E)." below the Charts</t>
  </si>
  <si>
    <t>LP13</t>
  </si>
  <si>
    <t>The units used on the y-axis depend on the prefixes selected in Inputs cells C12 and C13. The units used in the chart titles depend on the prefixes selected in Advanced Outputs cells H10 and H11.</t>
  </si>
  <si>
    <t>Added "The units used on the y-axis depend on the prefixes selected in Inputs cells C12 and C13. The units used in the chart titles depend on the prefixes selected in Advanced Outputs cells H10 and H11." below the Charts</t>
  </si>
  <si>
    <t>Added text</t>
  </si>
  <si>
    <t>Number format validation added to numerical input cells: C17&gt;=-1 and C24:C424&lt;999999.999999 (and allow blanks)</t>
  </si>
  <si>
    <t>A: Range 380 nm to 780 nm, step 1 nm</t>
  </si>
  <si>
    <t>D65: Range 380 nm to 780 nm, step 1 nm</t>
  </si>
  <si>
    <t>E: Range 380 nm to 780 nm, step 1 nm</t>
  </si>
  <si>
    <t>FL11: Range 380 nm to 780 nm, step 1 nm</t>
  </si>
  <si>
    <t>LED-B3: Range 380 nm to 780 nm, step 1 nm</t>
  </si>
  <si>
    <t>Details of built in spectra (CIE 015:2018)</t>
  </si>
  <si>
    <r>
      <t>K</t>
    </r>
    <r>
      <rPr>
        <vertAlign val="subscript"/>
        <sz val="10"/>
        <color theme="1"/>
        <rFont val="Calibri"/>
        <family val="2"/>
        <scheme val="minor"/>
      </rPr>
      <t>m</t>
    </r>
    <r>
      <rPr>
        <sz val="9"/>
        <color theme="1"/>
        <rFont val="Calibri"/>
        <family val="2"/>
        <scheme val="minor"/>
      </rPr>
      <t xml:space="preserve"> </t>
    </r>
    <r>
      <rPr>
        <sz val="9"/>
        <color theme="1"/>
        <rFont val="Calibri"/>
        <family val="2"/>
      </rPr>
      <t>≈</t>
    </r>
    <r>
      <rPr>
        <sz val="9"/>
        <color theme="1"/>
        <rFont val="Calibri"/>
        <family val="2"/>
        <scheme val="minor"/>
      </rPr>
      <t xml:space="preserve"> </t>
    </r>
    <r>
      <rPr>
        <i/>
        <sz val="9"/>
        <color theme="1"/>
        <rFont val="Calibri"/>
        <family val="2"/>
        <scheme val="minor"/>
      </rPr>
      <t>K</t>
    </r>
    <r>
      <rPr>
        <vertAlign val="subscript"/>
        <sz val="9"/>
        <color theme="1"/>
        <rFont val="Calibri"/>
        <family val="2"/>
        <scheme val="minor"/>
      </rPr>
      <t>cd</t>
    </r>
    <r>
      <rPr>
        <sz val="9"/>
        <color theme="1"/>
        <rFont val="Calibri"/>
        <family val="2"/>
        <scheme val="minor"/>
      </rPr>
      <t xml:space="preserve"> = 683 lm.W</t>
    </r>
    <r>
      <rPr>
        <vertAlign val="superscript"/>
        <sz val="10"/>
        <color theme="1"/>
        <rFont val="Calibri"/>
        <family val="2"/>
        <scheme val="minor"/>
      </rPr>
      <t>-1</t>
    </r>
  </si>
  <si>
    <t xml:space="preserve"> If you selected "User" in CELL C8:</t>
  </si>
  <si>
    <t xml:space="preserve"> If you did not select "User" in CELL C8:</t>
  </si>
  <si>
    <r>
      <rPr>
        <b/>
        <sz val="11"/>
        <color rgb="FF2B4D89"/>
        <rFont val="Calibri"/>
        <family val="2"/>
        <scheme val="minor"/>
      </rPr>
      <t xml:space="preserve"> CELL C8</t>
    </r>
    <r>
      <rPr>
        <sz val="11"/>
        <color theme="1"/>
        <rFont val="Calibri"/>
        <family val="2"/>
        <scheme val="minor"/>
      </rPr>
      <t xml:space="preserve">: </t>
    </r>
    <r>
      <rPr>
        <b/>
        <sz val="11"/>
        <color theme="1"/>
        <rFont val="Calibri"/>
        <family val="2"/>
        <scheme val="minor"/>
      </rPr>
      <t>Enter "User"</t>
    </r>
    <r>
      <rPr>
        <sz val="11"/>
        <color theme="1"/>
        <rFont val="Calibri"/>
        <family val="2"/>
        <scheme val="minor"/>
      </rPr>
      <t xml:space="preserve"> to enter spectrum </t>
    </r>
    <r>
      <rPr>
        <b/>
        <sz val="11"/>
        <rFont val="Calibri"/>
        <family val="2"/>
        <scheme val="minor"/>
      </rPr>
      <t>OR</t>
    </r>
  </si>
  <si>
    <t>5nmA</t>
  </si>
  <si>
    <t>5nmE</t>
  </si>
  <si>
    <t>LP14</t>
  </si>
  <si>
    <t>Version 1.049 updated to include commenting from ballots.</t>
  </si>
  <si>
    <t>© CIE 2020 - All rights reserved</t>
  </si>
  <si>
    <t>cvrl.org</t>
  </si>
  <si>
    <r>
      <t xml:space="preserve">CIE S 026 </t>
    </r>
    <r>
      <rPr>
        <b/>
        <sz val="20"/>
        <color theme="1"/>
        <rFont val="Calibri"/>
        <family val="2"/>
      </rPr>
      <t>α</t>
    </r>
    <r>
      <rPr>
        <b/>
        <sz val="20"/>
        <color theme="1"/>
        <rFont val="Calibri"/>
        <family val="2"/>
        <scheme val="minor"/>
      </rPr>
      <t>-opic Toolbox - v1.049a - 2020/11/16</t>
    </r>
  </si>
  <si>
    <t>LP15</t>
  </si>
  <si>
    <t>Published</t>
  </si>
  <si>
    <r>
      <t xml:space="preserve">Saved as 1.049a for updates, with Header text changed to "CIE S 026 </t>
    </r>
    <r>
      <rPr>
        <sz val="11"/>
        <color theme="1"/>
        <rFont val="Calibri Light"/>
        <family val="2"/>
      </rPr>
      <t>α</t>
    </r>
    <r>
      <rPr>
        <sz val="11"/>
        <color theme="1"/>
        <rFont val="Calibri"/>
        <family val="2"/>
        <scheme val="minor"/>
      </rPr>
      <t>-opic Toolbox v1.049a - 2020/11/16" in Disclaimer cell B1 and omitting "/16" in dependent cells on other sheets via changing the value in Maintenance cell I3 (=44)</t>
    </r>
  </si>
  <si>
    <t>LP16</t>
  </si>
  <si>
    <t>Final version 1.049a includes the correction to Advanced Outputs in cell F45 so that it (equation T8) reads as a multiplication using "*" rather than a division using "/" under all the options and settings available.</t>
  </si>
  <si>
    <t>LP17</t>
  </si>
  <si>
    <t>Changed the second box of the Disclaimer to “The a-opic Toolbox is a CIE publication (DOI: 10.25039/S026.2018.TB) under … The toolbox was designed with feedback from experts …”. Note that the DOI is moved to the first mention of the toolbox in the box. The DOI will not change with the version number. Additionally: Removed the version number from the text. It should be sufficient to have it in the header.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</si>
</sst>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00E+00"/>
    <numFmt numFmtId="166" formatCode="0.000E+00"/>
    <numFmt numFmtId="167" formatCode="0.0000"/>
    <numFmt numFmtId="168" formatCode="0.000000"/>
    <numFmt numFmtId="169" formatCode="0E+00"/>
    <numFmt numFmtId="170" formatCode="0.E+00"/>
    <numFmt numFmtId="171" formatCode="0.00000"/>
  </numFmts>
  <fonts count="53" x14ac:knownFonts="1">
    <font>
      <sz val="11"/>
      <color theme="1"/>
      <name val="Calibri"/>
      <family val="2"/>
      <scheme val="minor"/>
    </font>
    <font>
      <b/>
      <sz val="11"/>
      <color theme="1"/>
      <name val="Calibri"/>
      <family val="2"/>
      <scheme val="minor"/>
    </font>
    <font>
      <b/>
      <sz val="20"/>
      <color theme="1"/>
      <name val="Calibri"/>
      <family val="2"/>
      <scheme val="minor"/>
    </font>
    <font>
      <sz val="11"/>
      <color theme="0" tint="-0.34998626667073579"/>
      <name val="Calibri"/>
      <family val="2"/>
      <scheme val="minor"/>
    </font>
    <font>
      <sz val="11"/>
      <name val="Calibri"/>
      <family val="2"/>
      <scheme val="minor"/>
    </font>
    <font>
      <b/>
      <sz val="11"/>
      <name val="Calibri"/>
      <family val="2"/>
      <scheme val="minor"/>
    </font>
    <font>
      <i/>
      <sz val="11"/>
      <color theme="1"/>
      <name val="Calibri"/>
      <family val="2"/>
      <scheme val="minor"/>
    </font>
    <font>
      <sz val="8"/>
      <color theme="1"/>
      <name val="Calibri"/>
      <family val="2"/>
      <scheme val="minor"/>
    </font>
    <font>
      <i/>
      <sz val="11"/>
      <name val="Calibri"/>
      <family val="2"/>
      <scheme val="minor"/>
    </font>
    <font>
      <i/>
      <sz val="11"/>
      <color theme="8" tint="-0.249977111117893"/>
      <name val="Calibri"/>
      <family val="2"/>
      <scheme val="minor"/>
    </font>
    <font>
      <i/>
      <sz val="11"/>
      <color theme="9" tint="-0.249977111117893"/>
      <name val="Calibri"/>
      <family val="2"/>
      <scheme val="minor"/>
    </font>
    <font>
      <i/>
      <sz val="11"/>
      <color rgb="FFC00000"/>
      <name val="Calibri"/>
      <family val="2"/>
      <scheme val="minor"/>
    </font>
    <font>
      <i/>
      <sz val="11"/>
      <color rgb="FF7030A0"/>
      <name val="Calibri"/>
      <family val="2"/>
      <scheme val="minor"/>
    </font>
    <font>
      <b/>
      <i/>
      <sz val="11"/>
      <color theme="7" tint="-0.249977111117893"/>
      <name val="Calibri"/>
      <family val="2"/>
      <scheme val="minor"/>
    </font>
    <font>
      <sz val="11"/>
      <color theme="8" tint="-0.249977111117893"/>
      <name val="Calibri"/>
      <family val="2"/>
      <scheme val="minor"/>
    </font>
    <font>
      <sz val="11"/>
      <color theme="9" tint="-0.249977111117893"/>
      <name val="Calibri"/>
      <family val="2"/>
      <scheme val="minor"/>
    </font>
    <font>
      <sz val="11"/>
      <color rgb="FFC00000"/>
      <name val="Calibri"/>
      <family val="2"/>
      <scheme val="minor"/>
    </font>
    <font>
      <sz val="11"/>
      <color rgb="FF7030A0"/>
      <name val="Calibri"/>
      <family val="2"/>
      <scheme val="minor"/>
    </font>
    <font>
      <b/>
      <sz val="11"/>
      <color theme="7" tint="-0.249977111117893"/>
      <name val="Calibri"/>
      <family val="2"/>
      <scheme val="minor"/>
    </font>
    <font>
      <sz val="20"/>
      <color theme="1"/>
      <name val="Calibri"/>
      <family val="2"/>
      <scheme val="minor"/>
    </font>
    <font>
      <sz val="9"/>
      <color theme="1"/>
      <name val="Calibri"/>
      <family val="2"/>
      <scheme val="minor"/>
    </font>
    <font>
      <i/>
      <sz val="10"/>
      <color theme="1"/>
      <name val="Calibri"/>
      <family val="2"/>
      <scheme val="minor"/>
    </font>
    <font>
      <sz val="11"/>
      <color theme="1"/>
      <name val="Times New Roman"/>
      <family val="1"/>
    </font>
    <font>
      <vertAlign val="subscript"/>
      <sz val="11"/>
      <name val="Calibri"/>
      <family val="2"/>
      <scheme val="minor"/>
    </font>
    <font>
      <vertAlign val="subscript"/>
      <sz val="11"/>
      <name val="Times New Roman"/>
      <family val="1"/>
    </font>
    <font>
      <i/>
      <sz val="11"/>
      <name val="Times New Roman"/>
      <family val="1"/>
    </font>
    <font>
      <sz val="11"/>
      <color rgb="FFFF0000"/>
      <name val="Calibri"/>
      <family val="2"/>
      <scheme val="minor"/>
    </font>
    <font>
      <i/>
      <sz val="11"/>
      <color rgb="FFFF0000"/>
      <name val="Calibri"/>
      <family val="2"/>
      <scheme val="minor"/>
    </font>
    <font>
      <i/>
      <sz val="8"/>
      <color theme="1"/>
      <name val="Calibri"/>
      <family val="2"/>
      <scheme val="minor"/>
    </font>
    <font>
      <b/>
      <sz val="11"/>
      <color rgb="FF2B4D89"/>
      <name val="Calibri"/>
      <family val="2"/>
      <scheme val="minor"/>
    </font>
    <font>
      <b/>
      <sz val="11"/>
      <color rgb="FFFF0000"/>
      <name val="Calibri"/>
      <family val="2"/>
      <scheme val="minor"/>
    </font>
    <font>
      <i/>
      <sz val="9"/>
      <color theme="1"/>
      <name val="Calibri"/>
      <family val="2"/>
      <scheme val="minor"/>
    </font>
    <font>
      <sz val="9"/>
      <color theme="1"/>
      <name val="Calibri"/>
      <family val="2"/>
    </font>
    <font>
      <vertAlign val="subscript"/>
      <sz val="10"/>
      <color theme="1"/>
      <name val="Calibri"/>
      <family val="2"/>
      <scheme val="minor"/>
    </font>
    <font>
      <vertAlign val="superscript"/>
      <sz val="10"/>
      <color theme="1"/>
      <name val="Calibri"/>
      <family val="2"/>
      <scheme val="minor"/>
    </font>
    <font>
      <b/>
      <sz val="11"/>
      <color theme="9" tint="-0.249977111117893"/>
      <name val="Calibri"/>
      <family val="2"/>
      <scheme val="minor"/>
    </font>
    <font>
      <sz val="11"/>
      <color theme="0"/>
      <name val="Calibri"/>
      <family val="2"/>
      <scheme val="minor"/>
    </font>
    <font>
      <sz val="11"/>
      <color theme="4" tint="0.79998168889431442"/>
      <name val="Calibri"/>
      <family val="2"/>
      <scheme val="minor"/>
    </font>
    <font>
      <sz val="11"/>
      <color theme="9"/>
      <name val="Calibri"/>
      <family val="2"/>
      <scheme val="minor"/>
    </font>
    <font>
      <b/>
      <sz val="20"/>
      <name val="Calibri"/>
      <family val="2"/>
      <scheme val="minor"/>
    </font>
    <font>
      <sz val="20"/>
      <name val="Calibri"/>
      <family val="2"/>
      <scheme val="minor"/>
    </font>
    <font>
      <i/>
      <sz val="10"/>
      <name val="Symbol"/>
      <family val="1"/>
      <charset val="2"/>
    </font>
    <font>
      <sz val="10"/>
      <name val="Arial"/>
      <family val="2"/>
    </font>
    <font>
      <sz val="11"/>
      <color rgb="FF70AD47"/>
      <name val="Calibri"/>
      <family val="2"/>
      <scheme val="minor"/>
    </font>
    <font>
      <vertAlign val="subscript"/>
      <sz val="9"/>
      <color theme="1"/>
      <name val="Calibri"/>
      <family val="2"/>
      <scheme val="minor"/>
    </font>
    <font>
      <i/>
      <sz val="10"/>
      <color theme="1"/>
      <name val="Calibri"/>
      <family val="2"/>
    </font>
    <font>
      <sz val="11"/>
      <name val="Calibri"/>
      <family val="2"/>
    </font>
    <font>
      <vertAlign val="superscript"/>
      <sz val="11"/>
      <name val="Calibri"/>
      <family val="2"/>
      <scheme val="minor"/>
    </font>
    <font>
      <sz val="11"/>
      <color rgb="FFFF0000"/>
      <name val="Calibri"/>
      <family val="2"/>
    </font>
    <font>
      <sz val="18"/>
      <color rgb="FFFF0000"/>
      <name val="Calibri"/>
      <family val="2"/>
      <scheme val="minor"/>
    </font>
    <font>
      <sz val="11"/>
      <color theme="1"/>
      <name val="Calibri"/>
      <family val="2"/>
    </font>
    <font>
      <b/>
      <sz val="20"/>
      <color theme="1"/>
      <name val="Calibri"/>
      <family val="2"/>
    </font>
    <font>
      <sz val="11"/>
      <color theme="1"/>
      <name val="Calibri Light"/>
      <family val="2"/>
    </font>
  </fonts>
  <fills count="12">
    <fill>
      <patternFill patternType="none"/>
    </fill>
    <fill>
      <patternFill patternType="gray125"/>
    </fill>
    <fill>
      <patternFill patternType="solid">
        <fgColor rgb="FF8EA9DB"/>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
      <patternFill patternType="solid">
        <fgColor theme="5"/>
        <bgColor indexed="64"/>
      </patternFill>
    </fill>
    <fill>
      <patternFill patternType="solid">
        <fgColor theme="8"/>
        <bgColor indexed="64"/>
      </patternFill>
    </fill>
    <fill>
      <patternFill patternType="solid">
        <fgColor theme="4" tint="0.39997558519241921"/>
        <bgColor indexed="64"/>
      </patternFill>
    </fill>
    <fill>
      <patternFill patternType="solid">
        <fgColor rgb="FFFF0000"/>
        <bgColor indexed="64"/>
      </patternFill>
    </fill>
  </fills>
  <borders count="16">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82">
    <xf numFmtId="0" fontId="0" fillId="0" borderId="0" xfId="0"/>
    <xf numFmtId="0" fontId="0" fillId="0" borderId="0" xfId="0" applyProtection="1">
      <protection hidden="1"/>
    </xf>
    <xf numFmtId="0" fontId="0" fillId="2" borderId="5" xfId="0" applyFill="1" applyBorder="1" applyAlignment="1" applyProtection="1">
      <alignment horizontal="center"/>
      <protection locked="0"/>
    </xf>
    <xf numFmtId="164" fontId="0" fillId="3" borderId="3" xfId="0" applyNumberFormat="1" applyFill="1" applyBorder="1" applyAlignment="1" applyProtection="1">
      <alignment horizontal="center"/>
      <protection locked="0"/>
    </xf>
    <xf numFmtId="164" fontId="0" fillId="3" borderId="5" xfId="0" applyNumberFormat="1" applyFill="1" applyBorder="1" applyAlignment="1" applyProtection="1">
      <alignment horizontal="center"/>
      <protection locked="0"/>
    </xf>
    <xf numFmtId="164" fontId="0" fillId="3" borderId="6" xfId="0" applyNumberFormat="1" applyFill="1" applyBorder="1" applyAlignment="1" applyProtection="1">
      <alignment horizontal="center"/>
      <protection locked="0"/>
    </xf>
    <xf numFmtId="0" fontId="4" fillId="0" borderId="0" xfId="0" applyFont="1" applyProtection="1">
      <protection hidden="1"/>
    </xf>
    <xf numFmtId="0" fontId="0" fillId="2" borderId="4" xfId="0" applyFill="1" applyBorder="1" applyAlignment="1" applyProtection="1">
      <alignment horizontal="center"/>
      <protection locked="0"/>
    </xf>
    <xf numFmtId="0" fontId="0" fillId="2" borderId="6" xfId="0" applyFill="1" applyBorder="1" applyAlignment="1" applyProtection="1">
      <alignment horizontal="center"/>
      <protection locked="0"/>
    </xf>
    <xf numFmtId="0" fontId="4" fillId="3" borderId="4" xfId="0" applyFont="1" applyFill="1" applyBorder="1" applyAlignment="1" applyProtection="1">
      <alignment horizontal="center"/>
      <protection locked="0"/>
    </xf>
    <xf numFmtId="2" fontId="14" fillId="5" borderId="1" xfId="0" applyNumberFormat="1" applyFont="1" applyFill="1" applyBorder="1" applyAlignment="1" applyProtection="1">
      <alignment horizontal="right" indent="1"/>
      <protection hidden="1"/>
    </xf>
    <xf numFmtId="2" fontId="15" fillId="5" borderId="13" xfId="0" applyNumberFormat="1" applyFont="1" applyFill="1" applyBorder="1" applyAlignment="1" applyProtection="1">
      <alignment horizontal="right" indent="1"/>
      <protection hidden="1"/>
    </xf>
    <xf numFmtId="2" fontId="16" fillId="5" borderId="13" xfId="0" applyNumberFormat="1" applyFont="1" applyFill="1" applyBorder="1" applyAlignment="1" applyProtection="1">
      <alignment horizontal="right" indent="1"/>
      <protection hidden="1"/>
    </xf>
    <xf numFmtId="2" fontId="17" fillId="5" borderId="13" xfId="0" applyNumberFormat="1" applyFont="1" applyFill="1" applyBorder="1" applyAlignment="1" applyProtection="1">
      <alignment horizontal="right" indent="1"/>
      <protection hidden="1"/>
    </xf>
    <xf numFmtId="2" fontId="18" fillId="5" borderId="2" xfId="0" applyNumberFormat="1" applyFont="1" applyFill="1" applyBorder="1" applyAlignment="1" applyProtection="1">
      <alignment horizontal="right" indent="1"/>
      <protection hidden="1"/>
    </xf>
    <xf numFmtId="0" fontId="4" fillId="4" borderId="7" xfId="0" applyFont="1" applyFill="1" applyBorder="1" applyAlignment="1" applyProtection="1">
      <alignment horizontal="left" indent="1"/>
      <protection hidden="1"/>
    </xf>
    <xf numFmtId="0" fontId="4" fillId="4" borderId="8" xfId="0" applyFont="1" applyFill="1" applyBorder="1" applyProtection="1">
      <protection hidden="1"/>
    </xf>
    <xf numFmtId="2" fontId="14" fillId="4" borderId="7" xfId="0" applyNumberFormat="1" applyFont="1" applyFill="1" applyBorder="1" applyAlignment="1" applyProtection="1">
      <alignment horizontal="right" indent="1"/>
      <protection hidden="1"/>
    </xf>
    <xf numFmtId="2" fontId="15" fillId="4" borderId="11" xfId="0" applyNumberFormat="1" applyFont="1" applyFill="1" applyBorder="1" applyAlignment="1" applyProtection="1">
      <alignment horizontal="right" indent="1"/>
      <protection hidden="1"/>
    </xf>
    <xf numFmtId="2" fontId="16" fillId="4" borderId="11" xfId="0" applyNumberFormat="1" applyFont="1" applyFill="1" applyBorder="1" applyAlignment="1" applyProtection="1">
      <alignment horizontal="right" indent="1"/>
      <protection hidden="1"/>
    </xf>
    <xf numFmtId="2" fontId="17" fillId="4" borderId="11" xfId="0" applyNumberFormat="1" applyFont="1" applyFill="1" applyBorder="1" applyAlignment="1" applyProtection="1">
      <alignment horizontal="right" indent="1"/>
      <protection hidden="1"/>
    </xf>
    <xf numFmtId="2" fontId="18" fillId="4" borderId="8" xfId="0" applyNumberFormat="1" applyFont="1" applyFill="1" applyBorder="1" applyAlignment="1" applyProtection="1">
      <alignment horizontal="right" indent="1"/>
      <protection hidden="1"/>
    </xf>
    <xf numFmtId="0" fontId="4" fillId="5" borderId="1" xfId="0" applyFont="1" applyFill="1" applyBorder="1" applyAlignment="1" applyProtection="1">
      <alignment horizontal="left" indent="1"/>
      <protection hidden="1"/>
    </xf>
    <xf numFmtId="0" fontId="4" fillId="5" borderId="2" xfId="0" applyFont="1" applyFill="1" applyBorder="1" applyProtection="1">
      <protection hidden="1"/>
    </xf>
    <xf numFmtId="2" fontId="0" fillId="2" borderId="4" xfId="0" applyNumberFormat="1" applyFill="1" applyBorder="1" applyAlignment="1" applyProtection="1">
      <alignment horizontal="center"/>
      <protection locked="0"/>
    </xf>
    <xf numFmtId="0" fontId="0" fillId="2" borderId="3" xfId="0" applyFill="1" applyBorder="1" applyAlignment="1" applyProtection="1">
      <alignment horizontal="center"/>
      <protection locked="0"/>
    </xf>
    <xf numFmtId="167" fontId="14" fillId="4" borderId="7" xfId="0" applyNumberFormat="1" applyFont="1" applyFill="1" applyBorder="1" applyAlignment="1">
      <alignment horizontal="right" indent="1"/>
    </xf>
    <xf numFmtId="167" fontId="15" fillId="4" borderId="11" xfId="0" applyNumberFormat="1" applyFont="1" applyFill="1" applyBorder="1" applyAlignment="1">
      <alignment horizontal="right" indent="1"/>
    </xf>
    <xf numFmtId="167" fontId="16" fillId="4" borderId="11" xfId="0" applyNumberFormat="1" applyFont="1" applyFill="1" applyBorder="1" applyAlignment="1">
      <alignment horizontal="right" indent="1"/>
    </xf>
    <xf numFmtId="167" fontId="17" fillId="4" borderId="11" xfId="0" applyNumberFormat="1" applyFont="1" applyFill="1" applyBorder="1" applyAlignment="1">
      <alignment horizontal="right" indent="1"/>
    </xf>
    <xf numFmtId="167" fontId="18" fillId="4" borderId="8" xfId="0" applyNumberFormat="1" applyFont="1" applyFill="1" applyBorder="1" applyAlignment="1">
      <alignment horizontal="right" indent="1"/>
    </xf>
    <xf numFmtId="2" fontId="14" fillId="5" borderId="1" xfId="0" applyNumberFormat="1" applyFont="1" applyFill="1" applyBorder="1" applyAlignment="1">
      <alignment horizontal="right" indent="1"/>
    </xf>
    <xf numFmtId="2" fontId="15" fillId="5" borderId="13" xfId="0" applyNumberFormat="1" applyFont="1" applyFill="1" applyBorder="1" applyAlignment="1">
      <alignment horizontal="right" indent="1"/>
    </xf>
    <xf numFmtId="2" fontId="16" fillId="5" borderId="13" xfId="0" applyNumberFormat="1" applyFont="1" applyFill="1" applyBorder="1" applyAlignment="1">
      <alignment horizontal="right" indent="1"/>
    </xf>
    <xf numFmtId="2" fontId="17" fillId="5" borderId="13" xfId="0" applyNumberFormat="1" applyFont="1" applyFill="1" applyBorder="1" applyAlignment="1">
      <alignment horizontal="right" indent="1"/>
    </xf>
    <xf numFmtId="2" fontId="18" fillId="5" borderId="2" xfId="0" applyNumberFormat="1" applyFont="1" applyFill="1" applyBorder="1" applyAlignment="1">
      <alignment horizontal="right" indent="1"/>
    </xf>
    <xf numFmtId="0" fontId="0" fillId="4" borderId="0" xfId="0" applyFill="1" applyProtection="1">
      <protection hidden="1"/>
    </xf>
    <xf numFmtId="0" fontId="2" fillId="4" borderId="0" xfId="0" applyFont="1" applyFill="1" applyProtection="1">
      <protection hidden="1"/>
    </xf>
    <xf numFmtId="0" fontId="7" fillId="4" borderId="0" xfId="0" applyFont="1" applyFill="1" applyProtection="1">
      <protection hidden="1"/>
    </xf>
    <xf numFmtId="0" fontId="1" fillId="4" borderId="0" xfId="0" applyFont="1" applyFill="1" applyProtection="1">
      <protection hidden="1"/>
    </xf>
    <xf numFmtId="0" fontId="0" fillId="4" borderId="8" xfId="0" applyFill="1" applyBorder="1" applyProtection="1">
      <protection hidden="1"/>
    </xf>
    <xf numFmtId="0" fontId="0" fillId="4" borderId="15" xfId="0" applyFill="1" applyBorder="1" applyProtection="1">
      <protection hidden="1"/>
    </xf>
    <xf numFmtId="0" fontId="26" fillId="4" borderId="0" xfId="0" applyFont="1" applyFill="1" applyAlignment="1" applyProtection="1">
      <alignment horizontal="center"/>
      <protection hidden="1"/>
    </xf>
    <xf numFmtId="0" fontId="0" fillId="4" borderId="10" xfId="0" applyFill="1" applyBorder="1" applyProtection="1">
      <protection hidden="1"/>
    </xf>
    <xf numFmtId="0" fontId="0" fillId="4" borderId="0" xfId="0" applyFill="1" applyAlignment="1" applyProtection="1">
      <alignment horizontal="right" indent="1"/>
      <protection hidden="1"/>
    </xf>
    <xf numFmtId="0" fontId="0" fillId="4" borderId="0" xfId="0" applyFill="1" applyAlignment="1" applyProtection="1">
      <alignment horizontal="left"/>
      <protection hidden="1"/>
    </xf>
    <xf numFmtId="0" fontId="4" fillId="4" borderId="0" xfId="0" applyFont="1" applyFill="1" applyAlignment="1" applyProtection="1">
      <alignment horizontal="left"/>
      <protection hidden="1"/>
    </xf>
    <xf numFmtId="0" fontId="0" fillId="4" borderId="0" xfId="0" applyFill="1" applyAlignment="1" applyProtection="1">
      <alignment horizontal="center"/>
      <protection hidden="1"/>
    </xf>
    <xf numFmtId="0" fontId="6" fillId="4" borderId="0" xfId="0" applyFont="1" applyFill="1" applyAlignment="1" applyProtection="1">
      <alignment horizontal="right"/>
      <protection hidden="1"/>
    </xf>
    <xf numFmtId="0" fontId="7" fillId="4" borderId="0" xfId="0" applyFont="1" applyFill="1" applyAlignment="1" applyProtection="1">
      <alignment horizontal="center"/>
      <protection hidden="1"/>
    </xf>
    <xf numFmtId="0" fontId="4" fillId="4" borderId="7" xfId="0" applyFont="1" applyFill="1" applyBorder="1" applyProtection="1">
      <protection hidden="1"/>
    </xf>
    <xf numFmtId="0" fontId="4" fillId="4" borderId="14" xfId="0" applyFont="1" applyFill="1" applyBorder="1" applyProtection="1">
      <protection hidden="1"/>
    </xf>
    <xf numFmtId="0" fontId="5" fillId="4" borderId="14" xfId="0" applyFont="1" applyFill="1" applyBorder="1" applyProtection="1">
      <protection hidden="1"/>
    </xf>
    <xf numFmtId="0" fontId="4" fillId="4" borderId="14" xfId="0" applyFont="1" applyFill="1" applyBorder="1" applyAlignment="1" applyProtection="1">
      <alignment horizontal="left" indent="1"/>
      <protection hidden="1"/>
    </xf>
    <xf numFmtId="0" fontId="35" fillId="4" borderId="14" xfId="0" applyFont="1" applyFill="1" applyBorder="1" applyProtection="1">
      <protection hidden="1"/>
    </xf>
    <xf numFmtId="0" fontId="4" fillId="4" borderId="9" xfId="0" applyFont="1" applyFill="1" applyBorder="1" applyAlignment="1" applyProtection="1">
      <alignment horizontal="left" indent="1"/>
      <protection hidden="1"/>
    </xf>
    <xf numFmtId="0" fontId="0" fillId="7" borderId="0" xfId="0" applyFill="1" applyProtection="1">
      <protection hidden="1"/>
    </xf>
    <xf numFmtId="0" fontId="1" fillId="7" borderId="0" xfId="0" applyFont="1" applyFill="1" applyProtection="1">
      <protection hidden="1"/>
    </xf>
    <xf numFmtId="0" fontId="26" fillId="7" borderId="0" xfId="0" applyFont="1" applyFill="1" applyAlignment="1" applyProtection="1">
      <alignment horizontal="center"/>
      <protection hidden="1"/>
    </xf>
    <xf numFmtId="0" fontId="26" fillId="7" borderId="0" xfId="0" applyFont="1" applyFill="1" applyProtection="1">
      <protection hidden="1"/>
    </xf>
    <xf numFmtId="0" fontId="0" fillId="7" borderId="0" xfId="0" applyFill="1" applyAlignment="1" applyProtection="1">
      <alignment horizontal="center"/>
      <protection hidden="1"/>
    </xf>
    <xf numFmtId="0" fontId="4" fillId="7" borderId="0" xfId="0" applyFont="1" applyFill="1" applyAlignment="1" applyProtection="1">
      <alignment horizontal="left"/>
      <protection hidden="1"/>
    </xf>
    <xf numFmtId="0" fontId="7" fillId="7" borderId="0" xfId="0" applyFont="1" applyFill="1" applyAlignment="1" applyProtection="1">
      <alignment horizontal="center"/>
      <protection hidden="1"/>
    </xf>
    <xf numFmtId="0" fontId="27" fillId="7" borderId="0" xfId="0" applyFont="1" applyFill="1" applyAlignment="1" applyProtection="1">
      <alignment horizontal="right"/>
      <protection hidden="1"/>
    </xf>
    <xf numFmtId="0" fontId="30" fillId="7" borderId="7" xfId="0" applyFont="1" applyFill="1" applyBorder="1" applyProtection="1">
      <protection hidden="1"/>
    </xf>
    <xf numFmtId="0" fontId="0" fillId="7" borderId="8" xfId="0" applyFill="1" applyBorder="1" applyProtection="1">
      <protection hidden="1"/>
    </xf>
    <xf numFmtId="0" fontId="0" fillId="7" borderId="14" xfId="0" applyFill="1" applyBorder="1" applyProtection="1">
      <protection hidden="1"/>
    </xf>
    <xf numFmtId="0" fontId="0" fillId="7" borderId="15" xfId="0" applyFill="1" applyBorder="1" applyProtection="1">
      <protection hidden="1"/>
    </xf>
    <xf numFmtId="0" fontId="1" fillId="7" borderId="14" xfId="0" applyFont="1" applyFill="1" applyBorder="1" applyProtection="1">
      <protection hidden="1"/>
    </xf>
    <xf numFmtId="0" fontId="0" fillId="7" borderId="14" xfId="0" applyFill="1" applyBorder="1" applyAlignment="1" applyProtection="1">
      <alignment horizontal="left" indent="1"/>
      <protection hidden="1"/>
    </xf>
    <xf numFmtId="0" fontId="0" fillId="7" borderId="9" xfId="0" applyFill="1" applyBorder="1" applyAlignment="1" applyProtection="1">
      <alignment horizontal="left" indent="1"/>
      <protection hidden="1"/>
    </xf>
    <xf numFmtId="0" fontId="0" fillId="7" borderId="10" xfId="0" applyFill="1" applyBorder="1" applyProtection="1">
      <protection hidden="1"/>
    </xf>
    <xf numFmtId="0" fontId="2" fillId="7" borderId="0" xfId="0" applyFont="1" applyFill="1" applyProtection="1">
      <protection hidden="1"/>
    </xf>
    <xf numFmtId="0" fontId="4" fillId="7" borderId="0" xfId="0" applyFont="1" applyFill="1" applyProtection="1">
      <protection hidden="1"/>
    </xf>
    <xf numFmtId="0" fontId="4" fillId="7" borderId="0" xfId="0" applyFont="1" applyFill="1" applyAlignment="1" applyProtection="1">
      <alignment horizontal="center"/>
      <protection hidden="1"/>
    </xf>
    <xf numFmtId="168" fontId="4" fillId="7" borderId="0" xfId="0" applyNumberFormat="1" applyFont="1" applyFill="1" applyAlignment="1" applyProtection="1">
      <alignment horizontal="center"/>
      <protection hidden="1"/>
    </xf>
    <xf numFmtId="0" fontId="5" fillId="7" borderId="0" xfId="0" applyFont="1" applyFill="1" applyProtection="1">
      <protection hidden="1"/>
    </xf>
    <xf numFmtId="0" fontId="0" fillId="5" borderId="4" xfId="0" applyFill="1" applyBorder="1" applyAlignment="1" applyProtection="1">
      <alignment horizontal="center"/>
      <protection hidden="1"/>
    </xf>
    <xf numFmtId="0" fontId="0" fillId="7" borderId="0" xfId="0" applyFill="1" applyAlignment="1" applyProtection="1">
      <alignment horizontal="right"/>
      <protection hidden="1"/>
    </xf>
    <xf numFmtId="0" fontId="5" fillId="7" borderId="0" xfId="0" applyFont="1" applyFill="1" applyAlignment="1" applyProtection="1">
      <alignment horizontal="left" indent="1"/>
      <protection hidden="1"/>
    </xf>
    <xf numFmtId="0" fontId="5" fillId="7" borderId="0" xfId="0" applyFont="1" applyFill="1" applyAlignment="1" applyProtection="1">
      <alignment horizontal="center"/>
      <protection hidden="1"/>
    </xf>
    <xf numFmtId="0" fontId="5" fillId="7" borderId="0" xfId="0" applyFont="1" applyFill="1" applyAlignment="1" applyProtection="1">
      <alignment horizontal="right" indent="1"/>
      <protection hidden="1"/>
    </xf>
    <xf numFmtId="0" fontId="1" fillId="7" borderId="0" xfId="0" applyFont="1" applyFill="1" applyAlignment="1" applyProtection="1">
      <alignment horizontal="left" indent="1"/>
      <protection hidden="1"/>
    </xf>
    <xf numFmtId="0" fontId="1" fillId="7" borderId="0" xfId="0" applyFont="1" applyFill="1" applyAlignment="1" applyProtection="1">
      <alignment horizontal="center"/>
      <protection hidden="1"/>
    </xf>
    <xf numFmtId="0" fontId="1" fillId="7" borderId="0" xfId="0" applyFont="1" applyFill="1" applyAlignment="1" applyProtection="1">
      <alignment horizontal="right" indent="1"/>
      <protection hidden="1"/>
    </xf>
    <xf numFmtId="0" fontId="6" fillId="7" borderId="0" xfId="0" quotePrefix="1" applyFont="1" applyFill="1" applyAlignment="1" applyProtection="1">
      <alignment horizontal="center"/>
      <protection hidden="1"/>
    </xf>
    <xf numFmtId="0" fontId="6" fillId="7" borderId="0" xfId="0" applyFont="1" applyFill="1" applyAlignment="1" applyProtection="1">
      <alignment horizontal="center"/>
      <protection hidden="1"/>
    </xf>
    <xf numFmtId="0" fontId="0" fillId="7" borderId="0" xfId="0" quotePrefix="1" applyFill="1" applyProtection="1">
      <protection hidden="1"/>
    </xf>
    <xf numFmtId="2" fontId="0" fillId="7" borderId="0" xfId="0" applyNumberFormat="1" applyFill="1" applyProtection="1">
      <protection hidden="1"/>
    </xf>
    <xf numFmtId="0" fontId="20" fillId="7" borderId="0" xfId="0" applyFont="1" applyFill="1" applyProtection="1">
      <protection hidden="1"/>
    </xf>
    <xf numFmtId="0" fontId="3" fillId="7" borderId="0" xfId="0" applyFont="1" applyFill="1" applyProtection="1">
      <protection hidden="1"/>
    </xf>
    <xf numFmtId="0" fontId="3" fillId="7" borderId="0" xfId="0" applyFont="1" applyFill="1" applyAlignment="1" applyProtection="1">
      <alignment horizontal="right"/>
      <protection hidden="1"/>
    </xf>
    <xf numFmtId="0" fontId="31" fillId="7" borderId="0" xfId="0" applyFont="1" applyFill="1" applyProtection="1">
      <protection hidden="1"/>
    </xf>
    <xf numFmtId="0" fontId="0" fillId="7" borderId="0" xfId="0" applyFill="1" applyAlignment="1" applyProtection="1">
      <alignment horizontal="left" indent="1"/>
      <protection hidden="1"/>
    </xf>
    <xf numFmtId="0" fontId="8" fillId="7" borderId="0" xfId="0" applyFont="1" applyFill="1" applyAlignment="1" applyProtection="1">
      <alignment horizontal="center"/>
      <protection hidden="1"/>
    </xf>
    <xf numFmtId="0" fontId="9" fillId="7" borderId="0" xfId="0" applyFont="1" applyFill="1" applyAlignment="1" applyProtection="1">
      <alignment horizontal="center"/>
      <protection hidden="1"/>
    </xf>
    <xf numFmtId="0" fontId="10" fillId="7" borderId="0" xfId="0" applyFont="1" applyFill="1" applyAlignment="1" applyProtection="1">
      <alignment horizontal="center"/>
      <protection hidden="1"/>
    </xf>
    <xf numFmtId="0" fontId="11" fillId="7" borderId="0" xfId="0" applyFont="1" applyFill="1" applyAlignment="1" applyProtection="1">
      <alignment horizontal="center"/>
      <protection hidden="1"/>
    </xf>
    <xf numFmtId="0" fontId="12" fillId="7" borderId="0" xfId="0" applyFont="1" applyFill="1" applyAlignment="1" applyProtection="1">
      <alignment horizontal="center"/>
      <protection hidden="1"/>
    </xf>
    <xf numFmtId="0" fontId="13"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7" fillId="7" borderId="0" xfId="0" applyFont="1" applyFill="1" applyProtection="1">
      <protection hidden="1"/>
    </xf>
    <xf numFmtId="0" fontId="28" fillId="7" borderId="0" xfId="0" applyFont="1" applyFill="1" applyAlignment="1" applyProtection="1">
      <alignment horizontal="center"/>
      <protection hidden="1"/>
    </xf>
    <xf numFmtId="0" fontId="4" fillId="7" borderId="9" xfId="0" applyFont="1" applyFill="1" applyBorder="1" applyAlignment="1" applyProtection="1">
      <alignment horizontal="left" indent="1"/>
      <protection hidden="1"/>
    </xf>
    <xf numFmtId="0" fontId="4" fillId="7" borderId="10" xfId="0" applyFont="1" applyFill="1" applyBorder="1" applyProtection="1">
      <protection hidden="1"/>
    </xf>
    <xf numFmtId="2" fontId="14" fillId="7" borderId="9" xfId="0" applyNumberFormat="1" applyFont="1" applyFill="1" applyBorder="1" applyAlignment="1" applyProtection="1">
      <alignment horizontal="right" indent="1"/>
      <protection hidden="1"/>
    </xf>
    <xf numFmtId="2" fontId="15" fillId="7" borderId="12" xfId="0" applyNumberFormat="1" applyFont="1" applyFill="1" applyBorder="1" applyAlignment="1" applyProtection="1">
      <alignment horizontal="right" indent="1"/>
      <protection hidden="1"/>
    </xf>
    <xf numFmtId="2" fontId="16" fillId="7" borderId="12" xfId="0" applyNumberFormat="1" applyFont="1" applyFill="1" applyBorder="1" applyAlignment="1" applyProtection="1">
      <alignment horizontal="right" indent="1"/>
      <protection hidden="1"/>
    </xf>
    <xf numFmtId="2" fontId="17" fillId="7" borderId="12" xfId="0" applyNumberFormat="1" applyFont="1" applyFill="1" applyBorder="1" applyAlignment="1" applyProtection="1">
      <alignment horizontal="right" indent="1"/>
      <protection hidden="1"/>
    </xf>
    <xf numFmtId="2" fontId="18" fillId="7" borderId="10" xfId="0" applyNumberFormat="1" applyFont="1" applyFill="1" applyBorder="1" applyAlignment="1" applyProtection="1">
      <alignment horizontal="right" indent="1"/>
      <protection hidden="1"/>
    </xf>
    <xf numFmtId="167" fontId="14" fillId="7" borderId="9" xfId="0" applyNumberFormat="1" applyFont="1" applyFill="1" applyBorder="1" applyAlignment="1">
      <alignment horizontal="right" indent="1"/>
    </xf>
    <xf numFmtId="167" fontId="15" fillId="7" borderId="12" xfId="0" applyNumberFormat="1" applyFont="1" applyFill="1" applyBorder="1" applyAlignment="1">
      <alignment horizontal="right" indent="1"/>
    </xf>
    <xf numFmtId="167" fontId="16" fillId="7" borderId="12" xfId="0" applyNumberFormat="1" applyFont="1" applyFill="1" applyBorder="1" applyAlignment="1">
      <alignment horizontal="right" indent="1"/>
    </xf>
    <xf numFmtId="167" fontId="17" fillId="7" borderId="12" xfId="0" applyNumberFormat="1" applyFont="1" applyFill="1" applyBorder="1" applyAlignment="1">
      <alignment horizontal="right" indent="1"/>
    </xf>
    <xf numFmtId="167" fontId="18" fillId="7" borderId="10" xfId="0" applyNumberFormat="1" applyFont="1" applyFill="1" applyBorder="1" applyAlignment="1">
      <alignment horizontal="right" indent="1"/>
    </xf>
    <xf numFmtId="0" fontId="4" fillId="4" borderId="3" xfId="0" applyFont="1" applyFill="1" applyBorder="1" applyAlignment="1" applyProtection="1">
      <alignment horizontal="center"/>
      <protection hidden="1"/>
    </xf>
    <xf numFmtId="0" fontId="4" fillId="4" borderId="6" xfId="0" applyFont="1" applyFill="1" applyBorder="1" applyAlignment="1" applyProtection="1">
      <alignment horizontal="center"/>
      <protection hidden="1"/>
    </xf>
    <xf numFmtId="169" fontId="4" fillId="7" borderId="4" xfId="0" applyNumberFormat="1" applyFont="1" applyFill="1" applyBorder="1" applyAlignment="1" applyProtection="1">
      <alignment horizontal="right" indent="1"/>
      <protection hidden="1"/>
    </xf>
    <xf numFmtId="0" fontId="19" fillId="7" borderId="0" xfId="0" applyFont="1" applyFill="1" applyProtection="1">
      <protection hidden="1"/>
    </xf>
    <xf numFmtId="0" fontId="22" fillId="7" borderId="0" xfId="0" applyFont="1" applyFill="1" applyProtection="1">
      <protection hidden="1"/>
    </xf>
    <xf numFmtId="0" fontId="37" fillId="4" borderId="0" xfId="0" applyFont="1" applyFill="1" applyProtection="1">
      <protection hidden="1"/>
    </xf>
    <xf numFmtId="0" fontId="26" fillId="4" borderId="0" xfId="0" applyFont="1" applyFill="1" applyAlignment="1" applyProtection="1">
      <alignment horizontal="center" vertical="center" wrapText="1"/>
      <protection hidden="1"/>
    </xf>
    <xf numFmtId="0" fontId="36" fillId="7" borderId="0" xfId="0" applyFont="1" applyFill="1" applyAlignment="1" applyProtection="1">
      <alignment horizontal="center"/>
      <protection hidden="1"/>
    </xf>
    <xf numFmtId="164" fontId="4" fillId="4" borderId="3" xfId="0" applyNumberFormat="1" applyFont="1" applyFill="1" applyBorder="1" applyAlignment="1" applyProtection="1">
      <alignment horizontal="right" indent="1"/>
      <protection hidden="1"/>
    </xf>
    <xf numFmtId="164" fontId="4" fillId="7" borderId="6" xfId="0" applyNumberFormat="1" applyFont="1" applyFill="1" applyBorder="1" applyAlignment="1" applyProtection="1">
      <alignment horizontal="right" indent="1"/>
      <protection hidden="1"/>
    </xf>
    <xf numFmtId="164" fontId="14" fillId="4" borderId="7" xfId="0" applyNumberFormat="1" applyFont="1" applyFill="1" applyBorder="1" applyAlignment="1" applyProtection="1">
      <alignment horizontal="right" indent="1"/>
      <protection hidden="1"/>
    </xf>
    <xf numFmtId="164" fontId="15" fillId="4" borderId="11" xfId="0" applyNumberFormat="1" applyFont="1" applyFill="1" applyBorder="1" applyAlignment="1" applyProtection="1">
      <alignment horizontal="right" indent="1"/>
      <protection hidden="1"/>
    </xf>
    <xf numFmtId="164" fontId="16" fillId="4" borderId="11" xfId="0" applyNumberFormat="1" applyFont="1" applyFill="1" applyBorder="1" applyAlignment="1" applyProtection="1">
      <alignment horizontal="right" indent="1"/>
      <protection hidden="1"/>
    </xf>
    <xf numFmtId="164" fontId="17" fillId="4" borderId="11" xfId="0" applyNumberFormat="1" applyFont="1" applyFill="1" applyBorder="1" applyAlignment="1" applyProtection="1">
      <alignment horizontal="right" indent="1"/>
      <protection hidden="1"/>
    </xf>
    <xf numFmtId="164" fontId="18" fillId="4" borderId="8" xfId="0" applyNumberFormat="1" applyFont="1" applyFill="1" applyBorder="1" applyAlignment="1" applyProtection="1">
      <alignment horizontal="right" indent="1"/>
      <protection hidden="1"/>
    </xf>
    <xf numFmtId="164" fontId="14" fillId="7" borderId="9" xfId="0" applyNumberFormat="1" applyFont="1" applyFill="1" applyBorder="1" applyAlignment="1" applyProtection="1">
      <alignment horizontal="right" indent="1"/>
      <protection hidden="1"/>
    </xf>
    <xf numFmtId="164" fontId="15" fillId="7" borderId="12" xfId="0" applyNumberFormat="1" applyFont="1" applyFill="1" applyBorder="1" applyAlignment="1" applyProtection="1">
      <alignment horizontal="right" indent="1"/>
      <protection hidden="1"/>
    </xf>
    <xf numFmtId="164" fontId="16" fillId="7" borderId="12" xfId="0" applyNumberFormat="1" applyFont="1" applyFill="1" applyBorder="1" applyAlignment="1" applyProtection="1">
      <alignment horizontal="right" indent="1"/>
      <protection hidden="1"/>
    </xf>
    <xf numFmtId="164" fontId="17" fillId="7" borderId="12" xfId="0" applyNumberFormat="1" applyFont="1" applyFill="1" applyBorder="1" applyAlignment="1" applyProtection="1">
      <alignment horizontal="right" indent="1"/>
      <protection hidden="1"/>
    </xf>
    <xf numFmtId="164" fontId="18" fillId="7" borderId="10" xfId="0" applyNumberFormat="1" applyFont="1" applyFill="1" applyBorder="1" applyAlignment="1" applyProtection="1">
      <alignment horizontal="right" indent="1"/>
      <protection hidden="1"/>
    </xf>
    <xf numFmtId="0" fontId="36" fillId="7" borderId="0" xfId="0" applyFont="1" applyFill="1" applyProtection="1">
      <protection hidden="1"/>
    </xf>
    <xf numFmtId="11" fontId="4" fillId="7" borderId="0" xfId="0" applyNumberFormat="1" applyFont="1" applyFill="1" applyProtection="1">
      <protection hidden="1"/>
    </xf>
    <xf numFmtId="165" fontId="4" fillId="7" borderId="0" xfId="0" applyNumberFormat="1" applyFont="1" applyFill="1" applyProtection="1">
      <protection hidden="1"/>
    </xf>
    <xf numFmtId="166" fontId="4" fillId="7" borderId="0" xfId="0" applyNumberFormat="1" applyFont="1" applyFill="1" applyProtection="1">
      <protection hidden="1"/>
    </xf>
    <xf numFmtId="0" fontId="26" fillId="4" borderId="0" xfId="0" applyFont="1" applyFill="1" applyProtection="1">
      <protection hidden="1"/>
    </xf>
    <xf numFmtId="0" fontId="39" fillId="7" borderId="0" xfId="0" applyFont="1" applyFill="1" applyProtection="1">
      <protection hidden="1"/>
    </xf>
    <xf numFmtId="0" fontId="1" fillId="6" borderId="0" xfId="0" applyFont="1" applyFill="1" applyAlignment="1" applyProtection="1">
      <alignment horizontal="left" indent="1"/>
      <protection hidden="1"/>
    </xf>
    <xf numFmtId="0" fontId="26" fillId="4" borderId="0" xfId="0" applyFont="1" applyFill="1" applyAlignment="1" applyProtection="1">
      <alignment horizontal="left" indent="1"/>
      <protection hidden="1"/>
    </xf>
    <xf numFmtId="0" fontId="26" fillId="7" borderId="0" xfId="0" applyFont="1" applyFill="1" applyAlignment="1" applyProtection="1">
      <alignment horizontal="left" indent="1"/>
      <protection hidden="1"/>
    </xf>
    <xf numFmtId="0" fontId="1" fillId="4" borderId="0" xfId="0" applyFont="1" applyFill="1" applyAlignment="1" applyProtection="1">
      <alignment horizontal="left" indent="1"/>
      <protection hidden="1"/>
    </xf>
    <xf numFmtId="0" fontId="5" fillId="6" borderId="0" xfId="0" applyFont="1" applyFill="1" applyAlignment="1" applyProtection="1">
      <alignment horizontal="left" indent="1"/>
      <protection hidden="1"/>
    </xf>
    <xf numFmtId="0" fontId="4" fillId="7" borderId="0" xfId="0" applyFont="1" applyFill="1" applyAlignment="1" applyProtection="1">
      <alignment horizontal="left" indent="1"/>
      <protection hidden="1"/>
    </xf>
    <xf numFmtId="0" fontId="36" fillId="7" borderId="0" xfId="0" applyFont="1" applyFill="1"/>
    <xf numFmtId="0" fontId="36" fillId="7" borderId="0" xfId="0" applyFont="1" applyFill="1" applyAlignment="1">
      <alignment horizontal="right"/>
    </xf>
    <xf numFmtId="2" fontId="36" fillId="7" borderId="0" xfId="0" applyNumberFormat="1" applyFont="1" applyFill="1"/>
    <xf numFmtId="164" fontId="36" fillId="7" borderId="0" xfId="0" applyNumberFormat="1" applyFont="1" applyFill="1"/>
    <xf numFmtId="167" fontId="36" fillId="7" borderId="0" xfId="0" applyNumberFormat="1" applyFont="1" applyFill="1"/>
    <xf numFmtId="0" fontId="36" fillId="7" borderId="0" xfId="0" quotePrefix="1" applyFont="1" applyFill="1" applyAlignment="1">
      <alignment horizontal="right"/>
    </xf>
    <xf numFmtId="0" fontId="36" fillId="7" borderId="0" xfId="0" applyFont="1" applyFill="1" applyAlignment="1">
      <alignment horizontal="center"/>
    </xf>
    <xf numFmtId="0" fontId="36" fillId="7" borderId="0" xfId="0" quotePrefix="1" applyFont="1" applyFill="1"/>
    <xf numFmtId="164" fontId="14" fillId="5" borderId="1" xfId="0" applyNumberFormat="1" applyFont="1" applyFill="1" applyBorder="1" applyAlignment="1" applyProtection="1">
      <alignment horizontal="right" indent="1"/>
      <protection hidden="1"/>
    </xf>
    <xf numFmtId="164" fontId="15" fillId="5" borderId="13" xfId="0" applyNumberFormat="1" applyFont="1" applyFill="1" applyBorder="1" applyAlignment="1" applyProtection="1">
      <alignment horizontal="right" indent="1"/>
      <protection hidden="1"/>
    </xf>
    <xf numFmtId="164" fontId="16" fillId="5" borderId="13" xfId="0" applyNumberFormat="1" applyFont="1" applyFill="1" applyBorder="1" applyAlignment="1" applyProtection="1">
      <alignment horizontal="right" indent="1"/>
      <protection hidden="1"/>
    </xf>
    <xf numFmtId="164" fontId="17" fillId="5" borderId="13" xfId="0" applyNumberFormat="1" applyFont="1" applyFill="1" applyBorder="1" applyAlignment="1" applyProtection="1">
      <alignment horizontal="right" indent="1"/>
      <protection hidden="1"/>
    </xf>
    <xf numFmtId="164" fontId="18" fillId="5" borderId="2" xfId="0" applyNumberFormat="1" applyFont="1" applyFill="1" applyBorder="1" applyAlignment="1" applyProtection="1">
      <alignment horizontal="right" indent="1"/>
      <protection hidden="1"/>
    </xf>
    <xf numFmtId="0" fontId="38" fillId="7" borderId="0" xfId="0" applyFont="1" applyFill="1" applyProtection="1">
      <protection hidden="1"/>
    </xf>
    <xf numFmtId="0" fontId="0" fillId="7" borderId="0" xfId="0" applyFill="1"/>
    <xf numFmtId="0" fontId="40" fillId="7" borderId="0" xfId="0" applyFont="1" applyFill="1" applyProtection="1">
      <protection hidden="1"/>
    </xf>
    <xf numFmtId="0" fontId="4" fillId="7" borderId="0" xfId="0" applyFont="1" applyFill="1" applyAlignment="1" applyProtection="1">
      <alignment horizontal="right"/>
      <protection hidden="1"/>
    </xf>
    <xf numFmtId="0" fontId="4" fillId="7" borderId="0" xfId="0" applyFont="1" applyFill="1" applyAlignment="1" applyProtection="1">
      <alignment vertical="center" wrapText="1"/>
      <protection hidden="1"/>
    </xf>
    <xf numFmtId="0" fontId="4" fillId="7" borderId="0" xfId="0" applyFont="1" applyFill="1" applyAlignment="1" applyProtection="1">
      <alignment horizontal="center" vertical="center"/>
      <protection hidden="1"/>
    </xf>
    <xf numFmtId="0" fontId="4" fillId="7" borderId="0" xfId="0" applyFont="1" applyFill="1" applyAlignment="1" applyProtection="1">
      <alignment horizontal="center" vertical="center" wrapText="1"/>
      <protection hidden="1"/>
    </xf>
    <xf numFmtId="0" fontId="41" fillId="7" borderId="0" xfId="0" applyFont="1" applyFill="1" applyAlignment="1" applyProtection="1">
      <alignment horizontal="center" vertical="center"/>
      <protection hidden="1"/>
    </xf>
    <xf numFmtId="164" fontId="4" fillId="7" borderId="0" xfId="0" applyNumberFormat="1" applyFont="1" applyFill="1" applyProtection="1">
      <protection hidden="1"/>
    </xf>
    <xf numFmtId="2" fontId="4" fillId="7" borderId="0" xfId="0" applyNumberFormat="1" applyFont="1" applyFill="1" applyAlignment="1" applyProtection="1">
      <alignment horizontal="center"/>
      <protection hidden="1"/>
    </xf>
    <xf numFmtId="171" fontId="4" fillId="7" borderId="0" xfId="0" applyNumberFormat="1" applyFont="1" applyFill="1" applyAlignment="1" applyProtection="1">
      <alignment horizontal="right" vertical="center" wrapText="1"/>
      <protection hidden="1"/>
    </xf>
    <xf numFmtId="167"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protection hidden="1"/>
    </xf>
    <xf numFmtId="164"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wrapText="1"/>
      <protection hidden="1"/>
    </xf>
    <xf numFmtId="0" fontId="4" fillId="7" borderId="0" xfId="0" applyFont="1" applyFill="1" applyAlignment="1" applyProtection="1">
      <alignment horizontal="right" vertical="center" wrapText="1"/>
      <protection hidden="1"/>
    </xf>
    <xf numFmtId="0" fontId="8" fillId="7" borderId="0" xfId="0" applyFont="1" applyFill="1" applyProtection="1">
      <protection hidden="1"/>
    </xf>
    <xf numFmtId="0" fontId="4" fillId="7" borderId="0" xfId="0" quotePrefix="1" applyFont="1" applyFill="1" applyProtection="1">
      <protection hidden="1"/>
    </xf>
    <xf numFmtId="170" fontId="4" fillId="7" borderId="0" xfId="0" applyNumberFormat="1" applyFont="1" applyFill="1" applyProtection="1">
      <protection hidden="1"/>
    </xf>
    <xf numFmtId="0" fontId="0" fillId="8" borderId="0" xfId="0" applyFill="1" applyProtection="1">
      <protection hidden="1"/>
    </xf>
    <xf numFmtId="0" fontId="1" fillId="0" borderId="0" xfId="0" applyFont="1" applyProtection="1">
      <protection hidden="1"/>
    </xf>
    <xf numFmtId="0" fontId="4" fillId="9" borderId="0" xfId="0" applyFont="1" applyFill="1" applyProtection="1">
      <protection hidden="1"/>
    </xf>
    <xf numFmtId="0" fontId="4" fillId="10" borderId="0" xfId="0" applyFont="1" applyFill="1" applyProtection="1">
      <protection hidden="1"/>
    </xf>
    <xf numFmtId="0" fontId="4" fillId="7" borderId="0" xfId="0" applyFont="1" applyFill="1"/>
    <xf numFmtId="0" fontId="0" fillId="7" borderId="1" xfId="0" applyFill="1" applyBorder="1" applyAlignment="1" applyProtection="1">
      <alignment horizontal="center"/>
      <protection hidden="1"/>
    </xf>
    <xf numFmtId="0" fontId="0" fillId="7" borderId="2" xfId="0" applyFill="1" applyBorder="1" applyAlignment="1" applyProtection="1">
      <alignment horizontal="center"/>
      <protection hidden="1"/>
    </xf>
    <xf numFmtId="0" fontId="0" fillId="7" borderId="0" xfId="0" applyFill="1" applyAlignment="1" applyProtection="1">
      <alignment horizontal="left"/>
      <protection hidden="1"/>
    </xf>
    <xf numFmtId="0" fontId="5" fillId="7" borderId="0" xfId="0" applyFont="1" applyFill="1"/>
    <xf numFmtId="0" fontId="1" fillId="7" borderId="0" xfId="0" applyFont="1" applyFill="1"/>
    <xf numFmtId="0" fontId="26" fillId="7" borderId="0" xfId="0" applyFont="1" applyFill="1"/>
    <xf numFmtId="14" fontId="0" fillId="7" borderId="0" xfId="0" applyNumberFormat="1" applyFill="1" applyAlignment="1">
      <alignment horizontal="left"/>
    </xf>
    <xf numFmtId="0" fontId="30" fillId="7" borderId="0" xfId="0" applyFont="1" applyFill="1" applyProtection="1">
      <protection hidden="1"/>
    </xf>
    <xf numFmtId="0" fontId="5" fillId="7" borderId="0" xfId="0" applyFont="1" applyFill="1" applyAlignment="1" applyProtection="1">
      <alignment horizontal="left"/>
      <protection hidden="1"/>
    </xf>
    <xf numFmtId="2" fontId="4" fillId="4" borderId="4" xfId="0" applyNumberFormat="1" applyFont="1" applyFill="1" applyBorder="1" applyAlignment="1" applyProtection="1">
      <alignment horizontal="right" indent="1"/>
      <protection hidden="1"/>
    </xf>
    <xf numFmtId="164" fontId="4" fillId="4" borderId="4" xfId="0" applyNumberFormat="1" applyFont="1" applyFill="1" applyBorder="1" applyAlignment="1" applyProtection="1">
      <alignment horizontal="right" indent="1"/>
      <protection hidden="1"/>
    </xf>
    <xf numFmtId="0" fontId="4" fillId="4" borderId="1" xfId="0" applyFont="1" applyFill="1" applyBorder="1" applyAlignment="1" applyProtection="1">
      <alignment horizontal="left" indent="1"/>
      <protection hidden="1"/>
    </xf>
    <xf numFmtId="0" fontId="4" fillId="4" borderId="2" xfId="0" applyFont="1" applyFill="1" applyBorder="1" applyProtection="1">
      <protection hidden="1"/>
    </xf>
    <xf numFmtId="0" fontId="38" fillId="7" borderId="0" xfId="0" applyFont="1" applyFill="1" applyAlignment="1" applyProtection="1">
      <alignment horizontal="left" indent="1"/>
      <protection hidden="1"/>
    </xf>
    <xf numFmtId="2" fontId="14" fillId="4" borderId="1" xfId="0" applyNumberFormat="1" applyFont="1" applyFill="1" applyBorder="1" applyAlignment="1" applyProtection="1">
      <alignment horizontal="right" indent="1"/>
      <protection hidden="1"/>
    </xf>
    <xf numFmtId="2" fontId="15" fillId="4" borderId="13" xfId="0" applyNumberFormat="1" applyFont="1" applyFill="1" applyBorder="1" applyAlignment="1" applyProtection="1">
      <alignment horizontal="right" indent="1"/>
      <protection hidden="1"/>
    </xf>
    <xf numFmtId="2" fontId="16" fillId="4" borderId="13" xfId="0" applyNumberFormat="1" applyFont="1" applyFill="1" applyBorder="1" applyAlignment="1" applyProtection="1">
      <alignment horizontal="right" indent="1"/>
      <protection hidden="1"/>
    </xf>
    <xf numFmtId="2" fontId="17" fillId="4" borderId="13" xfId="0" applyNumberFormat="1" applyFont="1" applyFill="1" applyBorder="1" applyAlignment="1" applyProtection="1">
      <alignment horizontal="right" indent="1"/>
      <protection hidden="1"/>
    </xf>
    <xf numFmtId="2" fontId="18" fillId="4" borderId="2" xfId="0" applyNumberFormat="1" applyFont="1" applyFill="1" applyBorder="1" applyAlignment="1" applyProtection="1">
      <alignment horizontal="right" indent="1"/>
      <protection hidden="1"/>
    </xf>
    <xf numFmtId="167" fontId="14" fillId="4" borderId="1" xfId="0" applyNumberFormat="1" applyFont="1" applyFill="1" applyBorder="1" applyAlignment="1">
      <alignment horizontal="right" indent="1"/>
    </xf>
    <xf numFmtId="167" fontId="15" fillId="4" borderId="13" xfId="0" applyNumberFormat="1" applyFont="1" applyFill="1" applyBorder="1" applyAlignment="1">
      <alignment horizontal="right" indent="1"/>
    </xf>
    <xf numFmtId="167" fontId="16" fillId="4" borderId="13" xfId="0" applyNumberFormat="1" applyFont="1" applyFill="1" applyBorder="1" applyAlignment="1">
      <alignment horizontal="right" indent="1"/>
    </xf>
    <xf numFmtId="167" fontId="17" fillId="4" borderId="13" xfId="0" applyNumberFormat="1" applyFont="1" applyFill="1" applyBorder="1" applyAlignment="1">
      <alignment horizontal="right" indent="1"/>
    </xf>
    <xf numFmtId="167" fontId="18" fillId="4" borderId="2" xfId="0" applyNumberFormat="1" applyFont="1" applyFill="1" applyBorder="1" applyAlignment="1">
      <alignment horizontal="right" indent="1"/>
    </xf>
    <xf numFmtId="164" fontId="14" fillId="4" borderId="1" xfId="0" applyNumberFormat="1" applyFont="1" applyFill="1" applyBorder="1" applyAlignment="1" applyProtection="1">
      <alignment horizontal="right" indent="1"/>
      <protection hidden="1"/>
    </xf>
    <xf numFmtId="164" fontId="15" fillId="4" borderId="13" xfId="0" applyNumberFormat="1" applyFont="1" applyFill="1" applyBorder="1" applyAlignment="1" applyProtection="1">
      <alignment horizontal="right" indent="1"/>
      <protection hidden="1"/>
    </xf>
    <xf numFmtId="164" fontId="16" fillId="4" borderId="13" xfId="0" applyNumberFormat="1" applyFont="1" applyFill="1" applyBorder="1" applyAlignment="1" applyProtection="1">
      <alignment horizontal="right" indent="1"/>
      <protection hidden="1"/>
    </xf>
    <xf numFmtId="164" fontId="17" fillId="4" borderId="13" xfId="0" applyNumberFormat="1" applyFont="1" applyFill="1" applyBorder="1" applyAlignment="1" applyProtection="1">
      <alignment horizontal="right" indent="1"/>
      <protection hidden="1"/>
    </xf>
    <xf numFmtId="164" fontId="18" fillId="4" borderId="2" xfId="0" applyNumberFormat="1" applyFont="1" applyFill="1" applyBorder="1" applyAlignment="1" applyProtection="1">
      <alignment horizontal="right" indent="1"/>
      <protection hidden="1"/>
    </xf>
    <xf numFmtId="0" fontId="0" fillId="0" borderId="0" xfId="0" applyAlignment="1" applyProtection="1">
      <alignment horizontal="right"/>
      <protection hidden="1"/>
    </xf>
    <xf numFmtId="0" fontId="1" fillId="6" borderId="0" xfId="0" applyFont="1" applyFill="1" applyAlignment="1" applyProtection="1">
      <alignment horizontal="center"/>
      <protection hidden="1"/>
    </xf>
    <xf numFmtId="167" fontId="4" fillId="7" borderId="0" xfId="0" applyNumberFormat="1" applyFont="1" applyFill="1" applyProtection="1">
      <protection hidden="1"/>
    </xf>
    <xf numFmtId="0" fontId="9" fillId="7" borderId="0" xfId="0" applyFont="1" applyFill="1" applyAlignment="1" applyProtection="1">
      <alignment horizontal="left" indent="1"/>
      <protection hidden="1"/>
    </xf>
    <xf numFmtId="0" fontId="10" fillId="7" borderId="0" xfId="0" applyFont="1" applyFill="1" applyAlignment="1" applyProtection="1">
      <alignment horizontal="left" indent="1"/>
      <protection hidden="1"/>
    </xf>
    <xf numFmtId="0" fontId="11" fillId="7" borderId="0" xfId="0" applyFont="1" applyFill="1" applyAlignment="1" applyProtection="1">
      <alignment horizontal="left" indent="1"/>
      <protection hidden="1"/>
    </xf>
    <xf numFmtId="0" fontId="12" fillId="7" borderId="0" xfId="0" applyFont="1" applyFill="1" applyAlignment="1" applyProtection="1">
      <alignment horizontal="left" indent="1"/>
      <protection hidden="1"/>
    </xf>
    <xf numFmtId="0" fontId="13" fillId="7" borderId="0" xfId="0" applyFont="1" applyFill="1" applyAlignment="1" applyProtection="1">
      <alignment horizontal="left" indent="1"/>
      <protection hidden="1"/>
    </xf>
    <xf numFmtId="2" fontId="0" fillId="2" borderId="0" xfId="0" applyNumberFormat="1" applyFill="1" applyAlignment="1" applyProtection="1">
      <alignment horizontal="center"/>
      <protection locked="0"/>
    </xf>
    <xf numFmtId="0" fontId="0" fillId="2" borderId="0" xfId="0" applyFill="1" applyAlignment="1" applyProtection="1">
      <alignment horizontal="center"/>
      <protection locked="0"/>
    </xf>
    <xf numFmtId="0" fontId="4" fillId="3" borderId="0" xfId="0" applyFont="1" applyFill="1" applyAlignment="1" applyProtection="1">
      <alignment horizontal="center"/>
      <protection locked="0"/>
    </xf>
    <xf numFmtId="164" fontId="0" fillId="3" borderId="0" xfId="0" applyNumberFormat="1" applyFill="1" applyAlignment="1" applyProtection="1">
      <alignment horizontal="center"/>
      <protection locked="0"/>
    </xf>
    <xf numFmtId="2" fontId="1" fillId="2" borderId="0" xfId="0" applyNumberFormat="1" applyFont="1" applyFill="1" applyAlignment="1" applyProtection="1">
      <alignment horizontal="center"/>
      <protection hidden="1"/>
    </xf>
    <xf numFmtId="2" fontId="5" fillId="11" borderId="0" xfId="0" applyNumberFormat="1" applyFont="1" applyFill="1" applyAlignment="1" applyProtection="1">
      <alignment horizontal="center"/>
      <protection hidden="1"/>
    </xf>
    <xf numFmtId="0" fontId="0" fillId="7" borderId="11" xfId="0" applyFill="1" applyBorder="1" applyProtection="1">
      <protection hidden="1"/>
    </xf>
    <xf numFmtId="0" fontId="0" fillId="7" borderId="12" xfId="0" applyFill="1" applyBorder="1" applyProtection="1">
      <protection hidden="1"/>
    </xf>
    <xf numFmtId="0" fontId="8" fillId="7" borderId="0" xfId="0" applyFont="1" applyFill="1" applyAlignment="1" applyProtection="1">
      <alignment horizontal="left" indent="1"/>
      <protection hidden="1"/>
    </xf>
    <xf numFmtId="0" fontId="4" fillId="4" borderId="11" xfId="0" applyFont="1" applyFill="1" applyBorder="1" applyProtection="1">
      <protection hidden="1"/>
    </xf>
    <xf numFmtId="0" fontId="4" fillId="7" borderId="12" xfId="0" applyFont="1" applyFill="1" applyBorder="1" applyProtection="1">
      <protection hidden="1"/>
    </xf>
    <xf numFmtId="2" fontId="4" fillId="4" borderId="8" xfId="0" applyNumberFormat="1" applyFont="1" applyFill="1" applyBorder="1" applyAlignment="1" applyProtection="1">
      <alignment horizontal="right" indent="1"/>
      <protection hidden="1"/>
    </xf>
    <xf numFmtId="2" fontId="4" fillId="7" borderId="10" xfId="0" applyNumberFormat="1" applyFont="1" applyFill="1" applyBorder="1" applyAlignment="1" applyProtection="1">
      <alignment horizontal="right" indent="1"/>
      <protection hidden="1"/>
    </xf>
    <xf numFmtId="0" fontId="0" fillId="7" borderId="0" xfId="0" applyFill="1" applyAlignment="1" applyProtection="1">
      <alignment horizontal="right" indent="1"/>
      <protection hidden="1"/>
    </xf>
    <xf numFmtId="0" fontId="26" fillId="7" borderId="14" xfId="0" applyFont="1" applyFill="1" applyBorder="1" applyAlignment="1" applyProtection="1">
      <alignment horizontal="left" vertical="center"/>
      <protection hidden="1"/>
    </xf>
    <xf numFmtId="0" fontId="26" fillId="7" borderId="7" xfId="0" applyFont="1" applyFill="1" applyBorder="1" applyAlignment="1" applyProtection="1">
      <alignment horizontal="left" vertical="center"/>
      <protection hidden="1"/>
    </xf>
    <xf numFmtId="0" fontId="26" fillId="7" borderId="9" xfId="0" applyFont="1" applyFill="1" applyBorder="1" applyAlignment="1" applyProtection="1">
      <alignment horizontal="left" vertical="center"/>
      <protection hidden="1"/>
    </xf>
    <xf numFmtId="166" fontId="4" fillId="4" borderId="4" xfId="0" applyNumberFormat="1" applyFont="1" applyFill="1" applyBorder="1" applyAlignment="1" applyProtection="1">
      <alignment horizontal="right" indent="1"/>
      <protection hidden="1"/>
    </xf>
    <xf numFmtId="166" fontId="14" fillId="4" borderId="1" xfId="0" applyNumberFormat="1" applyFont="1" applyFill="1" applyBorder="1" applyAlignment="1" applyProtection="1">
      <alignment horizontal="right" indent="1"/>
      <protection hidden="1"/>
    </xf>
    <xf numFmtId="166" fontId="15" fillId="4" borderId="13" xfId="0" applyNumberFormat="1" applyFont="1" applyFill="1" applyBorder="1" applyAlignment="1" applyProtection="1">
      <alignment horizontal="right" indent="1"/>
      <protection hidden="1"/>
    </xf>
    <xf numFmtId="166" fontId="16" fillId="4" borderId="13" xfId="0" applyNumberFormat="1" applyFont="1" applyFill="1" applyBorder="1" applyAlignment="1" applyProtection="1">
      <alignment horizontal="right" indent="1"/>
      <protection hidden="1"/>
    </xf>
    <xf numFmtId="166" fontId="17" fillId="4" borderId="13" xfId="0" applyNumberFormat="1" applyFont="1" applyFill="1" applyBorder="1" applyAlignment="1" applyProtection="1">
      <alignment horizontal="right" indent="1"/>
      <protection hidden="1"/>
    </xf>
    <xf numFmtId="166" fontId="18" fillId="4" borderId="2" xfId="0" applyNumberFormat="1" applyFont="1" applyFill="1" applyBorder="1" applyAlignment="1" applyProtection="1">
      <alignment horizontal="right" indent="1"/>
      <protection hidden="1"/>
    </xf>
    <xf numFmtId="0" fontId="0" fillId="4" borderId="7" xfId="0" applyFill="1" applyBorder="1" applyProtection="1">
      <protection hidden="1"/>
    </xf>
    <xf numFmtId="0" fontId="0" fillId="4" borderId="14" xfId="0" applyFill="1" applyBorder="1" applyProtection="1">
      <protection hidden="1"/>
    </xf>
    <xf numFmtId="0" fontId="0" fillId="4" borderId="14" xfId="0" applyFill="1" applyBorder="1" applyAlignment="1" applyProtection="1">
      <alignment horizontal="left" indent="1"/>
      <protection hidden="1"/>
    </xf>
    <xf numFmtId="0" fontId="0" fillId="4" borderId="9" xfId="0" applyFill="1" applyBorder="1" applyAlignment="1" applyProtection="1">
      <alignment horizontal="left" indent="1"/>
      <protection hidden="1"/>
    </xf>
    <xf numFmtId="0" fontId="26" fillId="7" borderId="0" xfId="0" applyFont="1" applyFill="1" applyAlignment="1" applyProtection="1">
      <alignment horizontal="left" vertical="center" indent="1"/>
      <protection hidden="1"/>
    </xf>
    <xf numFmtId="0" fontId="1" fillId="6" borderId="0" xfId="0" applyFont="1" applyFill="1" applyAlignment="1" applyProtection="1">
      <alignment horizontal="left" vertical="center" indent="1"/>
      <protection hidden="1"/>
    </xf>
    <xf numFmtId="0" fontId="0" fillId="0" borderId="0" xfId="0" applyAlignment="1" applyProtection="1">
      <alignment horizontal="center"/>
      <protection hidden="1"/>
    </xf>
    <xf numFmtId="0" fontId="1" fillId="6" borderId="0" xfId="0" applyFont="1" applyFill="1" applyAlignment="1" applyProtection="1">
      <alignment horizontal="left"/>
      <protection hidden="1"/>
    </xf>
    <xf numFmtId="0" fontId="49" fillId="4" borderId="0" xfId="0" applyFont="1" applyFill="1" applyAlignment="1" applyProtection="1">
      <alignment horizontal="center" vertical="center"/>
      <protection hidden="1"/>
    </xf>
    <xf numFmtId="2" fontId="4" fillId="4" borderId="3" xfId="0" applyNumberFormat="1" applyFont="1" applyFill="1" applyBorder="1" applyAlignment="1" applyProtection="1">
      <alignment horizontal="right" indent="1"/>
      <protection hidden="1"/>
    </xf>
    <xf numFmtId="2" fontId="4" fillId="7" borderId="6" xfId="0" applyNumberFormat="1" applyFont="1" applyFill="1" applyBorder="1" applyAlignment="1" applyProtection="1">
      <alignment horizontal="right" indent="1"/>
      <protection hidden="1"/>
    </xf>
    <xf numFmtId="0" fontId="7" fillId="4" borderId="0" xfId="0" applyFont="1" applyFill="1" applyAlignment="1" applyProtection="1">
      <alignment horizontal="right"/>
      <protection hidden="1"/>
    </xf>
    <xf numFmtId="0" fontId="0" fillId="4" borderId="0" xfId="0" applyFill="1" applyAlignment="1" applyProtection="1">
      <alignment horizontal="left" indent="1"/>
      <protection hidden="1"/>
    </xf>
    <xf numFmtId="166" fontId="36" fillId="7" borderId="0" xfId="0" applyNumberFormat="1" applyFont="1" applyFill="1" applyProtection="1">
      <protection hidden="1"/>
    </xf>
    <xf numFmtId="0" fontId="21" fillId="7" borderId="0" xfId="0" quotePrefix="1" applyFont="1" applyFill="1" applyAlignment="1" applyProtection="1">
      <alignment horizontal="center"/>
      <protection hidden="1"/>
    </xf>
    <xf numFmtId="0" fontId="38" fillId="7" borderId="1" xfId="0" applyFont="1" applyFill="1" applyBorder="1" applyAlignment="1" applyProtection="1">
      <alignment horizontal="center"/>
      <protection hidden="1"/>
    </xf>
    <xf numFmtId="0" fontId="38" fillId="7" borderId="2" xfId="0" applyFont="1" applyFill="1" applyBorder="1" applyAlignment="1" applyProtection="1">
      <alignment horizontal="center"/>
      <protection hidden="1"/>
    </xf>
    <xf numFmtId="0" fontId="0" fillId="2" borderId="0" xfId="0" applyFill="1" applyAlignment="1" applyProtection="1">
      <alignment horizontal="center"/>
      <protection locked="0"/>
    </xf>
    <xf numFmtId="0" fontId="6" fillId="7" borderId="0" xfId="0" applyFont="1" applyFill="1" applyAlignment="1" applyProtection="1">
      <alignment horizontal="center"/>
      <protection hidden="1"/>
    </xf>
    <xf numFmtId="0" fontId="8"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6" fillId="7" borderId="0" xfId="0" applyFont="1" applyFill="1" applyAlignment="1" applyProtection="1">
      <alignment horizontal="left"/>
      <protection hidden="1"/>
    </xf>
    <xf numFmtId="0" fontId="6" fillId="7" borderId="15" xfId="0" applyFont="1" applyFill="1" applyBorder="1" applyAlignment="1" applyProtection="1">
      <alignment horizontal="center"/>
      <protection hidden="1"/>
    </xf>
    <xf numFmtId="0" fontId="1" fillId="2" borderId="1" xfId="0" applyFont="1" applyFill="1" applyBorder="1" applyAlignment="1" applyProtection="1">
      <alignment horizontal="center"/>
      <protection locked="0"/>
    </xf>
    <xf numFmtId="0" fontId="1" fillId="2" borderId="2" xfId="0" applyFont="1" applyFill="1" applyBorder="1" applyAlignment="1" applyProtection="1">
      <alignment horizontal="center"/>
      <protection locked="0"/>
    </xf>
    <xf numFmtId="0" fontId="1" fillId="2" borderId="0" xfId="0" applyFont="1" applyFill="1" applyAlignment="1" applyProtection="1">
      <alignment horizontal="center"/>
      <protection locked="0"/>
    </xf>
    <xf numFmtId="0" fontId="43" fillId="4" borderId="1" xfId="0" applyFont="1" applyFill="1" applyBorder="1" applyAlignment="1" applyProtection="1">
      <alignment horizontal="center"/>
      <protection hidden="1"/>
    </xf>
    <xf numFmtId="0" fontId="43" fillId="4" borderId="2" xfId="0" applyFont="1" applyFill="1" applyBorder="1" applyAlignment="1" applyProtection="1">
      <alignment horizontal="center"/>
      <protection hidden="1"/>
    </xf>
    <xf numFmtId="0" fontId="43" fillId="4" borderId="1" xfId="0" applyFont="1" applyFill="1" applyBorder="1" applyAlignment="1" applyProtection="1">
      <alignment horizontal="center" vertical="center" wrapText="1"/>
      <protection hidden="1"/>
    </xf>
    <xf numFmtId="0" fontId="43" fillId="4" borderId="2" xfId="0" applyFont="1" applyFill="1" applyBorder="1" applyAlignment="1" applyProtection="1">
      <alignment horizontal="center" vertical="center" wrapText="1"/>
      <protection hidden="1"/>
    </xf>
    <xf numFmtId="0" fontId="0" fillId="7" borderId="7" xfId="0" applyFill="1" applyBorder="1" applyAlignment="1" applyProtection="1">
      <alignment horizontal="center" vertical="center"/>
      <protection hidden="1"/>
    </xf>
    <xf numFmtId="0" fontId="0" fillId="7" borderId="8" xfId="0" applyFill="1" applyBorder="1" applyAlignment="1" applyProtection="1">
      <alignment horizontal="center" vertical="center"/>
      <protection hidden="1"/>
    </xf>
    <xf numFmtId="0" fontId="0" fillId="7" borderId="9" xfId="0" applyFill="1" applyBorder="1" applyAlignment="1" applyProtection="1">
      <alignment horizontal="center" vertical="center"/>
      <protection hidden="1"/>
    </xf>
    <xf numFmtId="0" fontId="0" fillId="7" borderId="10" xfId="0" applyFill="1" applyBorder="1" applyAlignment="1" applyProtection="1">
      <alignment horizontal="center" vertical="center"/>
      <protection hidden="1"/>
    </xf>
    <xf numFmtId="0" fontId="0" fillId="4" borderId="7" xfId="0" applyFill="1" applyBorder="1" applyAlignment="1" applyProtection="1">
      <alignment horizontal="center" vertical="center"/>
      <protection hidden="1"/>
    </xf>
    <xf numFmtId="0" fontId="0" fillId="4" borderId="8" xfId="0" applyFill="1" applyBorder="1" applyAlignment="1" applyProtection="1">
      <alignment horizontal="center" vertical="center"/>
      <protection hidden="1"/>
    </xf>
    <xf numFmtId="0" fontId="26" fillId="7" borderId="0" xfId="0" applyFont="1" applyFill="1" applyAlignment="1" applyProtection="1">
      <alignment horizontal="center" wrapText="1"/>
      <protection hidden="1"/>
    </xf>
    <xf numFmtId="0" fontId="0" fillId="7" borderId="0" xfId="0" applyFill="1" applyAlignment="1" applyProtection="1">
      <alignment horizontal="center"/>
      <protection hidden="1"/>
    </xf>
  </cellXfs>
  <cellStyles count="1">
    <cellStyle name="Standard" xfId="0" builtinId="0"/>
  </cellStyles>
  <dxfs count="26">
    <dxf>
      <font>
        <b/>
        <i val="0"/>
        <color auto="1"/>
      </font>
      <fill>
        <patternFill>
          <bgColor rgb="FFFF0000"/>
        </patternFill>
      </fill>
    </dxf>
    <dxf>
      <font>
        <color rgb="FFFF0000"/>
      </font>
    </dxf>
    <dxf>
      <font>
        <b/>
        <i val="0"/>
      </font>
      <fill>
        <patternFill>
          <bgColor rgb="FFFF0000"/>
        </patternFill>
      </fill>
    </dxf>
    <dxf>
      <font>
        <color rgb="FFFF0000"/>
      </font>
    </dxf>
    <dxf>
      <font>
        <color rgb="FFFF0000"/>
      </font>
    </dxf>
    <dxf>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mruColors>
      <color rgb="FF0000FF"/>
      <color rgb="FF2B4D89"/>
      <color rgb="FF70AD47"/>
      <color rgb="FFC7D5ED"/>
      <color rgb="FF8EA9DB"/>
      <color rgb="FF8EA9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Calculations!$Y$15</c:f>
          <c:strCache>
            <c:ptCount val="1"/>
            <c:pt idx="0">
              <c:v>Enter a title for your data, Test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Calculations!$Y$20</c:f>
              <c:strCache>
                <c:ptCount val="1"/>
                <c:pt idx="0">
                  <c:v>Radiometric</c:v>
                </c:pt>
              </c:strCache>
            </c:strRef>
          </c:tx>
          <c:spPr>
            <a:ln w="19050" cap="rnd">
              <a:solidFill>
                <a:schemeClr val="accent1"/>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Calculations!$Y$21:$Y$421</c:f>
              <c:numCache>
                <c:formatCode>General</c:formatCode>
                <c:ptCount val="401"/>
                <c:pt idx="0">
                  <c:v>1.19488495148103E-3</c:v>
                </c:pt>
                <c:pt idx="1">
                  <c:v>1.0998940975976001E-3</c:v>
                </c:pt>
                <c:pt idx="2">
                  <c:v>1.0099027623396201E-3</c:v>
                </c:pt>
                <c:pt idx="3">
                  <c:v>9.6990661333607104E-4</c:v>
                </c:pt>
                <c:pt idx="4">
                  <c:v>9.7990565058695897E-4</c:v>
                </c:pt>
                <c:pt idx="5">
                  <c:v>1.0149022809650601E-3</c:v>
                </c:pt>
                <c:pt idx="6">
                  <c:v>1.0598979485940501E-3</c:v>
                </c:pt>
                <c:pt idx="7">
                  <c:v>1.1148926534739301E-3</c:v>
                </c:pt>
                <c:pt idx="8">
                  <c:v>1.15988832110293E-3</c:v>
                </c:pt>
                <c:pt idx="9">
                  <c:v>1.19988447010648E-3</c:v>
                </c:pt>
                <c:pt idx="10">
                  <c:v>1.21488302598281E-3</c:v>
                </c:pt>
                <c:pt idx="11">
                  <c:v>1.19988447010648E-3</c:v>
                </c:pt>
                <c:pt idx="12">
                  <c:v>1.14988928385204E-3</c:v>
                </c:pt>
                <c:pt idx="13">
                  <c:v>1.0998940975976001E-3</c:v>
                </c:pt>
                <c:pt idx="14">
                  <c:v>1.0848955417212701E-3</c:v>
                </c:pt>
                <c:pt idx="15">
                  <c:v>1.11989217209938E-3</c:v>
                </c:pt>
                <c:pt idx="16">
                  <c:v>1.20988350735736E-3</c:v>
                </c:pt>
                <c:pt idx="17">
                  <c:v>1.34987002886979E-3</c:v>
                </c:pt>
                <c:pt idx="18">
                  <c:v>1.4998555876331E-3</c:v>
                </c:pt>
                <c:pt idx="19">
                  <c:v>1.6498411463964099E-3</c:v>
                </c:pt>
                <c:pt idx="20">
                  <c:v>1.7948271865342699E-3</c:v>
                </c:pt>
                <c:pt idx="21">
                  <c:v>1.9048165962940299E-3</c:v>
                </c:pt>
                <c:pt idx="22">
                  <c:v>1.9498122639230299E-3</c:v>
                </c:pt>
                <c:pt idx="23">
                  <c:v>1.9348137080466999E-3</c:v>
                </c:pt>
                <c:pt idx="24">
                  <c:v>1.9248146707958099E-3</c:v>
                </c:pt>
                <c:pt idx="25">
                  <c:v>1.8798190031668099E-3</c:v>
                </c:pt>
                <c:pt idx="26">
                  <c:v>1.8398228541632699E-3</c:v>
                </c:pt>
                <c:pt idx="27">
                  <c:v>1.8398228541632699E-3</c:v>
                </c:pt>
                <c:pt idx="28">
                  <c:v>1.8648204472904799E-3</c:v>
                </c:pt>
                <c:pt idx="29">
                  <c:v>1.8948175590431499E-3</c:v>
                </c:pt>
                <c:pt idx="30">
                  <c:v>1.9148156335449199E-3</c:v>
                </c:pt>
                <c:pt idx="31">
                  <c:v>1.9348137080466999E-3</c:v>
                </c:pt>
                <c:pt idx="32">
                  <c:v>1.9548117825484699E-3</c:v>
                </c:pt>
                <c:pt idx="33">
                  <c:v>1.9748098570502399E-3</c:v>
                </c:pt>
                <c:pt idx="34">
                  <c:v>1.9848088943011299E-3</c:v>
                </c:pt>
                <c:pt idx="35">
                  <c:v>1.9948079315520199E-3</c:v>
                </c:pt>
                <c:pt idx="36">
                  <c:v>1.9998074501774601E-3</c:v>
                </c:pt>
                <c:pt idx="37">
                  <c:v>1.9598113011739101E-3</c:v>
                </c:pt>
                <c:pt idx="38">
                  <c:v>1.9198151521703599E-3</c:v>
                </c:pt>
                <c:pt idx="39">
                  <c:v>1.9148156335449199E-3</c:v>
                </c:pt>
                <c:pt idx="40">
                  <c:v>1.9198151521703599E-3</c:v>
                </c:pt>
                <c:pt idx="41">
                  <c:v>1.9198151521703599E-3</c:v>
                </c:pt>
                <c:pt idx="42">
                  <c:v>1.9148156335449199E-3</c:v>
                </c:pt>
                <c:pt idx="43">
                  <c:v>1.8998170776685899E-3</c:v>
                </c:pt>
                <c:pt idx="44">
                  <c:v>1.8798190031668099E-3</c:v>
                </c:pt>
                <c:pt idx="45">
                  <c:v>1.8598209286650399E-3</c:v>
                </c:pt>
                <c:pt idx="46">
                  <c:v>1.8248242982869299E-3</c:v>
                </c:pt>
                <c:pt idx="47">
                  <c:v>1.7798286306579399E-3</c:v>
                </c:pt>
                <c:pt idx="48">
                  <c:v>1.7198344071526199E-3</c:v>
                </c:pt>
                <c:pt idx="49">
                  <c:v>1.64484162777096E-3</c:v>
                </c:pt>
                <c:pt idx="50">
                  <c:v>1.59484644151653E-3</c:v>
                </c:pt>
                <c:pt idx="51">
                  <c:v>1.6148445160183E-3</c:v>
                </c:pt>
                <c:pt idx="52">
                  <c:v>1.68483777677451E-3</c:v>
                </c:pt>
                <c:pt idx="53">
                  <c:v>1.7648300747816099E-3</c:v>
                </c:pt>
                <c:pt idx="54">
                  <c:v>1.8298238169123799E-3</c:v>
                </c:pt>
                <c:pt idx="55">
                  <c:v>1.8698199659159299E-3</c:v>
                </c:pt>
                <c:pt idx="56">
                  <c:v>1.8748194845413699E-3</c:v>
                </c:pt>
                <c:pt idx="57">
                  <c:v>1.8698199659159299E-3</c:v>
                </c:pt>
                <c:pt idx="58">
                  <c:v>1.8798190031668099E-3</c:v>
                </c:pt>
                <c:pt idx="59">
                  <c:v>1.8998170776685899E-3</c:v>
                </c:pt>
                <c:pt idx="60">
                  <c:v>1.9398132266721399E-3</c:v>
                </c:pt>
                <c:pt idx="61">
                  <c:v>1.9998074501774601E-3</c:v>
                </c:pt>
                <c:pt idx="62">
                  <c:v>2.0448031178064599E-3</c:v>
                </c:pt>
                <c:pt idx="63">
                  <c:v>2.0548021550573399E-3</c:v>
                </c:pt>
                <c:pt idx="64">
                  <c:v>2.0348040805555699E-3</c:v>
                </c:pt>
                <c:pt idx="65">
                  <c:v>2.0298045619301201E-3</c:v>
                </c:pt>
                <c:pt idx="66">
                  <c:v>2.0398035991810101E-3</c:v>
                </c:pt>
                <c:pt idx="67">
                  <c:v>2.0548021550573399E-3</c:v>
                </c:pt>
                <c:pt idx="68">
                  <c:v>2.0847992668099999E-3</c:v>
                </c:pt>
                <c:pt idx="69">
                  <c:v>2.1147963785626699E-3</c:v>
                </c:pt>
                <c:pt idx="70">
                  <c:v>2.1447934903153299E-3</c:v>
                </c:pt>
                <c:pt idx="71">
                  <c:v>2.1647915648170999E-3</c:v>
                </c:pt>
                <c:pt idx="72">
                  <c:v>2.1497930089407701E-3</c:v>
                </c:pt>
                <c:pt idx="73">
                  <c:v>2.1197958971881101E-3</c:v>
                </c:pt>
                <c:pt idx="74">
                  <c:v>2.0997978226863401E-3</c:v>
                </c:pt>
                <c:pt idx="75">
                  <c:v>2.1047973413117799E-3</c:v>
                </c:pt>
                <c:pt idx="76">
                  <c:v>2.1097968599372201E-3</c:v>
                </c:pt>
                <c:pt idx="77">
                  <c:v>2.1147963785626699E-3</c:v>
                </c:pt>
                <c:pt idx="78">
                  <c:v>2.1097968599372201E-3</c:v>
                </c:pt>
                <c:pt idx="79">
                  <c:v>2.0997978226863401E-3</c:v>
                </c:pt>
                <c:pt idx="80">
                  <c:v>2.0947983040608899E-3</c:v>
                </c:pt>
                <c:pt idx="81">
                  <c:v>2.0997978226863401E-3</c:v>
                </c:pt>
                <c:pt idx="82">
                  <c:v>2.0897987854354501E-3</c:v>
                </c:pt>
                <c:pt idx="83">
                  <c:v>2.0847992668099999E-3</c:v>
                </c:pt>
                <c:pt idx="84">
                  <c:v>2.0648011923082299E-3</c:v>
                </c:pt>
                <c:pt idx="85">
                  <c:v>2.0498026364319001E-3</c:v>
                </c:pt>
                <c:pt idx="86">
                  <c:v>2.0298045619301201E-3</c:v>
                </c:pt>
                <c:pt idx="87">
                  <c:v>2.0098064874283501E-3</c:v>
                </c:pt>
                <c:pt idx="88">
                  <c:v>1.9998074501774601E-3</c:v>
                </c:pt>
                <c:pt idx="89">
                  <c:v>1.9998074501774601E-3</c:v>
                </c:pt>
                <c:pt idx="90">
                  <c:v>1.9898084129265801E-3</c:v>
                </c:pt>
                <c:pt idx="91">
                  <c:v>1.9748098570502399E-3</c:v>
                </c:pt>
                <c:pt idx="92">
                  <c:v>1.9648108197993599E-3</c:v>
                </c:pt>
                <c:pt idx="93">
                  <c:v>1.9698103384248001E-3</c:v>
                </c:pt>
                <c:pt idx="94">
                  <c:v>1.9748098570502399E-3</c:v>
                </c:pt>
                <c:pt idx="95">
                  <c:v>1.9798093756756901E-3</c:v>
                </c:pt>
                <c:pt idx="96">
                  <c:v>1.9698103384248001E-3</c:v>
                </c:pt>
                <c:pt idx="97">
                  <c:v>1.9698103384248001E-3</c:v>
                </c:pt>
                <c:pt idx="98">
                  <c:v>1.9698103384248001E-3</c:v>
                </c:pt>
                <c:pt idx="99">
                  <c:v>1.9748098570502399E-3</c:v>
                </c:pt>
                <c:pt idx="100">
                  <c:v>1.9748098570502399E-3</c:v>
                </c:pt>
                <c:pt idx="101">
                  <c:v>1.9598113011739101E-3</c:v>
                </c:pt>
                <c:pt idx="102">
                  <c:v>1.9498122639230299E-3</c:v>
                </c:pt>
                <c:pt idx="103">
                  <c:v>1.9248146707958099E-3</c:v>
                </c:pt>
                <c:pt idx="104">
                  <c:v>1.8748194845413699E-3</c:v>
                </c:pt>
                <c:pt idx="105">
                  <c:v>1.8148252610360499E-3</c:v>
                </c:pt>
                <c:pt idx="106">
                  <c:v>1.7748291120324999E-3</c:v>
                </c:pt>
                <c:pt idx="107">
                  <c:v>1.7648300747816099E-3</c:v>
                </c:pt>
                <c:pt idx="108">
                  <c:v>1.7748291120324999E-3</c:v>
                </c:pt>
                <c:pt idx="109">
                  <c:v>1.7998267051597199E-3</c:v>
                </c:pt>
                <c:pt idx="110">
                  <c:v>1.8198247796614899E-3</c:v>
                </c:pt>
                <c:pt idx="111">
                  <c:v>1.8298238169123799E-3</c:v>
                </c:pt>
                <c:pt idx="112">
                  <c:v>1.8248242982869299E-3</c:v>
                </c:pt>
                <c:pt idx="113">
                  <c:v>1.8198247796614899E-3</c:v>
                </c:pt>
                <c:pt idx="114">
                  <c:v>1.8248242982869299E-3</c:v>
                </c:pt>
                <c:pt idx="115">
                  <c:v>1.8248242982869299E-3</c:v>
                </c:pt>
                <c:pt idx="116">
                  <c:v>1.8248242982869299E-3</c:v>
                </c:pt>
                <c:pt idx="117">
                  <c:v>1.8098257424105999E-3</c:v>
                </c:pt>
                <c:pt idx="118">
                  <c:v>1.7898276679088299E-3</c:v>
                </c:pt>
                <c:pt idx="119">
                  <c:v>1.7648300747816099E-3</c:v>
                </c:pt>
                <c:pt idx="120">
                  <c:v>1.7348329630289499E-3</c:v>
                </c:pt>
                <c:pt idx="121">
                  <c:v>1.70983536990173E-3</c:v>
                </c:pt>
                <c:pt idx="122">
                  <c:v>1.6948368140254E-3</c:v>
                </c:pt>
                <c:pt idx="123">
                  <c:v>1.6898372953999599E-3</c:v>
                </c:pt>
                <c:pt idx="124">
                  <c:v>1.6898372953999599E-3</c:v>
                </c:pt>
                <c:pt idx="125">
                  <c:v>1.6948368140254E-3</c:v>
                </c:pt>
                <c:pt idx="126">
                  <c:v>1.69983633265084E-3</c:v>
                </c:pt>
                <c:pt idx="127">
                  <c:v>1.69983633265084E-3</c:v>
                </c:pt>
                <c:pt idx="128">
                  <c:v>1.6948368140254E-3</c:v>
                </c:pt>
                <c:pt idx="129">
                  <c:v>1.6948368140254E-3</c:v>
                </c:pt>
                <c:pt idx="130">
                  <c:v>1.6898372953999599E-3</c:v>
                </c:pt>
                <c:pt idx="131">
                  <c:v>1.68483777677451E-3</c:v>
                </c:pt>
                <c:pt idx="132">
                  <c:v>1.66983922089818E-3</c:v>
                </c:pt>
                <c:pt idx="133">
                  <c:v>1.64484162777096E-3</c:v>
                </c:pt>
                <c:pt idx="134">
                  <c:v>1.6148445160183E-3</c:v>
                </c:pt>
                <c:pt idx="135">
                  <c:v>1.57984788564019E-3</c:v>
                </c:pt>
                <c:pt idx="136">
                  <c:v>1.53985173663664E-3</c:v>
                </c:pt>
                <c:pt idx="137">
                  <c:v>1.51485414350943E-3</c:v>
                </c:pt>
                <c:pt idx="138">
                  <c:v>1.50985462488398E-3</c:v>
                </c:pt>
                <c:pt idx="139">
                  <c:v>1.52485318076031E-3</c:v>
                </c:pt>
                <c:pt idx="140">
                  <c:v>1.54485125526209E-3</c:v>
                </c:pt>
                <c:pt idx="141">
                  <c:v>1.55984981113842E-3</c:v>
                </c:pt>
                <c:pt idx="142">
                  <c:v>1.56984884838931E-3</c:v>
                </c:pt>
                <c:pt idx="143">
                  <c:v>1.57484836701475E-3</c:v>
                </c:pt>
                <c:pt idx="144">
                  <c:v>1.56984884838931E-3</c:v>
                </c:pt>
                <c:pt idx="145">
                  <c:v>1.55485029251298E-3</c:v>
                </c:pt>
                <c:pt idx="146">
                  <c:v>1.53985173663664E-3</c:v>
                </c:pt>
                <c:pt idx="147">
                  <c:v>1.5348522180112E-3</c:v>
                </c:pt>
                <c:pt idx="148">
                  <c:v>1.5348522180112E-3</c:v>
                </c:pt>
                <c:pt idx="149">
                  <c:v>1.53985173663664E-3</c:v>
                </c:pt>
                <c:pt idx="150">
                  <c:v>1.54985077388753E-3</c:v>
                </c:pt>
                <c:pt idx="151">
                  <c:v>1.54485125526209E-3</c:v>
                </c:pt>
                <c:pt idx="152">
                  <c:v>1.52985269938576E-3</c:v>
                </c:pt>
                <c:pt idx="153">
                  <c:v>1.51985366213487E-3</c:v>
                </c:pt>
                <c:pt idx="154">
                  <c:v>1.51985366213487E-3</c:v>
                </c:pt>
                <c:pt idx="155">
                  <c:v>1.52485318076031E-3</c:v>
                </c:pt>
                <c:pt idx="156">
                  <c:v>1.52485318076031E-3</c:v>
                </c:pt>
                <c:pt idx="157">
                  <c:v>1.51985366213487E-3</c:v>
                </c:pt>
                <c:pt idx="158">
                  <c:v>1.50485510625854E-3</c:v>
                </c:pt>
                <c:pt idx="159">
                  <c:v>1.48485703175676E-3</c:v>
                </c:pt>
                <c:pt idx="160">
                  <c:v>1.46485895725499E-3</c:v>
                </c:pt>
                <c:pt idx="161">
                  <c:v>1.45985943862955E-3</c:v>
                </c:pt>
                <c:pt idx="162">
                  <c:v>1.45985943862955E-3</c:v>
                </c:pt>
                <c:pt idx="163">
                  <c:v>1.46485895725499E-3</c:v>
                </c:pt>
                <c:pt idx="164">
                  <c:v>1.46485895725499E-3</c:v>
                </c:pt>
                <c:pt idx="165">
                  <c:v>1.4548599200041E-3</c:v>
                </c:pt>
                <c:pt idx="166">
                  <c:v>1.44486088275322E-3</c:v>
                </c:pt>
                <c:pt idx="167">
                  <c:v>1.43986136412777E-3</c:v>
                </c:pt>
                <c:pt idx="168">
                  <c:v>1.43486184550233E-3</c:v>
                </c:pt>
                <c:pt idx="169">
                  <c:v>1.42986232687688E-3</c:v>
                </c:pt>
                <c:pt idx="170">
                  <c:v>1.42986232687688E-3</c:v>
                </c:pt>
                <c:pt idx="171">
                  <c:v>1.42486280825144E-3</c:v>
                </c:pt>
                <c:pt idx="172">
                  <c:v>1.42486280825144E-3</c:v>
                </c:pt>
                <c:pt idx="173">
                  <c:v>1.419863289626E-3</c:v>
                </c:pt>
                <c:pt idx="174">
                  <c:v>1.41486377100055E-3</c:v>
                </c:pt>
                <c:pt idx="175">
                  <c:v>1.40486473374967E-3</c:v>
                </c:pt>
                <c:pt idx="176">
                  <c:v>1.39486569649878E-3</c:v>
                </c:pt>
                <c:pt idx="177">
                  <c:v>1.37986714062245E-3</c:v>
                </c:pt>
                <c:pt idx="178">
                  <c:v>1.35986906612067E-3</c:v>
                </c:pt>
                <c:pt idx="179">
                  <c:v>1.34487051024434E-3</c:v>
                </c:pt>
                <c:pt idx="180">
                  <c:v>1.3398709916189E-3</c:v>
                </c:pt>
                <c:pt idx="181">
                  <c:v>1.33487147299345E-3</c:v>
                </c:pt>
                <c:pt idx="182">
                  <c:v>1.32487243574257E-3</c:v>
                </c:pt>
                <c:pt idx="183">
                  <c:v>1.31487339849168E-3</c:v>
                </c:pt>
                <c:pt idx="184">
                  <c:v>1.30987387986624E-3</c:v>
                </c:pt>
                <c:pt idx="185">
                  <c:v>1.29987484261535E-3</c:v>
                </c:pt>
                <c:pt idx="186">
                  <c:v>1.28987580536446E-3</c:v>
                </c:pt>
                <c:pt idx="187">
                  <c:v>1.27487724948813E-3</c:v>
                </c:pt>
                <c:pt idx="188">
                  <c:v>1.2598786936118E-3</c:v>
                </c:pt>
                <c:pt idx="189">
                  <c:v>1.24987965636091E-3</c:v>
                </c:pt>
                <c:pt idx="190">
                  <c:v>1.23988061911002E-3</c:v>
                </c:pt>
                <c:pt idx="191">
                  <c:v>1.23488110048458E-3</c:v>
                </c:pt>
                <c:pt idx="192">
                  <c:v>1.22988158185914E-3</c:v>
                </c:pt>
                <c:pt idx="193">
                  <c:v>1.22488206323369E-3</c:v>
                </c:pt>
                <c:pt idx="194">
                  <c:v>1.22488206323369E-3</c:v>
                </c:pt>
                <c:pt idx="195">
                  <c:v>1.21488302598281E-3</c:v>
                </c:pt>
                <c:pt idx="196">
                  <c:v>1.20488398873192E-3</c:v>
                </c:pt>
                <c:pt idx="197">
                  <c:v>1.19488495148103E-3</c:v>
                </c:pt>
                <c:pt idx="198">
                  <c:v>1.18988543285559E-3</c:v>
                </c:pt>
                <c:pt idx="199">
                  <c:v>1.19988447010648E-3</c:v>
                </c:pt>
                <c:pt idx="200">
                  <c:v>1.21488302598281E-3</c:v>
                </c:pt>
                <c:pt idx="201">
                  <c:v>1.22988158185914E-3</c:v>
                </c:pt>
                <c:pt idx="202">
                  <c:v>1.23988061911002E-3</c:v>
                </c:pt>
                <c:pt idx="203">
                  <c:v>1.24987965636091E-3</c:v>
                </c:pt>
                <c:pt idx="204">
                  <c:v>1.24987965636091E-3</c:v>
                </c:pt>
                <c:pt idx="205">
                  <c:v>1.23988061911002E-3</c:v>
                </c:pt>
                <c:pt idx="206">
                  <c:v>1.22488206323369E-3</c:v>
                </c:pt>
                <c:pt idx="207">
                  <c:v>1.19988447010648E-3</c:v>
                </c:pt>
                <c:pt idx="208">
                  <c:v>1.17488687697926E-3</c:v>
                </c:pt>
                <c:pt idx="209">
                  <c:v>1.15488880247748E-3</c:v>
                </c:pt>
                <c:pt idx="210">
                  <c:v>1.1448897652266E-3</c:v>
                </c:pt>
                <c:pt idx="211">
                  <c:v>1.1448897652266E-3</c:v>
                </c:pt>
                <c:pt idx="212">
                  <c:v>1.15488880247748E-3</c:v>
                </c:pt>
                <c:pt idx="213">
                  <c:v>1.15988832110293E-3</c:v>
                </c:pt>
                <c:pt idx="214">
                  <c:v>1.15488880247748E-3</c:v>
                </c:pt>
                <c:pt idx="215">
                  <c:v>1.14988928385204E-3</c:v>
                </c:pt>
                <c:pt idx="216">
                  <c:v>1.14988928385204E-3</c:v>
                </c:pt>
                <c:pt idx="217">
                  <c:v>1.1448897652266E-3</c:v>
                </c:pt>
                <c:pt idx="218">
                  <c:v>1.13989024660115E-3</c:v>
                </c:pt>
                <c:pt idx="219">
                  <c:v>1.13489072797571E-3</c:v>
                </c:pt>
                <c:pt idx="220">
                  <c:v>1.13489072797571E-3</c:v>
                </c:pt>
                <c:pt idx="221">
                  <c:v>1.1298912093502601E-3</c:v>
                </c:pt>
                <c:pt idx="222">
                  <c:v>1.12489169072482E-3</c:v>
                </c:pt>
                <c:pt idx="223">
                  <c:v>1.1298912093502601E-3</c:v>
                </c:pt>
                <c:pt idx="224">
                  <c:v>1.13489072797571E-3</c:v>
                </c:pt>
                <c:pt idx="225">
                  <c:v>1.13989024660115E-3</c:v>
                </c:pt>
                <c:pt idx="226">
                  <c:v>1.13989024660115E-3</c:v>
                </c:pt>
                <c:pt idx="227">
                  <c:v>1.13489072797571E-3</c:v>
                </c:pt>
                <c:pt idx="228">
                  <c:v>1.1298912093502601E-3</c:v>
                </c:pt>
                <c:pt idx="229">
                  <c:v>1.12489169072482E-3</c:v>
                </c:pt>
                <c:pt idx="230">
                  <c:v>1.1148926534739301E-3</c:v>
                </c:pt>
                <c:pt idx="231">
                  <c:v>1.10989313484849E-3</c:v>
                </c:pt>
                <c:pt idx="232">
                  <c:v>1.10489361622305E-3</c:v>
                </c:pt>
                <c:pt idx="233">
                  <c:v>1.0998940975976001E-3</c:v>
                </c:pt>
                <c:pt idx="234">
                  <c:v>1.0998940975976001E-3</c:v>
                </c:pt>
                <c:pt idx="235">
                  <c:v>1.09489457897216E-3</c:v>
                </c:pt>
                <c:pt idx="236">
                  <c:v>1.08989506034672E-3</c:v>
                </c:pt>
                <c:pt idx="237">
                  <c:v>1.08989506034672E-3</c:v>
                </c:pt>
                <c:pt idx="238">
                  <c:v>1.09489457897216E-3</c:v>
                </c:pt>
                <c:pt idx="239">
                  <c:v>1.0998940975976001E-3</c:v>
                </c:pt>
                <c:pt idx="240">
                  <c:v>1.10489361622305E-3</c:v>
                </c:pt>
                <c:pt idx="241">
                  <c:v>1.10489361622305E-3</c:v>
                </c:pt>
                <c:pt idx="242">
                  <c:v>1.09489457897216E-3</c:v>
                </c:pt>
                <c:pt idx="243">
                  <c:v>1.0848955417212701E-3</c:v>
                </c:pt>
                <c:pt idx="244">
                  <c:v>1.0698969858449401E-3</c:v>
                </c:pt>
                <c:pt idx="245">
                  <c:v>1.0598979485940501E-3</c:v>
                </c:pt>
                <c:pt idx="246">
                  <c:v>1.0448993927177201E-3</c:v>
                </c:pt>
                <c:pt idx="247">
                  <c:v>1.0349003554668301E-3</c:v>
                </c:pt>
                <c:pt idx="248">
                  <c:v>1.0249013182159501E-3</c:v>
                </c:pt>
                <c:pt idx="249">
                  <c:v>1.0149022809650601E-3</c:v>
                </c:pt>
                <c:pt idx="250">
                  <c:v>1.0149022809650601E-3</c:v>
                </c:pt>
                <c:pt idx="251">
                  <c:v>1.0199017995905001E-3</c:v>
                </c:pt>
                <c:pt idx="252">
                  <c:v>1.0299008368413901E-3</c:v>
                </c:pt>
                <c:pt idx="253">
                  <c:v>1.0398998740922801E-3</c:v>
                </c:pt>
                <c:pt idx="254">
                  <c:v>1.04989891134317E-3</c:v>
                </c:pt>
                <c:pt idx="255">
                  <c:v>1.0548984299686101E-3</c:v>
                </c:pt>
                <c:pt idx="256">
                  <c:v>1.0598979485940501E-3</c:v>
                </c:pt>
                <c:pt idx="257">
                  <c:v>1.0648974672195E-3</c:v>
                </c:pt>
                <c:pt idx="258">
                  <c:v>1.0698969858449401E-3</c:v>
                </c:pt>
                <c:pt idx="259">
                  <c:v>1.0648974672195E-3</c:v>
                </c:pt>
                <c:pt idx="260">
                  <c:v>1.0648974672195E-3</c:v>
                </c:pt>
                <c:pt idx="261">
                  <c:v>1.0648974672195E-3</c:v>
                </c:pt>
                <c:pt idx="262">
                  <c:v>1.0648974672195E-3</c:v>
                </c:pt>
                <c:pt idx="263">
                  <c:v>1.0598979485940501E-3</c:v>
                </c:pt>
                <c:pt idx="264">
                  <c:v>1.0598979485940501E-3</c:v>
                </c:pt>
                <c:pt idx="265">
                  <c:v>1.0548984299686101E-3</c:v>
                </c:pt>
                <c:pt idx="266">
                  <c:v>1.0448993927177201E-3</c:v>
                </c:pt>
                <c:pt idx="267">
                  <c:v>1.0398998740922801E-3</c:v>
                </c:pt>
                <c:pt idx="268">
                  <c:v>1.0299008368413901E-3</c:v>
                </c:pt>
                <c:pt idx="269">
                  <c:v>1.0249013182159501E-3</c:v>
                </c:pt>
                <c:pt idx="270">
                  <c:v>1.0249013182159501E-3</c:v>
                </c:pt>
                <c:pt idx="271">
                  <c:v>1.0299008368413901E-3</c:v>
                </c:pt>
                <c:pt idx="272">
                  <c:v>1.0299008368413901E-3</c:v>
                </c:pt>
                <c:pt idx="273">
                  <c:v>1.0249013182159501E-3</c:v>
                </c:pt>
                <c:pt idx="274">
                  <c:v>1.0049032437141701E-3</c:v>
                </c:pt>
                <c:pt idx="275">
                  <c:v>9.7990565058695897E-4</c:v>
                </c:pt>
                <c:pt idx="276">
                  <c:v>9.6990661333607104E-4</c:v>
                </c:pt>
                <c:pt idx="277">
                  <c:v>9.7490613196151495E-4</c:v>
                </c:pt>
                <c:pt idx="278">
                  <c:v>9.8990468783784593E-4</c:v>
                </c:pt>
                <c:pt idx="279">
                  <c:v>1.0149022809650601E-3</c:v>
                </c:pt>
                <c:pt idx="280">
                  <c:v>1.0349003554668301E-3</c:v>
                </c:pt>
                <c:pt idx="281">
                  <c:v>1.0398998740922801E-3</c:v>
                </c:pt>
                <c:pt idx="282">
                  <c:v>1.0448993927177201E-3</c:v>
                </c:pt>
                <c:pt idx="283">
                  <c:v>1.0398998740922801E-3</c:v>
                </c:pt>
                <c:pt idx="284">
                  <c:v>1.0398998740922801E-3</c:v>
                </c:pt>
                <c:pt idx="285">
                  <c:v>1.0448993927177201E-3</c:v>
                </c:pt>
                <c:pt idx="286">
                  <c:v>1.0448993927177201E-3</c:v>
                </c:pt>
                <c:pt idx="287">
                  <c:v>1.04989891134317E-3</c:v>
                </c:pt>
                <c:pt idx="288">
                  <c:v>1.0448993927177201E-3</c:v>
                </c:pt>
                <c:pt idx="289">
                  <c:v>1.0349003554668301E-3</c:v>
                </c:pt>
                <c:pt idx="290">
                  <c:v>1.0349003554668301E-3</c:v>
                </c:pt>
                <c:pt idx="291">
                  <c:v>1.0299008368413901E-3</c:v>
                </c:pt>
                <c:pt idx="292">
                  <c:v>1.0299008368413901E-3</c:v>
                </c:pt>
                <c:pt idx="293">
                  <c:v>1.0299008368413901E-3</c:v>
                </c:pt>
                <c:pt idx="294">
                  <c:v>1.0299008368413901E-3</c:v>
                </c:pt>
                <c:pt idx="295">
                  <c:v>1.0249013182159501E-3</c:v>
                </c:pt>
                <c:pt idx="296">
                  <c:v>1.0249013182159501E-3</c:v>
                </c:pt>
                <c:pt idx="297">
                  <c:v>1.0249013182159501E-3</c:v>
                </c:pt>
                <c:pt idx="298">
                  <c:v>1.0249013182159501E-3</c:v>
                </c:pt>
                <c:pt idx="299">
                  <c:v>1.0249013182159501E-3</c:v>
                </c:pt>
                <c:pt idx="300">
                  <c:v>1.0199017995905001E-3</c:v>
                </c:pt>
                <c:pt idx="301">
                  <c:v>1.0199017995905001E-3</c:v>
                </c:pt>
                <c:pt idx="302">
                  <c:v>1.0149022809650601E-3</c:v>
                </c:pt>
                <c:pt idx="303">
                  <c:v>9.9990372508873397E-4</c:v>
                </c:pt>
                <c:pt idx="304">
                  <c:v>9.7490613196151495E-4</c:v>
                </c:pt>
                <c:pt idx="305">
                  <c:v>9.1991142708163496E-4</c:v>
                </c:pt>
                <c:pt idx="306">
                  <c:v>8.5491768495086704E-4</c:v>
                </c:pt>
                <c:pt idx="307">
                  <c:v>7.9492346144554302E-4</c:v>
                </c:pt>
                <c:pt idx="308">
                  <c:v>7.5992683106743705E-4</c:v>
                </c:pt>
                <c:pt idx="309">
                  <c:v>7.6992586831832401E-4</c:v>
                </c:pt>
                <c:pt idx="310">
                  <c:v>8.09922017321874E-4</c:v>
                </c:pt>
                <c:pt idx="311">
                  <c:v>8.4991816632542302E-4</c:v>
                </c:pt>
                <c:pt idx="312">
                  <c:v>8.7491575945264203E-4</c:v>
                </c:pt>
                <c:pt idx="313">
                  <c:v>8.9491383395441605E-4</c:v>
                </c:pt>
                <c:pt idx="314">
                  <c:v>9.0991238983074703E-4</c:v>
                </c:pt>
                <c:pt idx="315">
                  <c:v>9.1991142708163496E-4</c:v>
                </c:pt>
                <c:pt idx="316">
                  <c:v>9.2991046433252202E-4</c:v>
                </c:pt>
                <c:pt idx="317">
                  <c:v>9.3990950158340898E-4</c:v>
                </c:pt>
                <c:pt idx="318">
                  <c:v>9.44909020208853E-4</c:v>
                </c:pt>
                <c:pt idx="319">
                  <c:v>9.3990950158340898E-4</c:v>
                </c:pt>
                <c:pt idx="320">
                  <c:v>9.3490998295796496E-4</c:v>
                </c:pt>
                <c:pt idx="321">
                  <c:v>9.2991046433252202E-4</c:v>
                </c:pt>
                <c:pt idx="322">
                  <c:v>9.3490998295796496E-4</c:v>
                </c:pt>
                <c:pt idx="323">
                  <c:v>9.44909020208853E-4</c:v>
                </c:pt>
                <c:pt idx="324">
                  <c:v>9.4990853883429604E-4</c:v>
                </c:pt>
                <c:pt idx="325">
                  <c:v>9.5490805745973995E-4</c:v>
                </c:pt>
                <c:pt idx="326">
                  <c:v>9.5990757608518397E-4</c:v>
                </c:pt>
                <c:pt idx="327">
                  <c:v>9.6990661333607104E-4</c:v>
                </c:pt>
                <c:pt idx="328">
                  <c:v>9.6990661333607104E-4</c:v>
                </c:pt>
                <c:pt idx="329">
                  <c:v>9.6490709471062799E-4</c:v>
                </c:pt>
                <c:pt idx="330">
                  <c:v>9.6490709471062799E-4</c:v>
                </c:pt>
                <c:pt idx="331">
                  <c:v>9.6990661333607104E-4</c:v>
                </c:pt>
                <c:pt idx="332">
                  <c:v>9.6490709471062799E-4</c:v>
                </c:pt>
                <c:pt idx="333">
                  <c:v>9.5990757608518397E-4</c:v>
                </c:pt>
                <c:pt idx="334">
                  <c:v>9.3990950158340898E-4</c:v>
                </c:pt>
                <c:pt idx="335">
                  <c:v>9.0991238983074703E-4</c:v>
                </c:pt>
                <c:pt idx="336">
                  <c:v>8.5491768495086704E-4</c:v>
                </c:pt>
                <c:pt idx="337">
                  <c:v>7.9992298007098596E-4</c:v>
                </c:pt>
                <c:pt idx="338">
                  <c:v>7.5992683106743705E-4</c:v>
                </c:pt>
                <c:pt idx="339">
                  <c:v>7.4992779381654999E-4</c:v>
                </c:pt>
                <c:pt idx="340">
                  <c:v>7.6992586831832401E-4</c:v>
                </c:pt>
                <c:pt idx="341">
                  <c:v>7.9492346144554302E-4</c:v>
                </c:pt>
                <c:pt idx="342">
                  <c:v>8.09922017321874E-4</c:v>
                </c:pt>
                <c:pt idx="343">
                  <c:v>8.09922017321874E-4</c:v>
                </c:pt>
                <c:pt idx="344">
                  <c:v>7.9492346144554302E-4</c:v>
                </c:pt>
                <c:pt idx="345">
                  <c:v>7.8492442419465498E-4</c:v>
                </c:pt>
                <c:pt idx="346">
                  <c:v>7.7992490556921205E-4</c:v>
                </c:pt>
                <c:pt idx="347">
                  <c:v>7.8492442419465498E-4</c:v>
                </c:pt>
                <c:pt idx="348">
                  <c:v>7.89923942820099E-4</c:v>
                </c:pt>
                <c:pt idx="349">
                  <c:v>7.9492346144554302E-4</c:v>
                </c:pt>
                <c:pt idx="350">
                  <c:v>8.09922017321874E-4</c:v>
                </c:pt>
                <c:pt idx="351">
                  <c:v>8.3491961044909204E-4</c:v>
                </c:pt>
                <c:pt idx="352">
                  <c:v>8.5991720357631095E-4</c:v>
                </c:pt>
                <c:pt idx="353">
                  <c:v>8.8491479670352899E-4</c:v>
                </c:pt>
                <c:pt idx="354">
                  <c:v>8.9991335257985996E-4</c:v>
                </c:pt>
                <c:pt idx="355">
                  <c:v>9.0991238983074703E-4</c:v>
                </c:pt>
                <c:pt idx="356">
                  <c:v>9.0991238983074703E-4</c:v>
                </c:pt>
                <c:pt idx="357">
                  <c:v>9.1491190845619105E-4</c:v>
                </c:pt>
                <c:pt idx="358">
                  <c:v>9.1491190845619105E-4</c:v>
                </c:pt>
                <c:pt idx="359">
                  <c:v>9.1991142708163496E-4</c:v>
                </c:pt>
                <c:pt idx="360">
                  <c:v>9.24910945707078E-4</c:v>
                </c:pt>
                <c:pt idx="361">
                  <c:v>9.24910945707078E-4</c:v>
                </c:pt>
                <c:pt idx="362">
                  <c:v>9.2991046433252202E-4</c:v>
                </c:pt>
                <c:pt idx="363">
                  <c:v>9.3490998295796496E-4</c:v>
                </c:pt>
                <c:pt idx="364">
                  <c:v>9.3990950158340898E-4</c:v>
                </c:pt>
                <c:pt idx="365">
                  <c:v>9.3990950158340898E-4</c:v>
                </c:pt>
                <c:pt idx="366">
                  <c:v>9.3490998295796496E-4</c:v>
                </c:pt>
                <c:pt idx="367">
                  <c:v>9.3490998295796496E-4</c:v>
                </c:pt>
                <c:pt idx="368">
                  <c:v>9.2991046433252202E-4</c:v>
                </c:pt>
                <c:pt idx="369">
                  <c:v>9.24910945707078E-4</c:v>
                </c:pt>
                <c:pt idx="370">
                  <c:v>9.24910945707078E-4</c:v>
                </c:pt>
                <c:pt idx="371">
                  <c:v>9.24910945707078E-4</c:v>
                </c:pt>
                <c:pt idx="372">
                  <c:v>9.24910945707078E-4</c:v>
                </c:pt>
                <c:pt idx="373">
                  <c:v>9.2991046433252202E-4</c:v>
                </c:pt>
                <c:pt idx="374">
                  <c:v>9.2991046433252202E-4</c:v>
                </c:pt>
                <c:pt idx="375">
                  <c:v>9.3490998295796496E-4</c:v>
                </c:pt>
                <c:pt idx="376">
                  <c:v>9.24910945707078E-4</c:v>
                </c:pt>
                <c:pt idx="377">
                  <c:v>8.6491672220175399E-4</c:v>
                </c:pt>
                <c:pt idx="378">
                  <c:v>7.4492827519110597E-4</c:v>
                </c:pt>
                <c:pt idx="379">
                  <c:v>5.74944641926021E-4</c:v>
                </c:pt>
                <c:pt idx="380">
                  <c:v>4.0696081611111401E-4</c:v>
                </c:pt>
                <c:pt idx="381">
                  <c:v>3.00971021251708E-4</c:v>
                </c:pt>
                <c:pt idx="382">
                  <c:v>2.6897410204886898E-4</c:v>
                </c:pt>
                <c:pt idx="383">
                  <c:v>3.0247087683934099E-4</c:v>
                </c:pt>
                <c:pt idx="384">
                  <c:v>3.7496389690827499E-4</c:v>
                </c:pt>
                <c:pt idx="385">
                  <c:v>4.70454702654249E-4</c:v>
                </c:pt>
                <c:pt idx="386">
                  <c:v>5.8494367917690904E-4</c:v>
                </c:pt>
                <c:pt idx="387">
                  <c:v>6.9493308893667E-4</c:v>
                </c:pt>
                <c:pt idx="388">
                  <c:v>7.7492538694376803E-4</c:v>
                </c:pt>
                <c:pt idx="389">
                  <c:v>8.2992009182364899E-4</c:v>
                </c:pt>
                <c:pt idx="390">
                  <c:v>8.6491672220175399E-4</c:v>
                </c:pt>
                <c:pt idx="391">
                  <c:v>8.8491479670352899E-4</c:v>
                </c:pt>
                <c:pt idx="392">
                  <c:v>8.8491479670352899E-4</c:v>
                </c:pt>
                <c:pt idx="393">
                  <c:v>8.8491479670352899E-4</c:v>
                </c:pt>
                <c:pt idx="394">
                  <c:v>8.8991431532897203E-4</c:v>
                </c:pt>
                <c:pt idx="395">
                  <c:v>8.8991431532897203E-4</c:v>
                </c:pt>
                <c:pt idx="396">
                  <c:v>8.8491479670352899E-4</c:v>
                </c:pt>
                <c:pt idx="397">
                  <c:v>8.8991431532897203E-4</c:v>
                </c:pt>
                <c:pt idx="398">
                  <c:v>8.9491383395441605E-4</c:v>
                </c:pt>
                <c:pt idx="399">
                  <c:v>8.9991335257985996E-4</c:v>
                </c:pt>
                <c:pt idx="400">
                  <c:v>8.9991335257985996E-4</c:v>
                </c:pt>
              </c:numCache>
            </c:numRef>
          </c:yVal>
          <c:smooth val="0"/>
          <c:extLst>
            <c:ext xmlns:c16="http://schemas.microsoft.com/office/drawing/2014/chart" uri="{C3380CC4-5D6E-409C-BE32-E72D297353CC}">
              <c16:uniqueId val="{00000000-2B21-47B1-A5B1-6823D5853E37}"/>
            </c:ext>
          </c:extLst>
        </c:ser>
        <c:dLbls>
          <c:showLegendKey val="0"/>
          <c:showVal val="0"/>
          <c:showCatName val="0"/>
          <c:showSerName val="0"/>
          <c:showPercent val="0"/>
          <c:showBubbleSize val="0"/>
        </c:dLbls>
        <c:axId val="127999880"/>
        <c:axId val="128003016"/>
      </c:scatterChart>
      <c:valAx>
        <c:axId val="12799988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8003016"/>
        <c:crosses val="autoZero"/>
        <c:crossBetween val="midCat"/>
      </c:valAx>
      <c:valAx>
        <c:axId val="12800301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7999880"/>
        <c:crosses val="autoZero"/>
        <c:crossBetween val="midCat"/>
      </c:valAx>
      <c:spPr>
        <a:noFill/>
        <a:ln>
          <a:noFill/>
        </a:ln>
        <a:effectLst/>
      </c:spPr>
    </c:plotArea>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Calculations!$Y$16</c:f>
          <c:strCache>
            <c:ptCount val="1"/>
            <c:pt idx="0">
              <c:v>D65, Reference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Calculations!$AY$20</c:f>
              <c:strCache>
                <c:ptCount val="1"/>
                <c:pt idx="0">
                  <c:v>Radiometric</c:v>
                </c:pt>
              </c:strCache>
            </c:strRef>
          </c:tx>
          <c:spPr>
            <a:ln w="19050" cap="rnd">
              <a:solidFill>
                <a:schemeClr val="accent1"/>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Calculations!$AY$21:$AY$421</c:f>
              <c:numCache>
                <c:formatCode>General</c:formatCode>
                <c:ptCount val="401"/>
                <c:pt idx="0">
                  <c:v>6.9244055686635902E-4</c:v>
                </c:pt>
                <c:pt idx="1">
                  <c:v>6.9891527892464059E-4</c:v>
                </c:pt>
                <c:pt idx="2">
                  <c:v>7.0538861542288392E-4</c:v>
                </c:pt>
                <c:pt idx="3">
                  <c:v>7.1186333748116549E-4</c:v>
                </c:pt>
                <c:pt idx="4">
                  <c:v>7.1833805953944705E-4</c:v>
                </c:pt>
                <c:pt idx="5">
                  <c:v>7.2481139603769039E-4</c:v>
                </c:pt>
                <c:pt idx="6">
                  <c:v>7.3128611809597196E-4</c:v>
                </c:pt>
                <c:pt idx="7">
                  <c:v>7.3776084015425352E-4</c:v>
                </c:pt>
                <c:pt idx="8">
                  <c:v>7.442355622125352E-4</c:v>
                </c:pt>
                <c:pt idx="9">
                  <c:v>7.5070889871077854E-4</c:v>
                </c:pt>
                <c:pt idx="10">
                  <c:v>7.571836207690601E-4</c:v>
                </c:pt>
                <c:pt idx="11">
                  <c:v>7.9612755676138178E-4</c:v>
                </c:pt>
                <c:pt idx="12">
                  <c:v>8.3507010719366544E-4</c:v>
                </c:pt>
                <c:pt idx="13">
                  <c:v>8.7401404318598712E-4</c:v>
                </c:pt>
                <c:pt idx="14">
                  <c:v>9.129579791783089E-4</c:v>
                </c:pt>
                <c:pt idx="15">
                  <c:v>9.5190052961059246E-4</c:v>
                </c:pt>
                <c:pt idx="16">
                  <c:v>9.9084446560291435E-4</c:v>
                </c:pt>
                <c:pt idx="17">
                  <c:v>1.029788401595236E-3</c:v>
                </c:pt>
                <c:pt idx="18">
                  <c:v>1.0687323375875577E-3</c:v>
                </c:pt>
                <c:pt idx="19">
                  <c:v>1.1076748880198412E-3</c:v>
                </c:pt>
                <c:pt idx="20">
                  <c:v>1.146618824012163E-3</c:v>
                </c:pt>
                <c:pt idx="21">
                  <c:v>1.1587161487052631E-3</c:v>
                </c:pt>
                <c:pt idx="22">
                  <c:v>1.170813473398363E-3</c:v>
                </c:pt>
                <c:pt idx="23">
                  <c:v>1.1829107980914631E-3</c:v>
                </c:pt>
                <c:pt idx="24">
                  <c:v>1.1950081227845629E-3</c:v>
                </c:pt>
                <c:pt idx="25">
                  <c:v>1.207105447477663E-3</c:v>
                </c:pt>
                <c:pt idx="26">
                  <c:v>1.2192041577308011E-3</c:v>
                </c:pt>
                <c:pt idx="27">
                  <c:v>1.2313014824239009E-3</c:v>
                </c:pt>
                <c:pt idx="28">
                  <c:v>1.243398807117001E-3</c:v>
                </c:pt>
                <c:pt idx="29">
                  <c:v>1.2554961318101009E-3</c:v>
                </c:pt>
                <c:pt idx="30">
                  <c:v>1.2675934565032011E-3</c:v>
                </c:pt>
                <c:pt idx="31">
                  <c:v>1.2702897563374436E-3</c:v>
                </c:pt>
                <c:pt idx="32">
                  <c:v>1.2729860561716865E-3</c:v>
                </c:pt>
                <c:pt idx="33">
                  <c:v>1.2756809704458907E-3</c:v>
                </c:pt>
                <c:pt idx="34">
                  <c:v>1.2783772702801336E-3</c:v>
                </c:pt>
                <c:pt idx="35">
                  <c:v>1.281073570114376E-3</c:v>
                </c:pt>
                <c:pt idx="36">
                  <c:v>1.2837698699486187E-3</c:v>
                </c:pt>
                <c:pt idx="37">
                  <c:v>1.2864661697828614E-3</c:v>
                </c:pt>
                <c:pt idx="38">
                  <c:v>1.2891610840570658E-3</c:v>
                </c:pt>
                <c:pt idx="39">
                  <c:v>1.2918573838913085E-3</c:v>
                </c:pt>
                <c:pt idx="40">
                  <c:v>1.2945536837255512E-3</c:v>
                </c:pt>
                <c:pt idx="41">
                  <c:v>1.2852011534680292E-3</c:v>
                </c:pt>
                <c:pt idx="42">
                  <c:v>1.2758500087705453E-3</c:v>
                </c:pt>
                <c:pt idx="43">
                  <c:v>1.2664974785130232E-3</c:v>
                </c:pt>
                <c:pt idx="44">
                  <c:v>1.2571463338155392E-3</c:v>
                </c:pt>
                <c:pt idx="45">
                  <c:v>1.2477938035580173E-3</c:v>
                </c:pt>
                <c:pt idx="46">
                  <c:v>1.2384426588605334E-3</c:v>
                </c:pt>
                <c:pt idx="47">
                  <c:v>1.2290901286030114E-3</c:v>
                </c:pt>
                <c:pt idx="48">
                  <c:v>1.2197389839055275E-3</c:v>
                </c:pt>
                <c:pt idx="49">
                  <c:v>1.2103864536480056E-3</c:v>
                </c:pt>
                <c:pt idx="50">
                  <c:v>1.2010353089505217E-3</c:v>
                </c:pt>
                <c:pt idx="51">
                  <c:v>1.2262289471242289E-3</c:v>
                </c:pt>
                <c:pt idx="52">
                  <c:v>1.2514211997378976E-3</c:v>
                </c:pt>
                <c:pt idx="53">
                  <c:v>1.2766148379116048E-3</c:v>
                </c:pt>
                <c:pt idx="54">
                  <c:v>1.301808476085312E-3</c:v>
                </c:pt>
                <c:pt idx="55">
                  <c:v>1.327000728698981E-3</c:v>
                </c:pt>
                <c:pt idx="56">
                  <c:v>1.352194366872688E-3</c:v>
                </c:pt>
                <c:pt idx="57">
                  <c:v>1.3773880050463952E-3</c:v>
                </c:pt>
                <c:pt idx="58">
                  <c:v>1.4025747154199114E-3</c:v>
                </c:pt>
                <c:pt idx="59">
                  <c:v>1.4277780525138858E-3</c:v>
                </c:pt>
                <c:pt idx="60">
                  <c:v>1.4529675340074783E-3</c:v>
                </c:pt>
                <c:pt idx="61">
                  <c:v>1.4697882328706365E-3</c:v>
                </c:pt>
                <c:pt idx="62">
                  <c:v>1.4866227873341761E-3</c:v>
                </c:pt>
                <c:pt idx="63">
                  <c:v>1.5034434861973343E-3</c:v>
                </c:pt>
                <c:pt idx="64">
                  <c:v>1.5202641850604924E-3</c:v>
                </c:pt>
                <c:pt idx="65">
                  <c:v>1.5370848839236508E-3</c:v>
                </c:pt>
                <c:pt idx="66">
                  <c:v>1.5539194383871902E-3</c:v>
                </c:pt>
                <c:pt idx="67">
                  <c:v>1.5707401372503484E-3</c:v>
                </c:pt>
                <c:pt idx="68">
                  <c:v>1.5875608361135066E-3</c:v>
                </c:pt>
                <c:pt idx="69">
                  <c:v>1.6043953905770462E-3</c:v>
                </c:pt>
                <c:pt idx="70">
                  <c:v>1.6212160894402044E-3</c:v>
                </c:pt>
                <c:pt idx="71">
                  <c:v>1.6223245374707256E-3</c:v>
                </c:pt>
                <c:pt idx="72">
                  <c:v>1.6234468411016282E-3</c:v>
                </c:pt>
                <c:pt idx="73">
                  <c:v>1.6245552891321492E-3</c:v>
                </c:pt>
                <c:pt idx="74">
                  <c:v>1.625677592763052E-3</c:v>
                </c:pt>
                <c:pt idx="75">
                  <c:v>1.626786040793573E-3</c:v>
                </c:pt>
                <c:pt idx="76">
                  <c:v>1.6278944888240942E-3</c:v>
                </c:pt>
                <c:pt idx="77">
                  <c:v>1.6290167924549969E-3</c:v>
                </c:pt>
                <c:pt idx="78">
                  <c:v>1.6301252404855178E-3</c:v>
                </c:pt>
                <c:pt idx="79">
                  <c:v>1.6312475441164207E-3</c:v>
                </c:pt>
                <c:pt idx="80">
                  <c:v>1.6323559921469417E-3</c:v>
                </c:pt>
                <c:pt idx="81">
                  <c:v>1.628268590034395E-3</c:v>
                </c:pt>
                <c:pt idx="82">
                  <c:v>1.6241811879218484E-3</c:v>
                </c:pt>
                <c:pt idx="83">
                  <c:v>1.6200937858093019E-3</c:v>
                </c:pt>
                <c:pt idx="84">
                  <c:v>1.6160063836967553E-3</c:v>
                </c:pt>
                <c:pt idx="85">
                  <c:v>1.611905125983827E-3</c:v>
                </c:pt>
                <c:pt idx="86">
                  <c:v>1.6078177238712803E-3</c:v>
                </c:pt>
                <c:pt idx="87">
                  <c:v>1.6037303217587336E-3</c:v>
                </c:pt>
                <c:pt idx="88">
                  <c:v>1.5996429196461868E-3</c:v>
                </c:pt>
                <c:pt idx="89">
                  <c:v>1.5955555175336403E-3</c:v>
                </c:pt>
                <c:pt idx="90">
                  <c:v>1.5914681154210937E-3</c:v>
                </c:pt>
                <c:pt idx="91">
                  <c:v>1.592936809061534E-3</c:v>
                </c:pt>
                <c:pt idx="92">
                  <c:v>1.5944055027019746E-3</c:v>
                </c:pt>
                <c:pt idx="93">
                  <c:v>1.5958880519427968E-3</c:v>
                </c:pt>
                <c:pt idx="94">
                  <c:v>1.5973567455832372E-3</c:v>
                </c:pt>
                <c:pt idx="95">
                  <c:v>1.5988254392236775E-3</c:v>
                </c:pt>
                <c:pt idx="96">
                  <c:v>1.6002941328641181E-3</c:v>
                </c:pt>
                <c:pt idx="97">
                  <c:v>1.6017628265045587E-3</c:v>
                </c:pt>
                <c:pt idx="98">
                  <c:v>1.6032453757453807E-3</c:v>
                </c:pt>
                <c:pt idx="99">
                  <c:v>1.604714069385821E-3</c:v>
                </c:pt>
                <c:pt idx="100">
                  <c:v>1.6061827630262616E-3</c:v>
                </c:pt>
                <c:pt idx="101">
                  <c:v>1.596331431155005E-3</c:v>
                </c:pt>
                <c:pt idx="102">
                  <c:v>1.5864800992837487E-3</c:v>
                </c:pt>
                <c:pt idx="103">
                  <c:v>1.5766149118121105E-3</c:v>
                </c:pt>
                <c:pt idx="104">
                  <c:v>1.5667635799408539E-3</c:v>
                </c:pt>
                <c:pt idx="105">
                  <c:v>1.5569122480695973E-3</c:v>
                </c:pt>
                <c:pt idx="106">
                  <c:v>1.547060916198341E-3</c:v>
                </c:pt>
                <c:pt idx="107">
                  <c:v>1.5372095843270842E-3</c:v>
                </c:pt>
                <c:pt idx="108">
                  <c:v>1.5273443968554462E-3</c:v>
                </c:pt>
                <c:pt idx="109">
                  <c:v>1.5174930649841899E-3</c:v>
                </c:pt>
                <c:pt idx="110">
                  <c:v>1.5076417331129333E-3</c:v>
                </c:pt>
                <c:pt idx="111">
                  <c:v>1.5083899355335349E-3</c:v>
                </c:pt>
                <c:pt idx="112">
                  <c:v>1.5091519935545182E-3</c:v>
                </c:pt>
                <c:pt idx="113">
                  <c:v>1.50990019597512E-3</c:v>
                </c:pt>
                <c:pt idx="114">
                  <c:v>1.5106483983957219E-3</c:v>
                </c:pt>
                <c:pt idx="115">
                  <c:v>1.5113966008163235E-3</c:v>
                </c:pt>
                <c:pt idx="116">
                  <c:v>1.5121586588373068E-3</c:v>
                </c:pt>
                <c:pt idx="117">
                  <c:v>1.5129068612579086E-3</c:v>
                </c:pt>
                <c:pt idx="118">
                  <c:v>1.5136550636785104E-3</c:v>
                </c:pt>
                <c:pt idx="119">
                  <c:v>1.5144171216994935E-3</c:v>
                </c:pt>
                <c:pt idx="120">
                  <c:v>1.5151653241200953E-3</c:v>
                </c:pt>
                <c:pt idx="121">
                  <c:v>1.5130177060609605E-3</c:v>
                </c:pt>
                <c:pt idx="122">
                  <c:v>1.510870088001826E-3</c:v>
                </c:pt>
                <c:pt idx="123">
                  <c:v>1.5087086143423098E-3</c:v>
                </c:pt>
                <c:pt idx="124">
                  <c:v>1.5065609962831752E-3</c:v>
                </c:pt>
                <c:pt idx="125">
                  <c:v>1.5044133782240404E-3</c:v>
                </c:pt>
                <c:pt idx="126">
                  <c:v>1.5022657601649057E-3</c:v>
                </c:pt>
                <c:pt idx="127">
                  <c:v>1.5001181421057711E-3</c:v>
                </c:pt>
                <c:pt idx="128">
                  <c:v>1.4979566684462547E-3</c:v>
                </c:pt>
                <c:pt idx="129">
                  <c:v>1.4958090503871201E-3</c:v>
                </c:pt>
                <c:pt idx="130">
                  <c:v>1.4936614323279856E-3</c:v>
                </c:pt>
                <c:pt idx="131">
                  <c:v>1.4894908966131498E-3</c:v>
                </c:pt>
                <c:pt idx="132">
                  <c:v>1.4853203608983139E-3</c:v>
                </c:pt>
                <c:pt idx="133">
                  <c:v>1.4811359695830965E-3</c:v>
                </c:pt>
                <c:pt idx="134">
                  <c:v>1.4769654338682608E-3</c:v>
                </c:pt>
                <c:pt idx="135">
                  <c:v>1.4727948981534253E-3</c:v>
                </c:pt>
                <c:pt idx="136">
                  <c:v>1.4686243624385895E-3</c:v>
                </c:pt>
                <c:pt idx="137">
                  <c:v>1.4644538267237536E-3</c:v>
                </c:pt>
                <c:pt idx="138">
                  <c:v>1.4602694354085364E-3</c:v>
                </c:pt>
                <c:pt idx="139">
                  <c:v>1.4560988996937005E-3</c:v>
                </c:pt>
                <c:pt idx="140">
                  <c:v>1.451928363978865E-3</c:v>
                </c:pt>
                <c:pt idx="141">
                  <c:v>1.455946488089504E-3</c:v>
                </c:pt>
                <c:pt idx="142">
                  <c:v>1.459964612200143E-3</c:v>
                </c:pt>
                <c:pt idx="143">
                  <c:v>1.4639827363107821E-3</c:v>
                </c:pt>
                <c:pt idx="144">
                  <c:v>1.4680008604214213E-3</c:v>
                </c:pt>
                <c:pt idx="145">
                  <c:v>1.4720051289316789E-3</c:v>
                </c:pt>
                <c:pt idx="146">
                  <c:v>1.4760232530423179E-3</c:v>
                </c:pt>
                <c:pt idx="147">
                  <c:v>1.4800413771529572E-3</c:v>
                </c:pt>
                <c:pt idx="148">
                  <c:v>1.484059501263596E-3</c:v>
                </c:pt>
                <c:pt idx="149">
                  <c:v>1.4880776253742352E-3</c:v>
                </c:pt>
                <c:pt idx="150">
                  <c:v>1.4920957494848743E-3</c:v>
                </c:pt>
                <c:pt idx="151">
                  <c:v>1.4875511125597377E-3</c:v>
                </c:pt>
                <c:pt idx="152">
                  <c:v>1.4829926200342195E-3</c:v>
                </c:pt>
                <c:pt idx="153">
                  <c:v>1.4784479831090828E-3</c:v>
                </c:pt>
                <c:pt idx="154">
                  <c:v>1.4738894905835648E-3</c:v>
                </c:pt>
                <c:pt idx="155">
                  <c:v>1.469344853658428E-3</c:v>
                </c:pt>
                <c:pt idx="156">
                  <c:v>1.4648002167332915E-3</c:v>
                </c:pt>
                <c:pt idx="157">
                  <c:v>1.4602417242077733E-3</c:v>
                </c:pt>
                <c:pt idx="158">
                  <c:v>1.4556970872826368E-3</c:v>
                </c:pt>
                <c:pt idx="159">
                  <c:v>1.4511385947571186E-3</c:v>
                </c:pt>
                <c:pt idx="160">
                  <c:v>1.4465939578319821E-3</c:v>
                </c:pt>
                <c:pt idx="161">
                  <c:v>1.4460951562182474E-3</c:v>
                </c:pt>
                <c:pt idx="162">
                  <c:v>1.4455963546045128E-3</c:v>
                </c:pt>
                <c:pt idx="163">
                  <c:v>1.4450975529907784E-3</c:v>
                </c:pt>
                <c:pt idx="164">
                  <c:v>1.4445987513770438E-3</c:v>
                </c:pt>
                <c:pt idx="165">
                  <c:v>1.4440999497633094E-3</c:v>
                </c:pt>
                <c:pt idx="166">
                  <c:v>1.4436150037499564E-3</c:v>
                </c:pt>
                <c:pt idx="167">
                  <c:v>1.4431162021362218E-3</c:v>
                </c:pt>
                <c:pt idx="168">
                  <c:v>1.4426174005224873E-3</c:v>
                </c:pt>
                <c:pt idx="169">
                  <c:v>1.4421185989087527E-3</c:v>
                </c:pt>
                <c:pt idx="170">
                  <c:v>1.4416197972950185E-3</c:v>
                </c:pt>
                <c:pt idx="171">
                  <c:v>1.4360082791405053E-3</c:v>
                </c:pt>
                <c:pt idx="172">
                  <c:v>1.4304106165863733E-3</c:v>
                </c:pt>
                <c:pt idx="173">
                  <c:v>1.4247990984318601E-3</c:v>
                </c:pt>
                <c:pt idx="174">
                  <c:v>1.4192014358777286E-3</c:v>
                </c:pt>
                <c:pt idx="175">
                  <c:v>1.4135899177232152E-3</c:v>
                </c:pt>
                <c:pt idx="176">
                  <c:v>1.407978399568702E-3</c:v>
                </c:pt>
                <c:pt idx="177">
                  <c:v>1.4023807370145704E-3</c:v>
                </c:pt>
                <c:pt idx="178">
                  <c:v>1.3967692188600572E-3</c:v>
                </c:pt>
                <c:pt idx="179">
                  <c:v>1.3911715563059254E-3</c:v>
                </c:pt>
                <c:pt idx="180">
                  <c:v>1.3855600381514122E-3</c:v>
                </c:pt>
                <c:pt idx="181">
                  <c:v>1.380480575051549E-3</c:v>
                </c:pt>
                <c:pt idx="182">
                  <c:v>1.375401111951686E-3</c:v>
                </c:pt>
                <c:pt idx="183">
                  <c:v>1.3703230344118611E-3</c:v>
                </c:pt>
                <c:pt idx="184">
                  <c:v>1.3652435713119981E-3</c:v>
                </c:pt>
                <c:pt idx="185">
                  <c:v>1.3601641082121351E-3</c:v>
                </c:pt>
                <c:pt idx="186">
                  <c:v>1.3550846451122719E-3</c:v>
                </c:pt>
                <c:pt idx="187">
                  <c:v>1.3500051820124087E-3</c:v>
                </c:pt>
                <c:pt idx="188">
                  <c:v>1.3449271044725839E-3</c:v>
                </c:pt>
                <c:pt idx="189">
                  <c:v>1.3398476413727209E-3</c:v>
                </c:pt>
                <c:pt idx="190">
                  <c:v>1.3347681782728577E-3</c:v>
                </c:pt>
                <c:pt idx="191">
                  <c:v>1.3340116624920271E-3</c:v>
                </c:pt>
                <c:pt idx="192">
                  <c:v>1.3332551467111963E-3</c:v>
                </c:pt>
                <c:pt idx="193">
                  <c:v>1.3324972453703276E-3</c:v>
                </c:pt>
                <c:pt idx="194">
                  <c:v>1.331740729589497E-3</c:v>
                </c:pt>
                <c:pt idx="195">
                  <c:v>1.3309842138086662E-3</c:v>
                </c:pt>
                <c:pt idx="196">
                  <c:v>1.3302276980278356E-3</c:v>
                </c:pt>
                <c:pt idx="197">
                  <c:v>1.3294711822470049E-3</c:v>
                </c:pt>
                <c:pt idx="198">
                  <c:v>1.3287132809061361E-3</c:v>
                </c:pt>
                <c:pt idx="199">
                  <c:v>1.3279567651253055E-3</c:v>
                </c:pt>
                <c:pt idx="200">
                  <c:v>1.3272002493444747E-3</c:v>
                </c:pt>
                <c:pt idx="201">
                  <c:v>1.3173600019535233E-3</c:v>
                </c:pt>
                <c:pt idx="202">
                  <c:v>1.307518369002534E-3</c:v>
                </c:pt>
                <c:pt idx="203">
                  <c:v>1.2976781216115826E-3</c:v>
                </c:pt>
                <c:pt idx="204">
                  <c:v>1.2878364886605932E-3</c:v>
                </c:pt>
                <c:pt idx="205">
                  <c:v>1.2779962412696418E-3</c:v>
                </c:pt>
                <c:pt idx="206">
                  <c:v>1.2681559938786905E-3</c:v>
                </c:pt>
                <c:pt idx="207">
                  <c:v>1.2583143609277009E-3</c:v>
                </c:pt>
                <c:pt idx="208">
                  <c:v>1.2484741135367497E-3</c:v>
                </c:pt>
                <c:pt idx="209">
                  <c:v>1.2386324805857601E-3</c:v>
                </c:pt>
                <c:pt idx="210">
                  <c:v>1.2287922331948088E-3</c:v>
                </c:pt>
                <c:pt idx="211">
                  <c:v>1.2306225580052069E-3</c:v>
                </c:pt>
                <c:pt idx="212">
                  <c:v>1.2324514972555669E-3</c:v>
                </c:pt>
                <c:pt idx="213">
                  <c:v>1.2342818220659648E-3</c:v>
                </c:pt>
                <c:pt idx="214">
                  <c:v>1.2361107613163248E-3</c:v>
                </c:pt>
                <c:pt idx="215">
                  <c:v>1.2379410861267227E-3</c:v>
                </c:pt>
                <c:pt idx="216">
                  <c:v>1.2397714109371205E-3</c:v>
                </c:pt>
                <c:pt idx="217">
                  <c:v>1.2416003501874804E-3</c:v>
                </c:pt>
                <c:pt idx="218">
                  <c:v>1.2434306749978784E-3</c:v>
                </c:pt>
                <c:pt idx="219">
                  <c:v>1.2452596142482383E-3</c:v>
                </c:pt>
                <c:pt idx="220">
                  <c:v>1.2470899390586365E-3</c:v>
                </c:pt>
                <c:pt idx="221">
                  <c:v>1.2465260161231089E-3</c:v>
                </c:pt>
                <c:pt idx="222">
                  <c:v>1.2459620931875811E-3</c:v>
                </c:pt>
                <c:pt idx="223">
                  <c:v>1.2453981702520535E-3</c:v>
                </c:pt>
                <c:pt idx="224">
                  <c:v>1.244834247316526E-3</c:v>
                </c:pt>
                <c:pt idx="225">
                  <c:v>1.2442689388209602E-3</c:v>
                </c:pt>
                <c:pt idx="226">
                  <c:v>1.2437050158854324E-3</c:v>
                </c:pt>
                <c:pt idx="227">
                  <c:v>1.2431410929499048E-3</c:v>
                </c:pt>
                <c:pt idx="228">
                  <c:v>1.2425771700143773E-3</c:v>
                </c:pt>
                <c:pt idx="229">
                  <c:v>1.2420132470788495E-3</c:v>
                </c:pt>
                <c:pt idx="230">
                  <c:v>1.2414493241433221E-3</c:v>
                </c:pt>
                <c:pt idx="231">
                  <c:v>1.2388167600708342E-3</c:v>
                </c:pt>
                <c:pt idx="232">
                  <c:v>1.2361828104383084E-3</c:v>
                </c:pt>
                <c:pt idx="233">
                  <c:v>1.2335502463658207E-3</c:v>
                </c:pt>
                <c:pt idx="234">
                  <c:v>1.2309162967332949E-3</c:v>
                </c:pt>
                <c:pt idx="235">
                  <c:v>1.2282837326608072E-3</c:v>
                </c:pt>
                <c:pt idx="236">
                  <c:v>1.2256511685883196E-3</c:v>
                </c:pt>
                <c:pt idx="237">
                  <c:v>1.2230172189557937E-3</c:v>
                </c:pt>
                <c:pt idx="238">
                  <c:v>1.2203846548833061E-3</c:v>
                </c:pt>
                <c:pt idx="239">
                  <c:v>1.2177507052507802E-3</c:v>
                </c:pt>
                <c:pt idx="240">
                  <c:v>1.2151181411782926E-3</c:v>
                </c:pt>
                <c:pt idx="241">
                  <c:v>1.2090078214100448E-3</c:v>
                </c:pt>
                <c:pt idx="242">
                  <c:v>1.202897501641797E-3</c:v>
                </c:pt>
                <c:pt idx="243">
                  <c:v>1.1967871818735494E-3</c:v>
                </c:pt>
                <c:pt idx="244">
                  <c:v>1.1906768621053017E-3</c:v>
                </c:pt>
                <c:pt idx="245">
                  <c:v>1.1845651567770157E-3</c:v>
                </c:pt>
                <c:pt idx="246">
                  <c:v>1.1784548370087681E-3</c:v>
                </c:pt>
                <c:pt idx="247">
                  <c:v>1.1723445172405202E-3</c:v>
                </c:pt>
                <c:pt idx="248">
                  <c:v>1.1662341974722724E-3</c:v>
                </c:pt>
                <c:pt idx="249">
                  <c:v>1.160123877704025E-3</c:v>
                </c:pt>
                <c:pt idx="250">
                  <c:v>1.1540135579357772E-3</c:v>
                </c:pt>
                <c:pt idx="251">
                  <c:v>1.1545830231114575E-3</c:v>
                </c:pt>
                <c:pt idx="252">
                  <c:v>1.1551511027270995E-3</c:v>
                </c:pt>
                <c:pt idx="253">
                  <c:v>1.1557205679027798E-3</c:v>
                </c:pt>
                <c:pt idx="254">
                  <c:v>1.1562886475184216E-3</c:v>
                </c:pt>
                <c:pt idx="255">
                  <c:v>1.1568581126941019E-3</c:v>
                </c:pt>
                <c:pt idx="256">
                  <c:v>1.1574275778697821E-3</c:v>
                </c:pt>
                <c:pt idx="257">
                  <c:v>1.1579956574854242E-3</c:v>
                </c:pt>
                <c:pt idx="258">
                  <c:v>1.1585651226611044E-3</c:v>
                </c:pt>
                <c:pt idx="259">
                  <c:v>1.1591332022767467E-3</c:v>
                </c:pt>
                <c:pt idx="260">
                  <c:v>1.159702667452427E-3</c:v>
                </c:pt>
                <c:pt idx="261">
                  <c:v>1.1546148909923348E-3</c:v>
                </c:pt>
                <c:pt idx="262">
                  <c:v>1.1495257289722046E-3</c:v>
                </c:pt>
                <c:pt idx="263">
                  <c:v>1.1444379525121127E-3</c:v>
                </c:pt>
                <c:pt idx="264">
                  <c:v>1.1393487904919825E-3</c:v>
                </c:pt>
                <c:pt idx="265">
                  <c:v>1.1342610140318906E-3</c:v>
                </c:pt>
                <c:pt idx="266">
                  <c:v>1.1291732375717986E-3</c:v>
                </c:pt>
                <c:pt idx="267">
                  <c:v>1.1240840755516685E-3</c:v>
                </c:pt>
                <c:pt idx="268">
                  <c:v>1.1189962990915765E-3</c:v>
                </c:pt>
                <c:pt idx="269">
                  <c:v>1.1139071370714463E-3</c:v>
                </c:pt>
                <c:pt idx="270">
                  <c:v>1.1088193606113542E-3</c:v>
                </c:pt>
                <c:pt idx="271">
                  <c:v>1.1090798458985268E-3</c:v>
                </c:pt>
                <c:pt idx="272">
                  <c:v>1.1093403311856994E-3</c:v>
                </c:pt>
                <c:pt idx="273">
                  <c:v>1.1095994309128336E-3</c:v>
                </c:pt>
                <c:pt idx="274">
                  <c:v>1.109859916200006E-3</c:v>
                </c:pt>
                <c:pt idx="275">
                  <c:v>1.1101204014871786E-3</c:v>
                </c:pt>
                <c:pt idx="276">
                  <c:v>1.110380886774351E-3</c:v>
                </c:pt>
                <c:pt idx="277">
                  <c:v>1.1106413720615234E-3</c:v>
                </c:pt>
                <c:pt idx="278">
                  <c:v>1.1109004717886578E-3</c:v>
                </c:pt>
                <c:pt idx="279">
                  <c:v>1.1111609570758304E-3</c:v>
                </c:pt>
                <c:pt idx="280">
                  <c:v>1.1114214423630028E-3</c:v>
                </c:pt>
                <c:pt idx="281">
                  <c:v>1.1142798527217091E-3</c:v>
                </c:pt>
                <c:pt idx="282">
                  <c:v>1.1171382630804155E-3</c:v>
                </c:pt>
                <c:pt idx="283">
                  <c:v>1.11999805899916E-3</c:v>
                </c:pt>
                <c:pt idx="284">
                  <c:v>1.1228564693578664E-3</c:v>
                </c:pt>
                <c:pt idx="285">
                  <c:v>1.1257148797165727E-3</c:v>
                </c:pt>
                <c:pt idx="286">
                  <c:v>1.128573290075279E-3</c:v>
                </c:pt>
                <c:pt idx="287">
                  <c:v>1.1314317004339854E-3</c:v>
                </c:pt>
                <c:pt idx="288">
                  <c:v>1.1342914963527299E-3</c:v>
                </c:pt>
                <c:pt idx="289">
                  <c:v>1.1371499067114362E-3</c:v>
                </c:pt>
                <c:pt idx="290">
                  <c:v>1.1400083170701426E-3</c:v>
                </c:pt>
                <c:pt idx="291">
                  <c:v>1.134474390277766E-3</c:v>
                </c:pt>
                <c:pt idx="292">
                  <c:v>1.1289418490454273E-3</c:v>
                </c:pt>
                <c:pt idx="293">
                  <c:v>1.1234079222530507E-3</c:v>
                </c:pt>
                <c:pt idx="294">
                  <c:v>1.1178753810207121E-3</c:v>
                </c:pt>
                <c:pt idx="295">
                  <c:v>1.1123414542283353E-3</c:v>
                </c:pt>
                <c:pt idx="296">
                  <c:v>1.1068075274359586E-3</c:v>
                </c:pt>
                <c:pt idx="297">
                  <c:v>1.1012749862036198E-3</c:v>
                </c:pt>
                <c:pt idx="298">
                  <c:v>1.0957410594112432E-3</c:v>
                </c:pt>
                <c:pt idx="299">
                  <c:v>1.0902085181789046E-3</c:v>
                </c:pt>
                <c:pt idx="300">
                  <c:v>1.0846745913865277E-3</c:v>
                </c:pt>
                <c:pt idx="301">
                  <c:v>1.0728100407798372E-3</c:v>
                </c:pt>
                <c:pt idx="302">
                  <c:v>1.0609454901731469E-3</c:v>
                </c:pt>
                <c:pt idx="303">
                  <c:v>1.0490809395664563E-3</c:v>
                </c:pt>
                <c:pt idx="304">
                  <c:v>1.0372163889597655E-3</c:v>
                </c:pt>
                <c:pt idx="305">
                  <c:v>1.0253518383530752E-3</c:v>
                </c:pt>
                <c:pt idx="306">
                  <c:v>1.0134886733064229E-3</c:v>
                </c:pt>
                <c:pt idx="307">
                  <c:v>1.0016241226997321E-3</c:v>
                </c:pt>
                <c:pt idx="308">
                  <c:v>9.8975957209304155E-4</c:v>
                </c:pt>
                <c:pt idx="309">
                  <c:v>9.7789502148635122E-4</c:v>
                </c:pt>
                <c:pt idx="310">
                  <c:v>9.6603047087966056E-4</c:v>
                </c:pt>
                <c:pt idx="311">
                  <c:v>9.686464082316904E-4</c:v>
                </c:pt>
                <c:pt idx="312">
                  <c:v>9.7126234558372036E-4</c:v>
                </c:pt>
                <c:pt idx="313">
                  <c:v>9.7387689737571197E-4</c:v>
                </c:pt>
                <c:pt idx="314">
                  <c:v>9.7649283472774182E-4</c:v>
                </c:pt>
                <c:pt idx="315">
                  <c:v>9.7910877207977166E-4</c:v>
                </c:pt>
                <c:pt idx="316">
                  <c:v>9.8172470943180151E-4</c:v>
                </c:pt>
                <c:pt idx="317">
                  <c:v>9.8434064678383157E-4</c:v>
                </c:pt>
                <c:pt idx="318">
                  <c:v>9.8695519857582318E-4</c:v>
                </c:pt>
                <c:pt idx="319">
                  <c:v>9.8957113592785303E-4</c:v>
                </c:pt>
                <c:pt idx="320">
                  <c:v>9.9218707327988287E-4</c:v>
                </c:pt>
                <c:pt idx="321">
                  <c:v>9.9598350778441779E-4</c:v>
                </c:pt>
                <c:pt idx="322">
                  <c:v>9.9977994228895271E-4</c:v>
                </c:pt>
                <c:pt idx="323">
                  <c:v>1.0035763767934876E-3</c:v>
                </c:pt>
                <c:pt idx="324">
                  <c:v>1.0073728112980223E-3</c:v>
                </c:pt>
                <c:pt idx="325">
                  <c:v>1.011167860242519E-3</c:v>
                </c:pt>
                <c:pt idx="326">
                  <c:v>1.0149642947470539E-3</c:v>
                </c:pt>
                <c:pt idx="327">
                  <c:v>1.0187607292515889E-3</c:v>
                </c:pt>
                <c:pt idx="328">
                  <c:v>1.0225571637561238E-3</c:v>
                </c:pt>
                <c:pt idx="329">
                  <c:v>1.0263535982606587E-3</c:v>
                </c:pt>
                <c:pt idx="330">
                  <c:v>1.0301500327651936E-3</c:v>
                </c:pt>
                <c:pt idx="331">
                  <c:v>1.0124910700789538E-3</c:v>
                </c:pt>
                <c:pt idx="332">
                  <c:v>9.9483210739271404E-4</c:v>
                </c:pt>
                <c:pt idx="333">
                  <c:v>9.7717314470647425E-4</c:v>
                </c:pt>
                <c:pt idx="334">
                  <c:v>9.5951418202023457E-4</c:v>
                </c:pt>
                <c:pt idx="335">
                  <c:v>9.4185521933399477E-4</c:v>
                </c:pt>
                <c:pt idx="336">
                  <c:v>9.2419625664775498E-4</c:v>
                </c:pt>
                <c:pt idx="337">
                  <c:v>9.0653729396151519E-4</c:v>
                </c:pt>
                <c:pt idx="338">
                  <c:v>8.8887833127527561E-4</c:v>
                </c:pt>
                <c:pt idx="339">
                  <c:v>8.7121936858903582E-4</c:v>
                </c:pt>
                <c:pt idx="340">
                  <c:v>8.5356040590279603E-4</c:v>
                </c:pt>
                <c:pt idx="341">
                  <c:v>8.6503561413876599E-4</c:v>
                </c:pt>
                <c:pt idx="342">
                  <c:v>8.7650943681469784E-4</c:v>
                </c:pt>
                <c:pt idx="343">
                  <c:v>8.879846450506678E-4</c:v>
                </c:pt>
                <c:pt idx="344">
                  <c:v>8.9945846772659975E-4</c:v>
                </c:pt>
                <c:pt idx="345">
                  <c:v>9.1093367596256961E-4</c:v>
                </c:pt>
                <c:pt idx="346">
                  <c:v>9.2240888419853958E-4</c:v>
                </c:pt>
                <c:pt idx="347">
                  <c:v>9.3388270687447153E-4</c:v>
                </c:pt>
                <c:pt idx="348">
                  <c:v>9.4535791511044139E-4</c:v>
                </c:pt>
                <c:pt idx="349">
                  <c:v>9.5683173778637334E-4</c:v>
                </c:pt>
                <c:pt idx="350">
                  <c:v>9.683069460223433E-4</c:v>
                </c:pt>
                <c:pt idx="351">
                  <c:v>9.755132437807688E-4</c:v>
                </c:pt>
                <c:pt idx="352">
                  <c:v>9.8272092709923253E-4</c:v>
                </c:pt>
                <c:pt idx="353">
                  <c:v>9.8992722485765792E-4</c:v>
                </c:pt>
                <c:pt idx="354">
                  <c:v>9.9713490817612154E-4</c:v>
                </c:pt>
                <c:pt idx="355">
                  <c:v>1.0043412059345472E-3</c:v>
                </c:pt>
                <c:pt idx="356">
                  <c:v>1.0115475036929725E-3</c:v>
                </c:pt>
                <c:pt idx="357">
                  <c:v>1.0187551870114364E-3</c:v>
                </c:pt>
                <c:pt idx="358">
                  <c:v>1.0259614847698618E-3</c:v>
                </c:pt>
                <c:pt idx="359">
                  <c:v>1.0331691680883254E-3</c:v>
                </c:pt>
                <c:pt idx="360">
                  <c:v>1.040375465846751E-3</c:v>
                </c:pt>
                <c:pt idx="361">
                  <c:v>1.0244498387682387E-3</c:v>
                </c:pt>
                <c:pt idx="362">
                  <c:v>1.0085228261296881E-3</c:v>
                </c:pt>
                <c:pt idx="363">
                  <c:v>9.9259719905117573E-4</c:v>
                </c:pt>
                <c:pt idx="364">
                  <c:v>9.7667157197266338E-4</c:v>
                </c:pt>
                <c:pt idx="365">
                  <c:v>9.6074455933411291E-4</c:v>
                </c:pt>
                <c:pt idx="366">
                  <c:v>9.4481893225560056E-4</c:v>
                </c:pt>
                <c:pt idx="367">
                  <c:v>9.2889330517708822E-4</c:v>
                </c:pt>
                <c:pt idx="368">
                  <c:v>9.1296767809857587E-4</c:v>
                </c:pt>
                <c:pt idx="369">
                  <c:v>8.970406654600254E-4</c:v>
                </c:pt>
                <c:pt idx="370">
                  <c:v>8.8111503838151316E-4</c:v>
                </c:pt>
                <c:pt idx="371">
                  <c:v>8.5731804472626266E-4</c:v>
                </c:pt>
                <c:pt idx="372">
                  <c:v>8.3352243663105028E-4</c:v>
                </c:pt>
                <c:pt idx="373">
                  <c:v>8.0972544297579978E-4</c:v>
                </c:pt>
                <c:pt idx="374">
                  <c:v>7.859298348805874E-4</c:v>
                </c:pt>
                <c:pt idx="375">
                  <c:v>7.6213284122533689E-4</c:v>
                </c:pt>
                <c:pt idx="376">
                  <c:v>7.3833723313012451E-4</c:v>
                </c:pt>
                <c:pt idx="377">
                  <c:v>7.1454023947487412E-4</c:v>
                </c:pt>
                <c:pt idx="378">
                  <c:v>6.9074463137966163E-4</c:v>
                </c:pt>
                <c:pt idx="379">
                  <c:v>6.6694763772441113E-4</c:v>
                </c:pt>
                <c:pt idx="380">
                  <c:v>6.4315202962919886E-4</c:v>
                </c:pt>
                <c:pt idx="381">
                  <c:v>6.7139944212699163E-4</c:v>
                </c:pt>
                <c:pt idx="382">
                  <c:v>6.9964685462478452E-4</c:v>
                </c:pt>
                <c:pt idx="383">
                  <c:v>7.2789565268261552E-4</c:v>
                </c:pt>
                <c:pt idx="384">
                  <c:v>7.561430651804083E-4</c:v>
                </c:pt>
                <c:pt idx="385">
                  <c:v>7.8439047767820118E-4</c:v>
                </c:pt>
                <c:pt idx="386">
                  <c:v>8.1263789017599407E-4</c:v>
                </c:pt>
                <c:pt idx="387">
                  <c:v>8.4088530267378684E-4</c:v>
                </c:pt>
                <c:pt idx="388">
                  <c:v>8.6913410073161785E-4</c:v>
                </c:pt>
                <c:pt idx="389">
                  <c:v>8.9738151322941073E-4</c:v>
                </c:pt>
                <c:pt idx="390">
                  <c:v>9.2562892572720362E-4</c:v>
                </c:pt>
                <c:pt idx="391">
                  <c:v>9.2088615371661126E-4</c:v>
                </c:pt>
                <c:pt idx="392">
                  <c:v>9.1614476726605725E-4</c:v>
                </c:pt>
                <c:pt idx="393">
                  <c:v>9.1140199525546479E-4</c:v>
                </c:pt>
                <c:pt idx="394">
                  <c:v>9.0666060880491078E-4</c:v>
                </c:pt>
                <c:pt idx="395">
                  <c:v>9.0191783679431843E-4</c:v>
                </c:pt>
                <c:pt idx="396">
                  <c:v>8.9717506478372618E-4</c:v>
                </c:pt>
                <c:pt idx="397">
                  <c:v>8.9243367833317195E-4</c:v>
                </c:pt>
                <c:pt idx="398">
                  <c:v>8.8769090632257982E-4</c:v>
                </c:pt>
                <c:pt idx="399">
                  <c:v>8.8294951987202559E-4</c:v>
                </c:pt>
                <c:pt idx="400">
                  <c:v>8.7820674786143335E-4</c:v>
                </c:pt>
              </c:numCache>
            </c:numRef>
          </c:yVal>
          <c:smooth val="0"/>
          <c:extLst>
            <c:ext xmlns:c16="http://schemas.microsoft.com/office/drawing/2014/chart" uri="{C3380CC4-5D6E-409C-BE32-E72D297353CC}">
              <c16:uniqueId val="{00000000-D93F-4265-8984-4267EBB687C5}"/>
            </c:ext>
          </c:extLst>
        </c:ser>
        <c:dLbls>
          <c:showLegendKey val="0"/>
          <c:showVal val="0"/>
          <c:showCatName val="0"/>
          <c:showSerName val="0"/>
          <c:showPercent val="0"/>
          <c:showBubbleSize val="0"/>
        </c:dLbls>
        <c:axId val="360458472"/>
        <c:axId val="360458864"/>
      </c:scatterChart>
      <c:valAx>
        <c:axId val="360458472"/>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864"/>
        <c:crosses val="autoZero"/>
        <c:crossBetween val="midCat"/>
      </c:valAx>
      <c:valAx>
        <c:axId val="360458864"/>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472"/>
        <c:crosses val="autoZero"/>
        <c:crossBetween val="midCat"/>
      </c:valAx>
      <c:spPr>
        <a:noFill/>
        <a:ln>
          <a:noFill/>
        </a:ln>
        <a:effectLst/>
      </c:spPr>
    </c:plotArea>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Calculations!$AY$16</c:f>
          <c:strCache>
            <c:ptCount val="1"/>
            <c:pt idx="0">
              <c:v>α-opic weighted spectra for D65, Reference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Calculations!$AZ$20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Calculations!$AZ$21:$AZ$421</c:f>
              <c:numCache>
                <c:formatCode>General</c:formatCode>
                <c:ptCount val="401"/>
                <c:pt idx="0">
                  <c:v>0</c:v>
                </c:pt>
                <c:pt idx="1">
                  <c:v>0</c:v>
                </c:pt>
                <c:pt idx="2">
                  <c:v>0</c:v>
                </c:pt>
                <c:pt idx="3">
                  <c:v>0</c:v>
                </c:pt>
                <c:pt idx="4">
                  <c:v>0</c:v>
                </c:pt>
                <c:pt idx="5">
                  <c:v>0</c:v>
                </c:pt>
                <c:pt idx="6">
                  <c:v>0</c:v>
                </c:pt>
                <c:pt idx="7">
                  <c:v>0</c:v>
                </c:pt>
                <c:pt idx="8">
                  <c:v>0</c:v>
                </c:pt>
                <c:pt idx="9">
                  <c:v>0</c:v>
                </c:pt>
                <c:pt idx="10">
                  <c:v>4.6511139681170677E-6</c:v>
                </c:pt>
                <c:pt idx="11">
                  <c:v>5.9254181794636125E-6</c:v>
                </c:pt>
                <c:pt idx="12">
                  <c:v>7.5295014792234757E-6</c:v>
                </c:pt>
                <c:pt idx="13">
                  <c:v>9.5416113094614209E-6</c:v>
                </c:pt>
                <c:pt idx="14">
                  <c:v>1.2055884002443323E-5</c:v>
                </c:pt>
                <c:pt idx="15">
                  <c:v>1.5184241298083366E-5</c:v>
                </c:pt>
                <c:pt idx="16">
                  <c:v>1.9058596042532377E-5</c:v>
                </c:pt>
                <c:pt idx="17">
                  <c:v>2.3833010851159506E-5</c:v>
                </c:pt>
                <c:pt idx="18">
                  <c:v>2.9684040676494415E-5</c:v>
                </c:pt>
                <c:pt idx="19">
                  <c:v>3.6812356460962594E-5</c:v>
                </c:pt>
                <c:pt idx="20">
                  <c:v>4.5441421290661232E-5</c:v>
                </c:pt>
                <c:pt idx="21">
                  <c:v>5.4552472152658661E-5</c:v>
                </c:pt>
                <c:pt idx="22">
                  <c:v>6.5215715444456897E-5</c:v>
                </c:pt>
                <c:pt idx="23">
                  <c:v>7.7615154232733825E-5</c:v>
                </c:pt>
                <c:pt idx="24">
                  <c:v>9.1934723404498824E-5</c:v>
                </c:pt>
                <c:pt idx="25">
                  <c:v>1.0835123349213201E-4</c:v>
                </c:pt>
                <c:pt idx="26">
                  <c:v>1.2702644278565672E-4</c:v>
                </c:pt>
                <c:pt idx="27">
                  <c:v>1.4809232319556984E-4</c:v>
                </c:pt>
                <c:pt idx="28">
                  <c:v>1.716437449296593E-4</c:v>
                </c:pt>
                <c:pt idx="29">
                  <c:v>1.9772180831811376E-4</c:v>
                </c:pt>
                <c:pt idx="30">
                  <c:v>2.2630345978951648E-4</c:v>
                </c:pt>
                <c:pt idx="31">
                  <c:v>2.5542605333506418E-4</c:v>
                </c:pt>
                <c:pt idx="32">
                  <c:v>2.8653770436974109E-4</c:v>
                </c:pt>
                <c:pt idx="33">
                  <c:v>3.1964227804074508E-4</c:v>
                </c:pt>
                <c:pt idx="34">
                  <c:v>3.5475864114362901E-4</c:v>
                </c:pt>
                <c:pt idx="35">
                  <c:v>3.9193292911436232E-4</c:v>
                </c:pt>
                <c:pt idx="36">
                  <c:v>4.3116438098120318E-4</c:v>
                </c:pt>
                <c:pt idx="37">
                  <c:v>4.7210864145308428E-4</c:v>
                </c:pt>
                <c:pt idx="38">
                  <c:v>5.1421541656434622E-4</c:v>
                </c:pt>
                <c:pt idx="39">
                  <c:v>5.5678794874238619E-4</c:v>
                </c:pt>
                <c:pt idx="40">
                  <c:v>5.9897963303034269E-4</c:v>
                </c:pt>
                <c:pt idx="41">
                  <c:v>6.3406298547152645E-4</c:v>
                </c:pt>
                <c:pt idx="42">
                  <c:v>6.6727720968704776E-4</c:v>
                </c:pt>
                <c:pt idx="43">
                  <c:v>6.9902935179299945E-4</c:v>
                </c:pt>
                <c:pt idx="44">
                  <c:v>7.2989790426696824E-4</c:v>
                </c:pt>
                <c:pt idx="45">
                  <c:v>7.6061766883486054E-4</c:v>
                </c:pt>
                <c:pt idx="46">
                  <c:v>7.9180945992641182E-4</c:v>
                </c:pt>
                <c:pt idx="47">
                  <c:v>8.2306143370913516E-4</c:v>
                </c:pt>
                <c:pt idx="48">
                  <c:v>8.5360871336762143E-4</c:v>
                </c:pt>
                <c:pt idx="49">
                  <c:v>8.8258596311169171E-4</c:v>
                </c:pt>
                <c:pt idx="50">
                  <c:v>9.0904560981501558E-4</c:v>
                </c:pt>
                <c:pt idx="51">
                  <c:v>9.5926909550370727E-4</c:v>
                </c:pt>
                <c:pt idx="52">
                  <c:v>1.008227512308033E-3</c:v>
                </c:pt>
                <c:pt idx="53">
                  <c:v>1.0565251632408063E-3</c:v>
                </c:pt>
                <c:pt idx="54">
                  <c:v>1.1049489983316911E-3</c:v>
                </c:pt>
                <c:pt idx="55">
                  <c:v>1.1544694019564542E-3</c:v>
                </c:pt>
                <c:pt idx="56">
                  <c:v>1.2058342007967551E-3</c:v>
                </c:pt>
                <c:pt idx="57">
                  <c:v>1.2581668088815995E-3</c:v>
                </c:pt>
                <c:pt idx="58">
                  <c:v>1.3099725249837426E-3</c:v>
                </c:pt>
                <c:pt idx="59">
                  <c:v>1.3595559616086674E-3</c:v>
                </c:pt>
                <c:pt idx="60">
                  <c:v>1.4049614866838713E-3</c:v>
                </c:pt>
                <c:pt idx="61">
                  <c:v>1.4364828315137879E-3</c:v>
                </c:pt>
                <c:pt idx="62">
                  <c:v>1.4628784481748747E-3</c:v>
                </c:pt>
                <c:pt idx="63">
                  <c:v>1.4856186602249786E-3</c:v>
                </c:pt>
                <c:pt idx="64">
                  <c:v>1.5063552880313739E-3</c:v>
                </c:pt>
                <c:pt idx="65">
                  <c:v>1.5268417502571836E-3</c:v>
                </c:pt>
                <c:pt idx="66">
                  <c:v>1.5482833725841598E-3</c:v>
                </c:pt>
                <c:pt idx="67">
                  <c:v>1.5692290852383135E-3</c:v>
                </c:pt>
                <c:pt idx="68">
                  <c:v>1.587525909775112E-3</c:v>
                </c:pt>
                <c:pt idx="69">
                  <c:v>1.600936314114962E-3</c:v>
                </c:pt>
                <c:pt idx="70">
                  <c:v>1.6071585247286683E-3</c:v>
                </c:pt>
                <c:pt idx="71">
                  <c:v>1.5893215894049585E-3</c:v>
                </c:pt>
                <c:pt idx="72">
                  <c:v>1.564848527372065E-3</c:v>
                </c:pt>
                <c:pt idx="73">
                  <c:v>1.5361356184105538E-3</c:v>
                </c:pt>
                <c:pt idx="74">
                  <c:v>1.5055042537508215E-3</c:v>
                </c:pt>
                <c:pt idx="75">
                  <c:v>1.4750638406989603E-3</c:v>
                </c:pt>
                <c:pt idx="76">
                  <c:v>1.446398904370607E-3</c:v>
                </c:pt>
                <c:pt idx="77">
                  <c:v>1.419448669156039E-3</c:v>
                </c:pt>
                <c:pt idx="78">
                  <c:v>1.3937538203646369E-3</c:v>
                </c:pt>
                <c:pt idx="79">
                  <c:v>1.368939676527412E-3</c:v>
                </c:pt>
                <c:pt idx="80">
                  <c:v>1.3446140719872315E-3</c:v>
                </c:pt>
                <c:pt idx="81">
                  <c:v>1.3161408992049318E-3</c:v>
                </c:pt>
                <c:pt idx="82">
                  <c:v>1.2870515229260983E-3</c:v>
                </c:pt>
                <c:pt idx="83">
                  <c:v>1.2564945173663344E-3</c:v>
                </c:pt>
                <c:pt idx="84">
                  <c:v>1.2237111380160657E-3</c:v>
                </c:pt>
                <c:pt idx="85">
                  <c:v>1.1880433897704977E-3</c:v>
                </c:pt>
                <c:pt idx="86">
                  <c:v>1.14915556178252E-3</c:v>
                </c:pt>
                <c:pt idx="87">
                  <c:v>1.1074688035330677E-3</c:v>
                </c:pt>
                <c:pt idx="88">
                  <c:v>1.063586580843553E-3</c:v>
                </c:pt>
                <c:pt idx="89">
                  <c:v>1.0180888735168302E-3</c:v>
                </c:pt>
                <c:pt idx="90">
                  <c:v>9.7152125986749919E-4</c:v>
                </c:pt>
                <c:pt idx="91">
                  <c:v>9.2764037900974815E-4</c:v>
                </c:pt>
                <c:pt idx="92">
                  <c:v>8.8340428485456958E-4</c:v>
                </c:pt>
                <c:pt idx="93">
                  <c:v>8.3928231418087273E-4</c:v>
                </c:pt>
                <c:pt idx="94">
                  <c:v>7.9565617382897514E-4</c:v>
                </c:pt>
                <c:pt idx="95">
                  <c:v>7.5287730637779433E-4</c:v>
                </c:pt>
                <c:pt idx="96">
                  <c:v>7.1125072735145735E-4</c:v>
                </c:pt>
                <c:pt idx="97">
                  <c:v>6.7112581020279804E-4</c:v>
                </c:pt>
                <c:pt idx="98">
                  <c:v>6.3279934656132605E-4</c:v>
                </c:pt>
                <c:pt idx="99">
                  <c:v>5.9648345258919537E-4</c:v>
                </c:pt>
                <c:pt idx="100">
                  <c:v>5.6233743479759831E-4</c:v>
                </c:pt>
                <c:pt idx="101">
                  <c:v>5.2663612446376073E-4</c:v>
                </c:pt>
                <c:pt idx="102">
                  <c:v>4.9317954958374315E-4</c:v>
                </c:pt>
                <c:pt idx="103">
                  <c:v>4.6153982589878899E-4</c:v>
                </c:pt>
                <c:pt idx="104">
                  <c:v>4.3138955057375489E-4</c:v>
                </c:pt>
                <c:pt idx="105">
                  <c:v>4.0245714538924665E-4</c:v>
                </c:pt>
                <c:pt idx="106">
                  <c:v>3.7463317734475789E-4</c:v>
                </c:pt>
                <c:pt idx="107">
                  <c:v>3.4818411968842191E-4</c:v>
                </c:pt>
                <c:pt idx="108">
                  <c:v>3.233785197686162E-4</c:v>
                </c:pt>
                <c:pt idx="109">
                  <c:v>3.0040292714427023E-4</c:v>
                </c:pt>
                <c:pt idx="110">
                  <c:v>2.7936149022062716E-4</c:v>
                </c:pt>
                <c:pt idx="111">
                  <c:v>2.620842596888872E-4</c:v>
                </c:pt>
                <c:pt idx="112">
                  <c:v>2.4621663859642607E-4</c:v>
                </c:pt>
                <c:pt idx="113">
                  <c:v>2.3148430894514164E-4</c:v>
                </c:pt>
                <c:pt idx="114">
                  <c:v>2.1766328513124597E-4</c:v>
                </c:pt>
                <c:pt idx="115">
                  <c:v>2.045690413170902E-4</c:v>
                </c:pt>
                <c:pt idx="116">
                  <c:v>1.920607834175852E-4</c:v>
                </c:pt>
                <c:pt idx="117">
                  <c:v>1.800616359063325E-4</c:v>
                </c:pt>
                <c:pt idx="118">
                  <c:v>1.6851975920451959E-4</c:v>
                </c:pt>
                <c:pt idx="119">
                  <c:v>1.5739942912671516E-4</c:v>
                </c:pt>
                <c:pt idx="120">
                  <c:v>1.4666648820950109E-4</c:v>
                </c:pt>
                <c:pt idx="121">
                  <c:v>1.3604586177411277E-4</c:v>
                </c:pt>
                <c:pt idx="122">
                  <c:v>1.2583704571547848E-4</c:v>
                </c:pt>
                <c:pt idx="123">
                  <c:v>1.160433791681688E-4</c:v>
                </c:pt>
                <c:pt idx="124">
                  <c:v>1.0667235265402947E-4</c:v>
                </c:pt>
                <c:pt idx="125">
                  <c:v>9.772879922816318E-5</c:v>
                </c:pt>
                <c:pt idx="126">
                  <c:v>8.92419472560202E-5</c:v>
                </c:pt>
                <c:pt idx="127">
                  <c:v>8.1317804200012797E-5</c:v>
                </c:pt>
                <c:pt idx="128">
                  <c:v>7.4041152003628331E-5</c:v>
                </c:pt>
                <c:pt idx="129">
                  <c:v>6.745994110612385E-5</c:v>
                </c:pt>
                <c:pt idx="130">
                  <c:v>6.1589187402182459E-5</c:v>
                </c:pt>
                <c:pt idx="131">
                  <c:v>5.632390666270897E-5</c:v>
                </c:pt>
                <c:pt idx="132">
                  <c:v>5.1633746109799816E-5</c:v>
                </c:pt>
                <c:pt idx="133">
                  <c:v>4.7400646320970878E-5</c:v>
                </c:pt>
                <c:pt idx="134">
                  <c:v>4.3532965377093439E-5</c:v>
                </c:pt>
                <c:pt idx="135">
                  <c:v>3.9956925586902426E-5</c:v>
                </c:pt>
                <c:pt idx="136">
                  <c:v>3.6623966900748572E-5</c:v>
                </c:pt>
                <c:pt idx="137">
                  <c:v>3.3525887900569564E-5</c:v>
                </c:pt>
                <c:pt idx="138">
                  <c:v>3.065923295806347E-5</c:v>
                </c:pt>
                <c:pt idx="139">
                  <c:v>2.8019274297135973E-5</c:v>
                </c:pt>
                <c:pt idx="140">
                  <c:v>2.5597206671274596E-5</c:v>
                </c:pt>
                <c:pt idx="141">
                  <c:v>2.3513681377294299E-5</c:v>
                </c:pt>
                <c:pt idx="142">
                  <c:v>2.1594482575513536E-5</c:v>
                </c:pt>
                <c:pt idx="143">
                  <c:v>1.9823351037563404E-5</c:v>
                </c:pt>
                <c:pt idx="144">
                  <c:v>1.8186181859244737E-5</c:v>
                </c:pt>
                <c:pt idx="145">
                  <c:v>1.6670752486177052E-5</c:v>
                </c:pt>
                <c:pt idx="146">
                  <c:v>1.5267541722493826E-5</c:v>
                </c:pt>
                <c:pt idx="147">
                  <c:v>1.3972952238390896E-5</c:v>
                </c:pt>
                <c:pt idx="148">
                  <c:v>1.2783169123059174E-5</c:v>
                </c:pt>
                <c:pt idx="149">
                  <c:v>1.1693775284254607E-5</c:v>
                </c:pt>
                <c:pt idx="150">
                  <c:v>1.0699654489023591E-5</c:v>
                </c:pt>
                <c:pt idx="151">
                  <c:v>9.7382236073500728E-6</c:v>
                </c:pt>
                <c:pt idx="152">
                  <c:v>8.8649887942619573E-6</c:v>
                </c:pt>
                <c:pt idx="153">
                  <c:v>8.0692803849303869E-6</c:v>
                </c:pt>
                <c:pt idx="154">
                  <c:v>7.3418120249693819E-6</c:v>
                </c:pt>
                <c:pt idx="155">
                  <c:v>6.6750426553392628E-6</c:v>
                </c:pt>
                <c:pt idx="156">
                  <c:v>6.0629252810764317E-6</c:v>
                </c:pt>
                <c:pt idx="157">
                  <c:v>5.5021032023114377E-6</c:v>
                </c:pt>
                <c:pt idx="158">
                  <c:v>4.9898821467000411E-6</c:v>
                </c:pt>
                <c:pt idx="159">
                  <c:v>4.5231409543141485E-6</c:v>
                </c:pt>
                <c:pt idx="160">
                  <c:v>4.0989529113960777E-6</c:v>
                </c:pt>
                <c:pt idx="161">
                  <c:v>3.7245048405494697E-6</c:v>
                </c:pt>
                <c:pt idx="162">
                  <c:v>3.3839097707124275E-6</c:v>
                </c:pt>
                <c:pt idx="163">
                  <c:v>3.0740404166730437E-6</c:v>
                </c:pt>
                <c:pt idx="164">
                  <c:v>2.7920626827114948E-6</c:v>
                </c:pt>
                <c:pt idx="165">
                  <c:v>2.5354496047979354E-6</c:v>
                </c:pt>
                <c:pt idx="166">
                  <c:v>2.3019163042294928E-6</c:v>
                </c:pt>
                <c:pt idx="167">
                  <c:v>2.0893869309388861E-6</c:v>
                </c:pt>
                <c:pt idx="168">
                  <c:v>1.8960320495067051E-6</c:v>
                </c:pt>
                <c:pt idx="169">
                  <c:v>1.7201734859643495E-6</c:v>
                </c:pt>
                <c:pt idx="170">
                  <c:v>1.5602651066123986E-6</c:v>
                </c:pt>
                <c:pt idx="171">
                  <c:v>1.4099002126174518E-6</c:v>
                </c:pt>
                <c:pt idx="172">
                  <c:v>1.2738278576205128E-6</c:v>
                </c:pt>
                <c:pt idx="173">
                  <c:v>1.1507917094151338E-6</c:v>
                </c:pt>
                <c:pt idx="174">
                  <c:v>1.0396615574780757E-6</c:v>
                </c:pt>
                <c:pt idx="175">
                  <c:v>9.3934746340608915E-7</c:v>
                </c:pt>
                <c:pt idx="176">
                  <c:v>8.4885187338077598E-7</c:v>
                </c:pt>
                <c:pt idx="177">
                  <c:v>7.6718921075266487E-7</c:v>
                </c:pt>
                <c:pt idx="178">
                  <c:v>6.9344144316448288E-7</c:v>
                </c:pt>
                <c:pt idx="179">
                  <c:v>6.2682155929631715E-7</c:v>
                </c:pt>
                <c:pt idx="180">
                  <c:v>5.6659845196129515E-7</c:v>
                </c:pt>
                <c:pt idx="181">
                  <c:v>5.1234603870233164E-7</c:v>
                </c:pt>
                <c:pt idx="182">
                  <c:v>4.6328735974758203E-7</c:v>
                </c:pt>
                <c:pt idx="183">
                  <c:v>4.1893926904949739E-7</c:v>
                </c:pt>
                <c:pt idx="184">
                  <c:v>3.7886055201336468E-7</c:v>
                </c:pt>
                <c:pt idx="185">
                  <c:v>3.4264982181258465E-7</c:v>
                </c:pt>
                <c:pt idx="186">
                  <c:v>3.0994173545330437E-7</c:v>
                </c:pt>
                <c:pt idx="187">
                  <c:v>2.8039472629879524E-7</c:v>
                </c:pt>
                <c:pt idx="188">
                  <c:v>2.5370435913349931E-7</c:v>
                </c:pt>
                <c:pt idx="189">
                  <c:v>2.2959227228270534E-7</c:v>
                </c:pt>
                <c:pt idx="190">
                  <c:v>2.0780738813894464E-7</c:v>
                </c:pt>
                <c:pt idx="191">
                  <c:v>1.88735970009372E-7</c:v>
                </c:pt>
                <c:pt idx="192">
                  <c:v>1.71451278846473E-7</c:v>
                </c:pt>
                <c:pt idx="193">
                  <c:v>1.5578491795073573E-7</c:v>
                </c:pt>
                <c:pt idx="194">
                  <c:v>1.4158534740703697E-7</c:v>
                </c:pt>
                <c:pt idx="195">
                  <c:v>1.2871216290426016E-7</c:v>
                </c:pt>
                <c:pt idx="196">
                  <c:v>1.1704114819313753E-7</c:v>
                </c:pt>
                <c:pt idx="197">
                  <c:v>1.0645820260113825E-7</c:v>
                </c:pt>
                <c:pt idx="198">
                  <c:v>9.686040788016741E-8</c:v>
                </c:pt>
                <c:pt idx="199">
                  <c:v>8.8154683509048735E-8</c:v>
                </c:pt>
                <c:pt idx="200">
                  <c:v>8.0256462677985059E-8</c:v>
                </c:pt>
                <c:pt idx="201">
                  <c:v>7.258917082764305E-8</c:v>
                </c:pt>
                <c:pt idx="202">
                  <c:v>6.567259436805337E-8</c:v>
                </c:pt>
                <c:pt idx="203">
                  <c:v>5.9432100756064545E-8</c:v>
                </c:pt>
                <c:pt idx="204">
                  <c:v>5.3800528366636075E-8</c:v>
                </c:pt>
                <c:pt idx="205">
                  <c:v>4.8717472316447E-8</c:v>
                </c:pt>
                <c:pt idx="206">
                  <c:v>4.4128531381394343E-8</c:v>
                </c:pt>
                <c:pt idx="207">
                  <c:v>3.9984574627146907E-8</c:v>
                </c:pt>
                <c:pt idx="208">
                  <c:v>3.6241705347035602E-8</c:v>
                </c:pt>
                <c:pt idx="209">
                  <c:v>3.2860176530451863E-8</c:v>
                </c:pt>
                <c:pt idx="210">
                  <c:v>2.9804232736916766E-8</c:v>
                </c:pt>
                <c:pt idx="211">
                  <c:v>2.7300992262578117E-8</c:v>
                </c:pt>
                <c:pt idx="212">
                  <c:v>2.5018272413689108E-8</c:v>
                </c:pt>
                <c:pt idx="213">
                  <c:v>2.2936165386722998E-8</c:v>
                </c:pt>
                <c:pt idx="214">
                  <c:v>2.1036380158233476E-8</c:v>
                </c:pt>
                <c:pt idx="215">
                  <c:v>1.9302472591322311E-8</c:v>
                </c:pt>
                <c:pt idx="216">
                  <c:v>1.7719308913677702E-8</c:v>
                </c:pt>
                <c:pt idx="217">
                  <c:v>1.6273159149767231E-8</c:v>
                </c:pt>
                <c:pt idx="218">
                  <c:v>1.4952005180714488E-8</c:v>
                </c:pt>
                <c:pt idx="219">
                  <c:v>1.3744303940342081E-8</c:v>
                </c:pt>
                <c:pt idx="220">
                  <c:v>1.2640004786322715E-8</c:v>
                </c:pt>
                <c:pt idx="221">
                  <c:v>1.1607675192658712E-8</c:v>
                </c:pt>
                <c:pt idx="222">
                  <c:v>1.0664700400050715E-8</c:v>
                </c:pt>
                <c:pt idx="223">
                  <c:v>9.8030396113037171E-9</c:v>
                </c:pt>
                <c:pt idx="224">
                  <c:v>9.0153510342582172E-9</c:v>
                </c:pt>
                <c:pt idx="225">
                  <c:v>8.2950059794756483E-9</c:v>
                </c:pt>
                <c:pt idx="226">
                  <c:v>7.63597568603179E-9</c:v>
                </c:pt>
                <c:pt idx="227">
                  <c:v>7.0327848109127077E-9</c:v>
                </c:pt>
                <c:pt idx="228">
                  <c:v>6.4804748436344828E-9</c:v>
                </c:pt>
                <c:pt idx="229">
                  <c:v>5.9745308432182149E-9</c:v>
                </c:pt>
                <c:pt idx="230">
                  <c:v>5.5108680368316559E-9</c:v>
                </c:pt>
                <c:pt idx="231">
                  <c:v>5.0772904911503136E-9</c:v>
                </c:pt>
                <c:pt idx="232">
                  <c:v>4.6801757584913309E-9</c:v>
                </c:pt>
                <c:pt idx="233">
                  <c:v>4.3163280025611066E-9</c:v>
                </c:pt>
                <c:pt idx="234">
                  <c:v>3.9827896971991507E-9</c:v>
                </c:pt>
                <c:pt idx="235">
                  <c:v>3.6769164850694328E-9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83F2-4DEA-A0E0-E1EF1D6DB5D5}"/>
            </c:ext>
          </c:extLst>
        </c:ser>
        <c:ser>
          <c:idx val="1"/>
          <c:order val="1"/>
          <c:tx>
            <c:strRef>
              <c:f>Calculations!$BA$20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Calculations!$BA$21:$BA$421</c:f>
              <c:numCache>
                <c:formatCode>General</c:formatCode>
                <c:ptCount val="401"/>
                <c:pt idx="0">
                  <c:v>0</c:v>
                </c:pt>
                <c:pt idx="1">
                  <c:v>0</c:v>
                </c:pt>
                <c:pt idx="2">
                  <c:v>0</c:v>
                </c:pt>
                <c:pt idx="3">
                  <c:v>0</c:v>
                </c:pt>
                <c:pt idx="4">
                  <c:v>0</c:v>
                </c:pt>
                <c:pt idx="5">
                  <c:v>0</c:v>
                </c:pt>
                <c:pt idx="6">
                  <c:v>0</c:v>
                </c:pt>
                <c:pt idx="7">
                  <c:v>0</c:v>
                </c:pt>
                <c:pt idx="8">
                  <c:v>0</c:v>
                </c:pt>
                <c:pt idx="9">
                  <c:v>0</c:v>
                </c:pt>
                <c:pt idx="10">
                  <c:v>2.7124361691723814E-7</c:v>
                </c:pt>
                <c:pt idx="11">
                  <c:v>3.4922931404894772E-7</c:v>
                </c:pt>
                <c:pt idx="12">
                  <c:v>4.4778964358045918E-7</c:v>
                </c:pt>
                <c:pt idx="13">
                  <c:v>5.7165849910026994E-7</c:v>
                </c:pt>
                <c:pt idx="14">
                  <c:v>7.2639410317524237E-7</c:v>
                </c:pt>
                <c:pt idx="15">
                  <c:v>9.1842028418312869E-7</c:v>
                </c:pt>
                <c:pt idx="16">
                  <c:v>1.1550472104426295E-6</c:v>
                </c:pt>
                <c:pt idx="17">
                  <c:v>1.4444121057295258E-6</c:v>
                </c:pt>
                <c:pt idx="18">
                  <c:v>1.7953848285600898E-6</c:v>
                </c:pt>
                <c:pt idx="19">
                  <c:v>2.2173435908381182E-6</c:v>
                </c:pt>
                <c:pt idx="20">
                  <c:v>2.7198715800627717E-6</c:v>
                </c:pt>
                <c:pt idx="21">
                  <c:v>3.2378352958115778E-6</c:v>
                </c:pt>
                <c:pt idx="22">
                  <c:v>3.8329389004031566E-6</c:v>
                </c:pt>
                <c:pt idx="23">
                  <c:v>4.5146973519958774E-6</c:v>
                </c:pt>
                <c:pt idx="24">
                  <c:v>5.2941369356413993E-6</c:v>
                </c:pt>
                <c:pt idx="25">
                  <c:v>6.184194344299664E-6</c:v>
                </c:pt>
                <c:pt idx="26">
                  <c:v>7.1988884856541342E-6</c:v>
                </c:pt>
                <c:pt idx="27">
                  <c:v>8.3482856159081694E-6</c:v>
                </c:pt>
                <c:pt idx="28">
                  <c:v>9.639573592055262E-6</c:v>
                </c:pt>
                <c:pt idx="29">
                  <c:v>1.1077066601502067E-5</c:v>
                </c:pt>
                <c:pt idx="30">
                  <c:v>1.2661243156871138E-5</c:v>
                </c:pt>
                <c:pt idx="31">
                  <c:v>1.4284662367965822E-5</c:v>
                </c:pt>
                <c:pt idx="32">
                  <c:v>1.6033132078876774E-5</c:v>
                </c:pt>
                <c:pt idx="33">
                  <c:v>1.791375002748642E-5</c:v>
                </c:pt>
                <c:pt idx="34">
                  <c:v>1.9935526503656514E-5</c:v>
                </c:pt>
                <c:pt idx="35">
                  <c:v>2.2110817390746085E-5</c:v>
                </c:pt>
                <c:pt idx="36">
                  <c:v>2.4451579581950355E-5</c:v>
                </c:pt>
                <c:pt idx="37">
                  <c:v>2.6957255354714969E-5</c:v>
                </c:pt>
                <c:pt idx="38">
                  <c:v>2.9620151815620362E-5</c:v>
                </c:pt>
                <c:pt idx="39">
                  <c:v>3.2427816493224458E-5</c:v>
                </c:pt>
                <c:pt idx="40">
                  <c:v>3.5362416790752273E-5</c:v>
                </c:pt>
                <c:pt idx="41">
                  <c:v>3.8049922389805169E-5</c:v>
                </c:pt>
                <c:pt idx="42">
                  <c:v>4.0794793690434674E-5</c:v>
                </c:pt>
                <c:pt idx="43">
                  <c:v>4.3609307677638923E-5</c:v>
                </c:pt>
                <c:pt idx="44">
                  <c:v>4.6512277202407463E-5</c:v>
                </c:pt>
                <c:pt idx="45">
                  <c:v>4.9528429885867671E-5</c:v>
                </c:pt>
                <c:pt idx="46">
                  <c:v>5.2683598396458859E-5</c:v>
                </c:pt>
                <c:pt idx="47">
                  <c:v>5.5981859723532807E-5</c:v>
                </c:pt>
                <c:pt idx="48">
                  <c:v>5.9420926313840069E-5</c:v>
                </c:pt>
                <c:pt idx="49">
                  <c:v>6.2996620637081649E-5</c:v>
                </c:pt>
                <c:pt idx="50">
                  <c:v>6.6703579402617656E-5</c:v>
                </c:pt>
                <c:pt idx="51">
                  <c:v>7.2577548430810009E-5</c:v>
                </c:pt>
                <c:pt idx="52">
                  <c:v>7.8816884859772286E-5</c:v>
                </c:pt>
                <c:pt idx="53">
                  <c:v>8.5409490162283885E-5</c:v>
                </c:pt>
                <c:pt idx="54">
                  <c:v>9.2335322496017063E-5</c:v>
                </c:pt>
                <c:pt idx="55">
                  <c:v>9.9564731974211668E-5</c:v>
                </c:pt>
                <c:pt idx="56">
                  <c:v>1.0706255816644212E-4</c:v>
                </c:pt>
                <c:pt idx="57">
                  <c:v>1.1480019388499836E-4</c:v>
                </c:pt>
                <c:pt idx="58">
                  <c:v>1.2274772879468897E-4</c:v>
                </c:pt>
                <c:pt idx="59">
                  <c:v>1.3087370573855404E-4</c:v>
                </c:pt>
                <c:pt idx="60">
                  <c:v>1.3913791461759694E-4</c:v>
                </c:pt>
                <c:pt idx="61">
                  <c:v>1.4668148512755392E-4</c:v>
                </c:pt>
                <c:pt idx="62">
                  <c:v>1.5431739181643681E-4</c:v>
                </c:pt>
                <c:pt idx="63">
                  <c:v>1.6212232489060333E-4</c:v>
                </c:pt>
                <c:pt idx="64">
                  <c:v>1.7019053498915201E-4</c:v>
                </c:pt>
                <c:pt idx="65">
                  <c:v>1.7864000520960671E-4</c:v>
                </c:pt>
                <c:pt idx="66">
                  <c:v>1.8756739972996416E-4</c:v>
                </c:pt>
                <c:pt idx="67">
                  <c:v>1.9691269582611544E-4</c:v>
                </c:pt>
                <c:pt idx="68">
                  <c:v>2.0655912794756445E-4</c:v>
                </c:pt>
                <c:pt idx="69">
                  <c:v>2.1636234479165814E-4</c:v>
                </c:pt>
                <c:pt idx="70">
                  <c:v>2.2614829596428242E-4</c:v>
                </c:pt>
                <c:pt idx="71">
                  <c:v>2.3352226089714862E-4</c:v>
                </c:pt>
                <c:pt idx="72">
                  <c:v>2.4072632104539052E-4</c:v>
                </c:pt>
                <c:pt idx="73">
                  <c:v>2.4796724566726385E-4</c:v>
                </c:pt>
                <c:pt idx="74">
                  <c:v>2.5548661344586298E-4</c:v>
                </c:pt>
                <c:pt idx="75">
                  <c:v>2.6354909932480361E-4</c:v>
                </c:pt>
                <c:pt idx="76">
                  <c:v>2.7239721270942452E-4</c:v>
                </c:pt>
                <c:pt idx="77">
                  <c:v>2.8205448351282798E-4</c:v>
                </c:pt>
                <c:pt idx="78">
                  <c:v>2.9247218027219013E-4</c:v>
                </c:pt>
                <c:pt idx="79">
                  <c:v>3.0360289916831591E-4</c:v>
                </c:pt>
                <c:pt idx="80">
                  <c:v>3.1537444239477342E-4</c:v>
                </c:pt>
                <c:pt idx="81">
                  <c:v>3.2666487280129034E-4</c:v>
                </c:pt>
                <c:pt idx="82">
                  <c:v>3.3834130416193986E-4</c:v>
                </c:pt>
                <c:pt idx="83">
                  <c:v>3.5028371761740079E-4</c:v>
                </c:pt>
                <c:pt idx="84">
                  <c:v>3.6235872742270716E-4</c:v>
                </c:pt>
                <c:pt idx="85">
                  <c:v>3.7440526313789344E-4</c:v>
                </c:pt>
                <c:pt idx="86">
                  <c:v>3.862894628841422E-4</c:v>
                </c:pt>
                <c:pt idx="87">
                  <c:v>3.9798171664764731E-4</c:v>
                </c:pt>
                <c:pt idx="88">
                  <c:v>4.0948779207146846E-4</c:v>
                </c:pt>
                <c:pt idx="89">
                  <c:v>4.2081819441639238E-4</c:v>
                </c:pt>
                <c:pt idx="90">
                  <c:v>4.3198969671801707E-4</c:v>
                </c:pt>
                <c:pt idx="91">
                  <c:v>4.4458388459864691E-4</c:v>
                </c:pt>
                <c:pt idx="92">
                  <c:v>4.5720374992730471E-4</c:v>
                </c:pt>
                <c:pt idx="93">
                  <c:v>4.6995072998390705E-4</c:v>
                </c:pt>
                <c:pt idx="94">
                  <c:v>4.8291768339496103E-4</c:v>
                </c:pt>
                <c:pt idx="95">
                  <c:v>4.962306492227312E-4</c:v>
                </c:pt>
                <c:pt idx="96">
                  <c:v>5.100009377907315E-4</c:v>
                </c:pt>
                <c:pt idx="97">
                  <c:v>5.2426818545472757E-4</c:v>
                </c:pt>
                <c:pt idx="98">
                  <c:v>5.3906239917762074E-4</c:v>
                </c:pt>
                <c:pt idx="99">
                  <c:v>5.5439661669141351E-4</c:v>
                </c:pt>
                <c:pt idx="100">
                  <c:v>5.7030088893668255E-4</c:v>
                </c:pt>
                <c:pt idx="101">
                  <c:v>5.8263702740010952E-4</c:v>
                </c:pt>
                <c:pt idx="102">
                  <c:v>5.95155317405504E-4</c:v>
                </c:pt>
                <c:pt idx="103">
                  <c:v>6.0764315316150545E-4</c:v>
                </c:pt>
                <c:pt idx="104">
                  <c:v>6.1988374334927905E-4</c:v>
                </c:pt>
                <c:pt idx="105">
                  <c:v>6.3162061609485878E-4</c:v>
                </c:pt>
                <c:pt idx="106">
                  <c:v>6.4270325172085781E-4</c:v>
                </c:pt>
                <c:pt idx="107">
                  <c:v>6.5341245475240774E-4</c:v>
                </c:pt>
                <c:pt idx="108">
                  <c:v>6.6416723831698758E-4</c:v>
                </c:pt>
                <c:pt idx="109">
                  <c:v>6.7543161074526794E-4</c:v>
                </c:pt>
                <c:pt idx="110">
                  <c:v>6.8769117721693409E-4</c:v>
                </c:pt>
                <c:pt idx="111">
                  <c:v>7.0628246985448022E-4</c:v>
                </c:pt>
                <c:pt idx="112">
                  <c:v>7.2628694265807967E-4</c:v>
                </c:pt>
                <c:pt idx="113">
                  <c:v>7.4729037429337826E-4</c:v>
                </c:pt>
                <c:pt idx="114">
                  <c:v>7.6883997041830756E-4</c:v>
                </c:pt>
                <c:pt idx="115">
                  <c:v>7.9041508032891273E-4</c:v>
                </c:pt>
                <c:pt idx="116">
                  <c:v>8.1157706435664139E-4</c:v>
                </c:pt>
                <c:pt idx="117">
                  <c:v>8.3239379052979501E-4</c:v>
                </c:pt>
                <c:pt idx="118">
                  <c:v>8.5312021237022738E-4</c:v>
                </c:pt>
                <c:pt idx="119">
                  <c:v>8.7404584178886273E-4</c:v>
                </c:pt>
                <c:pt idx="120">
                  <c:v>8.9546725205094863E-4</c:v>
                </c:pt>
                <c:pt idx="121">
                  <c:v>9.1590526836400252E-4</c:v>
                </c:pt>
                <c:pt idx="122">
                  <c:v>9.3698119377521249E-4</c:v>
                </c:pt>
                <c:pt idx="123">
                  <c:v>9.585474571620861E-4</c:v>
                </c:pt>
                <c:pt idx="124">
                  <c:v>9.8046387013710538E-4</c:v>
                </c:pt>
                <c:pt idx="125">
                  <c:v>1.0025470929020135E-3</c:v>
                </c:pt>
                <c:pt idx="126">
                  <c:v>1.0246278730492748E-3</c:v>
                </c:pt>
                <c:pt idx="127">
                  <c:v>1.0465904244392175E-3</c:v>
                </c:pt>
                <c:pt idx="128">
                  <c:v>1.0683217245425105E-3</c:v>
                </c:pt>
                <c:pt idx="129">
                  <c:v>1.089735784242327E-3</c:v>
                </c:pt>
                <c:pt idx="130">
                  <c:v>1.110704565016278E-3</c:v>
                </c:pt>
                <c:pt idx="131">
                  <c:v>1.1296239380278264E-3</c:v>
                </c:pt>
                <c:pt idx="132">
                  <c:v>1.148102138082126E-3</c:v>
                </c:pt>
                <c:pt idx="133">
                  <c:v>1.1663308871999963E-3</c:v>
                </c:pt>
                <c:pt idx="134">
                  <c:v>1.1845513863747209E-3</c:v>
                </c:pt>
                <c:pt idx="135">
                  <c:v>1.2029906551709029E-3</c:v>
                </c:pt>
                <c:pt idx="136">
                  <c:v>1.2217765109755489E-3</c:v>
                </c:pt>
                <c:pt idx="137">
                  <c:v>1.2405329788023848E-3</c:v>
                </c:pt>
                <c:pt idx="138">
                  <c:v>1.258711365777967E-3</c:v>
                </c:pt>
                <c:pt idx="139">
                  <c:v>1.2757639631644352E-3</c:v>
                </c:pt>
                <c:pt idx="140">
                  <c:v>1.2910750282471024E-3</c:v>
                </c:pt>
                <c:pt idx="141">
                  <c:v>1.3115340678288821E-3</c:v>
                </c:pt>
                <c:pt idx="142">
                  <c:v>1.3300365215020034E-3</c:v>
                </c:pt>
                <c:pt idx="143">
                  <c:v>1.3468172699583575E-3</c:v>
                </c:pt>
                <c:pt idx="144">
                  <c:v>1.3621433183764325E-3</c:v>
                </c:pt>
                <c:pt idx="145">
                  <c:v>1.3762909394331542E-3</c:v>
                </c:pt>
                <c:pt idx="146">
                  <c:v>1.3895489547395806E-3</c:v>
                </c:pt>
                <c:pt idx="147">
                  <c:v>1.4020121157080762E-3</c:v>
                </c:pt>
                <c:pt idx="148">
                  <c:v>1.4137477302127292E-3</c:v>
                </c:pt>
                <c:pt idx="149">
                  <c:v>1.4248313501405794E-3</c:v>
                </c:pt>
                <c:pt idx="150">
                  <c:v>1.4353394113659685E-3</c:v>
                </c:pt>
                <c:pt idx="151">
                  <c:v>1.4370933788217116E-3</c:v>
                </c:pt>
                <c:pt idx="152">
                  <c:v>1.4384524196841117E-3</c:v>
                </c:pt>
                <c:pt idx="153">
                  <c:v>1.4396283744165877E-3</c:v>
                </c:pt>
                <c:pt idx="154">
                  <c:v>1.4407844587355674E-3</c:v>
                </c:pt>
                <c:pt idx="155">
                  <c:v>1.4421340563135277E-3</c:v>
                </c:pt>
                <c:pt idx="156">
                  <c:v>1.4437495728186174E-3</c:v>
                </c:pt>
                <c:pt idx="157">
                  <c:v>1.4452800875015405E-3</c:v>
                </c:pt>
                <c:pt idx="158">
                  <c:v>1.4463092967667509E-3</c:v>
                </c:pt>
                <c:pt idx="159">
                  <c:v>1.4463701533347466E-3</c:v>
                </c:pt>
                <c:pt idx="160">
                  <c:v>1.4450475488910596E-3</c:v>
                </c:pt>
                <c:pt idx="161">
                  <c:v>1.4460112826991868E-3</c:v>
                </c:pt>
                <c:pt idx="162">
                  <c:v>1.4451511109272947E-3</c:v>
                </c:pt>
                <c:pt idx="163">
                  <c:v>1.4424645852492291E-3</c:v>
                </c:pt>
                <c:pt idx="164">
                  <c:v>1.4379608201144662E-3</c:v>
                </c:pt>
                <c:pt idx="165">
                  <c:v>1.431656140496199E-3</c:v>
                </c:pt>
                <c:pt idx="166">
                  <c:v>1.4236916730832033E-3</c:v>
                </c:pt>
                <c:pt idx="167">
                  <c:v>1.4145843517037865E-3</c:v>
                </c:pt>
                <c:pt idx="168">
                  <c:v>1.4049737420732537E-3</c:v>
                </c:pt>
                <c:pt idx="169">
                  <c:v>1.3954703885898513E-3</c:v>
                </c:pt>
                <c:pt idx="170">
                  <c:v>1.3866594841429431E-3</c:v>
                </c:pt>
                <c:pt idx="171">
                  <c:v>1.3740014416472183E-3</c:v>
                </c:pt>
                <c:pt idx="172">
                  <c:v>1.3619668989933319E-3</c:v>
                </c:pt>
                <c:pt idx="173">
                  <c:v>1.3498518162561473E-3</c:v>
                </c:pt>
                <c:pt idx="174">
                  <c:v>1.3370367687475875E-3</c:v>
                </c:pt>
                <c:pt idx="175">
                  <c:v>1.3228784391129988E-3</c:v>
                </c:pt>
                <c:pt idx="176">
                  <c:v>1.3069897408812374E-3</c:v>
                </c:pt>
                <c:pt idx="177">
                  <c:v>1.2897232852679789E-3</c:v>
                </c:pt>
                <c:pt idx="178">
                  <c:v>1.2715572390045663E-3</c:v>
                </c:pt>
                <c:pt idx="179">
                  <c:v>1.252996223818952E-3</c:v>
                </c:pt>
                <c:pt idx="180">
                  <c:v>1.2344633304309626E-3</c:v>
                </c:pt>
                <c:pt idx="181">
                  <c:v>1.2167362521223845E-3</c:v>
                </c:pt>
                <c:pt idx="182">
                  <c:v>1.1991214530372863E-3</c:v>
                </c:pt>
                <c:pt idx="183">
                  <c:v>1.1812993047220545E-3</c:v>
                </c:pt>
                <c:pt idx="184">
                  <c:v>1.1629690837864125E-3</c:v>
                </c:pt>
                <c:pt idx="185">
                  <c:v>1.143855849919051E-3</c:v>
                </c:pt>
                <c:pt idx="186">
                  <c:v>1.1237757614455425E-3</c:v>
                </c:pt>
                <c:pt idx="187">
                  <c:v>1.1028340832429388E-3</c:v>
                </c:pt>
                <c:pt idx="188">
                  <c:v>1.081200348556555E-3</c:v>
                </c:pt>
                <c:pt idx="189">
                  <c:v>1.0590329937603365E-3</c:v>
                </c:pt>
                <c:pt idx="190">
                  <c:v>1.0364821944015092E-3</c:v>
                </c:pt>
                <c:pt idx="191">
                  <c:v>1.0169317644459597E-3</c:v>
                </c:pt>
                <c:pt idx="192">
                  <c:v>9.9683354228641339E-4</c:v>
                </c:pt>
                <c:pt idx="193">
                  <c:v>9.7602225229987609E-4</c:v>
                </c:pt>
                <c:pt idx="194">
                  <c:v>9.543547051198845E-4</c:v>
                </c:pt>
                <c:pt idx="195">
                  <c:v>9.3170625246084588E-4</c:v>
                </c:pt>
                <c:pt idx="196">
                  <c:v>9.0807594737560792E-4</c:v>
                </c:pt>
                <c:pt idx="197">
                  <c:v>8.8385504296790702E-4</c:v>
                </c:pt>
                <c:pt idx="198">
                  <c:v>8.5948881546038145E-4</c:v>
                </c:pt>
                <c:pt idx="199">
                  <c:v>8.3538041815090609E-4</c:v>
                </c:pt>
                <c:pt idx="200">
                  <c:v>8.1188555413099688E-4</c:v>
                </c:pt>
                <c:pt idx="201">
                  <c:v>7.8382656644234252E-4</c:v>
                </c:pt>
                <c:pt idx="202">
                  <c:v>7.5676940416639362E-4</c:v>
                </c:pt>
                <c:pt idx="203">
                  <c:v>7.305084333894162E-4</c:v>
                </c:pt>
                <c:pt idx="204">
                  <c:v>7.0485995481020449E-4</c:v>
                </c:pt>
                <c:pt idx="205">
                  <c:v>6.7967035101322722E-4</c:v>
                </c:pt>
                <c:pt idx="206">
                  <c:v>6.5481742006323737E-4</c:v>
                </c:pt>
                <c:pt idx="207">
                  <c:v>6.302519139578576E-4</c:v>
                </c:pt>
                <c:pt idx="208">
                  <c:v>6.0594691100506154E-4</c:v>
                </c:pt>
                <c:pt idx="209">
                  <c:v>5.8188105083213659E-4</c:v>
                </c:pt>
                <c:pt idx="210">
                  <c:v>5.5804616236755688E-4</c:v>
                </c:pt>
                <c:pt idx="211">
                  <c:v>5.3957138304761498E-4</c:v>
                </c:pt>
                <c:pt idx="212">
                  <c:v>5.2105337910671407E-4</c:v>
                </c:pt>
                <c:pt idx="213">
                  <c:v>5.025847465633961E-4</c:v>
                </c:pt>
                <c:pt idx="214">
                  <c:v>4.8424886296719282E-4</c:v>
                </c:pt>
                <c:pt idx="215">
                  <c:v>4.6611824333603655E-4</c:v>
                </c:pt>
                <c:pt idx="216">
                  <c:v>4.4825051156701436E-4</c:v>
                </c:pt>
                <c:pt idx="217">
                  <c:v>4.3065653106462871E-4</c:v>
                </c:pt>
                <c:pt idx="218">
                  <c:v>4.1334371184414471E-4</c:v>
                </c:pt>
                <c:pt idx="219">
                  <c:v>3.9631757009025856E-4</c:v>
                </c:pt>
                <c:pt idx="220">
                  <c:v>3.7958674147078961E-4</c:v>
                </c:pt>
                <c:pt idx="221">
                  <c:v>3.6246982107234209E-4</c:v>
                </c:pt>
                <c:pt idx="222">
                  <c:v>3.4576195663211287E-4</c:v>
                </c:pt>
                <c:pt idx="223">
                  <c:v>3.2950122089443708E-4</c:v>
                </c:pt>
                <c:pt idx="224">
                  <c:v>3.1371316833473235E-4</c:v>
                </c:pt>
                <c:pt idx="225">
                  <c:v>2.984217294800026E-4</c:v>
                </c:pt>
                <c:pt idx="226">
                  <c:v>2.8364558444791114E-4</c:v>
                </c:pt>
                <c:pt idx="227">
                  <c:v>2.6939240426552326E-4</c:v>
                </c:pt>
                <c:pt idx="228">
                  <c:v>2.5566522303913818E-4</c:v>
                </c:pt>
                <c:pt idx="229">
                  <c:v>2.4246706810798009E-4</c:v>
                </c:pt>
                <c:pt idx="230">
                  <c:v>2.2979723569622549E-4</c:v>
                </c:pt>
                <c:pt idx="231">
                  <c:v>2.1728598208290418E-4</c:v>
                </c:pt>
                <c:pt idx="232">
                  <c:v>2.0531883916850908E-4</c:v>
                </c:pt>
                <c:pt idx="233">
                  <c:v>1.9387585867106967E-4</c:v>
                </c:pt>
                <c:pt idx="234">
                  <c:v>1.8293878002050229E-4</c:v>
                </c:pt>
                <c:pt idx="235">
                  <c:v>1.7248911286128982E-4</c:v>
                </c:pt>
                <c:pt idx="236">
                  <c:v>1.6251031409429388E-4</c:v>
                </c:pt>
                <c:pt idx="237">
                  <c:v>1.5298966995361816E-4</c:v>
                </c:pt>
                <c:pt idx="238">
                  <c:v>1.4391752158107854E-4</c:v>
                </c:pt>
                <c:pt idx="239">
                  <c:v>1.3528114359701441E-4</c:v>
                </c:pt>
                <c:pt idx="240">
                  <c:v>1.270685493774376E-4</c:v>
                </c:pt>
                <c:pt idx="241">
                  <c:v>1.1892562606316689E-4</c:v>
                </c:pt>
                <c:pt idx="242">
                  <c:v>1.112301276305645E-4</c:v>
                </c:pt>
                <c:pt idx="243">
                  <c:v>1.0397196353372829E-4</c:v>
                </c:pt>
                <c:pt idx="244">
                  <c:v>9.7139466711881672E-5</c:v>
                </c:pt>
                <c:pt idx="245">
                  <c:v>9.0718856423126652E-5</c:v>
                </c:pt>
                <c:pt idx="246">
                  <c:v>8.4693545762597248E-5</c:v>
                </c:pt>
                <c:pt idx="247">
                  <c:v>7.9037826070031737E-5</c:v>
                </c:pt>
                <c:pt idx="248">
                  <c:v>7.3726527002123125E-5</c:v>
                </c:pt>
                <c:pt idx="249">
                  <c:v>6.8736411654861322E-5</c:v>
                </c:pt>
                <c:pt idx="250">
                  <c:v>6.4046598451877697E-5</c:v>
                </c:pt>
                <c:pt idx="251">
                  <c:v>5.9986360965755771E-5</c:v>
                </c:pt>
                <c:pt idx="252">
                  <c:v>5.6152241648895129E-5</c:v>
                </c:pt>
                <c:pt idx="253">
                  <c:v>5.2538016868349258E-5</c:v>
                </c:pt>
                <c:pt idx="254">
                  <c:v>4.9135907931971565E-5</c:v>
                </c:pt>
                <c:pt idx="255">
                  <c:v>4.593848859764898E-5</c:v>
                </c:pt>
                <c:pt idx="256">
                  <c:v>4.2935007486595147E-5</c:v>
                </c:pt>
                <c:pt idx="257">
                  <c:v>4.0106832198310418E-5</c:v>
                </c:pt>
                <c:pt idx="258">
                  <c:v>3.7436135525986936E-5</c:v>
                </c:pt>
                <c:pt idx="259">
                  <c:v>3.4907412299884456E-5</c:v>
                </c:pt>
                <c:pt idx="260">
                  <c:v>3.2508089352425965E-5</c:v>
                </c:pt>
                <c:pt idx="261">
                  <c:v>3.0085107445652674E-5</c:v>
                </c:pt>
                <c:pt idx="262">
                  <c:v>2.7819787119429222E-5</c:v>
                </c:pt>
                <c:pt idx="263">
                  <c:v>2.5722387420662244E-5</c:v>
                </c:pt>
                <c:pt idx="264">
                  <c:v>2.3797578187006037E-5</c:v>
                </c:pt>
                <c:pt idx="265">
                  <c:v>2.2046177625332244E-5</c:v>
                </c:pt>
                <c:pt idx="266">
                  <c:v>2.0460619064800992E-5</c:v>
                </c:pt>
                <c:pt idx="267">
                  <c:v>1.9013769729548918E-5</c:v>
                </c:pt>
                <c:pt idx="268">
                  <c:v>1.7679134428977727E-5</c:v>
                </c:pt>
                <c:pt idx="269">
                  <c:v>1.6434920072493239E-5</c:v>
                </c:pt>
                <c:pt idx="270">
                  <c:v>1.5264007318175903E-5</c:v>
                </c:pt>
                <c:pt idx="271">
                  <c:v>1.4223505391710246E-5</c:v>
                </c:pt>
                <c:pt idx="272">
                  <c:v>1.3234873887177869E-5</c:v>
                </c:pt>
                <c:pt idx="273">
                  <c:v>1.229990969166876E-5</c:v>
                </c:pt>
                <c:pt idx="274">
                  <c:v>1.1419570649765102E-5</c:v>
                </c:pt>
                <c:pt idx="275">
                  <c:v>1.0594045509452369E-5</c:v>
                </c:pt>
                <c:pt idx="276">
                  <c:v>9.8225292586857177E-6</c:v>
                </c:pt>
                <c:pt idx="277">
                  <c:v>9.1028166854162462E-6</c:v>
                </c:pt>
                <c:pt idx="278">
                  <c:v>8.432390012154269E-6</c:v>
                </c:pt>
                <c:pt idx="279">
                  <c:v>7.8087280722886803E-6</c:v>
                </c:pt>
                <c:pt idx="280">
                  <c:v>7.2292963429222698E-6</c:v>
                </c:pt>
                <c:pt idx="281">
                  <c:v>6.7074298590553828E-6</c:v>
                </c:pt>
                <c:pt idx="282">
                  <c:v>6.2234990639425786E-6</c:v>
                </c:pt>
                <c:pt idx="283">
                  <c:v>5.7761435897151881E-6</c:v>
                </c:pt>
                <c:pt idx="284">
                  <c:v>5.3637393827815106E-6</c:v>
                </c:pt>
                <c:pt idx="285">
                  <c:v>4.9845979444922005E-6</c:v>
                </c:pt>
                <c:pt idx="286">
                  <c:v>4.6365402190820706E-6</c:v>
                </c:pt>
                <c:pt idx="287">
                  <c:v>4.3160725076455233E-6</c:v>
                </c:pt>
                <c:pt idx="288">
                  <c:v>4.0198383197543665E-6</c:v>
                </c:pt>
                <c:pt idx="289">
                  <c:v>3.7449644162737058E-6</c:v>
                </c:pt>
                <c:pt idx="290">
                  <c:v>3.4889954543931713E-6</c:v>
                </c:pt>
                <c:pt idx="291">
                  <c:v>3.2260934788889799E-6</c:v>
                </c:pt>
                <c:pt idx="292">
                  <c:v>2.9823821297157576E-6</c:v>
                </c:pt>
                <c:pt idx="293">
                  <c:v>2.7565509551492003E-6</c:v>
                </c:pt>
                <c:pt idx="294">
                  <c:v>2.5473585245009478E-6</c:v>
                </c:pt>
                <c:pt idx="295">
                  <c:v>2.3536700234889885E-6</c:v>
                </c:pt>
                <c:pt idx="296">
                  <c:v>2.1743897960995871E-6</c:v>
                </c:pt>
                <c:pt idx="297">
                  <c:v>2.008483294338438E-6</c:v>
                </c:pt>
                <c:pt idx="298">
                  <c:v>1.8549471672455111E-6</c:v>
                </c:pt>
                <c:pt idx="299">
                  <c:v>1.7128811133367859E-6</c:v>
                </c:pt>
                <c:pt idx="300">
                  <c:v>1.5814338607497296E-6</c:v>
                </c:pt>
                <c:pt idx="301">
                  <c:v>1.451233054564517E-6</c:v>
                </c:pt>
                <c:pt idx="302">
                  <c:v>1.3312319632496577E-6</c:v>
                </c:pt>
                <c:pt idx="303">
                  <c:v>1.2205007650916152E-6</c:v>
                </c:pt>
                <c:pt idx="304">
                  <c:v>1.1182437332653022E-6</c:v>
                </c:pt>
                <c:pt idx="305">
                  <c:v>1.0237358838558307E-6</c:v>
                </c:pt>
                <c:pt idx="306">
                  <c:v>9.3642502156554904E-7</c:v>
                </c:pt>
                <c:pt idx="307">
                  <c:v>8.5610115878505609E-7</c:v>
                </c:pt>
                <c:pt idx="308">
                  <c:v>7.8255538519450743E-7</c:v>
                </c:pt>
                <c:pt idx="309">
                  <c:v>7.1551014090121946E-7</c:v>
                </c:pt>
                <c:pt idx="310">
                  <c:v>6.5463344668301459E-7</c:v>
                </c:pt>
                <c:pt idx="311">
                  <c:v>6.0859763235274642E-7</c:v>
                </c:pt>
                <c:pt idx="312">
                  <c:v>5.6635084380863205E-7</c:v>
                </c:pt>
                <c:pt idx="313">
                  <c:v>5.2743614558832765E-7</c:v>
                </c:pt>
                <c:pt idx="314">
                  <c:v>4.9146298476146415E-7</c:v>
                </c:pt>
                <c:pt idx="315">
                  <c:v>4.5809562119296279E-7</c:v>
                </c:pt>
                <c:pt idx="316">
                  <c:v>4.2705712067579967E-7</c:v>
                </c:pt>
                <c:pt idx="317">
                  <c:v>3.9815594821759205E-7</c:v>
                </c:pt>
                <c:pt idx="318">
                  <c:v>3.7123135448191295E-7</c:v>
                </c:pt>
                <c:pt idx="319">
                  <c:v>3.4613615020938814E-7</c:v>
                </c:pt>
                <c:pt idx="320">
                  <c:v>3.2273662682233376E-7</c:v>
                </c:pt>
                <c:pt idx="321">
                  <c:v>3.0126210348410733E-7</c:v>
                </c:pt>
                <c:pt idx="322">
                  <c:v>2.811751116295182E-7</c:v>
                </c:pt>
                <c:pt idx="323">
                  <c:v>2.6236196145599108E-7</c:v>
                </c:pt>
                <c:pt idx="324">
                  <c:v>2.4472107704862856E-7</c:v>
                </c:pt>
                <c:pt idx="325">
                  <c:v>2.2816092715298225E-7</c:v>
                </c:pt>
                <c:pt idx="326">
                  <c:v>2.1261269053502337E-7</c:v>
                </c:pt>
                <c:pt idx="327">
                  <c:v>1.9804708576650888E-7</c:v>
                </c:pt>
                <c:pt idx="328">
                  <c:v>1.8443863562669207E-7</c:v>
                </c:pt>
                <c:pt idx="329">
                  <c:v>1.7175719560812647E-7</c:v>
                </c:pt>
                <c:pt idx="330">
                  <c:v>1.5996787798797587E-7</c:v>
                </c:pt>
                <c:pt idx="331">
                  <c:v>1.4593540038583E-7</c:v>
                </c:pt>
                <c:pt idx="332">
                  <c:v>1.3313838093236692E-7</c:v>
                </c:pt>
                <c:pt idx="333">
                  <c:v>1.2147141644531711E-7</c:v>
                </c:pt>
                <c:pt idx="334">
                  <c:v>1.1083636170770336E-7</c:v>
                </c:pt>
                <c:pt idx="335">
                  <c:v>1.0114394829383903E-7</c:v>
                </c:pt>
                <c:pt idx="336">
                  <c:v>9.2308722113977766E-8</c:v>
                </c:pt>
                <c:pt idx="337">
                  <c:v>8.4246323802431533E-8</c:v>
                </c:pt>
                <c:pt idx="338">
                  <c:v>7.6879709086830486E-8</c:v>
                </c:pt>
                <c:pt idx="339">
                  <c:v>7.0141000145734685E-8</c:v>
                </c:pt>
                <c:pt idx="340">
                  <c:v>6.3970340688506826E-8</c:v>
                </c:pt>
                <c:pt idx="341">
                  <c:v>6.0349382627513827E-8</c:v>
                </c:pt>
                <c:pt idx="342">
                  <c:v>5.6926658392804178E-8</c:v>
                </c:pt>
                <c:pt idx="343">
                  <c:v>5.369802985857497E-8</c:v>
                </c:pt>
                <c:pt idx="344">
                  <c:v>5.0658130523289501E-8</c:v>
                </c:pt>
                <c:pt idx="345">
                  <c:v>4.7801062459400646E-8</c:v>
                </c:pt>
                <c:pt idx="346">
                  <c:v>4.5118892643464203E-8</c:v>
                </c:pt>
                <c:pt idx="347">
                  <c:v>4.259784562656008E-8</c:v>
                </c:pt>
                <c:pt idx="348">
                  <c:v>4.0224033930034173E-8</c:v>
                </c:pt>
                <c:pt idx="349">
                  <c:v>3.7985167475207456E-8</c:v>
                </c:pt>
                <c:pt idx="350">
                  <c:v>3.5870253000535491E-8</c:v>
                </c:pt>
                <c:pt idx="351">
                  <c:v>3.372232222160864E-8</c:v>
                </c:pt>
                <c:pt idx="352">
                  <c:v>3.1701397843108721E-8</c:v>
                </c:pt>
                <c:pt idx="353">
                  <c:v>2.9799383279000133E-8</c:v>
                </c:pt>
                <c:pt idx="354">
                  <c:v>2.800882157623153E-8</c:v>
                </c:pt>
                <c:pt idx="355">
                  <c:v>2.6322577798097357E-8</c:v>
                </c:pt>
                <c:pt idx="356">
                  <c:v>2.473526995305389E-8</c:v>
                </c:pt>
                <c:pt idx="357">
                  <c:v>2.3245650230670851E-8</c:v>
                </c:pt>
                <c:pt idx="358">
                  <c:v>2.1852466644855671E-8</c:v>
                </c:pt>
                <c:pt idx="359">
                  <c:v>2.0553970746865955E-8</c:v>
                </c:pt>
                <c:pt idx="360">
                  <c:v>1.9347342350619105E-8</c:v>
                </c:pt>
                <c:pt idx="361">
                  <c:v>1.7825734529518982E-8</c:v>
                </c:pt>
                <c:pt idx="362">
                  <c:v>1.6431963258413621E-8</c:v>
                </c:pt>
                <c:pt idx="363">
                  <c:v>1.5150209568557906E-8</c:v>
                </c:pt>
                <c:pt idx="364">
                  <c:v>1.3966891814995073E-8</c:v>
                </c:pt>
                <c:pt idx="365">
                  <c:v>1.2870614489119443E-8</c:v>
                </c:pt>
                <c:pt idx="366">
                  <c:v>1.1852659023253284E-8</c:v>
                </c:pt>
                <c:pt idx="367">
                  <c:v>1.0909015865330242E-8</c:v>
                </c:pt>
                <c:pt idx="368">
                  <c:v>1.0036162388569835E-8</c:v>
                </c:pt>
                <c:pt idx="369">
                  <c:v>9.2305484475836607E-9</c:v>
                </c:pt>
                <c:pt idx="370">
                  <c:v>8.488635846316346E-9</c:v>
                </c:pt>
                <c:pt idx="371">
                  <c:v>7.7352635098885181E-9</c:v>
                </c:pt>
                <c:pt idx="372">
                  <c:v>7.0457734920666336E-9</c:v>
                </c:pt>
                <c:pt idx="373">
                  <c:v>6.4147016400352934E-9</c:v>
                </c:pt>
                <c:pt idx="374">
                  <c:v>5.8371008836581225E-9</c:v>
                </c:pt>
                <c:pt idx="375">
                  <c:v>5.3084229083595413E-9</c:v>
                </c:pt>
                <c:pt idx="376">
                  <c:v>4.8244579154635223E-9</c:v>
                </c:pt>
                <c:pt idx="377">
                  <c:v>4.3810534248899012E-9</c:v>
                </c:pt>
                <c:pt idx="378">
                  <c:v>3.9744824419417492E-9</c:v>
                </c:pt>
                <c:pt idx="379">
                  <c:v>3.6014105320897841E-9</c:v>
                </c:pt>
                <c:pt idx="380">
                  <c:v>3.2589220808544097E-9</c:v>
                </c:pt>
                <c:pt idx="381">
                  <c:v>3.1919202297991952E-9</c:v>
                </c:pt>
                <c:pt idx="382">
                  <c:v>3.1205579045289176E-9</c:v>
                </c:pt>
                <c:pt idx="383">
                  <c:v>3.0459958219548338E-9</c:v>
                </c:pt>
                <c:pt idx="384">
                  <c:v>2.969298202656945E-9</c:v>
                </c:pt>
                <c:pt idx="385">
                  <c:v>2.891396647103055E-9</c:v>
                </c:pt>
                <c:pt idx="386">
                  <c:v>2.8130029414965157E-9</c:v>
                </c:pt>
                <c:pt idx="387">
                  <c:v>2.7341806059089514E-9</c:v>
                </c:pt>
                <c:pt idx="388">
                  <c:v>2.6548917894588291E-9</c:v>
                </c:pt>
                <c:pt idx="389">
                  <c:v>2.5750452260269264E-9</c:v>
                </c:pt>
                <c:pt idx="390">
                  <c:v>2.4946069799918429E-9</c:v>
                </c:pt>
                <c:pt idx="391">
                  <c:v>2.330210323364513E-9</c:v>
                </c:pt>
                <c:pt idx="392">
                  <c:v>2.1763018946405188E-9</c:v>
                </c:pt>
                <c:pt idx="393">
                  <c:v>2.0327272120781209E-9</c:v>
                </c:pt>
                <c:pt idx="394">
                  <c:v>1.899254510112351E-9</c:v>
                </c:pt>
                <c:pt idx="395">
                  <c:v>1.7755515302267669E-9</c:v>
                </c:pt>
                <c:pt idx="396">
                  <c:v>1.6611375759483648E-9</c:v>
                </c:pt>
                <c:pt idx="397">
                  <c:v>1.5550478358219854E-9</c:v>
                </c:pt>
                <c:pt idx="398">
                  <c:v>1.4563457009128245E-9</c:v>
                </c:pt>
                <c:pt idx="399">
                  <c:v>1.3642188146686706E-9</c:v>
                </c:pt>
                <c:pt idx="400">
                  <c:v>1.2779488953530004E-9</c:v>
                </c:pt>
              </c:numCache>
            </c:numRef>
          </c:yVal>
          <c:smooth val="0"/>
          <c:extLst>
            <c:ext xmlns:c16="http://schemas.microsoft.com/office/drawing/2014/chart" uri="{C3380CC4-5D6E-409C-BE32-E72D297353CC}">
              <c16:uniqueId val="{00000001-83F2-4DEA-A0E0-E1EF1D6DB5D5}"/>
            </c:ext>
          </c:extLst>
        </c:ser>
        <c:ser>
          <c:idx val="2"/>
          <c:order val="2"/>
          <c:tx>
            <c:strRef>
              <c:f>Calculations!$BB$20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Calculations!$BB$21:$BB$421</c:f>
              <c:numCache>
                <c:formatCode>General</c:formatCode>
                <c:ptCount val="401"/>
                <c:pt idx="0">
                  <c:v>0</c:v>
                </c:pt>
                <c:pt idx="1">
                  <c:v>0</c:v>
                </c:pt>
                <c:pt idx="2">
                  <c:v>0</c:v>
                </c:pt>
                <c:pt idx="3">
                  <c:v>0</c:v>
                </c:pt>
                <c:pt idx="4">
                  <c:v>0</c:v>
                </c:pt>
                <c:pt idx="5">
                  <c:v>0</c:v>
                </c:pt>
                <c:pt idx="6">
                  <c:v>0</c:v>
                </c:pt>
                <c:pt idx="7">
                  <c:v>0</c:v>
                </c:pt>
                <c:pt idx="8">
                  <c:v>0</c:v>
                </c:pt>
                <c:pt idx="9">
                  <c:v>0</c:v>
                </c:pt>
                <c:pt idx="10">
                  <c:v>3.0864243031426353E-7</c:v>
                </c:pt>
                <c:pt idx="11">
                  <c:v>3.9572953238426656E-7</c:v>
                </c:pt>
                <c:pt idx="12">
                  <c:v>5.04977749731403E-7</c:v>
                </c:pt>
                <c:pt idx="13">
                  <c:v>6.4121166264296763E-7</c:v>
                </c:pt>
                <c:pt idx="14">
                  <c:v>8.1001922815201706E-7</c:v>
                </c:pt>
                <c:pt idx="15">
                  <c:v>1.0177815652649415E-6</c:v>
                </c:pt>
                <c:pt idx="16">
                  <c:v>1.2716497871547803E-6</c:v>
                </c:pt>
                <c:pt idx="17">
                  <c:v>1.579510046134805E-6</c:v>
                </c:pt>
                <c:pt idx="18">
                  <c:v>1.9498273386648677E-6</c:v>
                </c:pt>
                <c:pt idx="19">
                  <c:v>2.3914257762393165E-6</c:v>
                </c:pt>
                <c:pt idx="20">
                  <c:v>2.9132488447324231E-6</c:v>
                </c:pt>
                <c:pt idx="21">
                  <c:v>3.4446545411939807E-6</c:v>
                </c:pt>
                <c:pt idx="22">
                  <c:v>4.0509326610151977E-6</c:v>
                </c:pt>
                <c:pt idx="23">
                  <c:v>4.7410236749947175E-6</c:v>
                </c:pt>
                <c:pt idx="24">
                  <c:v>5.525359057318983E-6</c:v>
                </c:pt>
                <c:pt idx="25">
                  <c:v>6.4163207218496189E-6</c:v>
                </c:pt>
                <c:pt idx="26">
                  <c:v>7.4266358223182471E-6</c:v>
                </c:pt>
                <c:pt idx="27">
                  <c:v>8.5611283901599638E-6</c:v>
                </c:pt>
                <c:pt idx="28">
                  <c:v>9.8182997365902604E-6</c:v>
                </c:pt>
                <c:pt idx="29">
                  <c:v>1.1190237022823429E-5</c:v>
                </c:pt>
                <c:pt idx="30">
                  <c:v>1.2661167101263749E-5</c:v>
                </c:pt>
                <c:pt idx="31">
                  <c:v>1.4107075860029845E-5</c:v>
                </c:pt>
                <c:pt idx="32">
                  <c:v>1.5607700138904194E-5</c:v>
                </c:pt>
                <c:pt idx="33">
                  <c:v>1.7167859364066707E-5</c:v>
                </c:pt>
                <c:pt idx="34">
                  <c:v>1.8797770733107195E-5</c:v>
                </c:pt>
                <c:pt idx="35">
                  <c:v>2.0513831078241502E-5</c:v>
                </c:pt>
                <c:pt idx="36">
                  <c:v>2.2332203903652181E-5</c:v>
                </c:pt>
                <c:pt idx="37">
                  <c:v>2.4243712262791978E-5</c:v>
                </c:pt>
                <c:pt idx="38">
                  <c:v>2.6226693094056949E-5</c:v>
                </c:pt>
                <c:pt idx="39">
                  <c:v>2.8252920985702917E-5</c:v>
                </c:pt>
                <c:pt idx="40">
                  <c:v>3.0286989618337876E-5</c:v>
                </c:pt>
                <c:pt idx="41">
                  <c:v>3.1996496436855406E-5</c:v>
                </c:pt>
                <c:pt idx="42">
                  <c:v>3.3651947416332778E-5</c:v>
                </c:pt>
                <c:pt idx="43">
                  <c:v>3.5277147416249598E-5</c:v>
                </c:pt>
                <c:pt idx="44">
                  <c:v>3.6903656343788532E-5</c:v>
                </c:pt>
                <c:pt idx="45">
                  <c:v>3.8569805585499739E-5</c:v>
                </c:pt>
                <c:pt idx="46">
                  <c:v>4.0311060857378586E-5</c:v>
                </c:pt>
                <c:pt idx="47">
                  <c:v>4.2122639433405247E-5</c:v>
                </c:pt>
                <c:pt idx="48">
                  <c:v>4.3986227237601127E-5</c:v>
                </c:pt>
                <c:pt idx="49">
                  <c:v>4.5879940602818384E-5</c:v>
                </c:pt>
                <c:pt idx="50">
                  <c:v>4.77783856253607E-5</c:v>
                </c:pt>
                <c:pt idx="51">
                  <c:v>5.1097573341140178E-5</c:v>
                </c:pt>
                <c:pt idx="52">
                  <c:v>5.4527925651939466E-5</c:v>
                </c:pt>
                <c:pt idx="53">
                  <c:v>5.807729414408022E-5</c:v>
                </c:pt>
                <c:pt idx="54">
                  <c:v>6.1755841392773075E-5</c:v>
                </c:pt>
                <c:pt idx="55">
                  <c:v>6.5576660410263284E-5</c:v>
                </c:pt>
                <c:pt idx="56">
                  <c:v>6.9549170724039893E-5</c:v>
                </c:pt>
                <c:pt idx="57">
                  <c:v>7.3653757487848414E-5</c:v>
                </c:pt>
                <c:pt idx="58">
                  <c:v>7.785720296790237E-5</c:v>
                </c:pt>
                <c:pt idx="59">
                  <c:v>8.2120939135220172E-5</c:v>
                </c:pt>
                <c:pt idx="60">
                  <c:v>8.6396210210399276E-5</c:v>
                </c:pt>
                <c:pt idx="61">
                  <c:v>9.0133293592558901E-5</c:v>
                </c:pt>
                <c:pt idx="62">
                  <c:v>9.3848712617061728E-5</c:v>
                </c:pt>
                <c:pt idx="63">
                  <c:v>9.7601897336096124E-5</c:v>
                </c:pt>
                <c:pt idx="64">
                  <c:v>1.0146623237139991E-4</c:v>
                </c:pt>
                <c:pt idx="65">
                  <c:v>1.0552671820391754E-4</c:v>
                </c:pt>
                <c:pt idx="66">
                  <c:v>1.0985635479205232E-4</c:v>
                </c:pt>
                <c:pt idx="67">
                  <c:v>1.1442967559079767E-4</c:v>
                </c:pt>
                <c:pt idx="68">
                  <c:v>1.1919057494156262E-4</c:v>
                </c:pt>
                <c:pt idx="69">
                  <c:v>1.2407190654179943E-4</c:v>
                </c:pt>
                <c:pt idx="70">
                  <c:v>1.2899157179148304E-4</c:v>
                </c:pt>
                <c:pt idx="71">
                  <c:v>1.3260361625433721E-4</c:v>
                </c:pt>
                <c:pt idx="72">
                  <c:v>1.3617894199339145E-4</c:v>
                </c:pt>
                <c:pt idx="73">
                  <c:v>1.3980890327165493E-4</c:v>
                </c:pt>
                <c:pt idx="74">
                  <c:v>1.4359967825946447E-4</c:v>
                </c:pt>
                <c:pt idx="75">
                  <c:v>1.4766401963724895E-4</c:v>
                </c:pt>
                <c:pt idx="76">
                  <c:v>1.5210997266737673E-4</c:v>
                </c:pt>
                <c:pt idx="77">
                  <c:v>1.5696831138234087E-4</c:v>
                </c:pt>
                <c:pt idx="78">
                  <c:v>1.622470172356198E-4</c:v>
                </c:pt>
                <c:pt idx="79">
                  <c:v>1.6795977213240315E-4</c:v>
                </c:pt>
                <c:pt idx="80">
                  <c:v>1.7411198719036923E-4</c:v>
                </c:pt>
                <c:pt idx="81">
                  <c:v>1.8013372584691509E-4</c:v>
                </c:pt>
                <c:pt idx="82">
                  <c:v>1.8650147744669001E-4</c:v>
                </c:pt>
                <c:pt idx="83">
                  <c:v>1.9314272086282756E-4</c:v>
                </c:pt>
                <c:pt idx="84">
                  <c:v>1.999646299186365E-4</c:v>
                </c:pt>
                <c:pt idx="85">
                  <c:v>2.0686545624826042E-4</c:v>
                </c:pt>
                <c:pt idx="86">
                  <c:v>2.1375454293551512E-4</c:v>
                </c:pt>
                <c:pt idx="87">
                  <c:v>2.2062518036434898E-4</c:v>
                </c:pt>
                <c:pt idx="88">
                  <c:v>2.2749801674624141E-4</c:v>
                </c:pt>
                <c:pt idx="89">
                  <c:v>2.3439508330327943E-4</c:v>
                </c:pt>
                <c:pt idx="90">
                  <c:v>2.4134773117172429E-4</c:v>
                </c:pt>
                <c:pt idx="91">
                  <c:v>2.4925478719790356E-4</c:v>
                </c:pt>
                <c:pt idx="92">
                  <c:v>2.5734342575810948E-4</c:v>
                </c:pt>
                <c:pt idx="93">
                  <c:v>2.656579086786057E-4</c:v>
                </c:pt>
                <c:pt idx="94">
                  <c:v>2.7425017964918602E-4</c:v>
                </c:pt>
                <c:pt idx="95">
                  <c:v>2.8317756649354084E-4</c:v>
                </c:pt>
                <c:pt idx="96">
                  <c:v>2.9249696072250491E-4</c:v>
                </c:pt>
                <c:pt idx="97">
                  <c:v>3.0222861891901265E-4</c:v>
                </c:pt>
                <c:pt idx="98">
                  <c:v>3.1238434523710867E-4</c:v>
                </c:pt>
                <c:pt idx="99">
                  <c:v>3.2296635831865973E-4</c:v>
                </c:pt>
                <c:pt idx="100">
                  <c:v>3.3398964374368084E-4</c:v>
                </c:pt>
                <c:pt idx="101">
                  <c:v>3.4301171626943173E-4</c:v>
                </c:pt>
                <c:pt idx="102">
                  <c:v>3.5223348460317646E-4</c:v>
                </c:pt>
                <c:pt idx="103">
                  <c:v>3.6154302511710591E-4</c:v>
                </c:pt>
                <c:pt idx="104">
                  <c:v>3.7082787115472107E-4</c:v>
                </c:pt>
                <c:pt idx="105">
                  <c:v>3.7995820649239296E-4</c:v>
                </c:pt>
                <c:pt idx="106">
                  <c:v>3.8884912010370441E-4</c:v>
                </c:pt>
                <c:pt idx="107">
                  <c:v>3.9766843341749504E-4</c:v>
                </c:pt>
                <c:pt idx="108">
                  <c:v>4.0665850035155626E-4</c:v>
                </c:pt>
                <c:pt idx="109">
                  <c:v>4.1609963340479483E-4</c:v>
                </c:pt>
                <c:pt idx="110">
                  <c:v>4.2628871532114811E-4</c:v>
                </c:pt>
                <c:pt idx="111">
                  <c:v>4.4055695686121514E-4</c:v>
                </c:pt>
                <c:pt idx="112">
                  <c:v>4.5590576234085856E-4</c:v>
                </c:pt>
                <c:pt idx="113">
                  <c:v>4.7210502397612865E-4</c:v>
                </c:pt>
                <c:pt idx="114">
                  <c:v>4.8890171571159624E-4</c:v>
                </c:pt>
                <c:pt idx="115">
                  <c:v>5.0599442240089362E-4</c:v>
                </c:pt>
                <c:pt idx="116">
                  <c:v>5.2312070291415436E-4</c:v>
                </c:pt>
                <c:pt idx="117">
                  <c:v>5.4029837573359185E-4</c:v>
                </c:pt>
                <c:pt idx="118">
                  <c:v>5.5765474394018212E-4</c:v>
                </c:pt>
                <c:pt idx="119">
                  <c:v>5.753376654534895E-4</c:v>
                </c:pt>
                <c:pt idx="120">
                  <c:v>5.9349783328446195E-4</c:v>
                </c:pt>
                <c:pt idx="121">
                  <c:v>6.1111541656655227E-4</c:v>
                </c:pt>
                <c:pt idx="122">
                  <c:v>6.2927739165276049E-4</c:v>
                </c:pt>
                <c:pt idx="123">
                  <c:v>6.4791944055514787E-4</c:v>
                </c:pt>
                <c:pt idx="124">
                  <c:v>6.6698468427448736E-4</c:v>
                </c:pt>
                <c:pt idx="125">
                  <c:v>6.8639161264147483E-4</c:v>
                </c:pt>
                <c:pt idx="126">
                  <c:v>7.0606040048022515E-4</c:v>
                </c:pt>
                <c:pt idx="127">
                  <c:v>7.2594617203667743E-4</c:v>
                </c:pt>
                <c:pt idx="128">
                  <c:v>7.4600039636625614E-4</c:v>
                </c:pt>
                <c:pt idx="129">
                  <c:v>7.6619378245264334E-4</c:v>
                </c:pt>
                <c:pt idx="130">
                  <c:v>7.8646950325511275E-4</c:v>
                </c:pt>
                <c:pt idx="131">
                  <c:v>8.0569988426867488E-4</c:v>
                </c:pt>
                <c:pt idx="132">
                  <c:v>8.2495584036508887E-4</c:v>
                </c:pt>
                <c:pt idx="133">
                  <c:v>8.4428453106160457E-4</c:v>
                </c:pt>
                <c:pt idx="134">
                  <c:v>8.6377074075830727E-4</c:v>
                </c:pt>
                <c:pt idx="135">
                  <c:v>8.8348105717060081E-4</c:v>
                </c:pt>
                <c:pt idx="136">
                  <c:v>9.0344190004644758E-4</c:v>
                </c:pt>
                <c:pt idx="137">
                  <c:v>9.2343918506337063E-4</c:v>
                </c:pt>
                <c:pt idx="138">
                  <c:v>9.4316320374997166E-4</c:v>
                </c:pt>
                <c:pt idx="139">
                  <c:v>9.623066408295728E-4</c:v>
                </c:pt>
                <c:pt idx="140">
                  <c:v>9.8050609926365927E-4</c:v>
                </c:pt>
                <c:pt idx="141">
                  <c:v>1.0031107316314661E-3</c:v>
                </c:pt>
                <c:pt idx="142">
                  <c:v>1.0247287217987097E-3</c:v>
                </c:pt>
                <c:pt idx="143">
                  <c:v>1.0454886313089819E-3</c:v>
                </c:pt>
                <c:pt idx="144">
                  <c:v>1.0655352125291447E-3</c:v>
                </c:pt>
                <c:pt idx="145">
                  <c:v>1.085026756576572E-3</c:v>
                </c:pt>
                <c:pt idx="146">
                  <c:v>1.1041332903452938E-3</c:v>
                </c:pt>
                <c:pt idx="147">
                  <c:v>1.1228837121839141E-3</c:v>
                </c:pt>
                <c:pt idx="148">
                  <c:v>1.1412892463757457E-3</c:v>
                </c:pt>
                <c:pt idx="149">
                  <c:v>1.1593597898514412E-3</c:v>
                </c:pt>
                <c:pt idx="150">
                  <c:v>1.1771143367686173E-3</c:v>
                </c:pt>
                <c:pt idx="151">
                  <c:v>1.1877679119477989E-3</c:v>
                </c:pt>
                <c:pt idx="152">
                  <c:v>1.1981764723935475E-3</c:v>
                </c:pt>
                <c:pt idx="153">
                  <c:v>1.2085987003360469E-3</c:v>
                </c:pt>
                <c:pt idx="154">
                  <c:v>1.2192588683008574E-3</c:v>
                </c:pt>
                <c:pt idx="155">
                  <c:v>1.2304337884881287E-3</c:v>
                </c:pt>
                <c:pt idx="156">
                  <c:v>1.2422648382067363E-3</c:v>
                </c:pt>
                <c:pt idx="157">
                  <c:v>1.2544410965648267E-3</c:v>
                </c:pt>
                <c:pt idx="158">
                  <c:v>1.2665554533378292E-3</c:v>
                </c:pt>
                <c:pt idx="159">
                  <c:v>1.2781324003515802E-3</c:v>
                </c:pt>
                <c:pt idx="160">
                  <c:v>1.2887286058077356E-3</c:v>
                </c:pt>
                <c:pt idx="161">
                  <c:v>1.3015680680203271E-3</c:v>
                </c:pt>
                <c:pt idx="162">
                  <c:v>1.3129672258586126E-3</c:v>
                </c:pt>
                <c:pt idx="163">
                  <c:v>1.3228899882270072E-3</c:v>
                </c:pt>
                <c:pt idx="164">
                  <c:v>1.3313060943002991E-3</c:v>
                </c:pt>
                <c:pt idx="165">
                  <c:v>1.3381896594476684E-3</c:v>
                </c:pt>
                <c:pt idx="166">
                  <c:v>1.3436360030502493E-3</c:v>
                </c:pt>
                <c:pt idx="167">
                  <c:v>1.348101431387573E-3</c:v>
                </c:pt>
                <c:pt idx="168">
                  <c:v>1.3521912566229369E-3</c:v>
                </c:pt>
                <c:pt idx="169">
                  <c:v>1.3565057861659356E-3</c:v>
                </c:pt>
                <c:pt idx="170">
                  <c:v>1.3616488222796719E-3</c:v>
                </c:pt>
                <c:pt idx="171">
                  <c:v>1.3631897353135695E-3</c:v>
                </c:pt>
                <c:pt idx="172">
                  <c:v>1.3655844074426788E-3</c:v>
                </c:pt>
                <c:pt idx="173">
                  <c:v>1.3682473974160011E-3</c:v>
                </c:pt>
                <c:pt idx="174">
                  <c:v>1.3706434587491721E-3</c:v>
                </c:pt>
                <c:pt idx="175">
                  <c:v>1.3721759739036782E-3</c:v>
                </c:pt>
                <c:pt idx="176">
                  <c:v>1.3724353928499895E-3</c:v>
                </c:pt>
                <c:pt idx="177">
                  <c:v>1.3716054917407856E-3</c:v>
                </c:pt>
                <c:pt idx="178">
                  <c:v>1.3699777884731024E-3</c:v>
                </c:pt>
                <c:pt idx="179">
                  <c:v>1.3678986473404837E-3</c:v>
                </c:pt>
                <c:pt idx="180">
                  <c:v>1.3656578537634054E-3</c:v>
                </c:pt>
                <c:pt idx="181">
                  <c:v>1.3640321489998097E-3</c:v>
                </c:pt>
                <c:pt idx="182">
                  <c:v>1.3624173254548622E-3</c:v>
                </c:pt>
                <c:pt idx="183">
                  <c:v>1.3606554054040854E-3</c:v>
                </c:pt>
                <c:pt idx="184">
                  <c:v>1.3585866436582807E-3</c:v>
                </c:pt>
                <c:pt idx="185">
                  <c:v>1.3560550524412262E-3</c:v>
                </c:pt>
                <c:pt idx="186">
                  <c:v>1.3529314156111886E-3</c:v>
                </c:pt>
                <c:pt idx="187">
                  <c:v>1.3491830288565631E-3</c:v>
                </c:pt>
                <c:pt idx="188">
                  <c:v>1.3448087508873903E-3</c:v>
                </c:pt>
                <c:pt idx="189">
                  <c:v>1.3398007467052728E-3</c:v>
                </c:pt>
                <c:pt idx="190">
                  <c:v>1.3341581892153869E-3</c:v>
                </c:pt>
                <c:pt idx="191">
                  <c:v>1.3321640563394757E-3</c:v>
                </c:pt>
                <c:pt idx="192">
                  <c:v>1.329323377283545E-3</c:v>
                </c:pt>
                <c:pt idx="193">
                  <c:v>1.3254363424671102E-3</c:v>
                </c:pt>
                <c:pt idx="194">
                  <c:v>1.3203090671667008E-3</c:v>
                </c:pt>
                <c:pt idx="195">
                  <c:v>1.3137572851293405E-3</c:v>
                </c:pt>
                <c:pt idx="196">
                  <c:v>1.3057501781564254E-3</c:v>
                </c:pt>
                <c:pt idx="197">
                  <c:v>1.2968339941940232E-3</c:v>
                </c:pt>
                <c:pt idx="198">
                  <c:v>1.2876826147917545E-3</c:v>
                </c:pt>
                <c:pt idx="199">
                  <c:v>1.2789458647948259E-3</c:v>
                </c:pt>
                <c:pt idx="200">
                  <c:v>1.271246814032361E-3</c:v>
                </c:pt>
                <c:pt idx="201">
                  <c:v>1.2563188089030049E-3</c:v>
                </c:pt>
                <c:pt idx="202">
                  <c:v>1.2424510248874919E-3</c:v>
                </c:pt>
                <c:pt idx="203">
                  <c:v>1.2290127814846273E-3</c:v>
                </c:pt>
                <c:pt idx="204">
                  <c:v>1.2153982618464123E-3</c:v>
                </c:pt>
                <c:pt idx="205">
                  <c:v>1.2010365856166252E-3</c:v>
                </c:pt>
                <c:pt idx="206">
                  <c:v>1.1855051951336407E-3</c:v>
                </c:pt>
                <c:pt idx="207">
                  <c:v>1.1688696012098771E-3</c:v>
                </c:pt>
                <c:pt idx="208">
                  <c:v>1.1513141125989793E-3</c:v>
                </c:pt>
                <c:pt idx="209">
                  <c:v>1.1330130503337317E-3</c:v>
                </c:pt>
                <c:pt idx="210">
                  <c:v>1.1141373162921007E-3</c:v>
                </c:pt>
                <c:pt idx="211">
                  <c:v>1.1053082629235368E-3</c:v>
                </c:pt>
                <c:pt idx="212">
                  <c:v>1.095881081941683E-3</c:v>
                </c:pt>
                <c:pt idx="213">
                  <c:v>1.085870541498931E-3</c:v>
                </c:pt>
                <c:pt idx="214">
                  <c:v>1.075285334604503E-3</c:v>
                </c:pt>
                <c:pt idx="215">
                  <c:v>1.0641403473399614E-3</c:v>
                </c:pt>
                <c:pt idx="216">
                  <c:v>1.0524568280014528E-3</c:v>
                </c:pt>
                <c:pt idx="217">
                  <c:v>1.0402934774098333E-3</c:v>
                </c:pt>
                <c:pt idx="218">
                  <c:v>1.0277228083605964E-3</c:v>
                </c:pt>
                <c:pt idx="219">
                  <c:v>1.0148118700354593E-3</c:v>
                </c:pt>
                <c:pt idx="220">
                  <c:v>1.0016289676235423E-3</c:v>
                </c:pt>
                <c:pt idx="221">
                  <c:v>9.8631744983545817E-4</c:v>
                </c:pt>
                <c:pt idx="222">
                  <c:v>9.7075149412012183E-4</c:v>
                </c:pt>
                <c:pt idx="223">
                  <c:v>9.5483556854871724E-4</c:v>
                </c:pt>
                <c:pt idx="224">
                  <c:v>9.3848053905192896E-4</c:v>
                </c:pt>
                <c:pt idx="225">
                  <c:v>9.2160511760590877E-4</c:v>
                </c:pt>
                <c:pt idx="226">
                  <c:v>9.0416732802362984E-4</c:v>
                </c:pt>
                <c:pt idx="227">
                  <c:v>8.8624150086945189E-4</c:v>
                </c:pt>
                <c:pt idx="228">
                  <c:v>8.679289700605124E-4</c:v>
                </c:pt>
                <c:pt idx="229">
                  <c:v>8.4932467673668258E-4</c:v>
                </c:pt>
                <c:pt idx="230">
                  <c:v>8.3051842480796521E-4</c:v>
                </c:pt>
                <c:pt idx="231">
                  <c:v>8.1023199730644816E-4</c:v>
                </c:pt>
                <c:pt idx="232">
                  <c:v>7.8989485603105981E-4</c:v>
                </c:pt>
                <c:pt idx="233">
                  <c:v>7.6951948243915804E-4</c:v>
                </c:pt>
                <c:pt idx="234">
                  <c:v>7.4910980894965192E-4</c:v>
                </c:pt>
                <c:pt idx="235">
                  <c:v>7.2867686783355853E-4</c:v>
                </c:pt>
                <c:pt idx="236">
                  <c:v>7.0825110732694054E-4</c:v>
                </c:pt>
                <c:pt idx="237">
                  <c:v>6.8793862454210122E-4</c:v>
                </c:pt>
                <c:pt idx="238">
                  <c:v>6.6785306161557944E-4</c:v>
                </c:pt>
                <c:pt idx="239">
                  <c:v>6.4809788509081253E-4</c:v>
                </c:pt>
                <c:pt idx="240">
                  <c:v>6.287616670345664E-4</c:v>
                </c:pt>
                <c:pt idx="241">
                  <c:v>6.0812247111450266E-4</c:v>
                </c:pt>
                <c:pt idx="242">
                  <c:v>5.8784638587233305E-4</c:v>
                </c:pt>
                <c:pt idx="243">
                  <c:v>5.6772711618844685E-4</c:v>
                </c:pt>
                <c:pt idx="244">
                  <c:v>5.4758752617477984E-4</c:v>
                </c:pt>
                <c:pt idx="245">
                  <c:v>5.272795654103691E-4</c:v>
                </c:pt>
                <c:pt idx="246">
                  <c:v>5.0674382909762935E-4</c:v>
                </c:pt>
                <c:pt idx="247">
                  <c:v>4.8615603082091956E-4</c:v>
                </c:pt>
                <c:pt idx="248">
                  <c:v>4.6572396441857725E-4</c:v>
                </c:pt>
                <c:pt idx="249">
                  <c:v>4.4562910415142551E-4</c:v>
                </c:pt>
                <c:pt idx="250">
                  <c:v>4.2602487715603498E-4</c:v>
                </c:pt>
                <c:pt idx="251">
                  <c:v>4.093920483348606E-4</c:v>
                </c:pt>
                <c:pt idx="252">
                  <c:v>3.9320072870617468E-4</c:v>
                </c:pt>
                <c:pt idx="253">
                  <c:v>3.7746873896215899E-4</c:v>
                </c:pt>
                <c:pt idx="254">
                  <c:v>3.6220626254649806E-4</c:v>
                </c:pt>
                <c:pt idx="255">
                  <c:v>3.4742300097184193E-4</c:v>
                </c:pt>
                <c:pt idx="256">
                  <c:v>3.3312733317974709E-4</c:v>
                </c:pt>
                <c:pt idx="257">
                  <c:v>3.1933119849949555E-4</c:v>
                </c:pt>
                <c:pt idx="258">
                  <c:v>3.0604424567191201E-4</c:v>
                </c:pt>
                <c:pt idx="259">
                  <c:v>2.9327113237483739E-4</c:v>
                </c:pt>
                <c:pt idx="260">
                  <c:v>2.8101451156640231E-4</c:v>
                </c:pt>
                <c:pt idx="261">
                  <c:v>2.6794108621857221E-4</c:v>
                </c:pt>
                <c:pt idx="262">
                  <c:v>2.5537633689700701E-4</c:v>
                </c:pt>
                <c:pt idx="263">
                  <c:v>2.4321137591606416E-4</c:v>
                </c:pt>
                <c:pt idx="264">
                  <c:v>2.3135616539730195E-4</c:v>
                </c:pt>
                <c:pt idx="265">
                  <c:v>2.1974038624839818E-4</c:v>
                </c:pt>
                <c:pt idx="266">
                  <c:v>2.0832681646580897E-4</c:v>
                </c:pt>
                <c:pt idx="267">
                  <c:v>1.9716659501991374E-4</c:v>
                </c:pt>
                <c:pt idx="268">
                  <c:v>1.8632295476543931E-4</c:v>
                </c:pt>
                <c:pt idx="269">
                  <c:v>1.7584695019378388E-4</c:v>
                </c:pt>
                <c:pt idx="270">
                  <c:v>1.6577847378564296E-4</c:v>
                </c:pt>
                <c:pt idx="271">
                  <c:v>1.569015257992646E-4</c:v>
                </c:pt>
                <c:pt idx="272">
                  <c:v>1.4838536269939914E-4</c:v>
                </c:pt>
                <c:pt idx="273">
                  <c:v>1.4023450487705665E-4</c:v>
                </c:pt>
                <c:pt idx="274">
                  <c:v>1.3245401197905732E-4</c:v>
                </c:pt>
                <c:pt idx="275">
                  <c:v>1.2504174178271283E-4</c:v>
                </c:pt>
                <c:pt idx="276">
                  <c:v>1.1799351455218963E-4</c:v>
                </c:pt>
                <c:pt idx="277">
                  <c:v>1.1129515061154114E-4</c:v>
                </c:pt>
                <c:pt idx="278">
                  <c:v>1.0493099278317511E-4</c:v>
                </c:pt>
                <c:pt idx="279">
                  <c:v>9.8885991517432204E-5</c:v>
                </c:pt>
                <c:pt idx="280">
                  <c:v>9.3145674815125833E-5</c:v>
                </c:pt>
                <c:pt idx="281">
                  <c:v>8.7901749029716382E-5</c:v>
                </c:pt>
                <c:pt idx="282">
                  <c:v>8.2913108175217967E-5</c:v>
                </c:pt>
                <c:pt idx="283">
                  <c:v>7.8170600527264084E-5</c:v>
                </c:pt>
                <c:pt idx="284">
                  <c:v>7.3664998672222818E-5</c:v>
                </c:pt>
                <c:pt idx="285">
                  <c:v>6.9387264041921999E-5</c:v>
                </c:pt>
                <c:pt idx="286">
                  <c:v>6.5328254897310584E-5</c:v>
                </c:pt>
                <c:pt idx="287">
                  <c:v>6.1478151733801288E-5</c:v>
                </c:pt>
                <c:pt idx="288">
                  <c:v>5.7827428204708163E-5</c:v>
                </c:pt>
                <c:pt idx="289">
                  <c:v>5.4366682179911085E-5</c:v>
                </c:pt>
                <c:pt idx="290">
                  <c:v>5.108742071452771E-5</c:v>
                </c:pt>
                <c:pt idx="291">
                  <c:v>4.762875177447048E-5</c:v>
                </c:pt>
                <c:pt idx="292">
                  <c:v>4.4379945922009703E-5</c:v>
                </c:pt>
                <c:pt idx="293">
                  <c:v>4.1329278733351934E-5</c:v>
                </c:pt>
                <c:pt idx="294">
                  <c:v>3.8465868285846494E-5</c:v>
                </c:pt>
                <c:pt idx="295">
                  <c:v>3.5779575216708633E-5</c:v>
                </c:pt>
                <c:pt idx="296">
                  <c:v>3.3260562326225247E-5</c:v>
                </c:pt>
                <c:pt idx="297">
                  <c:v>3.0901115347881855E-5</c:v>
                </c:pt>
                <c:pt idx="298">
                  <c:v>2.8693184955848757E-5</c:v>
                </c:pt>
                <c:pt idx="299">
                  <c:v>2.6629433265037924E-5</c:v>
                </c:pt>
                <c:pt idx="300">
                  <c:v>2.4702162209318506E-5</c:v>
                </c:pt>
                <c:pt idx="301">
                  <c:v>2.2769105743503111E-5</c:v>
                </c:pt>
                <c:pt idx="302">
                  <c:v>2.0972664355193751E-5</c:v>
                </c:pt>
                <c:pt idx="303">
                  <c:v>1.9301620574707402E-5</c:v>
                </c:pt>
                <c:pt idx="304">
                  <c:v>1.7745942641990422E-5</c:v>
                </c:pt>
                <c:pt idx="305">
                  <c:v>1.629683958359994E-5</c:v>
                </c:pt>
                <c:pt idx="306">
                  <c:v>1.4948147140331093E-5</c:v>
                </c:pt>
                <c:pt idx="307">
                  <c:v>1.3699513613401046E-5</c:v>
                </c:pt>
                <c:pt idx="308">
                  <c:v>1.2550547277968603E-5</c:v>
                </c:pt>
                <c:pt idx="309">
                  <c:v>1.1499067557658005E-5</c:v>
                </c:pt>
                <c:pt idx="310">
                  <c:v>1.0541614307380119E-5</c:v>
                </c:pt>
                <c:pt idx="311">
                  <c:v>9.8194592341671161E-6</c:v>
                </c:pt>
                <c:pt idx="312">
                  <c:v>9.1548080655215622E-6</c:v>
                </c:pt>
                <c:pt idx="313">
                  <c:v>8.5400920721601712E-6</c:v>
                </c:pt>
                <c:pt idx="314">
                  <c:v>7.9689236659327652E-6</c:v>
                </c:pt>
                <c:pt idx="315">
                  <c:v>7.4358709428229883E-6</c:v>
                </c:pt>
                <c:pt idx="316">
                  <c:v>6.936748989879978E-6</c:v>
                </c:pt>
                <c:pt idx="317">
                  <c:v>6.4695985877996685E-6</c:v>
                </c:pt>
                <c:pt idx="318">
                  <c:v>6.0328820859185484E-6</c:v>
                </c:pt>
                <c:pt idx="319">
                  <c:v>5.6251181650682881E-6</c:v>
                </c:pt>
                <c:pt idx="320">
                  <c:v>5.2447703224525908E-6</c:v>
                </c:pt>
                <c:pt idx="321">
                  <c:v>4.8959860087210964E-6</c:v>
                </c:pt>
                <c:pt idx="322">
                  <c:v>4.5698541470108825E-6</c:v>
                </c:pt>
                <c:pt idx="323">
                  <c:v>4.2642763111056717E-6</c:v>
                </c:pt>
                <c:pt idx="324">
                  <c:v>3.9774302183042072E-6</c:v>
                </c:pt>
                <c:pt idx="325">
                  <c:v>3.7076997515442565E-6</c:v>
                </c:pt>
                <c:pt idx="326">
                  <c:v>3.4538930460953823E-6</c:v>
                </c:pt>
                <c:pt idx="327">
                  <c:v>3.2155348649513749E-6</c:v>
                </c:pt>
                <c:pt idx="328">
                  <c:v>2.9922476748697197E-6</c:v>
                </c:pt>
                <c:pt idx="329">
                  <c:v>2.7836043844506805E-6</c:v>
                </c:pt>
                <c:pt idx="330">
                  <c:v>2.5890451728477784E-6</c:v>
                </c:pt>
                <c:pt idx="331">
                  <c:v>2.3580410776603799E-6</c:v>
                </c:pt>
                <c:pt idx="332">
                  <c:v>2.147205827312138E-6</c:v>
                </c:pt>
                <c:pt idx="333">
                  <c:v>1.9550400823456901E-6</c:v>
                </c:pt>
                <c:pt idx="334">
                  <c:v>1.7801003056257592E-6</c:v>
                </c:pt>
                <c:pt idx="335">
                  <c:v>1.6210081808913517E-6</c:v>
                </c:pt>
                <c:pt idx="336">
                  <c:v>1.4764035199947887E-6</c:v>
                </c:pt>
                <c:pt idx="337">
                  <c:v>1.344775552608391E-6</c:v>
                </c:pt>
                <c:pt idx="338">
                  <c:v>1.2247587863142639E-6</c:v>
                </c:pt>
                <c:pt idx="339">
                  <c:v>1.115143367406594E-6</c:v>
                </c:pt>
                <c:pt idx="340">
                  <c:v>1.0148833226184243E-6</c:v>
                </c:pt>
                <c:pt idx="341">
                  <c:v>9.5528477976186329E-7</c:v>
                </c:pt>
                <c:pt idx="342">
                  <c:v>8.9897437368025861E-7</c:v>
                </c:pt>
                <c:pt idx="343">
                  <c:v>8.4589594884455627E-7</c:v>
                </c:pt>
                <c:pt idx="344">
                  <c:v>7.9598386614086402E-7</c:v>
                </c:pt>
                <c:pt idx="345">
                  <c:v>7.4914821137691339E-7</c:v>
                </c:pt>
                <c:pt idx="346">
                  <c:v>7.0525999672494044E-7</c:v>
                </c:pt>
                <c:pt idx="347">
                  <c:v>6.6409333168550554E-7</c:v>
                </c:pt>
                <c:pt idx="348">
                  <c:v>6.2542043589961473E-7</c:v>
                </c:pt>
                <c:pt idx="349">
                  <c:v>5.8903709976214479E-7</c:v>
                </c:pt>
                <c:pt idx="350">
                  <c:v>5.5475951059428292E-7</c:v>
                </c:pt>
                <c:pt idx="351">
                  <c:v>5.2014951466336862E-7</c:v>
                </c:pt>
                <c:pt idx="352">
                  <c:v>4.8765953653816055E-7</c:v>
                </c:pt>
                <c:pt idx="353">
                  <c:v>4.5713057374921899E-7</c:v>
                </c:pt>
                <c:pt idx="354">
                  <c:v>4.2842300183750335E-7</c:v>
                </c:pt>
                <c:pt idx="355">
                  <c:v>4.0140504977586045E-7</c:v>
                </c:pt>
                <c:pt idx="356">
                  <c:v>3.7598209164764094E-7</c:v>
                </c:pt>
                <c:pt idx="357">
                  <c:v>3.5213273039050301E-7</c:v>
                </c:pt>
                <c:pt idx="358">
                  <c:v>3.2984046158460194E-7</c:v>
                </c:pt>
                <c:pt idx="359">
                  <c:v>3.0907772247946301E-7</c:v>
                </c:pt>
                <c:pt idx="360">
                  <c:v>2.8979970713801005E-7</c:v>
                </c:pt>
                <c:pt idx="361">
                  <c:v>2.6592976249697571E-7</c:v>
                </c:pt>
                <c:pt idx="362">
                  <c:v>2.4412404381577843E-7</c:v>
                </c:pt>
                <c:pt idx="363">
                  <c:v>2.2413738092054693E-7</c:v>
                </c:pt>
                <c:pt idx="364">
                  <c:v>2.0575930675376888E-7</c:v>
                </c:pt>
                <c:pt idx="365">
                  <c:v>1.8881320675681456E-7</c:v>
                </c:pt>
                <c:pt idx="366">
                  <c:v>1.7315791053341615E-7</c:v>
                </c:pt>
                <c:pt idx="367">
                  <c:v>1.587181412689987E-7</c:v>
                </c:pt>
                <c:pt idx="368">
                  <c:v>1.4542662144432214E-7</c:v>
                </c:pt>
                <c:pt idx="369">
                  <c:v>1.3321592106480652E-7</c:v>
                </c:pt>
                <c:pt idx="370">
                  <c:v>1.2201857274514871E-7</c:v>
                </c:pt>
                <c:pt idx="371">
                  <c:v>1.1074748769969388E-7</c:v>
                </c:pt>
                <c:pt idx="372">
                  <c:v>1.0047446155638006E-7</c:v>
                </c:pt>
                <c:pt idx="373">
                  <c:v>9.1109497118194013E-8</c:v>
                </c:pt>
                <c:pt idx="374">
                  <c:v>8.2570574382389393E-8</c:v>
                </c:pt>
                <c:pt idx="375">
                  <c:v>7.4782455926417243E-8</c:v>
                </c:pt>
                <c:pt idx="376">
                  <c:v>6.7679017971363053E-8</c:v>
                </c:pt>
                <c:pt idx="377">
                  <c:v>6.1197156079945337E-8</c:v>
                </c:pt>
                <c:pt idx="378">
                  <c:v>5.5280430998240598E-8</c:v>
                </c:pt>
                <c:pt idx="379">
                  <c:v>4.9878212645330262E-8</c:v>
                </c:pt>
                <c:pt idx="380">
                  <c:v>4.4945200340968415E-8</c:v>
                </c:pt>
                <c:pt idx="381">
                  <c:v>4.3840100812789317E-8</c:v>
                </c:pt>
                <c:pt idx="382">
                  <c:v>4.2687413611851053E-8</c:v>
                </c:pt>
                <c:pt idx="383">
                  <c:v>4.1503372693353176E-8</c:v>
                </c:pt>
                <c:pt idx="384">
                  <c:v>4.0302122916889692E-8</c:v>
                </c:pt>
                <c:pt idx="385">
                  <c:v>3.9096374578914582E-8</c:v>
                </c:pt>
                <c:pt idx="386">
                  <c:v>3.7895092622264985E-8</c:v>
                </c:pt>
                <c:pt idx="387">
                  <c:v>3.6698252733410475E-8</c:v>
                </c:pt>
                <c:pt idx="388">
                  <c:v>3.550421492829666E-8</c:v>
                </c:pt>
                <c:pt idx="389">
                  <c:v>3.4311023205721227E-8</c:v>
                </c:pt>
                <c:pt idx="390">
                  <c:v>3.3117244267560466E-8</c:v>
                </c:pt>
                <c:pt idx="391">
                  <c:v>3.081984943812606E-8</c:v>
                </c:pt>
                <c:pt idx="392">
                  <c:v>2.8675972516764676E-8</c:v>
                </c:pt>
                <c:pt idx="393">
                  <c:v>2.6682295953298513E-8</c:v>
                </c:pt>
                <c:pt idx="394">
                  <c:v>2.4834159403653548E-8</c:v>
                </c:pt>
                <c:pt idx="395">
                  <c:v>2.31261654450268E-8</c:v>
                </c:pt>
                <c:pt idx="396">
                  <c:v>2.1550593643637495E-8</c:v>
                </c:pt>
                <c:pt idx="397">
                  <c:v>2.0094036701349699E-8</c:v>
                </c:pt>
                <c:pt idx="398">
                  <c:v>1.874314964154811E-8</c:v>
                </c:pt>
                <c:pt idx="399">
                  <c:v>1.7486462061257519E-8</c:v>
                </c:pt>
                <c:pt idx="400">
                  <c:v>1.6314095472322704E-8</c:v>
                </c:pt>
              </c:numCache>
            </c:numRef>
          </c:yVal>
          <c:smooth val="0"/>
          <c:extLst>
            <c:ext xmlns:c16="http://schemas.microsoft.com/office/drawing/2014/chart" uri="{C3380CC4-5D6E-409C-BE32-E72D297353CC}">
              <c16:uniqueId val="{00000002-83F2-4DEA-A0E0-E1EF1D6DB5D5}"/>
            </c:ext>
          </c:extLst>
        </c:ser>
        <c:ser>
          <c:idx val="3"/>
          <c:order val="3"/>
          <c:tx>
            <c:strRef>
              <c:f>Calculations!$BC$20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Calculations!$BC$21:$BC$421</c:f>
              <c:numCache>
                <c:formatCode>General</c:formatCode>
                <c:ptCount val="401"/>
                <c:pt idx="0">
                  <c:v>4.0784748799428547E-7</c:v>
                </c:pt>
                <c:pt idx="1">
                  <c:v>4.6477866048488599E-7</c:v>
                </c:pt>
                <c:pt idx="2">
                  <c:v>5.304522387980087E-7</c:v>
                </c:pt>
                <c:pt idx="3">
                  <c:v>6.0793129020891532E-7</c:v>
                </c:pt>
                <c:pt idx="4">
                  <c:v>6.982245938723425E-7</c:v>
                </c:pt>
                <c:pt idx="5">
                  <c:v>8.03091026809761E-7</c:v>
                </c:pt>
                <c:pt idx="6">
                  <c:v>9.2727079774569249E-7</c:v>
                </c:pt>
                <c:pt idx="7">
                  <c:v>1.0719665007441304E-6</c:v>
                </c:pt>
                <c:pt idx="8">
                  <c:v>1.2413849177705087E-6</c:v>
                </c:pt>
                <c:pt idx="9">
                  <c:v>1.4398596677272732E-6</c:v>
                </c:pt>
                <c:pt idx="10">
                  <c:v>1.6726186182788537E-6</c:v>
                </c:pt>
                <c:pt idx="11">
                  <c:v>2.027736887071239E-6</c:v>
                </c:pt>
                <c:pt idx="12">
                  <c:v>2.4542710450421829E-6</c:v>
                </c:pt>
                <c:pt idx="13">
                  <c:v>2.9664036625732402E-6</c:v>
                </c:pt>
                <c:pt idx="14">
                  <c:v>3.5797082363581493E-6</c:v>
                </c:pt>
                <c:pt idx="15">
                  <c:v>4.312109399135984E-6</c:v>
                </c:pt>
                <c:pt idx="16">
                  <c:v>5.1920249997592712E-6</c:v>
                </c:pt>
                <c:pt idx="17">
                  <c:v>6.2302198296511777E-6</c:v>
                </c:pt>
                <c:pt idx="18">
                  <c:v>7.4597517163611527E-6</c:v>
                </c:pt>
                <c:pt idx="19">
                  <c:v>8.9278595974399197E-6</c:v>
                </c:pt>
                <c:pt idx="20">
                  <c:v>1.0652088875072994E-5</c:v>
                </c:pt>
                <c:pt idx="21">
                  <c:v>1.2398262791146315E-5</c:v>
                </c:pt>
                <c:pt idx="22">
                  <c:v>1.4412713857533847E-5</c:v>
                </c:pt>
                <c:pt idx="23">
                  <c:v>1.6714529577032373E-5</c:v>
                </c:pt>
                <c:pt idx="24">
                  <c:v>1.9347181507882071E-5</c:v>
                </c:pt>
                <c:pt idx="25">
                  <c:v>2.2355592887286316E-5</c:v>
                </c:pt>
                <c:pt idx="26">
                  <c:v>2.5761783852851824E-5</c:v>
                </c:pt>
                <c:pt idx="27">
                  <c:v>2.9612800652294816E-5</c:v>
                </c:pt>
                <c:pt idx="28">
                  <c:v>3.3944787434294126E-5</c:v>
                </c:pt>
                <c:pt idx="29">
                  <c:v>3.8782275511614014E-5</c:v>
                </c:pt>
                <c:pt idx="30">
                  <c:v>4.4162956024571535E-5</c:v>
                </c:pt>
                <c:pt idx="31">
                  <c:v>4.9744546858174294E-5</c:v>
                </c:pt>
                <c:pt idx="32">
                  <c:v>5.5884087865937036E-5</c:v>
                </c:pt>
                <c:pt idx="33">
                  <c:v>6.2508367551848649E-5</c:v>
                </c:pt>
                <c:pt idx="34">
                  <c:v>6.9671561230267274E-5</c:v>
                </c:pt>
                <c:pt idx="35">
                  <c:v>7.737684363490831E-5</c:v>
                </c:pt>
                <c:pt idx="36">
                  <c:v>8.5755827312567731E-5</c:v>
                </c:pt>
                <c:pt idx="37">
                  <c:v>9.4683910096018595E-5</c:v>
                </c:pt>
                <c:pt idx="38">
                  <c:v>1.0416421559181091E-4</c:v>
                </c:pt>
                <c:pt idx="39">
                  <c:v>1.1432937847438079E-4</c:v>
                </c:pt>
                <c:pt idx="40">
                  <c:v>1.2505388584788826E-4</c:v>
                </c:pt>
                <c:pt idx="41">
                  <c:v>1.3520316134483669E-4</c:v>
                </c:pt>
                <c:pt idx="42">
                  <c:v>1.455744860007192E-4</c:v>
                </c:pt>
                <c:pt idx="43">
                  <c:v>1.5641243859635835E-4</c:v>
                </c:pt>
                <c:pt idx="44">
                  <c:v>1.6770332093099291E-4</c:v>
                </c:pt>
                <c:pt idx="45">
                  <c:v>1.7918319019093128E-4</c:v>
                </c:pt>
                <c:pt idx="46">
                  <c:v>1.9084401373040819E-4</c:v>
                </c:pt>
                <c:pt idx="47">
                  <c:v>2.0292278023235718E-4</c:v>
                </c:pt>
                <c:pt idx="48">
                  <c:v>2.1516195676093505E-4</c:v>
                </c:pt>
                <c:pt idx="49">
                  <c:v>2.2743161464046027E-4</c:v>
                </c:pt>
                <c:pt idx="50">
                  <c:v>2.3996685472831423E-4</c:v>
                </c:pt>
                <c:pt idx="51">
                  <c:v>2.5983791389562412E-4</c:v>
                </c:pt>
                <c:pt idx="52">
                  <c:v>2.8069377510121042E-4</c:v>
                </c:pt>
                <c:pt idx="53">
                  <c:v>3.0243005510125918E-4</c:v>
                </c:pt>
                <c:pt idx="54">
                  <c:v>3.2493139563089386E-4</c:v>
                </c:pt>
                <c:pt idx="55">
                  <c:v>3.4833769128348255E-4</c:v>
                </c:pt>
                <c:pt idx="56">
                  <c:v>3.7252954807342559E-4</c:v>
                </c:pt>
                <c:pt idx="57">
                  <c:v>3.975141782563897E-4</c:v>
                </c:pt>
                <c:pt idx="58">
                  <c:v>4.2315679164218729E-4</c:v>
                </c:pt>
                <c:pt idx="59">
                  <c:v>4.4960730873662267E-4</c:v>
                </c:pt>
                <c:pt idx="60">
                  <c:v>4.7671864790785361E-4</c:v>
                </c:pt>
                <c:pt idx="61">
                  <c:v>5.0149174505546119E-4</c:v>
                </c:pt>
                <c:pt idx="62">
                  <c:v>5.2671045355249862E-4</c:v>
                </c:pt>
                <c:pt idx="63">
                  <c:v>5.5221479248028092E-4</c:v>
                </c:pt>
                <c:pt idx="64">
                  <c:v>5.7815646957850534E-4</c:v>
                </c:pt>
                <c:pt idx="65">
                  <c:v>6.042280678703871E-4</c:v>
                </c:pt>
                <c:pt idx="66">
                  <c:v>6.3089129198519933E-4</c:v>
                </c:pt>
                <c:pt idx="67">
                  <c:v>6.5656937737064555E-4</c:v>
                </c:pt>
                <c:pt idx="68">
                  <c:v>6.8423872036492135E-4</c:v>
                </c:pt>
                <c:pt idx="69">
                  <c:v>7.107471580256315E-4</c:v>
                </c:pt>
                <c:pt idx="70">
                  <c:v>7.3765332069529303E-4</c:v>
                </c:pt>
                <c:pt idx="71">
                  <c:v>7.5762555899882883E-4</c:v>
                </c:pt>
                <c:pt idx="72">
                  <c:v>7.7763103688767985E-4</c:v>
                </c:pt>
                <c:pt idx="73">
                  <c:v>7.9603209167475309E-4</c:v>
                </c:pt>
                <c:pt idx="74">
                  <c:v>8.160901515670521E-4</c:v>
                </c:pt>
                <c:pt idx="75">
                  <c:v>8.3454123892710299E-4</c:v>
                </c:pt>
                <c:pt idx="76">
                  <c:v>8.5301671214382542E-4</c:v>
                </c:pt>
                <c:pt idx="77">
                  <c:v>8.7152398396342335E-4</c:v>
                </c:pt>
                <c:pt idx="78">
                  <c:v>8.9004838130509281E-4</c:v>
                </c:pt>
                <c:pt idx="79">
                  <c:v>9.0860488207284644E-4</c:v>
                </c:pt>
                <c:pt idx="80">
                  <c:v>9.2554584754731581E-4</c:v>
                </c:pt>
                <c:pt idx="81">
                  <c:v>9.4113924503988022E-4</c:v>
                </c:pt>
                <c:pt idx="82">
                  <c:v>9.550185384980468E-4</c:v>
                </c:pt>
                <c:pt idx="83">
                  <c:v>9.7043617769977187E-4</c:v>
                </c:pt>
                <c:pt idx="84">
                  <c:v>9.8576389405502073E-4</c:v>
                </c:pt>
                <c:pt idx="85">
                  <c:v>9.9938117810997266E-4</c:v>
                </c:pt>
                <c:pt idx="86">
                  <c:v>1.0145329837627779E-3</c:v>
                </c:pt>
                <c:pt idx="87">
                  <c:v>1.029594866569107E-3</c:v>
                </c:pt>
                <c:pt idx="88">
                  <c:v>1.0445668265289599E-3</c:v>
                </c:pt>
                <c:pt idx="89">
                  <c:v>1.0594488636423373E-3</c:v>
                </c:pt>
                <c:pt idx="90">
                  <c:v>1.0758324460246594E-3</c:v>
                </c:pt>
                <c:pt idx="91">
                  <c:v>1.094347587825274E-3</c:v>
                </c:pt>
                <c:pt idx="92">
                  <c:v>1.1144894463886801E-3</c:v>
                </c:pt>
                <c:pt idx="93">
                  <c:v>1.1330805168793857E-3</c:v>
                </c:pt>
                <c:pt idx="94">
                  <c:v>1.1532915703110973E-3</c:v>
                </c:pt>
                <c:pt idx="95">
                  <c:v>1.1735378723901793E-3</c:v>
                </c:pt>
                <c:pt idx="96">
                  <c:v>1.1922191289837679E-3</c:v>
                </c:pt>
                <c:pt idx="97">
                  <c:v>1.2125344596639509E-3</c:v>
                </c:pt>
                <c:pt idx="98">
                  <c:v>1.2328956939481979E-3</c:v>
                </c:pt>
                <c:pt idx="99">
                  <c:v>1.2532816881903263E-3</c:v>
                </c:pt>
                <c:pt idx="100">
                  <c:v>1.2737029310798255E-3</c:v>
                </c:pt>
                <c:pt idx="101">
                  <c:v>1.2850468020797791E-3</c:v>
                </c:pt>
                <c:pt idx="102">
                  <c:v>1.2961542411148227E-3</c:v>
                </c:pt>
                <c:pt idx="103">
                  <c:v>1.3054371469804274E-3</c:v>
                </c:pt>
                <c:pt idx="104">
                  <c:v>1.3160814071503171E-3</c:v>
                </c:pt>
                <c:pt idx="105">
                  <c:v>1.3249323231072274E-3</c:v>
                </c:pt>
                <c:pt idx="106">
                  <c:v>1.3335665097629699E-3</c:v>
                </c:pt>
                <c:pt idx="107">
                  <c:v>1.3419839671175446E-3</c:v>
                </c:pt>
                <c:pt idx="108">
                  <c:v>1.3501724468202145E-3</c:v>
                </c:pt>
                <c:pt idx="109">
                  <c:v>1.3566388000958657E-3</c:v>
                </c:pt>
                <c:pt idx="110">
                  <c:v>1.3629081267340917E-3</c:v>
                </c:pt>
                <c:pt idx="111">
                  <c:v>1.3786684010776509E-3</c:v>
                </c:pt>
                <c:pt idx="112">
                  <c:v>1.3929472900508204E-3</c:v>
                </c:pt>
                <c:pt idx="113">
                  <c:v>1.4072269826488118E-3</c:v>
                </c:pt>
                <c:pt idx="114">
                  <c:v>1.4215201428903741E-3</c:v>
                </c:pt>
                <c:pt idx="115">
                  <c:v>1.4343153741746908E-3</c:v>
                </c:pt>
                <c:pt idx="116">
                  <c:v>1.4471358365073024E-3</c:v>
                </c:pt>
                <c:pt idx="117">
                  <c:v>1.4584422142526238E-3</c:v>
                </c:pt>
                <c:pt idx="118">
                  <c:v>1.4682454117681551E-3</c:v>
                </c:pt>
                <c:pt idx="119">
                  <c:v>1.4780711107787055E-3</c:v>
                </c:pt>
                <c:pt idx="120">
                  <c:v>1.4878923482859335E-3</c:v>
                </c:pt>
                <c:pt idx="121">
                  <c:v>1.491835458176107E-3</c:v>
                </c:pt>
                <c:pt idx="122">
                  <c:v>1.4957613871218077E-3</c:v>
                </c:pt>
                <c:pt idx="123">
                  <c:v>1.499656362656256E-3</c:v>
                </c:pt>
                <c:pt idx="124">
                  <c:v>1.5020413132943258E-3</c:v>
                </c:pt>
                <c:pt idx="125">
                  <c:v>1.5014045514675923E-3</c:v>
                </c:pt>
                <c:pt idx="126">
                  <c:v>1.5022657601649057E-3</c:v>
                </c:pt>
                <c:pt idx="127">
                  <c:v>1.5001181421057711E-3</c:v>
                </c:pt>
                <c:pt idx="128">
                  <c:v>1.4979566684462547E-3</c:v>
                </c:pt>
                <c:pt idx="129">
                  <c:v>1.4928174322863458E-3</c:v>
                </c:pt>
                <c:pt idx="130">
                  <c:v>1.4891804480310015E-3</c:v>
                </c:pt>
                <c:pt idx="131">
                  <c:v>1.480553951233471E-3</c:v>
                </c:pt>
                <c:pt idx="132">
                  <c:v>1.4704671572893307E-3</c:v>
                </c:pt>
                <c:pt idx="133">
                  <c:v>1.4604000660089331E-3</c:v>
                </c:pt>
                <c:pt idx="134">
                  <c:v>1.4489030906247639E-3</c:v>
                </c:pt>
                <c:pt idx="135">
                  <c:v>1.4359750256995895E-3</c:v>
                </c:pt>
                <c:pt idx="136">
                  <c:v>1.4216283828405547E-3</c:v>
                </c:pt>
                <c:pt idx="137">
                  <c:v>1.4073401274815271E-3</c:v>
                </c:pt>
                <c:pt idx="138">
                  <c:v>1.3916367719443352E-3</c:v>
                </c:pt>
                <c:pt idx="139">
                  <c:v>1.3745573613108532E-3</c:v>
                </c:pt>
                <c:pt idx="140">
                  <c:v>1.3575530203202388E-3</c:v>
                </c:pt>
                <c:pt idx="141">
                  <c:v>1.3467505014827913E-3</c:v>
                </c:pt>
                <c:pt idx="142">
                  <c:v>1.3358676201631308E-3</c:v>
                </c:pt>
                <c:pt idx="143">
                  <c:v>1.323440393624947E-3</c:v>
                </c:pt>
                <c:pt idx="144">
                  <c:v>1.3094567674959078E-3</c:v>
                </c:pt>
                <c:pt idx="145">
                  <c:v>1.2953645134598775E-3</c:v>
                </c:pt>
                <c:pt idx="146">
                  <c:v>1.2797121603876896E-3</c:v>
                </c:pt>
                <c:pt idx="147">
                  <c:v>1.2639553360886254E-3</c:v>
                </c:pt>
                <c:pt idx="148">
                  <c:v>1.2466099810614206E-3</c:v>
                </c:pt>
                <c:pt idx="149">
                  <c:v>1.2291521185591183E-3</c:v>
                </c:pt>
                <c:pt idx="150">
                  <c:v>1.2100896528322331E-3</c:v>
                </c:pt>
                <c:pt idx="151">
                  <c:v>1.1840906855975512E-3</c:v>
                </c:pt>
                <c:pt idx="152">
                  <c:v>1.1582172362467255E-3</c:v>
                </c:pt>
                <c:pt idx="153">
                  <c:v>1.1310127070784483E-3</c:v>
                </c:pt>
                <c:pt idx="154">
                  <c:v>1.10394322844709E-3</c:v>
                </c:pt>
                <c:pt idx="155">
                  <c:v>1.0770297777316278E-3</c:v>
                </c:pt>
                <c:pt idx="156">
                  <c:v>1.05026175539777E-3</c:v>
                </c:pt>
                <c:pt idx="157">
                  <c:v>1.0221692069454413E-3</c:v>
                </c:pt>
                <c:pt idx="158">
                  <c:v>9.9424111061404102E-4</c:v>
                </c:pt>
                <c:pt idx="159">
                  <c:v>9.6790944270299815E-4</c:v>
                </c:pt>
                <c:pt idx="160">
                  <c:v>9.4028607259078834E-4</c:v>
                </c:pt>
                <c:pt idx="161">
                  <c:v>9.1537823388615068E-4</c:v>
                </c:pt>
                <c:pt idx="162">
                  <c:v>8.904873544363799E-4</c:v>
                </c:pt>
                <c:pt idx="163">
                  <c:v>8.6561343424147621E-4</c:v>
                </c:pt>
                <c:pt idx="164">
                  <c:v>8.3931187455006239E-4</c:v>
                </c:pt>
                <c:pt idx="165">
                  <c:v>8.1447237166650639E-4</c:v>
                </c:pt>
                <c:pt idx="166">
                  <c:v>7.9110102205497612E-4</c:v>
                </c:pt>
                <c:pt idx="167">
                  <c:v>7.6629470333433375E-4</c:v>
                </c:pt>
                <c:pt idx="168">
                  <c:v>7.4150534386855846E-4</c:v>
                </c:pt>
                <c:pt idx="169">
                  <c:v>7.1673294365765005E-4</c:v>
                </c:pt>
                <c:pt idx="170">
                  <c:v>6.9341912249890384E-4</c:v>
                </c:pt>
                <c:pt idx="171">
                  <c:v>6.6774384980033497E-4</c:v>
                </c:pt>
                <c:pt idx="172">
                  <c:v>6.4082395623069532E-4</c:v>
                </c:pt>
                <c:pt idx="173">
                  <c:v>6.1693800962099544E-4</c:v>
                </c:pt>
                <c:pt idx="174">
                  <c:v>5.9180699876101276E-4</c:v>
                </c:pt>
                <c:pt idx="175">
                  <c:v>5.6826314692473253E-4</c:v>
                </c:pt>
                <c:pt idx="176">
                  <c:v>5.4404285359334651E-4</c:v>
                </c:pt>
                <c:pt idx="177">
                  <c:v>5.2098444380091296E-4</c:v>
                </c:pt>
                <c:pt idx="178">
                  <c:v>4.9850693421115441E-4</c:v>
                </c:pt>
                <c:pt idx="179">
                  <c:v>4.7675449234604064E-4</c:v>
                </c:pt>
                <c:pt idx="180">
                  <c:v>4.5557214054418432E-4</c:v>
                </c:pt>
                <c:pt idx="181">
                  <c:v>4.3498942919874311E-4</c:v>
                </c:pt>
                <c:pt idx="182">
                  <c:v>4.1509605558701887E-4</c:v>
                </c:pt>
                <c:pt idx="183">
                  <c:v>3.9574929233814548E-4</c:v>
                </c:pt>
                <c:pt idx="184">
                  <c:v>3.7708027439637386E-4</c:v>
                </c:pt>
                <c:pt idx="185">
                  <c:v>3.5894730815718247E-4</c:v>
                </c:pt>
                <c:pt idx="186">
                  <c:v>3.4134582210378132E-4</c:v>
                </c:pt>
                <c:pt idx="187">
                  <c:v>3.2440624523758183E-4</c:v>
                </c:pt>
                <c:pt idx="188">
                  <c:v>3.0812279963466895E-4</c:v>
                </c:pt>
                <c:pt idx="189">
                  <c:v>2.9235475534752773E-4</c:v>
                </c:pt>
                <c:pt idx="190">
                  <c:v>2.7709787380944529E-4</c:v>
                </c:pt>
                <c:pt idx="191">
                  <c:v>2.6333390217592612E-4</c:v>
                </c:pt>
                <c:pt idx="192">
                  <c:v>2.5011866552302039E-4</c:v>
                </c:pt>
                <c:pt idx="193">
                  <c:v>2.3745100912499236E-4</c:v>
                </c:pt>
                <c:pt idx="194">
                  <c:v>2.25064183300625E-4</c:v>
                </c:pt>
                <c:pt idx="195">
                  <c:v>2.1322367105214833E-4</c:v>
                </c:pt>
                <c:pt idx="196">
                  <c:v>2.0179554179082266E-4</c:v>
                </c:pt>
                <c:pt idx="197">
                  <c:v>1.9091206177066991E-4</c:v>
                </c:pt>
                <c:pt idx="198">
                  <c:v>1.8043926354705328E-4</c:v>
                </c:pt>
                <c:pt idx="199">
                  <c:v>1.7050964864208921E-4</c:v>
                </c:pt>
                <c:pt idx="200">
                  <c:v>1.6085667022055033E-4</c:v>
                </c:pt>
                <c:pt idx="201">
                  <c:v>1.5057424822328771E-4</c:v>
                </c:pt>
                <c:pt idx="202">
                  <c:v>1.4095048017847317E-4</c:v>
                </c:pt>
                <c:pt idx="203">
                  <c:v>1.3171432934357564E-4</c:v>
                </c:pt>
                <c:pt idx="204">
                  <c:v>1.2311716831595271E-4</c:v>
                </c:pt>
                <c:pt idx="205">
                  <c:v>1.1489186209014079E-4</c:v>
                </c:pt>
                <c:pt idx="206">
                  <c:v>1.0715918148274936E-4</c:v>
                </c:pt>
                <c:pt idx="207">
                  <c:v>9.9784328821566674E-5</c:v>
                </c:pt>
                <c:pt idx="208">
                  <c:v>9.3011321458487848E-5</c:v>
                </c:pt>
                <c:pt idx="209">
                  <c:v>8.6580410392944631E-5</c:v>
                </c:pt>
                <c:pt idx="210">
                  <c:v>8.0485891274259975E-5</c:v>
                </c:pt>
                <c:pt idx="211">
                  <c:v>7.5437162805719186E-5</c:v>
                </c:pt>
                <c:pt idx="212">
                  <c:v>7.0742715942469542E-5</c:v>
                </c:pt>
                <c:pt idx="213">
                  <c:v>6.6280933844942315E-5</c:v>
                </c:pt>
                <c:pt idx="214">
                  <c:v>6.2052760218079509E-5</c:v>
                </c:pt>
                <c:pt idx="215">
                  <c:v>5.8059436939343289E-5</c:v>
                </c:pt>
                <c:pt idx="216">
                  <c:v>5.4301987799045875E-5</c:v>
                </c:pt>
                <c:pt idx="217">
                  <c:v>5.0781454322667947E-5</c:v>
                </c:pt>
                <c:pt idx="218">
                  <c:v>4.7449314557919038E-5</c:v>
                </c:pt>
                <c:pt idx="219">
                  <c:v>4.430633707495232E-5</c:v>
                </c:pt>
                <c:pt idx="220">
                  <c:v>4.1341031479793798E-5</c:v>
                </c:pt>
                <c:pt idx="221">
                  <c:v>3.8480258117720371E-5</c:v>
                </c:pt>
                <c:pt idx="222">
                  <c:v>3.5808950558211082E-5</c:v>
                </c:pt>
                <c:pt idx="223">
                  <c:v>3.3301947072539911E-5</c:v>
                </c:pt>
                <c:pt idx="224">
                  <c:v>3.0959027730762002E-5</c:v>
                </c:pt>
                <c:pt idx="225">
                  <c:v>2.8767497865540601E-5</c:v>
                </c:pt>
                <c:pt idx="226">
                  <c:v>2.6702346691060232E-5</c:v>
                </c:pt>
                <c:pt idx="227">
                  <c:v>2.4788233393421103E-5</c:v>
                </c:pt>
                <c:pt idx="228">
                  <c:v>2.3000103416966122E-5</c:v>
                </c:pt>
                <c:pt idx="229">
                  <c:v>2.1337787584814636E-5</c:v>
                </c:pt>
                <c:pt idx="230">
                  <c:v>1.977628773360312E-5</c:v>
                </c:pt>
                <c:pt idx="231">
                  <c:v>1.829732354624622E-5</c:v>
                </c:pt>
                <c:pt idx="232">
                  <c:v>1.6923342674900442E-5</c:v>
                </c:pt>
                <c:pt idx="233">
                  <c:v>1.5653752626382265E-5</c:v>
                </c:pt>
                <c:pt idx="234">
                  <c:v>1.4463266486616215E-5</c:v>
                </c:pt>
                <c:pt idx="235">
                  <c:v>1.3363727011349584E-5</c:v>
                </c:pt>
                <c:pt idx="236">
                  <c:v>1.234230726768438E-5</c:v>
                </c:pt>
                <c:pt idx="237">
                  <c:v>1.1398520480667996E-5</c:v>
                </c:pt>
                <c:pt idx="238">
                  <c:v>1.0519715725094097E-5</c:v>
                </c:pt>
                <c:pt idx="239">
                  <c:v>9.7054731208487181E-6</c:v>
                </c:pt>
                <c:pt idx="240">
                  <c:v>8.9554207004840166E-6</c:v>
                </c:pt>
                <c:pt idx="241">
                  <c:v>8.245433342016506E-6</c:v>
                </c:pt>
                <c:pt idx="242">
                  <c:v>7.5782542603433207E-6</c:v>
                </c:pt>
                <c:pt idx="243">
                  <c:v>6.9653013985040568E-6</c:v>
                </c:pt>
                <c:pt idx="244">
                  <c:v>6.4058415181265236E-6</c:v>
                </c:pt>
                <c:pt idx="245">
                  <c:v>5.8872888291817677E-6</c:v>
                </c:pt>
                <c:pt idx="246">
                  <c:v>5.4091077018702462E-6</c:v>
                </c:pt>
                <c:pt idx="247">
                  <c:v>4.9707407530998055E-6</c:v>
                </c:pt>
                <c:pt idx="248">
                  <c:v>4.5634744147090015E-6</c:v>
                </c:pt>
                <c:pt idx="249">
                  <c:v>4.1915275701446422E-6</c:v>
                </c:pt>
                <c:pt idx="250">
                  <c:v>3.8486352157158168E-6</c:v>
                </c:pt>
                <c:pt idx="251">
                  <c:v>3.5549611281601776E-6</c:v>
                </c:pt>
                <c:pt idx="252">
                  <c:v>3.2829394339504164E-6</c:v>
                </c:pt>
                <c:pt idx="253">
                  <c:v>3.0314550496089913E-6</c:v>
                </c:pt>
                <c:pt idx="254">
                  <c:v>2.7993748156420985E-6</c:v>
                </c:pt>
                <c:pt idx="255">
                  <c:v>2.5855778818713178E-6</c:v>
                </c:pt>
                <c:pt idx="256">
                  <c:v>2.3866156655674906E-6</c:v>
                </c:pt>
                <c:pt idx="257">
                  <c:v>2.2036657361947621E-6</c:v>
                </c:pt>
                <c:pt idx="258">
                  <c:v>2.0355989205155605E-6</c:v>
                </c:pt>
                <c:pt idx="259">
                  <c:v>1.8789549208906065E-6</c:v>
                </c:pt>
                <c:pt idx="260">
                  <c:v>1.7360748931762833E-6</c:v>
                </c:pt>
                <c:pt idx="261">
                  <c:v>1.5956777793514066E-6</c:v>
                </c:pt>
                <c:pt idx="262">
                  <c:v>1.4667948301685331E-6</c:v>
                </c:pt>
                <c:pt idx="263">
                  <c:v>1.3481479080592688E-6</c:v>
                </c:pt>
                <c:pt idx="264">
                  <c:v>1.2396114840552771E-6</c:v>
                </c:pt>
                <c:pt idx="265">
                  <c:v>1.13993231910205E-6</c:v>
                </c:pt>
                <c:pt idx="266">
                  <c:v>1.0478727644666292E-6</c:v>
                </c:pt>
                <c:pt idx="267">
                  <c:v>9.6334005274777993E-7</c:v>
                </c:pt>
                <c:pt idx="268">
                  <c:v>8.8624506888052854E-7</c:v>
                </c:pt>
                <c:pt idx="269">
                  <c:v>8.1538002433629878E-7</c:v>
                </c:pt>
                <c:pt idx="270">
                  <c:v>7.506707071338868E-7</c:v>
                </c:pt>
                <c:pt idx="271">
                  <c:v>6.9428398353247783E-7</c:v>
                </c:pt>
                <c:pt idx="272">
                  <c:v>6.4230805175651992E-7</c:v>
                </c:pt>
                <c:pt idx="273">
                  <c:v>5.9474529496927884E-7</c:v>
                </c:pt>
                <c:pt idx="274">
                  <c:v>5.5049051843520296E-7</c:v>
                </c:pt>
                <c:pt idx="275">
                  <c:v>5.0954526428261501E-7</c:v>
                </c:pt>
                <c:pt idx="276">
                  <c:v>4.7191187687909915E-7</c:v>
                </c:pt>
                <c:pt idx="277">
                  <c:v>4.370373799062095E-7</c:v>
                </c:pt>
                <c:pt idx="278">
                  <c:v>4.0492322196696581E-7</c:v>
                </c:pt>
                <c:pt idx="279">
                  <c:v>3.7523905520450793E-7</c:v>
                </c:pt>
                <c:pt idx="280">
                  <c:v>3.4776376931538361E-7</c:v>
                </c:pt>
                <c:pt idx="281">
                  <c:v>3.2325258527456784E-7</c:v>
                </c:pt>
                <c:pt idx="282">
                  <c:v>3.0039847894232368E-7</c:v>
                </c:pt>
                <c:pt idx="283">
                  <c:v>2.792155161084906E-7</c:v>
                </c:pt>
                <c:pt idx="284">
                  <c:v>2.5971670136247451E-7</c:v>
                </c:pt>
                <c:pt idx="285">
                  <c:v>2.4157841318717653E-7</c:v>
                </c:pt>
                <c:pt idx="286">
                  <c:v>2.2469894205398805E-7</c:v>
                </c:pt>
                <c:pt idx="287">
                  <c:v>2.090885782402005E-7</c:v>
                </c:pt>
                <c:pt idx="288">
                  <c:v>1.9464442077412844E-7</c:v>
                </c:pt>
                <c:pt idx="289">
                  <c:v>1.8114798013913179E-7</c:v>
                </c:pt>
                <c:pt idx="290">
                  <c:v>1.6872123092638109E-7</c:v>
                </c:pt>
                <c:pt idx="291">
                  <c:v>1.5599022866319283E-7</c:v>
                </c:pt>
                <c:pt idx="292">
                  <c:v>1.4416587412310106E-7</c:v>
                </c:pt>
                <c:pt idx="293">
                  <c:v>1.3334852037143712E-7</c:v>
                </c:pt>
                <c:pt idx="294">
                  <c:v>1.2341344206468662E-7</c:v>
                </c:pt>
                <c:pt idx="295">
                  <c:v>1.141262332038272E-7</c:v>
                </c:pt>
                <c:pt idx="296">
                  <c:v>1.0558943811739046E-7</c:v>
                </c:pt>
                <c:pt idx="297">
                  <c:v>9.7793218774881441E-8</c:v>
                </c:pt>
                <c:pt idx="298">
                  <c:v>9.0508211507368689E-8</c:v>
                </c:pt>
                <c:pt idx="299">
                  <c:v>8.3837035047957767E-8</c:v>
                </c:pt>
                <c:pt idx="300">
                  <c:v>7.7554233284136731E-8</c:v>
                </c:pt>
                <c:pt idx="301">
                  <c:v>7.1449148715937169E-8</c:v>
                </c:pt>
                <c:pt idx="302">
                  <c:v>6.5778620390735102E-8</c:v>
                </c:pt>
                <c:pt idx="303">
                  <c:v>6.0636878306941178E-8</c:v>
                </c:pt>
                <c:pt idx="304">
                  <c:v>5.5802241726035382E-8</c:v>
                </c:pt>
                <c:pt idx="305">
                  <c:v>5.1370127101489066E-8</c:v>
                </c:pt>
                <c:pt idx="306">
                  <c:v>4.7329921043409948E-8</c:v>
                </c:pt>
                <c:pt idx="307">
                  <c:v>4.3670811749708323E-8</c:v>
                </c:pt>
                <c:pt idx="308">
                  <c:v>4.0184238626977488E-8</c:v>
                </c:pt>
                <c:pt idx="309">
                  <c:v>3.7052442364117847E-8</c:v>
                </c:pt>
                <c:pt idx="310">
                  <c:v>3.4129856536178409E-8</c:v>
                </c:pt>
                <c:pt idx="311">
                  <c:v>3.1916899151234197E-8</c:v>
                </c:pt>
                <c:pt idx="312">
                  <c:v>2.9866317126699403E-8</c:v>
                </c:pt>
                <c:pt idx="313">
                  <c:v>2.7950266954682935E-8</c:v>
                </c:pt>
                <c:pt idx="314">
                  <c:v>2.6160243042356202E-8</c:v>
                </c:pt>
                <c:pt idx="315">
                  <c:v>2.4487510389715088E-8</c:v>
                </c:pt>
                <c:pt idx="316">
                  <c:v>2.2933089212326883E-8</c:v>
                </c:pt>
                <c:pt idx="317">
                  <c:v>2.1478312912823206E-8</c:v>
                </c:pt>
                <c:pt idx="318">
                  <c:v>2.0114146946975279E-8</c:v>
                </c:pt>
                <c:pt idx="319">
                  <c:v>1.8851330139425601E-8</c:v>
                </c:pt>
                <c:pt idx="320">
                  <c:v>1.7660929904381914E-8</c:v>
                </c:pt>
                <c:pt idx="321">
                  <c:v>1.6573165569532713E-8</c:v>
                </c:pt>
                <c:pt idx="322">
                  <c:v>1.5556575902016104E-8</c:v>
                </c:pt>
                <c:pt idx="323">
                  <c:v>1.459200051857731E-8</c:v>
                </c:pt>
                <c:pt idx="324">
                  <c:v>1.3700270233653104E-8</c:v>
                </c:pt>
                <c:pt idx="325">
                  <c:v>1.2872166860887267E-8</c:v>
                </c:pt>
                <c:pt idx="326">
                  <c:v>1.2088224750437412E-8</c:v>
                </c:pt>
                <c:pt idx="327">
                  <c:v>1.1348994523862699E-8</c:v>
                </c:pt>
                <c:pt idx="328">
                  <c:v>1.066527121797637E-8</c:v>
                </c:pt>
                <c:pt idx="329">
                  <c:v>1.0017211119024028E-8</c:v>
                </c:pt>
                <c:pt idx="330">
                  <c:v>9.4155712994738705E-9</c:v>
                </c:pt>
                <c:pt idx="331">
                  <c:v>8.6669235598758437E-9</c:v>
                </c:pt>
                <c:pt idx="332">
                  <c:v>7.9785535012895661E-9</c:v>
                </c:pt>
                <c:pt idx="333">
                  <c:v>7.3385703167456221E-9</c:v>
                </c:pt>
                <c:pt idx="334">
                  <c:v>6.7549798414224515E-9</c:v>
                </c:pt>
                <c:pt idx="335">
                  <c:v>6.216244447604366E-9</c:v>
                </c:pt>
                <c:pt idx="336">
                  <c:v>5.7115328660831259E-9</c:v>
                </c:pt>
                <c:pt idx="337">
                  <c:v>5.257916304976788E-9</c:v>
                </c:pt>
                <c:pt idx="338">
                  <c:v>4.8354981221374988E-9</c:v>
                </c:pt>
                <c:pt idx="339">
                  <c:v>4.4432187798040833E-9</c:v>
                </c:pt>
                <c:pt idx="340">
                  <c:v>4.0800187402153651E-9</c:v>
                </c:pt>
                <c:pt idx="341">
                  <c:v>3.8840099074830597E-9</c:v>
                </c:pt>
                <c:pt idx="342">
                  <c:v>3.6901047289898781E-9</c:v>
                </c:pt>
                <c:pt idx="343">
                  <c:v>3.5084273325951885E-9</c:v>
                </c:pt>
                <c:pt idx="344">
                  <c:v>3.3360914567979583E-9</c:v>
                </c:pt>
                <c:pt idx="345">
                  <c:v>3.1718710597016673E-9</c:v>
                </c:pt>
                <c:pt idx="346">
                  <c:v>3.0162770513292244E-9</c:v>
                </c:pt>
                <c:pt idx="347">
                  <c:v>2.8670199101046273E-9</c:v>
                </c:pt>
                <c:pt idx="348">
                  <c:v>2.7264122271785127E-9</c:v>
                </c:pt>
                <c:pt idx="349">
                  <c:v>2.5930140094010718E-9</c:v>
                </c:pt>
                <c:pt idx="350">
                  <c:v>2.4653094845728858E-9</c:v>
                </c:pt>
                <c:pt idx="351">
                  <c:v>2.3344031923673794E-9</c:v>
                </c:pt>
                <c:pt idx="352">
                  <c:v>2.2111220859732733E-9</c:v>
                </c:pt>
                <c:pt idx="353">
                  <c:v>2.0936960805739465E-9</c:v>
                </c:pt>
                <c:pt idx="354">
                  <c:v>1.9833013323623057E-9</c:v>
                </c:pt>
                <c:pt idx="355">
                  <c:v>1.8781180550976034E-9</c:v>
                </c:pt>
                <c:pt idx="356">
                  <c:v>1.7793120589959388E-9</c:v>
                </c:pt>
                <c:pt idx="357">
                  <c:v>1.6860398345039273E-9</c:v>
                </c:pt>
                <c:pt idx="358">
                  <c:v>1.597422031786675E-9</c:v>
                </c:pt>
                <c:pt idx="359">
                  <c:v>1.514626000417485E-9</c:v>
                </c:pt>
                <c:pt idx="360">
                  <c:v>1.4346777674026697E-9</c:v>
                </c:pt>
                <c:pt idx="361">
                  <c:v>1.3307603405599421E-9</c:v>
                </c:pt>
                <c:pt idx="362">
                  <c:v>1.2334234163566085E-9</c:v>
                </c:pt>
                <c:pt idx="363">
                  <c:v>1.1424793761079034E-9</c:v>
                </c:pt>
                <c:pt idx="364">
                  <c:v>1.058711984018367E-9</c:v>
                </c:pt>
                <c:pt idx="365">
                  <c:v>9.8188093963946338E-10</c:v>
                </c:pt>
                <c:pt idx="366">
                  <c:v>9.0891581282988781E-10</c:v>
                </c:pt>
                <c:pt idx="367">
                  <c:v>8.4250622779561896E-10</c:v>
                </c:pt>
                <c:pt idx="368">
                  <c:v>7.805873647742823E-10</c:v>
                </c:pt>
                <c:pt idx="369">
                  <c:v>7.230147763607805E-10</c:v>
                </c:pt>
                <c:pt idx="370">
                  <c:v>6.6964742916994999E-10</c:v>
                </c:pt>
                <c:pt idx="371">
                  <c:v>6.1383972002400407E-10</c:v>
                </c:pt>
                <c:pt idx="372">
                  <c:v>5.6262764472595889E-10</c:v>
                </c:pt>
                <c:pt idx="373">
                  <c:v>5.1579510717558451E-10</c:v>
                </c:pt>
                <c:pt idx="374">
                  <c:v>4.7234383076323308E-10</c:v>
                </c:pt>
                <c:pt idx="375">
                  <c:v>4.3212932097476603E-10</c:v>
                </c:pt>
                <c:pt idx="376">
                  <c:v>3.9501041972461661E-10</c:v>
                </c:pt>
                <c:pt idx="377">
                  <c:v>3.6084282093481146E-10</c:v>
                </c:pt>
                <c:pt idx="378">
                  <c:v>3.2948518916809861E-10</c:v>
                </c:pt>
                <c:pt idx="379">
                  <c:v>3.0012643697598499E-10</c:v>
                </c:pt>
                <c:pt idx="380">
                  <c:v>2.7333961259240951E-10</c:v>
                </c:pt>
                <c:pt idx="381">
                  <c:v>2.6923117629292365E-10</c:v>
                </c:pt>
                <c:pt idx="382">
                  <c:v>2.6516615790279335E-10</c:v>
                </c:pt>
                <c:pt idx="383">
                  <c:v>2.6058664366037637E-10</c:v>
                </c:pt>
                <c:pt idx="384">
                  <c:v>2.5572758464401409E-10</c:v>
                </c:pt>
                <c:pt idx="385">
                  <c:v>2.5069119666595306E-10</c:v>
                </c:pt>
                <c:pt idx="386">
                  <c:v>2.4549790662216777E-10</c:v>
                </c:pt>
                <c:pt idx="387">
                  <c:v>2.4007275391336617E-10</c:v>
                </c:pt>
                <c:pt idx="388">
                  <c:v>2.3457929378746364E-10</c:v>
                </c:pt>
                <c:pt idx="389">
                  <c:v>2.2901176217614562E-10</c:v>
                </c:pt>
                <c:pt idx="390">
                  <c:v>2.2335425977797424E-10</c:v>
                </c:pt>
                <c:pt idx="391">
                  <c:v>2.1014622027813067E-10</c:v>
                </c:pt>
                <c:pt idx="392">
                  <c:v>1.9779565525274176E-10</c:v>
                </c:pt>
                <c:pt idx="393">
                  <c:v>1.8610828743116589E-10</c:v>
                </c:pt>
                <c:pt idx="394">
                  <c:v>1.7516682962110878E-10</c:v>
                </c:pt>
                <c:pt idx="395">
                  <c:v>1.6496077234968083E-10</c:v>
                </c:pt>
                <c:pt idx="396">
                  <c:v>1.55301003714063E-10</c:v>
                </c:pt>
                <c:pt idx="397">
                  <c:v>1.4618063651097357E-10</c:v>
                </c:pt>
                <c:pt idx="398">
                  <c:v>1.3768085957063214E-10</c:v>
                </c:pt>
                <c:pt idx="399">
                  <c:v>1.2961698951721334E-10</c:v>
                </c:pt>
                <c:pt idx="400">
                  <c:v>1.2207073795273921E-10</c:v>
                </c:pt>
              </c:numCache>
            </c:numRef>
          </c:yVal>
          <c:smooth val="0"/>
          <c:extLst>
            <c:ext xmlns:c16="http://schemas.microsoft.com/office/drawing/2014/chart" uri="{C3380CC4-5D6E-409C-BE32-E72D297353CC}">
              <c16:uniqueId val="{00000003-83F2-4DEA-A0E0-E1EF1D6DB5D5}"/>
            </c:ext>
          </c:extLst>
        </c:ser>
        <c:ser>
          <c:idx val="4"/>
          <c:order val="4"/>
          <c:tx>
            <c:strRef>
              <c:f>Calculations!$BD$20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Calculations!$BD$21:$BD$421</c:f>
              <c:numCache>
                <c:formatCode>General</c:formatCode>
                <c:ptCount val="401"/>
                <c:pt idx="0">
                  <c:v>6.3577468389520051E-7</c:v>
                </c:pt>
                <c:pt idx="1">
                  <c:v>7.3076484818523649E-7</c:v>
                </c:pt>
                <c:pt idx="2">
                  <c:v>8.3135691436510252E-7</c:v>
                </c:pt>
                <c:pt idx="3">
                  <c:v>9.4164570418671084E-7</c:v>
                </c:pt>
                <c:pt idx="4">
                  <c:v>1.0658771961252269E-6</c:v>
                </c:pt>
                <c:pt idx="5">
                  <c:v>1.2084345519298789E-6</c:v>
                </c:pt>
                <c:pt idx="6">
                  <c:v>1.375563813860885E-6</c:v>
                </c:pt>
                <c:pt idx="7">
                  <c:v>1.5713494358361432E-6</c:v>
                </c:pt>
                <c:pt idx="8">
                  <c:v>1.797008861451521E-6</c:v>
                </c:pt>
                <c:pt idx="9">
                  <c:v>2.0538119263599089E-6</c:v>
                </c:pt>
                <c:pt idx="10">
                  <c:v>2.3430441397801948E-6</c:v>
                </c:pt>
                <c:pt idx="11">
                  <c:v>2.7920671092155719E-6</c:v>
                </c:pt>
                <c:pt idx="12">
                  <c:v>3.3325810823863362E-6</c:v>
                </c:pt>
                <c:pt idx="13">
                  <c:v>3.9739583114176148E-6</c:v>
                </c:pt>
                <c:pt idx="14">
                  <c:v>4.7256987397217222E-6</c:v>
                </c:pt>
                <c:pt idx="15">
                  <c:v>5.5975082792956478E-6</c:v>
                </c:pt>
                <c:pt idx="16">
                  <c:v>6.6320588953986104E-6</c:v>
                </c:pt>
                <c:pt idx="17">
                  <c:v>7.8789316563731829E-6</c:v>
                </c:pt>
                <c:pt idx="18">
                  <c:v>9.358824956313987E-6</c:v>
                </c:pt>
                <c:pt idx="19">
                  <c:v>1.1092920933563502E-5</c:v>
                </c:pt>
                <c:pt idx="20">
                  <c:v>1.3103215935163796E-5</c:v>
                </c:pt>
                <c:pt idx="21">
                  <c:v>1.5152183461774115E-5</c:v>
                </c:pt>
                <c:pt idx="22">
                  <c:v>1.7608683395869359E-5</c:v>
                </c:pt>
                <c:pt idx="23">
                  <c:v>2.048399312623063E-5</c:v>
                </c:pt>
                <c:pt idx="24">
                  <c:v>2.3789146201084573E-5</c:v>
                </c:pt>
                <c:pt idx="25">
                  <c:v>2.7535523783502465E-5</c:v>
                </c:pt>
                <c:pt idx="26">
                  <c:v>3.2088721908980045E-5</c:v>
                </c:pt>
                <c:pt idx="27">
                  <c:v>3.7673392676834642E-5</c:v>
                </c:pt>
                <c:pt idx="28">
                  <c:v>4.4083212627764731E-5</c:v>
                </c:pt>
                <c:pt idx="29">
                  <c:v>5.1102207953840169E-5</c:v>
                </c:pt>
                <c:pt idx="30">
                  <c:v>5.8505775984905249E-5</c:v>
                </c:pt>
                <c:pt idx="31">
                  <c:v>6.5778398220616766E-5</c:v>
                </c:pt>
                <c:pt idx="32">
                  <c:v>7.3553643520022513E-5</c:v>
                </c:pt>
                <c:pt idx="33">
                  <c:v>8.2022714492953526E-5</c:v>
                </c:pt>
                <c:pt idx="34">
                  <c:v>9.1378535117350989E-5</c:v>
                </c:pt>
                <c:pt idx="35">
                  <c:v>1.0181537170255221E-4</c:v>
                </c:pt>
                <c:pt idx="36">
                  <c:v>1.1448749564092678E-4</c:v>
                </c:pt>
                <c:pt idx="37">
                  <c:v>1.2961918540264198E-4</c:v>
                </c:pt>
                <c:pt idx="38">
                  <c:v>1.4600522773596704E-4</c:v>
                </c:pt>
                <c:pt idx="39">
                  <c:v>1.62427812591422E-4</c:v>
                </c:pt>
                <c:pt idx="40">
                  <c:v>1.7766066389344345E-4</c:v>
                </c:pt>
                <c:pt idx="41">
                  <c:v>1.8949776927424704E-4</c:v>
                </c:pt>
                <c:pt idx="42">
                  <c:v>2.0032631327709837E-4</c:v>
                </c:pt>
                <c:pt idx="43">
                  <c:v>2.1082496976571337E-4</c:v>
                </c:pt>
                <c:pt idx="44">
                  <c:v>2.216550129930206E-4</c:v>
                </c:pt>
                <c:pt idx="45">
                  <c:v>2.3345722947049082E-4</c:v>
                </c:pt>
                <c:pt idx="46">
                  <c:v>2.4671016207160687E-4</c:v>
                </c:pt>
                <c:pt idx="47">
                  <c:v>2.6106857603630848E-4</c:v>
                </c:pt>
                <c:pt idx="48">
                  <c:v>2.7593545163402797E-4</c:v>
                </c:pt>
                <c:pt idx="49">
                  <c:v>2.9073361577979727E-4</c:v>
                </c:pt>
                <c:pt idx="50">
                  <c:v>3.0490082870672421E-4</c:v>
                </c:pt>
                <c:pt idx="51">
                  <c:v>3.2742887969005875E-4</c:v>
                </c:pt>
                <c:pt idx="52">
                  <c:v>3.5036790181781761E-4</c:v>
                </c:pt>
                <c:pt idx="53">
                  <c:v>3.740915524125892E-4</c:v>
                </c:pt>
                <c:pt idx="54">
                  <c:v>3.9900429792014814E-4</c:v>
                </c:pt>
                <c:pt idx="55">
                  <c:v>4.2554126667846049E-4</c:v>
                </c:pt>
                <c:pt idx="56">
                  <c:v>4.5435894237909308E-4</c:v>
                </c:pt>
                <c:pt idx="57">
                  <c:v>4.8533781484615281E-4</c:v>
                </c:pt>
                <c:pt idx="58">
                  <c:v>5.1772959955352106E-4</c:v>
                </c:pt>
                <c:pt idx="59">
                  <c:v>5.5073968375228619E-4</c:v>
                </c:pt>
                <c:pt idx="60">
                  <c:v>5.8349287307946128E-4</c:v>
                </c:pt>
                <c:pt idx="61">
                  <c:v>6.1212564492009978E-4</c:v>
                </c:pt>
                <c:pt idx="62">
                  <c:v>6.4043263691520105E-4</c:v>
                </c:pt>
                <c:pt idx="63">
                  <c:v>6.6891357932240421E-4</c:v>
                </c:pt>
                <c:pt idx="64">
                  <c:v>6.9810987457233332E-4</c:v>
                </c:pt>
                <c:pt idx="65">
                  <c:v>7.2858130914957829E-4</c:v>
                </c:pt>
                <c:pt idx="66">
                  <c:v>7.6066998172098213E-4</c:v>
                </c:pt>
                <c:pt idx="67">
                  <c:v>7.9404369566307069E-4</c:v>
                </c:pt>
                <c:pt idx="68">
                  <c:v>8.2829557819469703E-4</c:v>
                </c:pt>
                <c:pt idx="69">
                  <c:v>8.6300107180061196E-4</c:v>
                </c:pt>
                <c:pt idx="70">
                  <c:v>8.9769166696438264E-4</c:v>
                </c:pt>
                <c:pt idx="71">
                  <c:v>9.2326489427458996E-4</c:v>
                </c:pt>
                <c:pt idx="72">
                  <c:v>9.4848258244521527E-4</c:v>
                </c:pt>
                <c:pt idx="73">
                  <c:v>9.7356511822640341E-4</c:v>
                </c:pt>
                <c:pt idx="74">
                  <c:v>9.9876754266583633E-4</c:v>
                </c:pt>
                <c:pt idx="75">
                  <c:v>1.0243123377298366E-3</c:v>
                </c:pt>
                <c:pt idx="76">
                  <c:v>1.0503061289278838E-3</c:v>
                </c:pt>
                <c:pt idx="77">
                  <c:v>1.0766041659991679E-3</c:v>
                </c:pt>
                <c:pt idx="78">
                  <c:v>1.1030405452269307E-3</c:v>
                </c:pt>
                <c:pt idx="79">
                  <c:v>1.1294904807741069E-3</c:v>
                </c:pt>
                <c:pt idx="80">
                  <c:v>1.1557880278836501E-3</c:v>
                </c:pt>
                <c:pt idx="81">
                  <c:v>1.1782053821373479E-3</c:v>
                </c:pt>
                <c:pt idx="82">
                  <c:v>1.2004404368989778E-3</c:v>
                </c:pt>
                <c:pt idx="83">
                  <c:v>1.222457967020267E-3</c:v>
                </c:pt>
                <c:pt idx="84">
                  <c:v>1.2442247230507123E-3</c:v>
                </c:pt>
                <c:pt idx="85">
                  <c:v>1.2656936954045168E-3</c:v>
                </c:pt>
                <c:pt idx="86">
                  <c:v>1.2873523186024284E-3</c:v>
                </c:pt>
                <c:pt idx="87">
                  <c:v>1.3092116630890292E-3</c:v>
                </c:pt>
                <c:pt idx="88">
                  <c:v>1.3305797812758588E-3</c:v>
                </c:pt>
                <c:pt idx="89">
                  <c:v>1.3507765589222519E-3</c:v>
                </c:pt>
                <c:pt idx="90">
                  <c:v>1.3691256964837282E-3</c:v>
                </c:pt>
                <c:pt idx="91">
                  <c:v>1.3905143640500395E-3</c:v>
                </c:pt>
                <c:pt idx="92">
                  <c:v>1.4108415971758963E-3</c:v>
                </c:pt>
                <c:pt idx="93">
                  <c:v>1.4303018994493162E-3</c:v>
                </c:pt>
                <c:pt idx="94">
                  <c:v>1.4490549506097983E-3</c:v>
                </c:pt>
                <c:pt idx="95">
                  <c:v>1.4672964656405026E-3</c:v>
                </c:pt>
                <c:pt idx="96">
                  <c:v>1.4856250567737398E-3</c:v>
                </c:pt>
                <c:pt idx="97">
                  <c:v>1.5039752059464553E-3</c:v>
                </c:pt>
                <c:pt idx="98">
                  <c:v>1.5215359751705173E-3</c:v>
                </c:pt>
                <c:pt idx="99">
                  <c:v>1.5374621074519307E-3</c:v>
                </c:pt>
                <c:pt idx="100">
                  <c:v>1.5509381068919733E-3</c:v>
                </c:pt>
                <c:pt idx="101">
                  <c:v>1.551595839128317E-3</c:v>
                </c:pt>
                <c:pt idx="102">
                  <c:v>1.5513125949229258E-3</c:v>
                </c:pt>
                <c:pt idx="103">
                  <c:v>1.5498219180007755E-3</c:v>
                </c:pt>
                <c:pt idx="104">
                  <c:v>1.5469048515651036E-3</c:v>
                </c:pt>
                <c:pt idx="105">
                  <c:v>1.5423099680949525E-3</c:v>
                </c:pt>
                <c:pt idx="106">
                  <c:v>1.5367621316792087E-3</c:v>
                </c:pt>
                <c:pt idx="107">
                  <c:v>1.530887041306747E-3</c:v>
                </c:pt>
                <c:pt idx="108">
                  <c:v>1.5243019268169102E-3</c:v>
                </c:pt>
                <c:pt idx="109">
                  <c:v>1.5166751362221634E-3</c:v>
                </c:pt>
                <c:pt idx="110">
                  <c:v>1.5076417331129333E-3</c:v>
                </c:pt>
                <c:pt idx="111">
                  <c:v>1.5077277523518357E-3</c:v>
                </c:pt>
                <c:pt idx="112">
                  <c:v>1.5066845300450566E-3</c:v>
                </c:pt>
                <c:pt idx="113">
                  <c:v>1.5047514363068447E-3</c:v>
                </c:pt>
                <c:pt idx="114">
                  <c:v>1.5022129377390801E-3</c:v>
                </c:pt>
                <c:pt idx="115">
                  <c:v>1.4993386787350107E-3</c:v>
                </c:pt>
                <c:pt idx="116">
                  <c:v>1.4952103845890582E-3</c:v>
                </c:pt>
                <c:pt idx="117">
                  <c:v>1.4890331909872588E-3</c:v>
                </c:pt>
                <c:pt idx="118">
                  <c:v>1.4813491236544199E-3</c:v>
                </c:pt>
                <c:pt idx="119">
                  <c:v>1.4726964444137941E-3</c:v>
                </c:pt>
                <c:pt idx="120">
                  <c:v>1.4635769751644542E-3</c:v>
                </c:pt>
                <c:pt idx="121">
                  <c:v>1.4507479493503157E-3</c:v>
                </c:pt>
                <c:pt idx="122">
                  <c:v>1.436408366584744E-3</c:v>
                </c:pt>
                <c:pt idx="123">
                  <c:v>1.4208685813980719E-3</c:v>
                </c:pt>
                <c:pt idx="124">
                  <c:v>1.404470396931042E-3</c:v>
                </c:pt>
                <c:pt idx="125">
                  <c:v>1.3875189543226542E-3</c:v>
                </c:pt>
                <c:pt idx="126">
                  <c:v>1.3698139926226862E-3</c:v>
                </c:pt>
                <c:pt idx="127">
                  <c:v>1.3510093990167418E-3</c:v>
                </c:pt>
                <c:pt idx="128">
                  <c:v>1.331178666851454E-3</c:v>
                </c:pt>
                <c:pt idx="129">
                  <c:v>1.3104379221997955E-3</c:v>
                </c:pt>
                <c:pt idx="130">
                  <c:v>1.2888625260186308E-3</c:v>
                </c:pt>
                <c:pt idx="131">
                  <c:v>1.2642813625361382E-3</c:v>
                </c:pt>
                <c:pt idx="132">
                  <c:v>1.2382789078329846E-3</c:v>
                </c:pt>
                <c:pt idx="133">
                  <c:v>1.211320392276083E-3</c:v>
                </c:pt>
                <c:pt idx="134">
                  <c:v>1.1839044755146866E-3</c:v>
                </c:pt>
                <c:pt idx="135">
                  <c:v>1.1564871562617085E-3</c:v>
                </c:pt>
                <c:pt idx="136">
                  <c:v>1.1289579826450676E-3</c:v>
                </c:pt>
                <c:pt idx="137">
                  <c:v>1.1009866381077051E-3</c:v>
                </c:pt>
                <c:pt idx="138">
                  <c:v>1.0727037053650632E-3</c:v>
                </c:pt>
                <c:pt idx="139">
                  <c:v>1.0442689917944314E-3</c:v>
                </c:pt>
                <c:pt idx="140">
                  <c:v>1.0158097374338053E-3</c:v>
                </c:pt>
                <c:pt idx="141">
                  <c:v>9.9279243887037574E-4</c:v>
                </c:pt>
                <c:pt idx="142">
                  <c:v>9.6924276671204318E-4</c:v>
                </c:pt>
                <c:pt idx="143">
                  <c:v>9.4532878842154338E-4</c:v>
                </c:pt>
                <c:pt idx="144">
                  <c:v>9.2121898394283575E-4</c:v>
                </c:pt>
                <c:pt idx="145">
                  <c:v>8.9707230968380167E-4</c:v>
                </c:pt>
                <c:pt idx="146">
                  <c:v>8.7283011443079113E-4</c:v>
                </c:pt>
                <c:pt idx="147">
                  <c:v>8.483700776737151E-4</c:v>
                </c:pt>
                <c:pt idx="148">
                  <c:v>8.2380884944892839E-4</c:v>
                </c:pt>
                <c:pt idx="149">
                  <c:v>7.992643495200063E-4</c:v>
                </c:pt>
                <c:pt idx="150">
                  <c:v>7.7485875156924056E-4</c:v>
                </c:pt>
                <c:pt idx="151">
                  <c:v>7.4622257786002963E-4</c:v>
                </c:pt>
                <c:pt idx="152">
                  <c:v>7.1786778860210459E-4</c:v>
                </c:pt>
                <c:pt idx="153">
                  <c:v>6.8990740218197167E-4</c:v>
                </c:pt>
                <c:pt idx="154">
                  <c:v>6.6242784042685858E-4</c:v>
                </c:pt>
                <c:pt idx="155">
                  <c:v>6.3554013758744087E-4</c:v>
                </c:pt>
                <c:pt idx="156">
                  <c:v>6.0915474773114012E-4</c:v>
                </c:pt>
                <c:pt idx="157">
                  <c:v>5.8317965788030684E-4</c:v>
                </c:pt>
                <c:pt idx="158">
                  <c:v>5.5772995923312032E-4</c:v>
                </c:pt>
                <c:pt idx="159">
                  <c:v>5.3289291932108809E-4</c:v>
                </c:pt>
                <c:pt idx="160">
                  <c:v>5.0877722112721287E-4</c:v>
                </c:pt>
                <c:pt idx="161">
                  <c:v>4.8666452558822029E-4</c:v>
                </c:pt>
                <c:pt idx="162">
                  <c:v>4.6497173066947773E-4</c:v>
                </c:pt>
                <c:pt idx="163">
                  <c:v>4.4376778206017315E-4</c:v>
                </c:pt>
                <c:pt idx="164">
                  <c:v>4.231215296795848E-4</c:v>
                </c:pt>
                <c:pt idx="165">
                  <c:v>4.0309883947718141E-4</c:v>
                </c:pt>
                <c:pt idx="166">
                  <c:v>3.8362192025150218E-4</c:v>
                </c:pt>
                <c:pt idx="167">
                  <c:v>3.6460042223731214E-4</c:v>
                </c:pt>
                <c:pt idx="168">
                  <c:v>3.4610843888115356E-4</c:v>
                </c:pt>
                <c:pt idx="169">
                  <c:v>3.2821465616284082E-4</c:v>
                </c:pt>
                <c:pt idx="170">
                  <c:v>3.10989105912076E-4</c:v>
                </c:pt>
                <c:pt idx="171">
                  <c:v>2.9328745891509851E-4</c:v>
                </c:pt>
                <c:pt idx="172">
                  <c:v>2.7617652979741405E-4</c:v>
                </c:pt>
                <c:pt idx="173">
                  <c:v>2.5972377805494692E-4</c:v>
                </c:pt>
                <c:pt idx="174">
                  <c:v>2.4400330287045787E-4</c:v>
                </c:pt>
                <c:pt idx="175">
                  <c:v>2.2908072770655338E-4</c:v>
                </c:pt>
                <c:pt idx="176">
                  <c:v>2.1485891175258346E-4</c:v>
                </c:pt>
                <c:pt idx="177">
                  <c:v>2.0122340481200967E-4</c:v>
                </c:pt>
                <c:pt idx="178">
                  <c:v>1.8821185870295499E-4</c:v>
                </c:pt>
                <c:pt idx="179">
                  <c:v>1.7586634346196988E-4</c:v>
                </c:pt>
                <c:pt idx="180">
                  <c:v>1.642248890819343E-4</c:v>
                </c:pt>
                <c:pt idx="181">
                  <c:v>1.532430071947473E-4</c:v>
                </c:pt>
                <c:pt idx="182">
                  <c:v>1.4275700761280134E-4</c:v>
                </c:pt>
                <c:pt idx="183">
                  <c:v>1.328125306890182E-4</c:v>
                </c:pt>
                <c:pt idx="184">
                  <c:v>1.2345337865510162E-4</c:v>
                </c:pt>
                <c:pt idx="185">
                  <c:v>1.1472399382202827E-4</c:v>
                </c:pt>
                <c:pt idx="186">
                  <c:v>1.065364837817978E-4</c:v>
                </c:pt>
                <c:pt idx="187">
                  <c:v>9.8786629193758007E-5</c:v>
                </c:pt>
                <c:pt idx="188">
                  <c:v>9.1493777004744521E-5</c:v>
                </c:pt>
                <c:pt idx="189">
                  <c:v>8.4676227178529773E-5</c:v>
                </c:pt>
                <c:pt idx="190">
                  <c:v>7.8352627263248502E-5</c:v>
                </c:pt>
                <c:pt idx="191">
                  <c:v>7.268122420988562E-5</c:v>
                </c:pt>
                <c:pt idx="192">
                  <c:v>6.7314585776786926E-5</c:v>
                </c:pt>
                <c:pt idx="193">
                  <c:v>6.2273459264035037E-5</c:v>
                </c:pt>
                <c:pt idx="194">
                  <c:v>5.7578742662312618E-5</c:v>
                </c:pt>
                <c:pt idx="195">
                  <c:v>5.3251214311849546E-5</c:v>
                </c:pt>
                <c:pt idx="196">
                  <c:v>4.9231993149549799E-5</c:v>
                </c:pt>
                <c:pt idx="197">
                  <c:v>4.5455018562379767E-5</c:v>
                </c:pt>
                <c:pt idx="198">
                  <c:v>4.1929142034930209E-5</c:v>
                </c:pt>
                <c:pt idx="199">
                  <c:v>3.8663859603652804E-5</c:v>
                </c:pt>
                <c:pt idx="200">
                  <c:v>3.5668108541057955E-5</c:v>
                </c:pt>
                <c:pt idx="201">
                  <c:v>3.2672372352450117E-5</c:v>
                </c:pt>
                <c:pt idx="202">
                  <c:v>2.9889477659887224E-5</c:v>
                </c:pt>
                <c:pt idx="203">
                  <c:v>2.7320536565537294E-5</c:v>
                </c:pt>
                <c:pt idx="204">
                  <c:v>2.4966513303769726E-5</c:v>
                </c:pt>
                <c:pt idx="205">
                  <c:v>2.2828080060054851E-5</c:v>
                </c:pt>
                <c:pt idx="206">
                  <c:v>2.0871057716056713E-5</c:v>
                </c:pt>
                <c:pt idx="207">
                  <c:v>1.9059687624971887E-5</c:v>
                </c:pt>
                <c:pt idx="208">
                  <c:v>1.7392992265325877E-5</c:v>
                </c:pt>
                <c:pt idx="209">
                  <c:v>1.5869359341264759E-5</c:v>
                </c:pt>
                <c:pt idx="210">
                  <c:v>1.4487583308590113E-5</c:v>
                </c:pt>
                <c:pt idx="211">
                  <c:v>1.335077800728689E-5</c:v>
                </c:pt>
                <c:pt idx="212">
                  <c:v>1.2288921773314927E-5</c:v>
                </c:pt>
                <c:pt idx="213">
                  <c:v>1.130417006739114E-5</c:v>
                </c:pt>
                <c:pt idx="214">
                  <c:v>1.0398682890712678E-5</c:v>
                </c:pt>
                <c:pt idx="215">
                  <c:v>9.5746077424299117E-6</c:v>
                </c:pt>
                <c:pt idx="216">
                  <c:v>8.8179361488608152E-6</c:v>
                </c:pt>
                <c:pt idx="217">
                  <c:v>8.1135603043911392E-6</c:v>
                </c:pt>
                <c:pt idx="218">
                  <c:v>7.4619518237297673E-6</c:v>
                </c:pt>
                <c:pt idx="219">
                  <c:v>6.8635472262365852E-6</c:v>
                </c:pt>
                <c:pt idx="220">
                  <c:v>6.3188301286186428E-6</c:v>
                </c:pt>
                <c:pt idx="221">
                  <c:v>5.8071782860525663E-6</c:v>
                </c:pt>
                <c:pt idx="222">
                  <c:v>5.3320449393125251E-6</c:v>
                </c:pt>
                <c:pt idx="223">
                  <c:v>4.8936551162067163E-6</c:v>
                </c:pt>
                <c:pt idx="224">
                  <c:v>4.4922582449760936E-6</c:v>
                </c:pt>
                <c:pt idx="225">
                  <c:v>4.1280612875687472E-6</c:v>
                </c:pt>
                <c:pt idx="226">
                  <c:v>3.7946559369178835E-6</c:v>
                </c:pt>
                <c:pt idx="227">
                  <c:v>3.4854444079473661E-6</c:v>
                </c:pt>
                <c:pt idx="228">
                  <c:v>3.2003817590890298E-6</c:v>
                </c:pt>
                <c:pt idx="229">
                  <c:v>2.9394479115965713E-6</c:v>
                </c:pt>
                <c:pt idx="230">
                  <c:v>2.7026103496735292E-6</c:v>
                </c:pt>
                <c:pt idx="231">
                  <c:v>2.4815605692710926E-6</c:v>
                </c:pt>
                <c:pt idx="232">
                  <c:v>2.2769251185463202E-6</c:v>
                </c:pt>
                <c:pt idx="233">
                  <c:v>2.0886102706392164E-6</c:v>
                </c:pt>
                <c:pt idx="234">
                  <c:v>1.9164382007100017E-6</c:v>
                </c:pt>
                <c:pt idx="235">
                  <c:v>1.7603025486255093E-6</c:v>
                </c:pt>
                <c:pt idx="236">
                  <c:v>1.617516360209377E-6</c:v>
                </c:pt>
                <c:pt idx="237">
                  <c:v>1.485366642594001E-6</c:v>
                </c:pt>
                <c:pt idx="238">
                  <c:v>1.3636944249062527E-6</c:v>
                </c:pt>
                <c:pt idx="239">
                  <c:v>1.2523226477728497E-6</c:v>
                </c:pt>
                <c:pt idx="240">
                  <c:v>1.151097211674032E-6</c:v>
                </c:pt>
                <c:pt idx="241">
                  <c:v>1.0552389526361869E-6</c:v>
                </c:pt>
                <c:pt idx="242">
                  <c:v>9.6661956277930865E-7</c:v>
                </c:pt>
                <c:pt idx="243">
                  <c:v>8.8516773545731454E-7</c:v>
                </c:pt>
                <c:pt idx="244">
                  <c:v>8.1081522278784735E-7</c:v>
                </c:pt>
                <c:pt idx="245">
                  <c:v>7.4348995152078034E-7</c:v>
                </c:pt>
                <c:pt idx="246">
                  <c:v>6.820342722833355E-7</c:v>
                </c:pt>
                <c:pt idx="247">
                  <c:v>6.2527932702636945E-7</c:v>
                </c:pt>
                <c:pt idx="248">
                  <c:v>5.731341340057736E-7</c:v>
                </c:pt>
                <c:pt idx="249">
                  <c:v>5.255129141223693E-7</c:v>
                </c:pt>
                <c:pt idx="250">
                  <c:v>4.8232573660704776E-7</c:v>
                </c:pt>
                <c:pt idx="251">
                  <c:v>4.4542542990314605E-7</c:v>
                </c:pt>
                <c:pt idx="252">
                  <c:v>4.1112405321608835E-7</c:v>
                </c:pt>
                <c:pt idx="253">
                  <c:v>3.7941034951623564E-7</c:v>
                </c:pt>
                <c:pt idx="254">
                  <c:v>3.5026989483816542E-7</c:v>
                </c:pt>
                <c:pt idx="255">
                  <c:v>3.2369005678992239E-7</c:v>
                </c:pt>
                <c:pt idx="256">
                  <c:v>2.9924595569276493E-7</c:v>
                </c:pt>
                <c:pt idx="257">
                  <c:v>2.7651199307265701E-7</c:v>
                </c:pt>
                <c:pt idx="258">
                  <c:v>2.5547287806775481E-7</c:v>
                </c:pt>
                <c:pt idx="259">
                  <c:v>2.3611427417057103E-7</c:v>
                </c:pt>
                <c:pt idx="260">
                  <c:v>2.1841956009065752E-7</c:v>
                </c:pt>
                <c:pt idx="261">
                  <c:v>2.0112467709173678E-7</c:v>
                </c:pt>
                <c:pt idx="262">
                  <c:v>1.8509663287910439E-7</c:v>
                </c:pt>
                <c:pt idx="263">
                  <c:v>1.703164005308051E-7</c:v>
                </c:pt>
                <c:pt idx="264">
                  <c:v>1.5676755747895385E-7</c:v>
                </c:pt>
                <c:pt idx="265">
                  <c:v>1.4443339474377884E-7</c:v>
                </c:pt>
                <c:pt idx="266">
                  <c:v>1.3311936215057692E-7</c:v>
                </c:pt>
                <c:pt idx="267">
                  <c:v>1.2263307630638483E-7</c:v>
                </c:pt>
                <c:pt idx="268">
                  <c:v>1.1296155739699555E-7</c:v>
                </c:pt>
                <c:pt idx="269">
                  <c:v>1.0408760434436312E-7</c:v>
                </c:pt>
                <c:pt idx="270">
                  <c:v>9.5996147026864046E-8</c:v>
                </c:pt>
                <c:pt idx="271">
                  <c:v>8.8993121374820732E-8</c:v>
                </c:pt>
                <c:pt idx="272">
                  <c:v>8.2466474341781875E-8</c:v>
                </c:pt>
                <c:pt idx="273">
                  <c:v>7.6412564809812285E-8</c:v>
                </c:pt>
                <c:pt idx="274">
                  <c:v>7.0828152244119024E-8</c:v>
                </c:pt>
                <c:pt idx="275">
                  <c:v>6.5709580732588178E-8</c:v>
                </c:pt>
                <c:pt idx="276">
                  <c:v>6.0982451415913391E-8</c:v>
                </c:pt>
                <c:pt idx="277">
                  <c:v>5.657318382524664E-8</c:v>
                </c:pt>
                <c:pt idx="278">
                  <c:v>5.2479382647484914E-8</c:v>
                </c:pt>
                <c:pt idx="279">
                  <c:v>4.8698740149666713E-8</c:v>
                </c:pt>
                <c:pt idx="280">
                  <c:v>4.5228739886241216E-8</c:v>
                </c:pt>
                <c:pt idx="281">
                  <c:v>4.2118664153027884E-8</c:v>
                </c:pt>
                <c:pt idx="282">
                  <c:v>3.920775476402811E-8</c:v>
                </c:pt>
                <c:pt idx="283">
                  <c:v>3.6495920751128931E-8</c:v>
                </c:pt>
                <c:pt idx="284">
                  <c:v>3.3982914188175019E-8</c:v>
                </c:pt>
                <c:pt idx="285">
                  <c:v>3.1668610996186627E-8</c:v>
                </c:pt>
                <c:pt idx="286">
                  <c:v>2.9522010123092202E-8</c:v>
                </c:pt>
                <c:pt idx="287">
                  <c:v>2.7511666941412698E-8</c:v>
                </c:pt>
                <c:pt idx="288">
                  <c:v>2.5636916113115496E-8</c:v>
                </c:pt>
                <c:pt idx="289">
                  <c:v>2.3896977859559491E-8</c:v>
                </c:pt>
                <c:pt idx="290">
                  <c:v>2.2291152627831031E-8</c:v>
                </c:pt>
                <c:pt idx="291">
                  <c:v>2.0645391849152842E-8</c:v>
                </c:pt>
                <c:pt idx="292">
                  <c:v>1.9113211292708893E-8</c:v>
                </c:pt>
                <c:pt idx="293">
                  <c:v>1.7692888389939971E-8</c:v>
                </c:pt>
                <c:pt idx="294">
                  <c:v>1.6382799071472843E-8</c:v>
                </c:pt>
                <c:pt idx="295">
                  <c:v>1.5181236167308321E-8</c:v>
                </c:pt>
                <c:pt idx="296">
                  <c:v>1.4072282946079009E-8</c:v>
                </c:pt>
                <c:pt idx="297">
                  <c:v>1.3039866729141201E-8</c:v>
                </c:pt>
                <c:pt idx="298">
                  <c:v>1.2082627088021837E-8</c:v>
                </c:pt>
                <c:pt idx="299">
                  <c:v>1.1198948961289162E-8</c:v>
                </c:pt>
                <c:pt idx="300">
                  <c:v>1.0387245216716203E-8</c:v>
                </c:pt>
                <c:pt idx="301">
                  <c:v>9.5805476914774039E-9</c:v>
                </c:pt>
                <c:pt idx="302">
                  <c:v>8.8328274122522224E-9</c:v>
                </c:pt>
                <c:pt idx="303">
                  <c:v>8.1422843503041161E-9</c:v>
                </c:pt>
                <c:pt idx="304">
                  <c:v>7.5070921748657633E-9</c:v>
                </c:pt>
                <c:pt idx="305">
                  <c:v>6.9254826541962583E-9</c:v>
                </c:pt>
                <c:pt idx="306">
                  <c:v>6.3900359503102634E-9</c:v>
                </c:pt>
                <c:pt idx="307">
                  <c:v>5.8936264516538125E-9</c:v>
                </c:pt>
                <c:pt idx="308">
                  <c:v>5.4349182742987051E-9</c:v>
                </c:pt>
                <c:pt idx="309">
                  <c:v>5.0126116485373174E-9</c:v>
                </c:pt>
                <c:pt idx="310">
                  <c:v>4.6253925357906495E-9</c:v>
                </c:pt>
                <c:pt idx="311">
                  <c:v>4.3332106478322201E-9</c:v>
                </c:pt>
                <c:pt idx="312">
                  <c:v>4.0582157459290025E-9</c:v>
                </c:pt>
                <c:pt idx="313">
                  <c:v>3.8004864206258996E-9</c:v>
                </c:pt>
                <c:pt idx="314">
                  <c:v>3.5601268716354429E-9</c:v>
                </c:pt>
                <c:pt idx="315">
                  <c:v>3.3372041298444148E-9</c:v>
                </c:pt>
                <c:pt idx="316">
                  <c:v>3.1291395215958297E-9</c:v>
                </c:pt>
                <c:pt idx="317">
                  <c:v>2.9333154406028826E-9</c:v>
                </c:pt>
                <c:pt idx="318">
                  <c:v>2.7496966614401865E-9</c:v>
                </c:pt>
                <c:pt idx="319">
                  <c:v>2.5783078032373025E-9</c:v>
                </c:pt>
                <c:pt idx="320">
                  <c:v>2.4191406002002776E-9</c:v>
                </c:pt>
                <c:pt idx="321">
                  <c:v>2.2730833606409875E-9</c:v>
                </c:pt>
                <c:pt idx="322">
                  <c:v>2.1353300007407451E-9</c:v>
                </c:pt>
                <c:pt idx="323">
                  <c:v>2.0058882473522154E-9</c:v>
                </c:pt>
                <c:pt idx="324">
                  <c:v>1.8848046036667127E-9</c:v>
                </c:pt>
                <c:pt idx="325">
                  <c:v>1.7720918984322196E-9</c:v>
                </c:pt>
                <c:pt idx="326">
                  <c:v>1.6665409230458201E-9</c:v>
                </c:pt>
                <c:pt idx="327">
                  <c:v>1.5669151272326989E-9</c:v>
                </c:pt>
                <c:pt idx="328">
                  <c:v>1.4732287825383603E-9</c:v>
                </c:pt>
                <c:pt idx="329">
                  <c:v>1.385505512900011E-9</c:v>
                </c:pt>
                <c:pt idx="330">
                  <c:v>1.303757881467629E-9</c:v>
                </c:pt>
                <c:pt idx="331">
                  <c:v>1.2016547767018047E-9</c:v>
                </c:pt>
                <c:pt idx="332">
                  <c:v>1.1069795308590947E-9</c:v>
                </c:pt>
                <c:pt idx="333">
                  <c:v>1.0194456549464763E-9</c:v>
                </c:pt>
                <c:pt idx="334">
                  <c:v>9.3877428297586714E-10</c:v>
                </c:pt>
                <c:pt idx="335">
                  <c:v>8.6469655605571519E-10</c:v>
                </c:pt>
                <c:pt idx="336">
                  <c:v>7.9638453533465363E-10</c:v>
                </c:pt>
                <c:pt idx="337">
                  <c:v>7.330623173890397E-10</c:v>
                </c:pt>
                <c:pt idx="338">
                  <c:v>6.7452798832323675E-10</c:v>
                </c:pt>
                <c:pt idx="339">
                  <c:v>6.2058088209776181E-10</c:v>
                </c:pt>
                <c:pt idx="340">
                  <c:v>5.7102422950531744E-10</c:v>
                </c:pt>
                <c:pt idx="341">
                  <c:v>5.4362644149182269E-10</c:v>
                </c:pt>
                <c:pt idx="342">
                  <c:v>5.1735005347607039E-10</c:v>
                </c:pt>
                <c:pt idx="343">
                  <c:v>4.9226583178422334E-10</c:v>
                </c:pt>
                <c:pt idx="344">
                  <c:v>4.6843617107507774E-10</c:v>
                </c:pt>
                <c:pt idx="345">
                  <c:v>4.4593027332763272E-10</c:v>
                </c:pt>
                <c:pt idx="346">
                  <c:v>4.2453961136126201E-10</c:v>
                </c:pt>
                <c:pt idx="347">
                  <c:v>4.0404248536382633E-10</c:v>
                </c:pt>
                <c:pt idx="348">
                  <c:v>3.8448651765456762E-10</c:v>
                </c:pt>
                <c:pt idx="349">
                  <c:v>3.659115931642649E-10</c:v>
                </c:pt>
                <c:pt idx="350">
                  <c:v>3.4836391674267438E-10</c:v>
                </c:pt>
                <c:pt idx="351">
                  <c:v>3.302385473906161E-10</c:v>
                </c:pt>
                <c:pt idx="352">
                  <c:v>3.1298678807183454E-10</c:v>
                </c:pt>
                <c:pt idx="353">
                  <c:v>2.9662575336524807E-10</c:v>
                </c:pt>
                <c:pt idx="354">
                  <c:v>2.8117309854241096E-10</c:v>
                </c:pt>
                <c:pt idx="355">
                  <c:v>2.6664555978718072E-10</c:v>
                </c:pt>
                <c:pt idx="356">
                  <c:v>2.5291317615833915E-10</c:v>
                </c:pt>
                <c:pt idx="357">
                  <c:v>2.398394211469804E-10</c:v>
                </c:pt>
                <c:pt idx="358">
                  <c:v>2.2743616790526774E-10</c:v>
                </c:pt>
                <c:pt idx="359">
                  <c:v>2.1571435743599338E-10</c:v>
                </c:pt>
                <c:pt idx="360">
                  <c:v>2.0468346915068978E-10</c:v>
                </c:pt>
                <c:pt idx="361">
                  <c:v>1.8995963580343943E-10</c:v>
                </c:pt>
                <c:pt idx="362">
                  <c:v>1.7622524454659719E-10</c:v>
                </c:pt>
                <c:pt idx="363">
                  <c:v>1.6344701037896091E-10</c:v>
                </c:pt>
                <c:pt idx="364">
                  <c:v>1.5159114802902102E-10</c:v>
                </c:pt>
                <c:pt idx="365">
                  <c:v>1.4062418114973412E-10</c:v>
                </c:pt>
                <c:pt idx="366">
                  <c:v>1.3044359142507274E-10</c:v>
                </c:pt>
                <c:pt idx="367">
                  <c:v>1.209493394804983E-10</c:v>
                </c:pt>
                <c:pt idx="368">
                  <c:v>1.1211699570889561E-10</c:v>
                </c:pt>
                <c:pt idx="369">
                  <c:v>1.0392036701221302E-10</c:v>
                </c:pt>
                <c:pt idx="370">
                  <c:v>9.6334069376327598E-11</c:v>
                </c:pt>
                <c:pt idx="371">
                  <c:v>8.8476936851839761E-11</c:v>
                </c:pt>
                <c:pt idx="372">
                  <c:v>8.1185502089082616E-11</c:v>
                </c:pt>
                <c:pt idx="373">
                  <c:v>7.4435954686613527E-11</c:v>
                </c:pt>
                <c:pt idx="374">
                  <c:v>6.8203541221821784E-11</c:v>
                </c:pt>
                <c:pt idx="375">
                  <c:v>6.246341689413502E-11</c:v>
                </c:pt>
                <c:pt idx="376">
                  <c:v>5.7162216256380863E-11</c:v>
                </c:pt>
                <c:pt idx="377">
                  <c:v>5.2250254833432539E-11</c:v>
                </c:pt>
                <c:pt idx="378">
                  <c:v>4.770924816815126E-11</c:v>
                </c:pt>
                <c:pt idx="379">
                  <c:v>4.3520600983486089E-11</c:v>
                </c:pt>
                <c:pt idx="380">
                  <c:v>3.9666337112177875E-11</c:v>
                </c:pt>
                <c:pt idx="381">
                  <c:v>3.9145541633548972E-11</c:v>
                </c:pt>
                <c:pt idx="382">
                  <c:v>3.8559217310822971E-11</c:v>
                </c:pt>
                <c:pt idx="383">
                  <c:v>3.7921325396936756E-11</c:v>
                </c:pt>
                <c:pt idx="384">
                  <c:v>3.7245717033123966E-11</c:v>
                </c:pt>
                <c:pt idx="385">
                  <c:v>3.6546007379791682E-11</c:v>
                </c:pt>
                <c:pt idx="386">
                  <c:v>3.5819615450755502E-11</c:v>
                </c:pt>
                <c:pt idx="387">
                  <c:v>3.5061721757346753E-11</c:v>
                </c:pt>
                <c:pt idx="388">
                  <c:v>3.4282473122898227E-11</c:v>
                </c:pt>
                <c:pt idx="389">
                  <c:v>3.3491893360445418E-11</c:v>
                </c:pt>
                <c:pt idx="390">
                  <c:v>3.2699878184950071E-11</c:v>
                </c:pt>
                <c:pt idx="391">
                  <c:v>3.0799129499667433E-11</c:v>
                </c:pt>
                <c:pt idx="392">
                  <c:v>2.9005143331643374E-11</c:v>
                </c:pt>
                <c:pt idx="393">
                  <c:v>2.7315811480200587E-11</c:v>
                </c:pt>
                <c:pt idx="394">
                  <c:v>2.5729396088787517E-11</c:v>
                </c:pt>
                <c:pt idx="395">
                  <c:v>2.4243822028382316E-11</c:v>
                </c:pt>
                <c:pt idx="396">
                  <c:v>2.2860020650689345E-11</c:v>
                </c:pt>
                <c:pt idx="397">
                  <c:v>2.1566552270599432E-11</c:v>
                </c:pt>
                <c:pt idx="398">
                  <c:v>2.0342946192922664E-11</c:v>
                </c:pt>
                <c:pt idx="399">
                  <c:v>1.9169275551181612E-11</c:v>
                </c:pt>
                <c:pt idx="400">
                  <c:v>1.8025896065254208E-11</c:v>
                </c:pt>
              </c:numCache>
            </c:numRef>
          </c:yVal>
          <c:smooth val="0"/>
          <c:extLst>
            <c:ext xmlns:c16="http://schemas.microsoft.com/office/drawing/2014/chart" uri="{C3380CC4-5D6E-409C-BE32-E72D297353CC}">
              <c16:uniqueId val="{00000004-83F2-4DEA-A0E0-E1EF1D6DB5D5}"/>
            </c:ext>
          </c:extLst>
        </c:ser>
        <c:dLbls>
          <c:showLegendKey val="0"/>
          <c:showVal val="0"/>
          <c:showCatName val="0"/>
          <c:showSerName val="0"/>
          <c:showPercent val="0"/>
          <c:showBubbleSize val="0"/>
        </c:dLbls>
        <c:axId val="360459648"/>
        <c:axId val="362371600"/>
      </c:scatterChart>
      <c:valAx>
        <c:axId val="360459648"/>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1600"/>
        <c:crosses val="autoZero"/>
        <c:crossBetween val="midCat"/>
      </c:valAx>
      <c:valAx>
        <c:axId val="36237160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9648"/>
        <c:crosses val="autoZero"/>
        <c:crossBetween val="midCat"/>
      </c:valAx>
      <c:spPr>
        <a:noFill/>
        <a:ln>
          <a:noFill/>
        </a:ln>
        <a:effectLst/>
      </c:spPr>
    </c:plotArea>
    <c:legend>
      <c:legendPos val="r"/>
      <c:layout>
        <c:manualLayout>
          <c:xMode val="edge"/>
          <c:yMode val="edge"/>
          <c:x val="0.80073600174978121"/>
          <c:y val="0.29100539515893853"/>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7319-45E8-B886-6A325F1A8498}"/>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7319-45E8-B886-6A325F1A8498}"/>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7319-45E8-B886-6A325F1A8498}"/>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7319-45E8-B886-6A325F1A8498}"/>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7319-45E8-B886-6A325F1A8498}"/>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Calculations!$AY$15</c:f>
          <c:strCache>
            <c:ptCount val="1"/>
            <c:pt idx="0">
              <c:v>α-opic weighted spectra for Enter a title for your data, Test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Calculations!$Z$20</c:f>
              <c:strCache>
                <c:ptCount val="1"/>
                <c:pt idx="0">
                  <c:v>sc</c:v>
                </c:pt>
              </c:strCache>
            </c:strRef>
          </c:tx>
          <c:spPr>
            <a:ln w="19050" cap="rnd">
              <a:solidFill>
                <a:schemeClr val="accent5">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Calculations!$Z$21:$Z$421</c:f>
              <c:numCache>
                <c:formatCode>General</c:formatCode>
                <c:ptCount val="401"/>
                <c:pt idx="0">
                  <c:v>0</c:v>
                </c:pt>
                <c:pt idx="1">
                  <c:v>0</c:v>
                </c:pt>
                <c:pt idx="2">
                  <c:v>0</c:v>
                </c:pt>
                <c:pt idx="3">
                  <c:v>0</c:v>
                </c:pt>
                <c:pt idx="4">
                  <c:v>0</c:v>
                </c:pt>
                <c:pt idx="5">
                  <c:v>0</c:v>
                </c:pt>
                <c:pt idx="6">
                  <c:v>0</c:v>
                </c:pt>
                <c:pt idx="7">
                  <c:v>0</c:v>
                </c:pt>
                <c:pt idx="8">
                  <c:v>0</c:v>
                </c:pt>
                <c:pt idx="9">
                  <c:v>0</c:v>
                </c:pt>
                <c:pt idx="10">
                  <c:v>7.4626012195533088E-6</c:v>
                </c:pt>
                <c:pt idx="11">
                  <c:v>8.9305001341085093E-6</c:v>
                </c:pt>
                <c:pt idx="12">
                  <c:v>1.0368103215673142E-5</c:v>
                </c:pt>
                <c:pt idx="13">
                  <c:v>1.2007543863472999E-5</c:v>
                </c:pt>
                <c:pt idx="14">
                  <c:v>1.4326371097091886E-5</c:v>
                </c:pt>
                <c:pt idx="15">
                  <c:v>1.786395998324326E-5</c:v>
                </c:pt>
                <c:pt idx="16">
                  <c:v>2.3271746298966613E-5</c:v>
                </c:pt>
                <c:pt idx="17">
                  <c:v>3.124085200015087E-5</c:v>
                </c:pt>
                <c:pt idx="18">
                  <c:v>4.1658488946509352E-5</c:v>
                </c:pt>
                <c:pt idx="19">
                  <c:v>5.4830655675223644E-5</c:v>
                </c:pt>
                <c:pt idx="20">
                  <c:v>7.1130437264102346E-5</c:v>
                </c:pt>
                <c:pt idx="21">
                  <c:v>8.967895583518256E-5</c:v>
                </c:pt>
                <c:pt idx="22">
                  <c:v>1.0860688287522948E-4</c:v>
                </c:pt>
                <c:pt idx="23">
                  <c:v>1.2695028619566373E-4</c:v>
                </c:pt>
                <c:pt idx="24">
                  <c:v>1.4808041969806447E-4</c:v>
                </c:pt>
                <c:pt idx="25">
                  <c:v>1.6873480950705666E-4</c:v>
                </c:pt>
                <c:pt idx="26">
                  <c:v>1.9168746352956278E-4</c:v>
                </c:pt>
                <c:pt idx="27">
                  <c:v>2.2128101413877897E-4</c:v>
                </c:pt>
                <c:pt idx="28">
                  <c:v>2.5742727382576703E-4</c:v>
                </c:pt>
                <c:pt idx="29">
                  <c:v>2.9840534328591051E-4</c:v>
                </c:pt>
                <c:pt idx="30">
                  <c:v>3.4185203505677456E-4</c:v>
                </c:pt>
                <c:pt idx="31">
                  <c:v>3.8904653597290629E-4</c:v>
                </c:pt>
                <c:pt idx="32">
                  <c:v>4.4001053894561769E-4</c:v>
                </c:pt>
                <c:pt idx="33">
                  <c:v>4.9482020664165039E-4</c:v>
                </c:pt>
                <c:pt idx="34">
                  <c:v>5.5079836183082368E-4</c:v>
                </c:pt>
                <c:pt idx="35">
                  <c:v>6.102935333869566E-4</c:v>
                </c:pt>
                <c:pt idx="36">
                  <c:v>6.7165133060170139E-4</c:v>
                </c:pt>
                <c:pt idx="37">
                  <c:v>7.1921351111610269E-4</c:v>
                </c:pt>
                <c:pt idx="38">
                  <c:v>7.6576818863710453E-4</c:v>
                </c:pt>
                <c:pt idx="39">
                  <c:v>8.252817084265934E-4</c:v>
                </c:pt>
                <c:pt idx="40">
                  <c:v>8.8828311238800821E-4</c:v>
                </c:pt>
                <c:pt idx="41">
                  <c:v>9.4715424402931224E-4</c:v>
                </c:pt>
                <c:pt idx="42">
                  <c:v>1.0014600652377944E-3</c:v>
                </c:pt>
                <c:pt idx="43">
                  <c:v>1.0485831380313239E-3</c:v>
                </c:pt>
                <c:pt idx="44">
                  <c:v>1.0914210334196466E-3</c:v>
                </c:pt>
                <c:pt idx="45">
                  <c:v>1.1336910434863482E-3</c:v>
                </c:pt>
                <c:pt idx="46">
                  <c:v>1.1667178385284332E-3</c:v>
                </c:pt>
                <c:pt idx="47">
                  <c:v>1.19186402234872E-3</c:v>
                </c:pt>
                <c:pt idx="48">
                  <c:v>1.2035899933232109E-3</c:v>
                </c:pt>
                <c:pt idx="49">
                  <c:v>1.1993806836131451E-3</c:v>
                </c:pt>
                <c:pt idx="50">
                  <c:v>1.2071153488872389E-3</c:v>
                </c:pt>
                <c:pt idx="51">
                  <c:v>1.263279946124988E-3</c:v>
                </c:pt>
                <c:pt idx="52">
                  <c:v>1.3574165122628124E-3</c:v>
                </c:pt>
                <c:pt idx="53">
                  <c:v>1.4605716050591856E-3</c:v>
                </c:pt>
                <c:pt idx="54">
                  <c:v>1.5531178593188898E-3</c:v>
                </c:pt>
                <c:pt idx="55">
                  <c:v>1.6267134532274043E-3</c:v>
                </c:pt>
                <c:pt idx="56">
                  <c:v>1.6718908983540967E-3</c:v>
                </c:pt>
                <c:pt idx="57">
                  <c:v>1.7079758289461108E-3</c:v>
                </c:pt>
                <c:pt idx="58">
                  <c:v>1.7557077131207276E-3</c:v>
                </c:pt>
                <c:pt idx="59">
                  <c:v>1.8090400180634293E-3</c:v>
                </c:pt>
                <c:pt idx="60">
                  <c:v>1.8757217976628925E-3</c:v>
                </c:pt>
                <c:pt idx="61">
                  <c:v>1.9544918133564387E-3</c:v>
                </c:pt>
                <c:pt idx="62">
                  <c:v>2.012143522408855E-3</c:v>
                </c:pt>
                <c:pt idx="63">
                  <c:v>2.0304404207069802E-3</c:v>
                </c:pt>
                <c:pt idx="64">
                  <c:v>2.016187658022567E-3</c:v>
                </c:pt>
                <c:pt idx="65">
                  <c:v>2.016277944329418E-3</c:v>
                </c:pt>
                <c:pt idx="66">
                  <c:v>2.0324052315267805E-3</c:v>
                </c:pt>
                <c:pt idx="67">
                  <c:v>2.0528254353841748E-3</c:v>
                </c:pt>
                <c:pt idx="68">
                  <c:v>2.08475340122613E-3</c:v>
                </c:pt>
                <c:pt idx="69">
                  <c:v>2.1102368775704886E-3</c:v>
                </c:pt>
                <c:pt idx="70">
                  <c:v>2.1261959859608056E-3</c:v>
                </c:pt>
                <c:pt idx="71">
                  <c:v>2.1207532100140257E-3</c:v>
                </c:pt>
                <c:pt idx="72">
                  <c:v>2.0721962302830532E-3</c:v>
                </c:pt>
                <c:pt idx="73">
                  <c:v>2.0044217658918527E-3</c:v>
                </c:pt>
                <c:pt idx="74">
                  <c:v>1.9445765680377203E-3</c:v>
                </c:pt>
                <c:pt idx="75">
                  <c:v>1.9084934172743366E-3</c:v>
                </c:pt>
                <c:pt idx="76">
                  <c:v>1.8745734982259594E-3</c:v>
                </c:pt>
                <c:pt idx="77">
                  <c:v>1.8427341688497182E-3</c:v>
                </c:pt>
                <c:pt idx="78">
                  <c:v>1.8038720956526034E-3</c:v>
                </c:pt>
                <c:pt idx="79">
                  <c:v>1.7621461332027312E-3</c:v>
                </c:pt>
                <c:pt idx="80">
                  <c:v>1.7255398278108606E-3</c:v>
                </c:pt>
                <c:pt idx="81">
                  <c:v>1.6972812786621276E-3</c:v>
                </c:pt>
                <c:pt idx="82">
                  <c:v>1.6560213413413991E-3</c:v>
                </c:pt>
                <c:pt idx="83">
                  <c:v>1.6169056825605648E-3</c:v>
                </c:pt>
                <c:pt idx="84">
                  <c:v>1.5635583140682532E-3</c:v>
                </c:pt>
                <c:pt idx="85">
                  <c:v>1.510792684563677E-3</c:v>
                </c:pt>
                <c:pt idx="86">
                  <c:v>1.4507622145483146E-3</c:v>
                </c:pt>
                <c:pt idx="87">
                  <c:v>1.3878879483455466E-3</c:v>
                </c:pt>
                <c:pt idx="88">
                  <c:v>1.3296519755484914E-3</c:v>
                </c:pt>
                <c:pt idx="89">
                  <c:v>1.2760331381943336E-3</c:v>
                </c:pt>
                <c:pt idx="90">
                  <c:v>1.2146904845215085E-3</c:v>
                </c:pt>
                <c:pt idx="91">
                  <c:v>1.1500226210137791E-3</c:v>
                </c:pt>
                <c:pt idx="92">
                  <c:v>1.0886329068721325E-3</c:v>
                </c:pt>
                <c:pt idx="93">
                  <c:v>1.0359291664086177E-3</c:v>
                </c:pt>
                <c:pt idx="94">
                  <c:v>9.8366858827558085E-4</c:v>
                </c:pt>
                <c:pt idx="95">
                  <c:v>9.3228035614942837E-4</c:v>
                </c:pt>
                <c:pt idx="96">
                  <c:v>8.7548220491290242E-4</c:v>
                </c:pt>
                <c:pt idx="97">
                  <c:v>8.2533477331728385E-4</c:v>
                </c:pt>
                <c:pt idx="98">
                  <c:v>7.7748217076593028E-4</c:v>
                </c:pt>
                <c:pt idx="99">
                  <c:v>7.3405064753457358E-4</c:v>
                </c:pt>
                <c:pt idx="100">
                  <c:v>6.9139672943214537E-4</c:v>
                </c:pt>
                <c:pt idx="101">
                  <c:v>6.4654958750247761E-4</c:v>
                </c:pt>
                <c:pt idx="102">
                  <c:v>6.0612643961216873E-4</c:v>
                </c:pt>
                <c:pt idx="103">
                  <c:v>5.6347217154343611E-4</c:v>
                </c:pt>
                <c:pt idx="104">
                  <c:v>5.1620904723465174E-4</c:v>
                </c:pt>
                <c:pt idx="105">
                  <c:v>4.6912688550203573E-4</c:v>
                </c:pt>
                <c:pt idx="106">
                  <c:v>4.2978906811156617E-4</c:v>
                </c:pt>
                <c:pt idx="107">
                  <c:v>3.9974107125833382E-4</c:v>
                </c:pt>
                <c:pt idx="108">
                  <c:v>3.7577746857419305E-4</c:v>
                </c:pt>
                <c:pt idx="109">
                  <c:v>3.5629369455341813E-4</c:v>
                </c:pt>
                <c:pt idx="110">
                  <c:v>3.3720807219693509E-4</c:v>
                </c:pt>
                <c:pt idx="111">
                  <c:v>3.1793371801234289E-4</c:v>
                </c:pt>
                <c:pt idx="112">
                  <c:v>2.9771825944121432E-4</c:v>
                </c:pt>
                <c:pt idx="113">
                  <c:v>2.789991567946827E-4</c:v>
                </c:pt>
                <c:pt idx="114">
                  <c:v>2.6293163384297056E-4</c:v>
                </c:pt>
                <c:pt idx="115">
                  <c:v>2.4699179359743425E-4</c:v>
                </c:pt>
                <c:pt idx="116">
                  <c:v>2.3177275894972128E-4</c:v>
                </c:pt>
                <c:pt idx="117">
                  <c:v>2.1540003038448237E-4</c:v>
                </c:pt>
                <c:pt idx="118">
                  <c:v>1.9926688375129377E-4</c:v>
                </c:pt>
                <c:pt idx="119">
                  <c:v>1.8342584899235184E-4</c:v>
                </c:pt>
                <c:pt idx="120">
                  <c:v>1.6793009598823933E-4</c:v>
                </c:pt>
                <c:pt idx="121">
                  <c:v>1.5374309597191685E-4</c:v>
                </c:pt>
                <c:pt idx="122">
                  <c:v>1.4115922959918468E-4</c:v>
                </c:pt>
                <c:pt idx="123">
                  <c:v>1.299750184617947E-4</c:v>
                </c:pt>
                <c:pt idx="124">
                  <c:v>1.1964926766825324E-4</c:v>
                </c:pt>
                <c:pt idx="125">
                  <c:v>1.1009897221062962E-4</c:v>
                </c:pt>
                <c:pt idx="126">
                  <c:v>1.0097860735748987E-4</c:v>
                </c:pt>
                <c:pt idx="127">
                  <c:v>9.2144047985803676E-5</c:v>
                </c:pt>
                <c:pt idx="128">
                  <c:v>8.3772563527328869E-5</c:v>
                </c:pt>
                <c:pt idx="129">
                  <c:v>7.6435953926775728E-5</c:v>
                </c:pt>
                <c:pt idx="130">
                  <c:v>6.9678244087333319E-5</c:v>
                </c:pt>
                <c:pt idx="131">
                  <c:v>6.3710792658506674E-5</c:v>
                </c:pt>
                <c:pt idx="132">
                  <c:v>5.8048119884317158E-5</c:v>
                </c:pt>
                <c:pt idx="133">
                  <c:v>5.2639702129391258E-5</c:v>
                </c:pt>
                <c:pt idx="134">
                  <c:v>4.7596896171832987E-5</c:v>
                </c:pt>
                <c:pt idx="135">
                  <c:v>4.2861273137418358E-5</c:v>
                </c:pt>
                <c:pt idx="136">
                  <c:v>3.8400206667549873E-5</c:v>
                </c:pt>
                <c:pt idx="137">
                  <c:v>3.4679707392775729E-5</c:v>
                </c:pt>
                <c:pt idx="138">
                  <c:v>3.170030376221409E-5</c:v>
                </c:pt>
                <c:pt idx="139">
                  <c:v>2.934229230141642E-5</c:v>
                </c:pt>
                <c:pt idx="140">
                  <c:v>2.7235418660019595E-5</c:v>
                </c:pt>
                <c:pt idx="141">
                  <c:v>2.5191730434866597E-5</c:v>
                </c:pt>
                <c:pt idx="142">
                  <c:v>2.3219791301411121E-5</c:v>
                </c:pt>
                <c:pt idx="143">
                  <c:v>2.1324549283236623E-5</c:v>
                </c:pt>
                <c:pt idx="144">
                  <c:v>1.944791547338613E-5</c:v>
                </c:pt>
                <c:pt idx="145">
                  <c:v>1.7608990532768002E-5</c:v>
                </c:pt>
                <c:pt idx="146">
                  <c:v>1.5927764408248415E-5</c:v>
                </c:pt>
                <c:pt idx="147">
                  <c:v>1.4490417002066299E-5</c:v>
                </c:pt>
                <c:pt idx="148">
                  <c:v>1.3220679807672173E-5</c:v>
                </c:pt>
                <c:pt idx="149">
                  <c:v>1.2100632300529075E-5</c:v>
                </c:pt>
                <c:pt idx="150">
                  <c:v>1.1113809415962351E-5</c:v>
                </c:pt>
                <c:pt idx="151">
                  <c:v>1.0113337845548168E-5</c:v>
                </c:pt>
                <c:pt idx="152">
                  <c:v>9.1451075708072148E-6</c:v>
                </c:pt>
                <c:pt idx="153">
                  <c:v>8.2952700967123919E-6</c:v>
                </c:pt>
                <c:pt idx="154">
                  <c:v>7.5707710545093207E-6</c:v>
                </c:pt>
                <c:pt idx="155">
                  <c:v>6.9272097692805895E-6</c:v>
                </c:pt>
                <c:pt idx="156">
                  <c:v>6.311489303421384E-6</c:v>
                </c:pt>
                <c:pt idx="157">
                  <c:v>5.7267174077044619E-6</c:v>
                </c:pt>
                <c:pt idx="158">
                  <c:v>5.1583874788862117E-6</c:v>
                </c:pt>
                <c:pt idx="159">
                  <c:v>4.6282399737045511E-6</c:v>
                </c:pt>
                <c:pt idx="160">
                  <c:v>4.1507071525611589E-6</c:v>
                </c:pt>
                <c:pt idx="161">
                  <c:v>3.7599555757567239E-6</c:v>
                </c:pt>
                <c:pt idx="162">
                  <c:v>3.4172973683215956E-6</c:v>
                </c:pt>
                <c:pt idx="163">
                  <c:v>3.1160772710519599E-6</c:v>
                </c:pt>
                <c:pt idx="164">
                  <c:v>2.8312207982241545E-6</c:v>
                </c:pt>
                <c:pt idx="165">
                  <c:v>2.5543412073487988E-6</c:v>
                </c:pt>
                <c:pt idx="166">
                  <c:v>2.3039029205941467E-6</c:v>
                </c:pt>
                <c:pt idx="167">
                  <c:v>2.0846744788251093E-6</c:v>
                </c:pt>
                <c:pt idx="168">
                  <c:v>1.8858389235437124E-6</c:v>
                </c:pt>
                <c:pt idx="169">
                  <c:v>1.7055540821220114E-6</c:v>
                </c:pt>
                <c:pt idx="170">
                  <c:v>1.5475399963788472E-6</c:v>
                </c:pt>
                <c:pt idx="171">
                  <c:v>1.3989573775346207E-6</c:v>
                </c:pt>
                <c:pt idx="172">
                  <c:v>1.2688873512205797E-6</c:v>
                </c:pt>
                <c:pt idx="173">
                  <c:v>1.1468051208081551E-6</c:v>
                </c:pt>
                <c:pt idx="174">
                  <c:v>1.0364839229943308E-6</c:v>
                </c:pt>
                <c:pt idx="175">
                  <c:v>9.3354947395346077E-7</c:v>
                </c:pt>
                <c:pt idx="176">
                  <c:v>8.4094639516505996E-7</c:v>
                </c:pt>
                <c:pt idx="177">
                  <c:v>7.5487287768319871E-7</c:v>
                </c:pt>
                <c:pt idx="178">
                  <c:v>6.7512195643533399E-7</c:v>
                </c:pt>
                <c:pt idx="179">
                  <c:v>6.0595965067130247E-7</c:v>
                </c:pt>
                <c:pt idx="180">
                  <c:v>5.4791478447370839E-7</c:v>
                </c:pt>
                <c:pt idx="181">
                  <c:v>4.9541885900089708E-7</c:v>
                </c:pt>
                <c:pt idx="182">
                  <c:v>4.462673815106558E-7</c:v>
                </c:pt>
                <c:pt idx="183">
                  <c:v>4.0198704000707185E-7</c:v>
                </c:pt>
                <c:pt idx="184">
                  <c:v>3.6349524115840103E-7</c:v>
                </c:pt>
                <c:pt idx="185">
                  <c:v>3.2746187060197377E-7</c:v>
                </c:pt>
                <c:pt idx="186">
                  <c:v>2.9502684358198612E-7</c:v>
                </c:pt>
                <c:pt idx="187">
                  <c:v>2.6479072984143509E-7</c:v>
                </c:pt>
                <c:pt idx="188">
                  <c:v>2.3766099700554273E-7</c:v>
                </c:pt>
                <c:pt idx="189">
                  <c:v>2.1417562827503644E-7</c:v>
                </c:pt>
                <c:pt idx="190">
                  <c:v>1.9303453382800079E-7</c:v>
                </c:pt>
                <c:pt idx="191">
                  <c:v>1.747109780965584E-7</c:v>
                </c:pt>
                <c:pt idx="192">
                  <c:v>1.5815785190075797E-7</c:v>
                </c:pt>
                <c:pt idx="193">
                  <c:v>1.4320341177677717E-7</c:v>
                </c:pt>
                <c:pt idx="194">
                  <c:v>1.3022456143475299E-7</c:v>
                </c:pt>
                <c:pt idx="195">
                  <c:v>1.1748465558615465E-7</c:v>
                </c:pt>
                <c:pt idx="196">
                  <c:v>1.0601268165576896E-7</c:v>
                </c:pt>
                <c:pt idx="197">
                  <c:v>9.5681129420814359E-8</c:v>
                </c:pt>
                <c:pt idx="198">
                  <c:v>8.6740149295763516E-8</c:v>
                </c:pt>
                <c:pt idx="199">
                  <c:v>7.9652770698207543E-8</c:v>
                </c:pt>
                <c:pt idx="200">
                  <c:v>7.3464584022693511E-8</c:v>
                </c:pt>
                <c:pt idx="201">
                  <c:v>6.7768934923602332E-8</c:v>
                </c:pt>
                <c:pt idx="202">
                  <c:v>6.2275359867977066E-8</c:v>
                </c:pt>
                <c:pt idx="203">
                  <c:v>5.7242988405742044E-8</c:v>
                </c:pt>
                <c:pt idx="204">
                  <c:v>5.2214847536167742E-8</c:v>
                </c:pt>
                <c:pt idx="205">
                  <c:v>4.7264497176597789E-8</c:v>
                </c:pt>
                <c:pt idx="206">
                  <c:v>4.2622711107168006E-8</c:v>
                </c:pt>
                <c:pt idx="207">
                  <c:v>3.8127888887444545E-8</c:v>
                </c:pt>
                <c:pt idx="208">
                  <c:v>3.410555617445554E-8</c:v>
                </c:pt>
                <c:pt idx="209">
                  <c:v>3.063850699644606E-8</c:v>
                </c:pt>
                <c:pt idx="210">
                  <c:v>2.776918676659466E-8</c:v>
                </c:pt>
                <c:pt idx="211">
                  <c:v>2.5399035974622555E-8</c:v>
                </c:pt>
                <c:pt idx="212">
                  <c:v>2.3443780734771856E-8</c:v>
                </c:pt>
                <c:pt idx="213">
                  <c:v>2.1553740715727308E-8</c:v>
                </c:pt>
                <c:pt idx="214">
                  <c:v>1.9654128618322249E-8</c:v>
                </c:pt>
                <c:pt idx="215">
                  <c:v>1.7929533669534549E-8</c:v>
                </c:pt>
                <c:pt idx="216">
                  <c:v>1.6434677600526899E-8</c:v>
                </c:pt>
                <c:pt idx="217">
                  <c:v>1.5005612196918955E-8</c:v>
                </c:pt>
                <c:pt idx="218">
                  <c:v>1.3706952237329509E-8</c:v>
                </c:pt>
                <c:pt idx="219">
                  <c:v>1.2526129431886305E-8</c:v>
                </c:pt>
                <c:pt idx="220">
                  <c:v>1.1502798462470606E-8</c:v>
                </c:pt>
                <c:pt idx="221">
                  <c:v>1.0521569539293809E-8</c:v>
                </c:pt>
                <c:pt idx="222">
                  <c:v>9.6284091865069322E-9</c:v>
                </c:pt>
                <c:pt idx="223">
                  <c:v>8.8938369641917296E-9</c:v>
                </c:pt>
                <c:pt idx="224">
                  <c:v>8.2191169790529661E-9</c:v>
                </c:pt>
                <c:pt idx="225">
                  <c:v>7.5991581212838285E-9</c:v>
                </c:pt>
                <c:pt idx="226">
                  <c:v>6.9985841470570809E-9</c:v>
                </c:pt>
                <c:pt idx="227">
                  <c:v>6.4203832686551449E-9</c:v>
                </c:pt>
                <c:pt idx="228">
                  <c:v>5.8927781186848791E-9</c:v>
                </c:pt>
                <c:pt idx="229">
                  <c:v>5.4111339933950457E-9</c:v>
                </c:pt>
                <c:pt idx="230">
                  <c:v>4.9490753823299839E-9</c:v>
                </c:pt>
                <c:pt idx="231">
                  <c:v>4.5488970131765365E-9</c:v>
                </c:pt>
                <c:pt idx="232">
                  <c:v>4.1831161820843052E-9</c:v>
                </c:pt>
                <c:pt idx="233">
                  <c:v>3.8486504358447383E-9</c:v>
                </c:pt>
                <c:pt idx="234">
                  <c:v>3.5588503390097228E-9</c:v>
                </c:pt>
                <c:pt idx="235">
                  <c:v>3.2776107179363202E-9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A036-40E0-92B5-797B53BF8FF2}"/>
            </c:ext>
          </c:extLst>
        </c:ser>
        <c:ser>
          <c:idx val="1"/>
          <c:order val="1"/>
          <c:tx>
            <c:strRef>
              <c:f>Calculations!$AA$20</c:f>
              <c:strCache>
                <c:ptCount val="1"/>
                <c:pt idx="0">
                  <c:v>mc</c:v>
                </c:pt>
              </c:strCache>
            </c:strRef>
          </c:tx>
          <c:spPr>
            <a:ln w="19050" cap="rnd">
              <a:solidFill>
                <a:schemeClr val="accent6">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Calculations!$AA$21:$AA$421</c:f>
              <c:numCache>
                <c:formatCode>General</c:formatCode>
                <c:ptCount val="401"/>
                <c:pt idx="0">
                  <c:v>0</c:v>
                </c:pt>
                <c:pt idx="1">
                  <c:v>0</c:v>
                </c:pt>
                <c:pt idx="2">
                  <c:v>0</c:v>
                </c:pt>
                <c:pt idx="3">
                  <c:v>0</c:v>
                </c:pt>
                <c:pt idx="4">
                  <c:v>0</c:v>
                </c:pt>
                <c:pt idx="5">
                  <c:v>0</c:v>
                </c:pt>
                <c:pt idx="6">
                  <c:v>0</c:v>
                </c:pt>
                <c:pt idx="7">
                  <c:v>0</c:v>
                </c:pt>
                <c:pt idx="8">
                  <c:v>0</c:v>
                </c:pt>
                <c:pt idx="9">
                  <c:v>0</c:v>
                </c:pt>
                <c:pt idx="10">
                  <c:v>4.3520390174874414E-7</c:v>
                </c:pt>
                <c:pt idx="11">
                  <c:v>5.2634132165690858E-7</c:v>
                </c:pt>
                <c:pt idx="12">
                  <c:v>6.1660513067997934E-7</c:v>
                </c:pt>
                <c:pt idx="13">
                  <c:v>7.1939783336878398E-7</c:v>
                </c:pt>
                <c:pt idx="14">
                  <c:v>8.6319605287498686E-7</c:v>
                </c:pt>
                <c:pt idx="15">
                  <c:v>1.0805033246223008E-6</c:v>
                </c:pt>
                <c:pt idx="16">
                  <c:v>1.4103854021966218E-6</c:v>
                </c:pt>
                <c:pt idx="17">
                  <c:v>1.8933681985936335E-6</c:v>
                </c:pt>
                <c:pt idx="18">
                  <c:v>2.519637398776597E-6</c:v>
                </c:pt>
                <c:pt idx="19">
                  <c:v>3.3026520068563337E-6</c:v>
                </c:pt>
                <c:pt idx="20">
                  <c:v>4.2574736726342105E-6</c:v>
                </c:pt>
                <c:pt idx="21">
                  <c:v>5.3226861595222959E-6</c:v>
                </c:pt>
                <c:pt idx="22">
                  <c:v>6.3831784008953796E-6</c:v>
                </c:pt>
                <c:pt idx="23">
                  <c:v>7.3844099981310343E-6</c:v>
                </c:pt>
                <c:pt idx="24">
                  <c:v>8.5273332027063065E-6</c:v>
                </c:pt>
                <c:pt idx="25">
                  <c:v>9.6306135242640745E-6</c:v>
                </c:pt>
                <c:pt idx="26">
                  <c:v>1.0863381228235362E-5</c:v>
                </c:pt>
                <c:pt idx="27">
                  <c:v>1.2474090942369679E-5</c:v>
                </c:pt>
                <c:pt idx="28">
                  <c:v>1.4457206999664175E-5</c:v>
                </c:pt>
                <c:pt idx="29">
                  <c:v>1.6717710048979445E-5</c:v>
                </c:pt>
                <c:pt idx="30">
                  <c:v>1.9125963622256412E-5</c:v>
                </c:pt>
                <c:pt idx="31">
                  <c:v>2.1757367109726751E-5</c:v>
                </c:pt>
                <c:pt idx="32">
                  <c:v>2.4620658920019721E-5</c:v>
                </c:pt>
                <c:pt idx="33">
                  <c:v>2.7731267417627992E-5</c:v>
                </c:pt>
                <c:pt idx="34">
                  <c:v>3.0951903821289542E-5</c:v>
                </c:pt>
                <c:pt idx="35">
                  <c:v>3.4429586975415246E-5</c:v>
                </c:pt>
                <c:pt idx="36">
                  <c:v>3.8089732561295032E-5</c:v>
                </c:pt>
                <c:pt idx="37">
                  <c:v>4.10668659104487E-5</c:v>
                </c:pt>
                <c:pt idx="38">
                  <c:v>4.4110248880811843E-5</c:v>
                </c:pt>
                <c:pt idx="39">
                  <c:v>4.8065127588554517E-5</c:v>
                </c:pt>
                <c:pt idx="40">
                  <c:v>5.2442246641231205E-5</c:v>
                </c:pt>
                <c:pt idx="41">
                  <c:v>5.6838431358186109E-5</c:v>
                </c:pt>
                <c:pt idx="42">
                  <c:v>6.1225463956345399E-5</c:v>
                </c:pt>
                <c:pt idx="43">
                  <c:v>6.5416401435362557E-5</c:v>
                </c:pt>
                <c:pt idx="44">
                  <c:v>6.9550107424866579E-5</c:v>
                </c:pt>
                <c:pt idx="45">
                  <c:v>7.3821500157315693E-5</c:v>
                </c:pt>
                <c:pt idx="46">
                  <c:v>7.7628390613985652E-5</c:v>
                </c:pt>
                <c:pt idx="47">
                  <c:v>8.1066566572029458E-5</c:v>
                </c:pt>
                <c:pt idx="48">
                  <c:v>8.3783624962287739E-5</c:v>
                </c:pt>
                <c:pt idx="49">
                  <c:v>8.5608578748106823E-5</c:v>
                </c:pt>
                <c:pt idx="50">
                  <c:v>8.8575219607521646E-5</c:v>
                </c:pt>
                <c:pt idx="51">
                  <c:v>9.5578771276284727E-5</c:v>
                </c:pt>
                <c:pt idx="52">
                  <c:v>1.061142843730345E-4</c:v>
                </c:pt>
                <c:pt idx="53">
                  <c:v>1.1807260297612151E-4</c:v>
                </c:pt>
                <c:pt idx="54">
                  <c:v>1.2978665859786974E-4</c:v>
                </c:pt>
                <c:pt idx="55">
                  <c:v>1.4029240506067563E-4</c:v>
                </c:pt>
                <c:pt idx="56">
                  <c:v>1.4844239484558357E-4</c:v>
                </c:pt>
                <c:pt idx="57">
                  <c:v>1.5584257582521886E-4</c:v>
                </c:pt>
                <c:pt idx="58">
                  <c:v>1.6451423988114654E-4</c:v>
                </c:pt>
                <c:pt idx="59">
                  <c:v>1.7414198288179711E-4</c:v>
                </c:pt>
                <c:pt idx="60">
                  <c:v>1.8575884236199613E-4</c:v>
                </c:pt>
                <c:pt idx="61">
                  <c:v>1.9957618397057513E-4</c:v>
                </c:pt>
                <c:pt idx="62">
                  <c:v>2.1225874284078175E-4</c:v>
                </c:pt>
                <c:pt idx="63">
                  <c:v>2.2157753558845318E-4</c:v>
                </c:pt>
                <c:pt idx="64">
                  <c:v>2.2779224721003496E-4</c:v>
                </c:pt>
                <c:pt idx="65">
                  <c:v>2.3590388618751856E-4</c:v>
                </c:pt>
                <c:pt idx="66">
                  <c:v>2.4621653324274299E-4</c:v>
                </c:pt>
                <c:pt idx="67">
                  <c:v>2.5759616256445329E-4</c:v>
                </c:pt>
                <c:pt idx="68">
                  <c:v>2.712553174039159E-4</c:v>
                </c:pt>
                <c:pt idx="69">
                  <c:v>2.8519298042744743E-4</c:v>
                </c:pt>
                <c:pt idx="70">
                  <c:v>2.9918367834455632E-4</c:v>
                </c:pt>
                <c:pt idx="71">
                  <c:v>3.1160659221446776E-4</c:v>
                </c:pt>
                <c:pt idx="72">
                  <c:v>3.187734571587463E-4</c:v>
                </c:pt>
                <c:pt idx="73">
                  <c:v>3.2355928635910153E-4</c:v>
                </c:pt>
                <c:pt idx="74">
                  <c:v>3.2999792641991713E-4</c:v>
                </c:pt>
                <c:pt idx="75">
                  <c:v>3.4098979807655621E-4</c:v>
                </c:pt>
                <c:pt idx="76">
                  <c:v>3.5303441837015499E-4</c:v>
                </c:pt>
                <c:pt idx="77">
                  <c:v>3.6616430416985487E-4</c:v>
                </c:pt>
                <c:pt idx="78">
                  <c:v>3.7853342321935622E-4</c:v>
                </c:pt>
                <c:pt idx="79">
                  <c:v>3.9080807136491357E-4</c:v>
                </c:pt>
                <c:pt idx="80">
                  <c:v>4.0471922194117209E-4</c:v>
                </c:pt>
                <c:pt idx="81">
                  <c:v>4.2126353898515621E-4</c:v>
                </c:pt>
                <c:pt idx="82">
                  <c:v>4.3533643398798577E-4</c:v>
                </c:pt>
                <c:pt idx="83">
                  <c:v>4.507586190755237E-4</c:v>
                </c:pt>
                <c:pt idx="84">
                  <c:v>4.6299243615246675E-4</c:v>
                </c:pt>
                <c:pt idx="85">
                  <c:v>4.7611790737721961E-4</c:v>
                </c:pt>
                <c:pt idx="86">
                  <c:v>4.8767475463564489E-4</c:v>
                </c:pt>
                <c:pt idx="87">
                  <c:v>4.9875357792021938E-4</c:v>
                </c:pt>
                <c:pt idx="88">
                  <c:v>5.1192470974857748E-4</c:v>
                </c:pt>
                <c:pt idx="89">
                  <c:v>5.27437216139604E-4</c:v>
                </c:pt>
                <c:pt idx="90">
                  <c:v>5.4011558541320378E-4</c:v>
                </c:pt>
                <c:pt idx="91">
                  <c:v>5.5116350667315083E-4</c:v>
                </c:pt>
                <c:pt idx="92">
                  <c:v>5.6341932663156544E-4</c:v>
                </c:pt>
                <c:pt idx="93">
                  <c:v>5.8006186921798143E-4</c:v>
                </c:pt>
                <c:pt idx="94">
                  <c:v>5.9703044041299971E-4</c:v>
                </c:pt>
                <c:pt idx="95">
                  <c:v>6.1447739554721531E-4</c:v>
                </c:pt>
                <c:pt idx="96">
                  <c:v>6.2776279637327638E-4</c:v>
                </c:pt>
                <c:pt idx="97">
                  <c:v>6.4473271243880605E-4</c:v>
                </c:pt>
                <c:pt idx="98">
                  <c:v>6.6231326970924733E-4</c:v>
                </c:pt>
                <c:pt idx="99">
                  <c:v>6.8225730941371689E-4</c:v>
                </c:pt>
                <c:pt idx="100">
                  <c:v>7.011878367034005E-4</c:v>
                </c:pt>
                <c:pt idx="101">
                  <c:v>7.1530172775895965E-4</c:v>
                </c:pt>
                <c:pt idx="102">
                  <c:v>7.3145647231261319E-4</c:v>
                </c:pt>
                <c:pt idx="103">
                  <c:v>7.41842822271413E-4</c:v>
                </c:pt>
                <c:pt idx="104">
                  <c:v>7.4176482978085482E-4</c:v>
                </c:pt>
                <c:pt idx="105">
                  <c:v>7.3625283049919303E-4</c:v>
                </c:pt>
                <c:pt idx="106">
                  <c:v>7.3732613215722164E-4</c:v>
                </c:pt>
                <c:pt idx="107">
                  <c:v>7.5016573090697027E-4</c:v>
                </c:pt>
                <c:pt idx="108">
                  <c:v>7.7178621419644465E-4</c:v>
                </c:pt>
                <c:pt idx="109">
                  <c:v>8.0109746698647593E-4</c:v>
                </c:pt>
                <c:pt idx="110">
                  <c:v>8.3008941552045301E-4</c:v>
                </c:pt>
                <c:pt idx="111">
                  <c:v>8.5678938473578506E-4</c:v>
                </c:pt>
                <c:pt idx="112">
                  <c:v>8.7820581767207649E-4</c:v>
                </c:pt>
                <c:pt idx="113">
                  <c:v>9.0068041872352228E-4</c:v>
                </c:pt>
                <c:pt idx="114">
                  <c:v>9.2873885214023817E-4</c:v>
                </c:pt>
                <c:pt idx="115">
                  <c:v>9.5432836327511588E-4</c:v>
                </c:pt>
                <c:pt idx="116">
                  <c:v>9.7938502571489347E-4</c:v>
                </c:pt>
                <c:pt idx="117">
                  <c:v>9.957570743456001E-4</c:v>
                </c:pt>
                <c:pt idx="118">
                  <c:v>1.0087755108761031E-3</c:v>
                </c:pt>
                <c:pt idx="119">
                  <c:v>1.0185716776602062E-3</c:v>
                </c:pt>
                <c:pt idx="120">
                  <c:v>1.0252914856489985E-3</c:v>
                </c:pt>
                <c:pt idx="121">
                  <c:v>1.0350488411700123E-3</c:v>
                </c:pt>
                <c:pt idx="122">
                  <c:v>1.0510699985859921E-3</c:v>
                </c:pt>
                <c:pt idx="123">
                  <c:v>1.0736262967712968E-3</c:v>
                </c:pt>
                <c:pt idx="124">
                  <c:v>1.0997393524971124E-3</c:v>
                </c:pt>
                <c:pt idx="125">
                  <c:v>1.1294460322137825E-3</c:v>
                </c:pt>
                <c:pt idx="126">
                  <c:v>1.1593818698661686E-3</c:v>
                </c:pt>
                <c:pt idx="127">
                  <c:v>1.1859282138731767E-3</c:v>
                </c:pt>
                <c:pt idx="128">
                  <c:v>1.2087338880475188E-3</c:v>
                </c:pt>
                <c:pt idx="129">
                  <c:v>1.2347326847746685E-3</c:v>
                </c:pt>
                <c:pt idx="130">
                  <c:v>1.2565832909069551E-3</c:v>
                </c:pt>
                <c:pt idx="131">
                  <c:v>1.2777742305546812E-3</c:v>
                </c:pt>
                <c:pt idx="132">
                  <c:v>1.2907289432207826E-3</c:v>
                </c:pt>
                <c:pt idx="133">
                  <c:v>1.2952420536796367E-3</c:v>
                </c:pt>
                <c:pt idx="134">
                  <c:v>1.2951327542034489E-3</c:v>
                </c:pt>
                <c:pt idx="135">
                  <c:v>1.2904323917739924E-3</c:v>
                </c:pt>
                <c:pt idx="136">
                  <c:v>1.2810319168910169E-3</c:v>
                </c:pt>
                <c:pt idx="137">
                  <c:v>1.2832268855502641E-3</c:v>
                </c:pt>
                <c:pt idx="138">
                  <c:v>1.3014524107204939E-3</c:v>
                </c:pt>
                <c:pt idx="139">
                  <c:v>1.3360031640295071E-3</c:v>
                </c:pt>
                <c:pt idx="140">
                  <c:v>1.3737033640966239E-3</c:v>
                </c:pt>
                <c:pt idx="141">
                  <c:v>1.4051314280712224E-3</c:v>
                </c:pt>
                <c:pt idx="142">
                  <c:v>1.4301417199757518E-3</c:v>
                </c:pt>
                <c:pt idx="143">
                  <c:v>1.4488101025058255E-3</c:v>
                </c:pt>
                <c:pt idx="144">
                  <c:v>1.4566470479319567E-3</c:v>
                </c:pt>
                <c:pt idx="145">
                  <c:v>1.4537492619429084E-3</c:v>
                </c:pt>
                <c:pt idx="146">
                  <c:v>1.4496379827940457E-3</c:v>
                </c:pt>
                <c:pt idx="147">
                  <c:v>1.4539332742254316E-3</c:v>
                </c:pt>
                <c:pt idx="148">
                  <c:v>1.4621339896262653E-3</c:v>
                </c:pt>
                <c:pt idx="149">
                  <c:v>1.4744049581261094E-3</c:v>
                </c:pt>
                <c:pt idx="150">
                  <c:v>1.4908975501503961E-3</c:v>
                </c:pt>
                <c:pt idx="151">
                  <c:v>1.4924499006836E-3</c:v>
                </c:pt>
                <c:pt idx="152">
                  <c:v>1.483905103412408E-3</c:v>
                </c:pt>
                <c:pt idx="153">
                  <c:v>1.4799468645281947E-3</c:v>
                </c:pt>
                <c:pt idx="154">
                  <c:v>1.4857162290296587E-3</c:v>
                </c:pt>
                <c:pt idx="155">
                  <c:v>1.4966144247058099E-3</c:v>
                </c:pt>
                <c:pt idx="156">
                  <c:v>1.5029395156996035E-3</c:v>
                </c:pt>
                <c:pt idx="157">
                  <c:v>1.5042812415126362E-3</c:v>
                </c:pt>
                <c:pt idx="158">
                  <c:v>1.4951502956782785E-3</c:v>
                </c:pt>
                <c:pt idx="159">
                  <c:v>1.4799777915504072E-3</c:v>
                </c:pt>
                <c:pt idx="160">
                  <c:v>1.4632930230296843E-3</c:v>
                </c:pt>
                <c:pt idx="161">
                  <c:v>1.4597747667821094E-3</c:v>
                </c:pt>
                <c:pt idx="162">
                  <c:v>1.4594098019224521E-3</c:v>
                </c:pt>
                <c:pt idx="163">
                  <c:v>1.4621899842348714E-3</c:v>
                </c:pt>
                <c:pt idx="164">
                  <c:v>1.4581279303464032E-3</c:v>
                </c:pt>
                <c:pt idx="165">
                  <c:v>1.4423233920734246E-3</c:v>
                </c:pt>
                <c:pt idx="166">
                  <c:v>1.4249203577103428E-3</c:v>
                </c:pt>
                <c:pt idx="167">
                  <c:v>1.4113938650975998E-3</c:v>
                </c:pt>
                <c:pt idx="168">
                  <c:v>1.3974205605057923E-3</c:v>
                </c:pt>
                <c:pt idx="169">
                  <c:v>1.3836105701893935E-3</c:v>
                </c:pt>
                <c:pt idx="170">
                  <c:v>1.3753502555270258E-3</c:v>
                </c:pt>
                <c:pt idx="171">
                  <c:v>1.3633372321911429E-3</c:v>
                </c:pt>
                <c:pt idx="172">
                  <c:v>1.3566845477394169E-3</c:v>
                </c:pt>
                <c:pt idx="173">
                  <c:v>1.3451756408650931E-3</c:v>
                </c:pt>
                <c:pt idx="174">
                  <c:v>1.3329502329784732E-3</c:v>
                </c:pt>
                <c:pt idx="175">
                  <c:v>1.31471315892022E-3</c:v>
                </c:pt>
                <c:pt idx="176">
                  <c:v>1.2948175595517085E-3</c:v>
                </c:pt>
                <c:pt idx="177">
                  <c:v>1.2690182736148268E-3</c:v>
                </c:pt>
                <c:pt idx="178">
                  <c:v>1.2379649635573487E-3</c:v>
                </c:pt>
                <c:pt idx="179">
                  <c:v>1.2112939365553413E-3</c:v>
                </c:pt>
                <c:pt idx="180">
                  <c:v>1.1937567201118673E-3</c:v>
                </c:pt>
                <c:pt idx="181">
                  <c:v>1.176537028095805E-3</c:v>
                </c:pt>
                <c:pt idx="182">
                  <c:v>1.1550688351431879E-3</c:v>
                </c:pt>
                <c:pt idx="183">
                  <c:v>1.1334984470303391E-3</c:v>
                </c:pt>
                <c:pt idx="184">
                  <c:v>1.115802965825258E-3</c:v>
                </c:pt>
                <c:pt idx="185">
                  <c:v>1.0931544465193883E-3</c:v>
                </c:pt>
                <c:pt idx="186">
                  <c:v>1.0696978750161627E-3</c:v>
                </c:pt>
                <c:pt idx="187">
                  <c:v>1.0414612487565978E-3</c:v>
                </c:pt>
                <c:pt idx="188">
                  <c:v>1.0128290805814621E-3</c:v>
                </c:pt>
                <c:pt idx="189">
                  <c:v>9.8792112882319593E-4</c:v>
                </c:pt>
                <c:pt idx="190">
                  <c:v>9.627995376350275E-4</c:v>
                </c:pt>
                <c:pt idx="191">
                  <c:v>9.4136344659150062E-4</c:v>
                </c:pt>
                <c:pt idx="192">
                  <c:v>9.1954433242704141E-4</c:v>
                </c:pt>
                <c:pt idx="193">
                  <c:v>8.9719671414916033E-4</c:v>
                </c:pt>
                <c:pt idx="194">
                  <c:v>8.7777743391865345E-4</c:v>
                </c:pt>
                <c:pt idx="195">
                  <c:v>8.5043391166730474E-4</c:v>
                </c:pt>
                <c:pt idx="196">
                  <c:v>8.2251044025587899E-4</c:v>
                </c:pt>
                <c:pt idx="197">
                  <c:v>7.9437982878876397E-4</c:v>
                </c:pt>
                <c:pt idx="198">
                  <c:v>7.6968691132610128E-4</c:v>
                </c:pt>
                <c:pt idx="199">
                  <c:v>7.5481372337882354E-4</c:v>
                </c:pt>
                <c:pt idx="200">
                  <c:v>7.431779637184125E-4</c:v>
                </c:pt>
                <c:pt idx="201">
                  <c:v>7.317770814430246E-4</c:v>
                </c:pt>
                <c:pt idx="202">
                  <c:v>7.1762182437035474E-4</c:v>
                </c:pt>
                <c:pt idx="203">
                  <c:v>7.0360100435352881E-4</c:v>
                </c:pt>
                <c:pt idx="204">
                  <c:v>6.8408538339910952E-4</c:v>
                </c:pt>
                <c:pt idx="205">
                  <c:v>6.5939951025818636E-4</c:v>
                </c:pt>
                <c:pt idx="206">
                  <c:v>6.3247275287896872E-4</c:v>
                </c:pt>
                <c:pt idx="207">
                  <c:v>6.0098613454223268E-4</c:v>
                </c:pt>
                <c:pt idx="208">
                  <c:v>5.7023134574188384E-4</c:v>
                </c:pt>
                <c:pt idx="209">
                  <c:v>5.4254019696146319E-4</c:v>
                </c:pt>
                <c:pt idx="210">
                  <c:v>5.1994252775953856E-4</c:v>
                </c:pt>
                <c:pt idx="211">
                  <c:v>5.0198149712266365E-4</c:v>
                </c:pt>
                <c:pt idx="212">
                  <c:v>4.8826157813382405E-4</c:v>
                </c:pt>
                <c:pt idx="213">
                  <c:v>4.7229260569325984E-4</c:v>
                </c:pt>
                <c:pt idx="214">
                  <c:v>4.5242999814815773E-4</c:v>
                </c:pt>
                <c:pt idx="215">
                  <c:v>4.3296436238095709E-4</c:v>
                </c:pt>
                <c:pt idx="216">
                  <c:v>4.1575281958025975E-4</c:v>
                </c:pt>
                <c:pt idx="217">
                  <c:v>3.971118844074376E-4</c:v>
                </c:pt>
                <c:pt idx="218">
                  <c:v>3.7892459555564749E-4</c:v>
                </c:pt>
                <c:pt idx="219">
                  <c:v>3.6119145797627747E-4</c:v>
                </c:pt>
                <c:pt idx="220">
                  <c:v>3.4543576999979066E-4</c:v>
                </c:pt>
                <c:pt idx="221">
                  <c:v>3.2855428541970599E-4</c:v>
                </c:pt>
                <c:pt idx="222">
                  <c:v>3.1216419352628189E-4</c:v>
                </c:pt>
                <c:pt idx="223">
                  <c:v>2.9894096671384508E-4</c:v>
                </c:pt>
                <c:pt idx="224">
                  <c:v>2.8600608213861465E-4</c:v>
                </c:pt>
                <c:pt idx="225">
                  <c:v>2.7338785707407999E-4</c:v>
                </c:pt>
                <c:pt idx="226">
                  <c:v>2.5996906909109128E-4</c:v>
                </c:pt>
                <c:pt idx="227">
                  <c:v>2.4593422542452031E-4</c:v>
                </c:pt>
                <c:pt idx="228">
                  <c:v>2.324796358886534E-4</c:v>
                </c:pt>
                <c:pt idx="229">
                  <c:v>2.196024807549901E-4</c:v>
                </c:pt>
                <c:pt idx="230">
                  <c:v>2.0637108972863834E-4</c:v>
                </c:pt>
                <c:pt idx="231">
                  <c:v>1.9467303606615546E-4</c:v>
                </c:pt>
                <c:pt idx="232">
                  <c:v>1.835128856121026E-4</c:v>
                </c:pt>
                <c:pt idx="233">
                  <c:v>1.7286925542531721E-4</c:v>
                </c:pt>
                <c:pt idx="234">
                  <c:v>1.6346626078495531E-4</c:v>
                </c:pt>
                <c:pt idx="235">
                  <c:v>1.5375714061963941E-4</c:v>
                </c:pt>
                <c:pt idx="236">
                  <c:v>1.4451027594643195E-4</c:v>
                </c:pt>
                <c:pt idx="237">
                  <c:v>1.3633715288889191E-4</c:v>
                </c:pt>
                <c:pt idx="238">
                  <c:v>1.291187279090289E-4</c:v>
                </c:pt>
                <c:pt idx="239">
                  <c:v>1.2218833519621499E-4</c:v>
                </c:pt>
                <c:pt idx="240">
                  <c:v>1.1554204012929301E-4</c:v>
                </c:pt>
                <c:pt idx="241">
                  <c:v>1.0868429692148141E-4</c:v>
                </c:pt>
                <c:pt idx="242">
                  <c:v>1.0124325937568718E-4</c:v>
                </c:pt>
                <c:pt idx="243">
                  <c:v>9.4251276593022889E-5</c:v>
                </c:pt>
                <c:pt idx="244">
                  <c:v>8.728583375498209E-5</c:v>
                </c:pt>
                <c:pt idx="245">
                  <c:v>8.1171330484921587E-5</c:v>
                </c:pt>
                <c:pt idx="246">
                  <c:v>7.5095143025654917E-5</c:v>
                </c:pt>
                <c:pt idx="247">
                  <c:v>6.9771533105076027E-5</c:v>
                </c:pt>
                <c:pt idx="248">
                  <c:v>6.4791801574448646E-5</c:v>
                </c:pt>
                <c:pt idx="249">
                  <c:v>6.0132148225355038E-5</c:v>
                </c:pt>
                <c:pt idx="250">
                  <c:v>5.6326061691279868E-5</c:v>
                </c:pt>
                <c:pt idx="251">
                  <c:v>5.2988997997724434E-5</c:v>
                </c:pt>
                <c:pt idx="252">
                  <c:v>5.0063788649111028E-5</c:v>
                </c:pt>
                <c:pt idx="253">
                  <c:v>4.7272912366348369E-5</c:v>
                </c:pt>
                <c:pt idx="254">
                  <c:v>4.4614929288072339E-5</c:v>
                </c:pt>
                <c:pt idx="255">
                  <c:v>4.1889700184524515E-5</c:v>
                </c:pt>
                <c:pt idx="256">
                  <c:v>3.9317126382686011E-5</c:v>
                </c:pt>
                <c:pt idx="257">
                  <c:v>3.6882404307907219E-5</c:v>
                </c:pt>
                <c:pt idx="258">
                  <c:v>3.4571046355114623E-5</c:v>
                </c:pt>
                <c:pt idx="259">
                  <c:v>3.2069493715061964E-5</c:v>
                </c:pt>
                <c:pt idx="260">
                  <c:v>2.9850566862616695E-5</c:v>
                </c:pt>
                <c:pt idx="261">
                  <c:v>2.774739436485818E-5</c:v>
                </c:pt>
                <c:pt idx="262">
                  <c:v>2.5771690093925842E-5</c:v>
                </c:pt>
                <c:pt idx="263">
                  <c:v>2.3822266292599869E-5</c:v>
                </c:pt>
                <c:pt idx="264">
                  <c:v>2.2138088452283923E-5</c:v>
                </c:pt>
                <c:pt idx="265">
                  <c:v>2.0503638823927886E-5</c:v>
                </c:pt>
                <c:pt idx="266">
                  <c:v>1.893357699604509E-5</c:v>
                </c:pt>
                <c:pt idx="267">
                  <c:v>1.7589802380283506E-5</c:v>
                </c:pt>
                <c:pt idx="268">
                  <c:v>1.6271506311340805E-5</c:v>
                </c:pt>
                <c:pt idx="269">
                  <c:v>1.5121701519353592E-5</c:v>
                </c:pt>
                <c:pt idx="270">
                  <c:v>1.4108791546560769E-5</c:v>
                </c:pt>
                <c:pt idx="271">
                  <c:v>1.3208066272156091E-5</c:v>
                </c:pt>
                <c:pt idx="272">
                  <c:v>1.2287128943852521E-5</c:v>
                </c:pt>
                <c:pt idx="273">
                  <c:v>1.1361031112423807E-5</c:v>
                </c:pt>
                <c:pt idx="274">
                  <c:v>1.0339650455223839E-5</c:v>
                </c:pt>
                <c:pt idx="275">
                  <c:v>9.3513866093989381E-6</c:v>
                </c:pt>
                <c:pt idx="276">
                  <c:v>8.5798811931660842E-6</c:v>
                </c:pt>
                <c:pt idx="277">
                  <c:v>7.990330657556577E-6</c:v>
                </c:pt>
                <c:pt idx="278">
                  <c:v>7.5139606244550751E-6</c:v>
                </c:pt>
                <c:pt idx="279">
                  <c:v>7.1322663755731982E-6</c:v>
                </c:pt>
                <c:pt idx="280">
                  <c:v>6.7315611071517694E-6</c:v>
                </c:pt>
                <c:pt idx="281">
                  <c:v>6.2596980900959621E-6</c:v>
                </c:pt>
                <c:pt idx="282">
                  <c:v>5.821061373872928E-6</c:v>
                </c:pt>
                <c:pt idx="283">
                  <c:v>5.3630548226586344E-6</c:v>
                </c:pt>
                <c:pt idx="284">
                  <c:v>4.9674665115551899E-6</c:v>
                </c:pt>
                <c:pt idx="285">
                  <c:v>4.6267518169905017E-6</c:v>
                </c:pt>
                <c:pt idx="286">
                  <c:v>4.2927810730900642E-6</c:v>
                </c:pt>
                <c:pt idx="287">
                  <c:v>4.0050493771007906E-6</c:v>
                </c:pt>
                <c:pt idx="288">
                  <c:v>3.7030398558401824E-6</c:v>
                </c:pt>
                <c:pt idx="289">
                  <c:v>3.4082269916553566E-6</c:v>
                </c:pt>
                <c:pt idx="290">
                  <c:v>3.1673125379062331E-6</c:v>
                </c:pt>
                <c:pt idx="291">
                  <c:v>2.9287187107174923E-6</c:v>
                </c:pt>
                <c:pt idx="292">
                  <c:v>2.7207405357257423E-6</c:v>
                </c:pt>
                <c:pt idx="293">
                  <c:v>2.5271088793911925E-6</c:v>
                </c:pt>
                <c:pt idx="294">
                  <c:v>2.3468865319523177E-6</c:v>
                </c:pt>
                <c:pt idx="295">
                  <c:v>2.1686501932922219E-6</c:v>
                </c:pt>
                <c:pt idx="296">
                  <c:v>2.0134801337143271E-6</c:v>
                </c:pt>
                <c:pt idx="297">
                  <c:v>1.8691945261358856E-6</c:v>
                </c:pt>
                <c:pt idx="298">
                  <c:v>1.7350246945682353E-6</c:v>
                </c:pt>
                <c:pt idx="299">
                  <c:v>1.61027370611499E-6</c:v>
                </c:pt>
                <c:pt idx="300">
                  <c:v>1.4869964257669574E-6</c:v>
                </c:pt>
                <c:pt idx="301">
                  <c:v>1.3796619603780532E-6</c:v>
                </c:pt>
                <c:pt idx="302">
                  <c:v>1.2734587860637186E-6</c:v>
                </c:pt>
                <c:pt idx="303">
                  <c:v>1.1632879937682332E-6</c:v>
                </c:pt>
                <c:pt idx="304">
                  <c:v>1.0510657989903484E-6</c:v>
                </c:pt>
                <c:pt idx="305">
                  <c:v>9.1846164667255419E-7</c:v>
                </c:pt>
                <c:pt idx="306">
                  <c:v>7.89911454022573E-7</c:v>
                </c:pt>
                <c:pt idx="307">
                  <c:v>6.7943141650250446E-7</c:v>
                </c:pt>
                <c:pt idx="308">
                  <c:v>6.0083766883713122E-7</c:v>
                </c:pt>
                <c:pt idx="309">
                  <c:v>5.6334243903462456E-7</c:v>
                </c:pt>
                <c:pt idx="310">
                  <c:v>5.488460848042198E-7</c:v>
                </c:pt>
                <c:pt idx="311">
                  <c:v>5.340010341477643E-7</c:v>
                </c:pt>
                <c:pt idx="312">
                  <c:v>5.1017037866291119E-7</c:v>
                </c:pt>
                <c:pt idx="313">
                  <c:v>4.8467101384836849E-7</c:v>
                </c:pt>
                <c:pt idx="314">
                  <c:v>4.5795344632747601E-7</c:v>
                </c:pt>
                <c:pt idx="315">
                  <c:v>4.3039895938868454E-7</c:v>
                </c:pt>
                <c:pt idx="316">
                  <c:v>4.0451756135789743E-7</c:v>
                </c:pt>
                <c:pt idx="317">
                  <c:v>3.8018399429547314E-7</c:v>
                </c:pt>
                <c:pt idx="318">
                  <c:v>3.5541618904331751E-7</c:v>
                </c:pt>
                <c:pt idx="319">
                  <c:v>3.2876530510185112E-7</c:v>
                </c:pt>
                <c:pt idx="320">
                  <c:v>3.0410564943660094E-7</c:v>
                </c:pt>
                <c:pt idx="321">
                  <c:v>2.8127652751990828E-7</c:v>
                </c:pt>
                <c:pt idx="322">
                  <c:v>2.6293127887714917E-7</c:v>
                </c:pt>
                <c:pt idx="323">
                  <c:v>2.4702473042613979E-7</c:v>
                </c:pt>
                <c:pt idx="324">
                  <c:v>2.3076128133901554E-7</c:v>
                </c:pt>
                <c:pt idx="325">
                  <c:v>2.1546640899327319E-7</c:v>
                </c:pt>
                <c:pt idx="326">
                  <c:v>2.0107951922317216E-7</c:v>
                </c:pt>
                <c:pt idx="327">
                  <c:v>1.8854984563253223E-7</c:v>
                </c:pt>
                <c:pt idx="328">
                  <c:v>1.7494205584742716E-7</c:v>
                </c:pt>
                <c:pt idx="329">
                  <c:v>1.6147430757853947E-7</c:v>
                </c:pt>
                <c:pt idx="330">
                  <c:v>1.4983656310923458E-7</c:v>
                </c:pt>
                <c:pt idx="331">
                  <c:v>1.3979748971319459E-7</c:v>
                </c:pt>
                <c:pt idx="332">
                  <c:v>1.2913351648512336E-7</c:v>
                </c:pt>
                <c:pt idx="333">
                  <c:v>1.1932515087557312E-7</c:v>
                </c:pt>
                <c:pt idx="334">
                  <c:v>1.0857176625640432E-7</c:v>
                </c:pt>
                <c:pt idx="335">
                  <c:v>9.7713671719144255E-8</c:v>
                </c:pt>
                <c:pt idx="336">
                  <c:v>8.5389178372892605E-8</c:v>
                </c:pt>
                <c:pt idx="337">
                  <c:v>7.4338442383956861E-8</c:v>
                </c:pt>
                <c:pt idx="338">
                  <c:v>6.5726603567804373E-8</c:v>
                </c:pt>
                <c:pt idx="339">
                  <c:v>6.0375936752376622E-8</c:v>
                </c:pt>
                <c:pt idx="340">
                  <c:v>5.7702325178877288E-8</c:v>
                </c:pt>
                <c:pt idx="341">
                  <c:v>5.5457994272440594E-8</c:v>
                </c:pt>
                <c:pt idx="342">
                  <c:v>5.2602005259003751E-8</c:v>
                </c:pt>
                <c:pt idx="343">
                  <c:v>4.8977442247084902E-8</c:v>
                </c:pt>
                <c:pt idx="344">
                  <c:v>4.477064579503599E-8</c:v>
                </c:pt>
                <c:pt idx="345">
                  <c:v>4.1188752174729681E-8</c:v>
                </c:pt>
                <c:pt idx="346">
                  <c:v>3.8149402815993553E-8</c:v>
                </c:pt>
                <c:pt idx="347">
                  <c:v>3.5803307207887735E-8</c:v>
                </c:pt>
                <c:pt idx="348">
                  <c:v>3.3610473843052392E-8</c:v>
                </c:pt>
                <c:pt idx="349">
                  <c:v>3.1557587003580469E-8</c:v>
                </c:pt>
                <c:pt idx="350">
                  <c:v>3.0002994186276699E-8</c:v>
                </c:pt>
                <c:pt idx="351">
                  <c:v>2.8862169029692573E-8</c:v>
                </c:pt>
                <c:pt idx="352">
                  <c:v>2.7739897086727498E-8</c:v>
                </c:pt>
                <c:pt idx="353">
                  <c:v>2.6638236159247649E-8</c:v>
                </c:pt>
                <c:pt idx="354">
                  <c:v>2.527793613462146E-8</c:v>
                </c:pt>
                <c:pt idx="355">
                  <c:v>2.3847711842596083E-8</c:v>
                </c:pt>
                <c:pt idx="356">
                  <c:v>2.2249996677292276E-8</c:v>
                </c:pt>
                <c:pt idx="357">
                  <c:v>2.087618545358083E-8</c:v>
                </c:pt>
                <c:pt idx="358">
                  <c:v>1.9487166194162644E-8</c:v>
                </c:pt>
                <c:pt idx="359">
                  <c:v>1.8300809921504754E-8</c:v>
                </c:pt>
                <c:pt idx="360">
                  <c:v>1.7200106401841677E-8</c:v>
                </c:pt>
                <c:pt idx="361">
                  <c:v>1.6093727928586868E-8</c:v>
                </c:pt>
                <c:pt idx="362">
                  <c:v>1.5151124186416216E-8</c:v>
                </c:pt>
                <c:pt idx="363">
                  <c:v>1.4269718051884011E-8</c:v>
                </c:pt>
                <c:pt idx="364">
                  <c:v>1.3441175827393539E-8</c:v>
                </c:pt>
                <c:pt idx="365">
                  <c:v>1.2591497637962137E-8</c:v>
                </c:pt>
                <c:pt idx="366">
                  <c:v>1.1728352245209375E-8</c:v>
                </c:pt>
                <c:pt idx="367">
                  <c:v>1.0979676330856637E-8</c:v>
                </c:pt>
                <c:pt idx="368">
                  <c:v>1.0222412743360981E-8</c:v>
                </c:pt>
                <c:pt idx="369">
                  <c:v>9.5173336313258317E-9</c:v>
                </c:pt>
                <c:pt idx="370">
                  <c:v>8.9105643036136175E-9</c:v>
                </c:pt>
                <c:pt idx="371">
                  <c:v>8.3451292460650525E-9</c:v>
                </c:pt>
                <c:pt idx="372">
                  <c:v>7.8182814731713875E-9</c:v>
                </c:pt>
                <c:pt idx="373">
                  <c:v>7.3668157921747423E-9</c:v>
                </c:pt>
                <c:pt idx="374">
                  <c:v>6.906445018597641E-9</c:v>
                </c:pt>
                <c:pt idx="375">
                  <c:v>6.5118537114984768E-9</c:v>
                </c:pt>
                <c:pt idx="376">
                  <c:v>6.0435715996581032E-9</c:v>
                </c:pt>
                <c:pt idx="377">
                  <c:v>5.3030552496683922E-9</c:v>
                </c:pt>
                <c:pt idx="378">
                  <c:v>4.2862502519048562E-9</c:v>
                </c:pt>
                <c:pt idx="379">
                  <c:v>3.1046090752578051E-9</c:v>
                </c:pt>
                <c:pt idx="380">
                  <c:v>2.0621152209247868E-9</c:v>
                </c:pt>
                <c:pt idx="381">
                  <c:v>1.4308553612633827E-9</c:v>
                </c:pt>
                <c:pt idx="382">
                  <c:v>1.199675600217345E-9</c:v>
                </c:pt>
                <c:pt idx="383">
                  <c:v>1.2657377794745166E-9</c:v>
                </c:pt>
                <c:pt idx="384">
                  <c:v>1.4724457267691049E-9</c:v>
                </c:pt>
                <c:pt idx="385">
                  <c:v>1.7341760112830131E-9</c:v>
                </c:pt>
                <c:pt idx="386">
                  <c:v>2.0248234915284131E-9</c:v>
                </c:pt>
                <c:pt idx="387">
                  <c:v>2.259609685332029E-9</c:v>
                </c:pt>
                <c:pt idx="388">
                  <c:v>2.3671180839739119E-9</c:v>
                </c:pt>
                <c:pt idx="389">
                  <c:v>2.381464002688879E-9</c:v>
                </c:pt>
                <c:pt idx="390">
                  <c:v>2.3309851630026151E-9</c:v>
                </c:pt>
                <c:pt idx="391">
                  <c:v>2.2391884015786096E-9</c:v>
                </c:pt>
                <c:pt idx="392">
                  <c:v>2.1021150995692331E-9</c:v>
                </c:pt>
                <c:pt idx="393">
                  <c:v>1.9736520185317817E-9</c:v>
                </c:pt>
                <c:pt idx="394">
                  <c:v>1.8641747094648239E-9</c:v>
                </c:pt>
                <c:pt idx="395">
                  <c:v>1.7519209177292273E-9</c:v>
                </c:pt>
                <c:pt idx="396">
                  <c:v>1.638437444392518E-9</c:v>
                </c:pt>
                <c:pt idx="397">
                  <c:v>1.550657896174427E-9</c:v>
                </c:pt>
                <c:pt idx="398">
                  <c:v>1.4681956359856149E-9</c:v>
                </c:pt>
                <c:pt idx="399">
                  <c:v>1.3904291236705643E-9</c:v>
                </c:pt>
                <c:pt idx="400">
                  <c:v>1.3095359124071605E-9</c:v>
                </c:pt>
              </c:numCache>
            </c:numRef>
          </c:yVal>
          <c:smooth val="0"/>
          <c:extLst>
            <c:ext xmlns:c16="http://schemas.microsoft.com/office/drawing/2014/chart" uri="{C3380CC4-5D6E-409C-BE32-E72D297353CC}">
              <c16:uniqueId val="{00000001-A036-40E0-92B5-797B53BF8FF2}"/>
            </c:ext>
          </c:extLst>
        </c:ser>
        <c:ser>
          <c:idx val="2"/>
          <c:order val="2"/>
          <c:tx>
            <c:strRef>
              <c:f>Calculations!$AB$20</c:f>
              <c:strCache>
                <c:ptCount val="1"/>
                <c:pt idx="0">
                  <c:v>lc</c:v>
                </c:pt>
              </c:strCache>
            </c:strRef>
          </c:tx>
          <c:spPr>
            <a:ln w="19050" cap="rnd">
              <a:solidFill>
                <a:srgbClr val="C0000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Calculations!$AB$21:$AB$421</c:f>
              <c:numCache>
                <c:formatCode>General</c:formatCode>
                <c:ptCount val="401"/>
                <c:pt idx="0">
                  <c:v>0</c:v>
                </c:pt>
                <c:pt idx="1">
                  <c:v>0</c:v>
                </c:pt>
                <c:pt idx="2">
                  <c:v>0</c:v>
                </c:pt>
                <c:pt idx="3">
                  <c:v>0</c:v>
                </c:pt>
                <c:pt idx="4">
                  <c:v>0</c:v>
                </c:pt>
                <c:pt idx="5">
                  <c:v>0</c:v>
                </c:pt>
                <c:pt idx="6">
                  <c:v>0</c:v>
                </c:pt>
                <c:pt idx="7">
                  <c:v>0</c:v>
                </c:pt>
                <c:pt idx="8">
                  <c:v>0</c:v>
                </c:pt>
                <c:pt idx="9">
                  <c:v>0</c:v>
                </c:pt>
                <c:pt idx="10">
                  <c:v>4.9520940416808708E-7</c:v>
                </c:pt>
                <c:pt idx="11">
                  <c:v>5.9642417378688782E-7</c:v>
                </c:pt>
                <c:pt idx="12">
                  <c:v>6.9535299850601866E-7</c:v>
                </c:pt>
                <c:pt idx="13">
                  <c:v>8.0692630576150335E-7</c:v>
                </c:pt>
                <c:pt idx="14">
                  <c:v>9.6257031470557167E-7</c:v>
                </c:pt>
                <c:pt idx="15">
                  <c:v>1.197399909330378E-6</c:v>
                </c:pt>
                <c:pt idx="16">
                  <c:v>1.552764493342436E-6</c:v>
                </c:pt>
                <c:pt idx="17">
                  <c:v>2.0704576476810612E-6</c:v>
                </c:pt>
                <c:pt idx="18">
                  <c:v>2.7363815297454563E-6</c:v>
                </c:pt>
                <c:pt idx="19">
                  <c:v>3.5619410414239936E-6</c:v>
                </c:pt>
                <c:pt idx="20">
                  <c:v>4.5601712776432164E-6</c:v>
                </c:pt>
                <c:pt idx="21">
                  <c:v>5.6626768737948187E-6</c:v>
                </c:pt>
                <c:pt idx="22">
                  <c:v>6.7462139463152084E-6</c:v>
                </c:pt>
                <c:pt idx="23">
                  <c:v>7.75459790489161E-6</c:v>
                </c:pt>
                <c:pt idx="24">
                  <c:v>8.8997655933585854E-6</c:v>
                </c:pt>
                <c:pt idx="25">
                  <c:v>9.9921027185730512E-6</c:v>
                </c:pt>
                <c:pt idx="26">
                  <c:v>1.1207060137393059E-5</c:v>
                </c:pt>
                <c:pt idx="27">
                  <c:v>1.2792122720940341E-5</c:v>
                </c:pt>
                <c:pt idx="28">
                  <c:v>1.4725256290757709E-5</c:v>
                </c:pt>
                <c:pt idx="29">
                  <c:v>1.6888508903751596E-5</c:v>
                </c:pt>
                <c:pt idx="30">
                  <c:v>1.9125848733318402E-5</c:v>
                </c:pt>
                <c:pt idx="31">
                  <c:v>2.1486880153341821E-5</c:v>
                </c:pt>
                <c:pt idx="32">
                  <c:v>2.3967360822292024E-5</c:v>
                </c:pt>
                <c:pt idx="33">
                  <c:v>2.6576596094210719E-5</c:v>
                </c:pt>
                <c:pt idx="34">
                  <c:v>2.9185423905361533E-5</c:v>
                </c:pt>
                <c:pt idx="35">
                  <c:v>3.1942859407942495E-5</c:v>
                </c:pt>
                <c:pt idx="36">
                  <c:v>3.4788250441797061E-5</c:v>
                </c:pt>
                <c:pt idx="37">
                  <c:v>3.6933035932882572E-5</c:v>
                </c:pt>
                <c:pt idx="38">
                  <c:v>3.9056719455753802E-5</c:v>
                </c:pt>
                <c:pt idx="39">
                  <c:v>4.1877017905627399E-5</c:v>
                </c:pt>
                <c:pt idx="40">
                  <c:v>4.4915419355632088E-5</c:v>
                </c:pt>
                <c:pt idx="41">
                  <c:v>4.7795910009948498E-5</c:v>
                </c:pt>
                <c:pt idx="42">
                  <c:v>5.0505368631944162E-5</c:v>
                </c:pt>
                <c:pt idx="43">
                  <c:v>5.2917694863088667E-5</c:v>
                </c:pt>
                <c:pt idx="44">
                  <c:v>5.5182274819862018E-5</c:v>
                </c:pt>
                <c:pt idx="45">
                  <c:v>5.748780883340785E-5</c:v>
                </c:pt>
                <c:pt idx="46">
                  <c:v>5.9397665944379909E-5</c:v>
                </c:pt>
                <c:pt idx="47">
                  <c:v>6.0997218932730525E-5</c:v>
                </c:pt>
                <c:pt idx="48">
                  <c:v>6.2020668390737769E-5</c:v>
                </c:pt>
                <c:pt idx="49">
                  <c:v>6.2348050868983796E-5</c:v>
                </c:pt>
                <c:pt idx="50">
                  <c:v>6.3444586289969072E-5</c:v>
                </c:pt>
                <c:pt idx="51">
                  <c:v>6.7291378404740569E-5</c:v>
                </c:pt>
                <c:pt idx="52">
                  <c:v>7.3413099479840364E-5</c:v>
                </c:pt>
                <c:pt idx="53">
                  <c:v>8.0287767558054739E-5</c:v>
                </c:pt>
                <c:pt idx="54">
                  <c:v>8.6804097138597937E-5</c:v>
                </c:pt>
                <c:pt idx="55">
                  <c:v>9.240126721966069E-5</c:v>
                </c:pt>
                <c:pt idx="56">
                  <c:v>9.6430027813746189E-5</c:v>
                </c:pt>
                <c:pt idx="57">
                  <c:v>9.9985817947405485E-5</c:v>
                </c:pt>
                <c:pt idx="58">
                  <c:v>1.0434912882959025E-4</c:v>
                </c:pt>
                <c:pt idx="59">
                  <c:v>1.0927101892943322E-4</c:v>
                </c:pt>
                <c:pt idx="60">
                  <c:v>1.1534498010305611E-4</c:v>
                </c:pt>
                <c:pt idx="61">
                  <c:v>1.2263619207468257E-4</c:v>
                </c:pt>
                <c:pt idx="62">
                  <c:v>1.2908596706338044E-4</c:v>
                </c:pt>
                <c:pt idx="63">
                  <c:v>1.3339549562395195E-4</c:v>
                </c:pt>
                <c:pt idx="64">
                  <c:v>1.3580791134648013E-4</c:v>
                </c:pt>
                <c:pt idx="65">
                  <c:v>1.3935379643383809E-4</c:v>
                </c:pt>
                <c:pt idx="66">
                  <c:v>1.4420656718878045E-4</c:v>
                </c:pt>
                <c:pt idx="67">
                  <c:v>1.4969398083765126E-4</c:v>
                </c:pt>
                <c:pt idx="68">
                  <c:v>1.565221423937078E-4</c:v>
                </c:pt>
                <c:pt idx="69">
                  <c:v>1.6354249094519766E-4</c:v>
                </c:pt>
                <c:pt idx="70">
                  <c:v>1.7064985061889212E-4</c:v>
                </c:pt>
                <c:pt idx="71">
                  <c:v>1.7694313517514234E-4</c:v>
                </c:pt>
                <c:pt idx="72">
                  <c:v>1.8033022705177504E-4</c:v>
                </c:pt>
                <c:pt idx="73">
                  <c:v>1.8242921095282933E-4</c:v>
                </c:pt>
                <c:pt idx="74">
                  <c:v>1.8547976123309433E-4</c:v>
                </c:pt>
                <c:pt idx="75">
                  <c:v>1.9105329658980678E-4</c:v>
                </c:pt>
                <c:pt idx="76">
                  <c:v>1.9713878565347587E-4</c:v>
                </c:pt>
                <c:pt idx="77">
                  <c:v>2.0377691500662819E-4</c:v>
                </c:pt>
                <c:pt idx="78">
                  <c:v>2.0998892538829552E-4</c:v>
                </c:pt>
                <c:pt idx="79">
                  <c:v>2.1620358301507631E-4</c:v>
                </c:pt>
                <c:pt idx="80">
                  <c:v>2.2343747150604669E-4</c:v>
                </c:pt>
                <c:pt idx="81">
                  <c:v>2.3229853332596713E-4</c:v>
                </c:pt>
                <c:pt idx="82">
                  <c:v>2.3996741493398187E-4</c:v>
                </c:pt>
                <c:pt idx="83">
                  <c:v>2.4854351419128774E-4</c:v>
                </c:pt>
                <c:pt idx="84">
                  <c:v>2.5549849953622038E-4</c:v>
                </c:pt>
                <c:pt idx="85">
                  <c:v>2.6306347114912434E-4</c:v>
                </c:pt>
                <c:pt idx="86">
                  <c:v>2.6985642709492368E-4</c:v>
                </c:pt>
                <c:pt idx="87">
                  <c:v>2.7648907847551812E-4</c:v>
                </c:pt>
                <c:pt idx="88">
                  <c:v>2.8440861594933802E-4</c:v>
                </c:pt>
                <c:pt idx="89">
                  <c:v>2.9378171346831981E-4</c:v>
                </c:pt>
                <c:pt idx="90">
                  <c:v>3.0175643562872881E-4</c:v>
                </c:pt>
                <c:pt idx="91">
                  <c:v>3.0900837238193631E-4</c:v>
                </c:pt>
                <c:pt idx="92">
                  <c:v>3.1712832555889589E-4</c:v>
                </c:pt>
                <c:pt idx="93">
                  <c:v>3.2790250817554595E-4</c:v>
                </c:pt>
                <c:pt idx="94">
                  <c:v>3.3905510435695569E-4</c:v>
                </c:pt>
                <c:pt idx="95">
                  <c:v>3.506559173821755E-4</c:v>
                </c:pt>
                <c:pt idx="96">
                  <c:v>3.6003602422626969E-4</c:v>
                </c:pt>
                <c:pt idx="97">
                  <c:v>3.7167366370568339E-4</c:v>
                </c:pt>
                <c:pt idx="98">
                  <c:v>3.8380769539038016E-4</c:v>
                </c:pt>
                <c:pt idx="99">
                  <c:v>3.974522066397883E-4</c:v>
                </c:pt>
                <c:pt idx="100">
                  <c:v>4.1064196167502694E-4</c:v>
                </c:pt>
                <c:pt idx="101">
                  <c:v>4.2111445333974394E-4</c:v>
                </c:pt>
                <c:pt idx="102">
                  <c:v>4.3290121846071894E-4</c:v>
                </c:pt>
                <c:pt idx="103">
                  <c:v>4.4139080104821192E-4</c:v>
                </c:pt>
                <c:pt idx="104">
                  <c:v>4.4373977487918964E-4</c:v>
                </c:pt>
                <c:pt idx="105">
                  <c:v>4.4290084565480386E-4</c:v>
                </c:pt>
                <c:pt idx="106">
                  <c:v>4.4609797282203274E-4</c:v>
                </c:pt>
                <c:pt idx="107">
                  <c:v>4.5655271619562862E-4</c:v>
                </c:pt>
                <c:pt idx="108">
                  <c:v>4.7255180073687718E-4</c:v>
                </c:pt>
                <c:pt idx="109">
                  <c:v>4.9351608220820557E-4</c:v>
                </c:pt>
                <c:pt idx="110">
                  <c:v>5.1455909609884561E-4</c:v>
                </c:pt>
                <c:pt idx="111">
                  <c:v>5.3443847202941581E-4</c:v>
                </c:pt>
                <c:pt idx="112">
                  <c:v>5.5126847156669178E-4</c:v>
                </c:pt>
                <c:pt idx="113">
                  <c:v>5.6901007333109706E-4</c:v>
                </c:pt>
                <c:pt idx="114">
                  <c:v>5.9058066142468721E-4</c:v>
                </c:pt>
                <c:pt idx="115">
                  <c:v>6.109256275262881E-4</c:v>
                </c:pt>
                <c:pt idx="116">
                  <c:v>6.3128519222227541E-4</c:v>
                </c:pt>
                <c:pt idx="117">
                  <c:v>6.463358280841279E-4</c:v>
                </c:pt>
                <c:pt idx="118">
                  <c:v>6.5940115010029948E-4</c:v>
                </c:pt>
                <c:pt idx="119">
                  <c:v>6.7047129922005711E-4</c:v>
                </c:pt>
                <c:pt idx="120">
                  <c:v>6.7954274578325492E-4</c:v>
                </c:pt>
                <c:pt idx="121">
                  <c:v>6.9061105508015825E-4</c:v>
                </c:pt>
                <c:pt idx="122">
                  <c:v>7.0589953304157904E-4</c:v>
                </c:pt>
                <c:pt idx="123">
                  <c:v>7.2570569602139893E-4</c:v>
                </c:pt>
                <c:pt idx="124">
                  <c:v>7.4812476741947028E-4</c:v>
                </c:pt>
                <c:pt idx="125">
                  <c:v>7.7327268607271674E-4</c:v>
                </c:pt>
                <c:pt idx="126">
                  <c:v>7.9891797683689686E-4</c:v>
                </c:pt>
                <c:pt idx="127">
                  <c:v>8.2259499711439046E-4</c:v>
                </c:pt>
                <c:pt idx="128">
                  <c:v>8.4404907142641755E-4</c:v>
                </c:pt>
                <c:pt idx="129">
                  <c:v>8.6814117673778847E-4</c:v>
                </c:pt>
                <c:pt idx="130">
                  <c:v>8.8976354984530407E-4</c:v>
                </c:pt>
                <c:pt idx="131">
                  <c:v>9.1136750472619829E-4</c:v>
                </c:pt>
                <c:pt idx="132">
                  <c:v>9.2743872232217445E-4</c:v>
                </c:pt>
                <c:pt idx="133">
                  <c:v>9.3760084887014141E-4</c:v>
                </c:pt>
                <c:pt idx="134">
                  <c:v>9.444062886139504E-4</c:v>
                </c:pt>
                <c:pt idx="135">
                  <c:v>9.4769861161532389E-4</c:v>
                </c:pt>
                <c:pt idx="136">
                  <c:v>9.4725827401286869E-4</c:v>
                </c:pt>
                <c:pt idx="137">
                  <c:v>9.5522006241859786E-4</c:v>
                </c:pt>
                <c:pt idx="138">
                  <c:v>9.7518943468393967E-4</c:v>
                </c:pt>
                <c:pt idx="139">
                  <c:v>1.0077449701008736E-3</c:v>
                </c:pt>
                <c:pt idx="140">
                  <c:v>1.0432581357448078E-3</c:v>
                </c:pt>
                <c:pt idx="141">
                  <c:v>1.0746975236290929E-3</c:v>
                </c:pt>
                <c:pt idx="142">
                  <c:v>1.1018549288005792E-3</c:v>
                </c:pt>
                <c:pt idx="143">
                  <c:v>1.1246622128199136E-3</c:v>
                </c:pt>
                <c:pt idx="144">
                  <c:v>1.139460657963745E-3</c:v>
                </c:pt>
                <c:pt idx="145">
                  <c:v>1.1460925894136577E-3</c:v>
                </c:pt>
                <c:pt idx="146">
                  <c:v>1.151879932184092E-3</c:v>
                </c:pt>
                <c:pt idx="147">
                  <c:v>1.1644678201696093E-3</c:v>
                </c:pt>
                <c:pt idx="148">
                  <c:v>1.1803504709215892E-3</c:v>
                </c:pt>
                <c:pt idx="149">
                  <c:v>1.1996969481618696E-3</c:v>
                </c:pt>
                <c:pt idx="150">
                  <c:v>1.2226772755198725E-3</c:v>
                </c:pt>
                <c:pt idx="151">
                  <c:v>1.2335204714916314E-3</c:v>
                </c:pt>
                <c:pt idx="152">
                  <c:v>1.2360368392052279E-3</c:v>
                </c:pt>
                <c:pt idx="153">
                  <c:v>1.2424469320146893E-3</c:v>
                </c:pt>
                <c:pt idx="154">
                  <c:v>1.2572822236107876E-3</c:v>
                </c:pt>
                <c:pt idx="155">
                  <c:v>1.276916628128226E-3</c:v>
                </c:pt>
                <c:pt idx="156">
                  <c:v>1.2931944358328422E-3</c:v>
                </c:pt>
                <c:pt idx="157">
                  <c:v>1.3056515664082301E-3</c:v>
                </c:pt>
                <c:pt idx="158">
                  <c:v>1.3093262725921552E-3</c:v>
                </c:pt>
                <c:pt idx="159">
                  <c:v>1.3078308915736873E-3</c:v>
                </c:pt>
                <c:pt idx="160">
                  <c:v>1.3050003641087101E-3</c:v>
                </c:pt>
                <c:pt idx="161">
                  <c:v>1.3139567067545969E-3</c:v>
                </c:pt>
                <c:pt idx="162">
                  <c:v>1.3259217147136046E-3</c:v>
                </c:pt>
                <c:pt idx="163">
                  <c:v>1.3409802298168074E-3</c:v>
                </c:pt>
                <c:pt idx="164">
                  <c:v>1.3499773935322674E-3</c:v>
                </c:pt>
                <c:pt idx="165">
                  <c:v>1.3481604934709995E-3</c:v>
                </c:pt>
                <c:pt idx="166">
                  <c:v>1.3447955974572631E-3</c:v>
                </c:pt>
                <c:pt idx="167">
                  <c:v>1.3450608919135976E-3</c:v>
                </c:pt>
                <c:pt idx="168">
                  <c:v>1.3449218353025528E-3</c:v>
                </c:pt>
                <c:pt idx="169">
                  <c:v>1.344977119979507E-3</c:v>
                </c:pt>
                <c:pt idx="170">
                  <c:v>1.3505435740180389E-3</c:v>
                </c:pt>
                <c:pt idx="171">
                  <c:v>1.3526094401078177E-3</c:v>
                </c:pt>
                <c:pt idx="172">
                  <c:v>1.3602880257814847E-3</c:v>
                </c:pt>
                <c:pt idx="173">
                  <c:v>1.3635074957974544E-3</c:v>
                </c:pt>
                <c:pt idx="174">
                  <c:v>1.3664542070757663E-3</c:v>
                </c:pt>
                <c:pt idx="175">
                  <c:v>1.363706411645006E-3</c:v>
                </c:pt>
                <c:pt idx="176">
                  <c:v>1.3596537068563648E-3</c:v>
                </c:pt>
                <c:pt idx="177">
                  <c:v>1.3495859562214904E-3</c:v>
                </c:pt>
                <c:pt idx="178">
                  <c:v>1.3337854175634095E-3</c:v>
                </c:pt>
                <c:pt idx="179">
                  <c:v>1.3223721714784625E-3</c:v>
                </c:pt>
                <c:pt idx="180">
                  <c:v>1.3206250846952861E-3</c:v>
                </c:pt>
                <c:pt idx="181">
                  <c:v>1.318966479392733E-3</c:v>
                </c:pt>
                <c:pt idx="182">
                  <c:v>1.3123656399491601E-3</c:v>
                </c:pt>
                <c:pt idx="183">
                  <c:v>1.3055969666653212E-3</c:v>
                </c:pt>
                <c:pt idx="184">
                  <c:v>1.3034869348280123E-3</c:v>
                </c:pt>
                <c:pt idx="185">
                  <c:v>1.2959479207158089E-3</c:v>
                </c:pt>
                <c:pt idx="186">
                  <c:v>1.2878261927097359E-3</c:v>
                </c:pt>
                <c:pt idx="187">
                  <c:v>1.2741008492431918E-3</c:v>
                </c:pt>
                <c:pt idx="188">
                  <c:v>1.2597678242867623E-3</c:v>
                </c:pt>
                <c:pt idx="189">
                  <c:v>1.2498359105729373E-3</c:v>
                </c:pt>
                <c:pt idx="190">
                  <c:v>1.2393139936670867E-3</c:v>
                </c:pt>
                <c:pt idx="191">
                  <c:v>1.2331707901604089E-3</c:v>
                </c:pt>
                <c:pt idx="192">
                  <c:v>1.2262546610742374E-3</c:v>
                </c:pt>
                <c:pt idx="193">
                  <c:v>1.2183914131806146E-3</c:v>
                </c:pt>
                <c:pt idx="194">
                  <c:v>1.214367675602892E-3</c:v>
                </c:pt>
                <c:pt idx="195">
                  <c:v>1.1991587949775145E-3</c:v>
                </c:pt>
                <c:pt idx="196">
                  <c:v>1.1827129184552639E-3</c:v>
                </c:pt>
                <c:pt idx="197">
                  <c:v>1.1655517208071222E-3</c:v>
                </c:pt>
                <c:pt idx="198">
                  <c:v>1.1531417706890095E-3</c:v>
                </c:pt>
                <c:pt idx="199">
                  <c:v>1.1556003339682601E-3</c:v>
                </c:pt>
                <c:pt idx="200">
                  <c:v>1.1636647724904009E-3</c:v>
                </c:pt>
                <c:pt idx="201">
                  <c:v>1.172893788882115E-3</c:v>
                </c:pt>
                <c:pt idx="202">
                  <c:v>1.178179199980629E-3</c:v>
                </c:pt>
                <c:pt idx="203">
                  <c:v>1.1837435242242288E-3</c:v>
                </c:pt>
                <c:pt idx="204">
                  <c:v>1.1795764254499217E-3</c:v>
                </c:pt>
                <c:pt idx="205">
                  <c:v>1.1652162481078337E-3</c:v>
                </c:pt>
                <c:pt idx="206">
                  <c:v>1.1450515996444975E-3</c:v>
                </c:pt>
                <c:pt idx="207">
                  <c:v>1.1145930823179011E-3</c:v>
                </c:pt>
                <c:pt idx="208">
                  <c:v>1.0834536555521031E-3</c:v>
                </c:pt>
                <c:pt idx="209">
                  <c:v>1.0564102794014228E-3</c:v>
                </c:pt>
                <c:pt idx="210">
                  <c:v>1.0380635359026017E-3</c:v>
                </c:pt>
                <c:pt idx="211">
                  <c:v>1.0283056404335753E-3</c:v>
                </c:pt>
                <c:pt idx="212">
                  <c:v>1.0269132644973454E-3</c:v>
                </c:pt>
                <c:pt idx="213">
                  <c:v>1.0204221894851925E-3</c:v>
                </c:pt>
                <c:pt idx="214">
                  <c:v>1.0046308399423449E-3</c:v>
                </c:pt>
                <c:pt idx="215">
                  <c:v>9.8845057784563276E-4</c:v>
                </c:pt>
                <c:pt idx="216">
                  <c:v>9.7615481173340306E-4</c:v>
                </c:pt>
                <c:pt idx="217">
                  <c:v>9.5926306314158519E-4</c:v>
                </c:pt>
                <c:pt idx="218">
                  <c:v>9.4214436640127576E-4</c:v>
                </c:pt>
                <c:pt idx="219">
                  <c:v>9.2486784985652511E-4</c:v>
                </c:pt>
                <c:pt idx="220">
                  <c:v>9.1151359066043503E-4</c:v>
                </c:pt>
                <c:pt idx="221">
                  <c:v>8.9402980907202125E-4</c:v>
                </c:pt>
                <c:pt idx="222">
                  <c:v>8.764233642941403E-4</c:v>
                </c:pt>
                <c:pt idx="223">
                  <c:v>8.662774211879602E-4</c:v>
                </c:pt>
                <c:pt idx="224">
                  <c:v>8.555941198208878E-4</c:v>
                </c:pt>
                <c:pt idx="225">
                  <c:v>8.4429390785253986E-4</c:v>
                </c:pt>
                <c:pt idx="226">
                  <c:v>8.2869450982780307E-4</c:v>
                </c:pt>
                <c:pt idx="227">
                  <c:v>8.0906927442752361E-4</c:v>
                </c:pt>
                <c:pt idx="228">
                  <c:v>7.8921884071027251E-4</c:v>
                </c:pt>
                <c:pt idx="229">
                  <c:v>7.6923355997666294E-4</c:v>
                </c:pt>
                <c:pt idx="230">
                  <c:v>7.4585315114017794E-4</c:v>
                </c:pt>
                <c:pt idx="231">
                  <c:v>7.259111762369019E-4</c:v>
                </c:pt>
                <c:pt idx="232">
                  <c:v>7.0600381800058824E-4</c:v>
                </c:pt>
                <c:pt idx="233">
                  <c:v>6.8614143543382282E-4</c:v>
                </c:pt>
                <c:pt idx="234">
                  <c:v>6.6937245002184986E-4</c:v>
                </c:pt>
                <c:pt idx="235">
                  <c:v>6.4954401918607596E-4</c:v>
                </c:pt>
                <c:pt idx="236">
                  <c:v>6.2980348988677455E-4</c:v>
                </c:pt>
                <c:pt idx="237">
                  <c:v>6.1305834217960766E-4</c:v>
                </c:pt>
                <c:pt idx="238">
                  <c:v>5.9917886855335664E-4</c:v>
                </c:pt>
                <c:pt idx="239">
                  <c:v>5.8537353778832118E-4</c:v>
                </c:pt>
                <c:pt idx="240">
                  <c:v>5.7172609682100103E-4</c:v>
                </c:pt>
                <c:pt idx="241">
                  <c:v>5.557537547048806E-4</c:v>
                </c:pt>
                <c:pt idx="242">
                  <c:v>5.3506622158706288E-4</c:v>
                </c:pt>
                <c:pt idx="243">
                  <c:v>5.1464840749956917E-4</c:v>
                </c:pt>
                <c:pt idx="244">
                  <c:v>4.9204134420214457E-4</c:v>
                </c:pt>
                <c:pt idx="245">
                  <c:v>4.7178707436792652E-4</c:v>
                </c:pt>
                <c:pt idx="246">
                  <c:v>4.4931405316436861E-4</c:v>
                </c:pt>
                <c:pt idx="247">
                  <c:v>4.2915972370747332E-4</c:v>
                </c:pt>
                <c:pt idx="248">
                  <c:v>4.0928409241635749E-4</c:v>
                </c:pt>
                <c:pt idx="249">
                  <c:v>3.8984629396886082E-4</c:v>
                </c:pt>
                <c:pt idx="250">
                  <c:v>3.746694452593093E-4</c:v>
                </c:pt>
                <c:pt idx="251">
                  <c:v>3.616367800987995E-4</c:v>
                </c:pt>
                <c:pt idx="252">
                  <c:v>3.5056691595160392E-4</c:v>
                </c:pt>
                <c:pt idx="253">
                  <c:v>3.3964065797740546E-4</c:v>
                </c:pt>
                <c:pt idx="254">
                  <c:v>3.2887978407933669E-4</c:v>
                </c:pt>
                <c:pt idx="255">
                  <c:v>3.1680287689445313E-4</c:v>
                </c:pt>
                <c:pt idx="256">
                  <c:v>3.0505664787049369E-4</c:v>
                </c:pt>
                <c:pt idx="257">
                  <c:v>2.9365825535538378E-4</c:v>
                </c:pt>
                <c:pt idx="258">
                  <c:v>2.8262184798682766E-4</c:v>
                </c:pt>
                <c:pt idx="259">
                  <c:v>2.6942864328373845E-4</c:v>
                </c:pt>
                <c:pt idx="260">
                  <c:v>2.580416946667604E-4</c:v>
                </c:pt>
                <c:pt idx="261">
                  <c:v>2.4712117114042436E-4</c:v>
                </c:pt>
                <c:pt idx="262">
                  <c:v>2.3657549152254968E-4</c:v>
                </c:pt>
                <c:pt idx="263">
                  <c:v>2.2524527244341316E-4</c:v>
                </c:pt>
                <c:pt idx="264">
                  <c:v>2.1522287744150779E-4</c:v>
                </c:pt>
                <c:pt idx="265">
                  <c:v>2.0436547283781884E-4</c:v>
                </c:pt>
                <c:pt idx="266">
                  <c:v>1.9277871345945574E-4</c:v>
                </c:pt>
                <c:pt idx="267">
                  <c:v>1.8240051771553411E-4</c:v>
                </c:pt>
                <c:pt idx="268">
                  <c:v>1.7148775844162302E-4</c:v>
                </c:pt>
                <c:pt idx="269">
                  <c:v>1.6179604660016095E-4</c:v>
                </c:pt>
                <c:pt idx="270">
                  <c:v>1.5323197118514848E-4</c:v>
                </c:pt>
                <c:pt idx="271">
                  <c:v>1.4570007138795148E-4</c:v>
                </c:pt>
                <c:pt idx="272">
                  <c:v>1.3775953593590432E-4</c:v>
                </c:pt>
                <c:pt idx="273">
                  <c:v>1.2953010330008641E-4</c:v>
                </c:pt>
                <c:pt idx="274">
                  <c:v>1.1992816781458021E-4</c:v>
                </c:pt>
                <c:pt idx="275">
                  <c:v>1.1037461267081389E-4</c:v>
                </c:pt>
                <c:pt idx="276">
                  <c:v>1.0306615635954425E-4</c:v>
                </c:pt>
                <c:pt idx="277">
                  <c:v>9.7693393671599498E-5</c:v>
                </c:pt>
                <c:pt idx="278">
                  <c:v>9.3502239213474008E-5</c:v>
                </c:pt>
                <c:pt idx="279">
                  <c:v>9.0319604650835979E-5</c:v>
                </c:pt>
                <c:pt idx="280">
                  <c:v>8.6732618520857452E-5</c:v>
                </c:pt>
                <c:pt idx="281">
                  <c:v>8.2034165407568062E-5</c:v>
                </c:pt>
                <c:pt idx="282">
                  <c:v>7.7551597007995005E-5</c:v>
                </c:pt>
                <c:pt idx="283">
                  <c:v>7.2580123682232926E-5</c:v>
                </c:pt>
                <c:pt idx="284">
                  <c:v>6.8222631239824028E-5</c:v>
                </c:pt>
                <c:pt idx="285">
                  <c:v>6.4405926728091921E-5</c:v>
                </c:pt>
                <c:pt idx="286">
                  <c:v>6.0484732777040129E-5</c:v>
                </c:pt>
                <c:pt idx="287">
                  <c:v>5.7047937186089291E-5</c:v>
                </c:pt>
                <c:pt idx="288">
                  <c:v>5.3270120430081357E-5</c:v>
                </c:pt>
                <c:pt idx="289">
                  <c:v>4.9478172034726962E-5</c:v>
                </c:pt>
                <c:pt idx="290">
                  <c:v>4.6377196609606146E-5</c:v>
                </c:pt>
                <c:pt idx="291">
                  <c:v>4.3238429823195768E-5</c:v>
                </c:pt>
                <c:pt idx="292">
                  <c:v>4.0486534787155571E-5</c:v>
                </c:pt>
                <c:pt idx="293">
                  <c:v>3.7889227866725267E-5</c:v>
                </c:pt>
                <c:pt idx="294">
                  <c:v>3.5438681815544861E-5</c:v>
                </c:pt>
                <c:pt idx="295">
                  <c:v>3.2966975801734252E-5</c:v>
                </c:pt>
                <c:pt idx="296">
                  <c:v>3.0799207023575692E-5</c:v>
                </c:pt>
                <c:pt idx="297">
                  <c:v>2.8758116048348629E-5</c:v>
                </c:pt>
                <c:pt idx="298">
                  <c:v>2.6838168408934689E-5</c:v>
                </c:pt>
                <c:pt idx="299">
                  <c:v>2.5034239598742794E-5</c:v>
                </c:pt>
                <c:pt idx="300">
                  <c:v>2.3227039603514132E-5</c:v>
                </c:pt>
                <c:pt idx="301">
                  <c:v>2.1646191814148856E-5</c:v>
                </c:pt>
                <c:pt idx="302">
                  <c:v>2.0062486799889212E-5</c:v>
                </c:pt>
                <c:pt idx="303">
                  <c:v>1.8396828676417581E-5</c:v>
                </c:pt>
                <c:pt idx="304">
                  <c:v>1.6679863992955953E-5</c:v>
                </c:pt>
                <c:pt idx="305">
                  <c:v>1.4620980230892797E-5</c:v>
                </c:pt>
                <c:pt idx="306">
                  <c:v>1.2609351918877329E-5</c:v>
                </c:pt>
                <c:pt idx="307">
                  <c:v>1.0872406659229125E-5</c:v>
                </c:pt>
                <c:pt idx="308">
                  <c:v>9.6361761886675278E-6</c:v>
                </c:pt>
                <c:pt idx="309">
                  <c:v>9.0535582855551719E-6</c:v>
                </c:pt>
                <c:pt idx="310">
                  <c:v>8.8381120296214846E-6</c:v>
                </c:pt>
                <c:pt idx="311">
                  <c:v>8.6158754274907115E-6</c:v>
                </c:pt>
                <c:pt idx="312">
                  <c:v>8.2466759755575797E-6</c:v>
                </c:pt>
                <c:pt idx="313">
                  <c:v>7.8476515452980465E-6</c:v>
                </c:pt>
                <c:pt idx="314">
                  <c:v>7.4255766344351668E-6</c:v>
                </c:pt>
                <c:pt idx="315">
                  <c:v>6.9862949303142894E-6</c:v>
                </c:pt>
                <c:pt idx="316">
                  <c:v>6.5706357517178808E-6</c:v>
                </c:pt>
                <c:pt idx="317">
                  <c:v>6.1775739973469874E-6</c:v>
                </c:pt>
                <c:pt idx="318">
                  <c:v>5.7758697751090388E-6</c:v>
                </c:pt>
                <c:pt idx="319">
                  <c:v>5.3428215708007299E-6</c:v>
                </c:pt>
                <c:pt idx="320">
                  <c:v>4.9419996136146101E-6</c:v>
                </c:pt>
                <c:pt idx="321">
                  <c:v>4.571188766833309E-6</c:v>
                </c:pt>
                <c:pt idx="322">
                  <c:v>4.2733426447032444E-6</c:v>
                </c:pt>
                <c:pt idx="323">
                  <c:v>4.0149940195890327E-6</c:v>
                </c:pt>
                <c:pt idx="324">
                  <c:v>3.7505428820502276E-6</c:v>
                </c:pt>
                <c:pt idx="325">
                  <c:v>3.5014091196905015E-6</c:v>
                </c:pt>
                <c:pt idx="326">
                  <c:v>3.2665366841905986E-6</c:v>
                </c:pt>
                <c:pt idx="327">
                  <c:v>3.0613356418049077E-6</c:v>
                </c:pt>
                <c:pt idx="328">
                  <c:v>2.8381795282085446E-6</c:v>
                </c:pt>
                <c:pt idx="329">
                  <c:v>2.6169534787775357E-6</c:v>
                </c:pt>
                <c:pt idx="330">
                  <c:v>2.4250720539233803E-6</c:v>
                </c:pt>
                <c:pt idx="331">
                  <c:v>2.258864007129043E-6</c:v>
                </c:pt>
                <c:pt idx="332">
                  <c:v>2.082616876939631E-6</c:v>
                </c:pt>
                <c:pt idx="333">
                  <c:v>1.9204966865493887E-6</c:v>
                </c:pt>
                <c:pt idx="334">
                  <c:v>1.743729506432556E-6</c:v>
                </c:pt>
                <c:pt idx="335">
                  <c:v>1.5660320158899022E-6</c:v>
                </c:pt>
                <c:pt idx="336">
                  <c:v>1.36573100170901E-6</c:v>
                </c:pt>
                <c:pt idx="337">
                  <c:v>1.1866217470969021E-6</c:v>
                </c:pt>
                <c:pt idx="338">
                  <c:v>1.0470803827228896E-6</c:v>
                </c:pt>
                <c:pt idx="339">
                  <c:v>9.5989257752930769E-7</c:v>
                </c:pt>
                <c:pt idx="340">
                  <c:v>9.1544185743048719E-7</c:v>
                </c:pt>
                <c:pt idx="341">
                  <c:v>8.7785782617815644E-7</c:v>
                </c:pt>
                <c:pt idx="342">
                  <c:v>8.3068031862583369E-7</c:v>
                </c:pt>
                <c:pt idx="343">
                  <c:v>7.7153333354485177E-7</c:v>
                </c:pt>
                <c:pt idx="344">
                  <c:v>7.0347467151738629E-7</c:v>
                </c:pt>
                <c:pt idx="345">
                  <c:v>6.4551870675998749E-7</c:v>
                </c:pt>
                <c:pt idx="346">
                  <c:v>5.9631888392463599E-7</c:v>
                </c:pt>
                <c:pt idx="347">
                  <c:v>5.5816760728906114E-7</c:v>
                </c:pt>
                <c:pt idx="348">
                  <c:v>5.2258998285149285E-7</c:v>
                </c:pt>
                <c:pt idx="349">
                  <c:v>4.8936442194741358E-7</c:v>
                </c:pt>
                <c:pt idx="350">
                  <c:v>4.6401809239799612E-7</c:v>
                </c:pt>
                <c:pt idx="351">
                  <c:v>4.4518414580911861E-7</c:v>
                </c:pt>
                <c:pt idx="352">
                  <c:v>4.2672015359948712E-7</c:v>
                </c:pt>
                <c:pt idx="353">
                  <c:v>4.08637724651349E-7</c:v>
                </c:pt>
                <c:pt idx="354">
                  <c:v>3.8665137158934719E-7</c:v>
                </c:pt>
                <c:pt idx="355">
                  <c:v>3.6366468484365462E-7</c:v>
                </c:pt>
                <c:pt idx="356">
                  <c:v>3.3820533617619035E-7</c:v>
                </c:pt>
                <c:pt idx="357">
                  <c:v>3.1623930115788248E-7</c:v>
                </c:pt>
                <c:pt idx="358">
                  <c:v>2.9413868909721468E-7</c:v>
                </c:pt>
                <c:pt idx="359">
                  <c:v>2.751961029686065E-7</c:v>
                </c:pt>
                <c:pt idx="360">
                  <c:v>2.5763671865954372E-7</c:v>
                </c:pt>
                <c:pt idx="361">
                  <c:v>2.4009115801948043E-7</c:v>
                </c:pt>
                <c:pt idx="362">
                  <c:v>2.2509505690679463E-7</c:v>
                </c:pt>
                <c:pt idx="363">
                  <c:v>2.111110883417551E-7</c:v>
                </c:pt>
                <c:pt idx="364">
                  <c:v>1.9801449433658311E-7</c:v>
                </c:pt>
                <c:pt idx="365">
                  <c:v>1.8471853452718421E-7</c:v>
                </c:pt>
                <c:pt idx="366">
                  <c:v>1.7134188748668918E-7</c:v>
                </c:pt>
                <c:pt idx="367">
                  <c:v>1.5974619896806155E-7</c:v>
                </c:pt>
                <c:pt idx="368">
                  <c:v>1.4812543786352744E-7</c:v>
                </c:pt>
                <c:pt idx="369">
                  <c:v>1.3735482490317532E-7</c:v>
                </c:pt>
                <c:pt idx="370">
                  <c:v>1.2808351758340757E-7</c:v>
                </c:pt>
                <c:pt idx="371">
                  <c:v>1.1947907105549461E-7</c:v>
                </c:pt>
                <c:pt idx="372">
                  <c:v>1.1149061521742259E-7</c:v>
                </c:pt>
                <c:pt idx="373">
                  <c:v>1.0463259553623105E-7</c:v>
                </c:pt>
                <c:pt idx="374">
                  <c:v>9.7697323293239099E-8</c:v>
                </c:pt>
                <c:pt idx="375">
                  <c:v>9.1735798293791211E-8</c:v>
                </c:pt>
                <c:pt idx="376">
                  <c:v>8.4781129418388167E-8</c:v>
                </c:pt>
                <c:pt idx="377">
                  <c:v>7.4076225131330331E-8</c:v>
                </c:pt>
                <c:pt idx="378">
                  <c:v>5.9616758849199253E-8</c:v>
                </c:pt>
                <c:pt idx="379">
                  <c:v>4.2997695002151018E-8</c:v>
                </c:pt>
                <c:pt idx="380">
                  <c:v>2.8439520624048147E-8</c:v>
                </c:pt>
                <c:pt idx="381">
                  <c:v>1.9652384386264275E-8</c:v>
                </c:pt>
                <c:pt idx="382">
                  <c:v>1.6410863093487235E-8</c:v>
                </c:pt>
                <c:pt idx="383">
                  <c:v>1.7246375196888598E-8</c:v>
                </c:pt>
                <c:pt idx="384">
                  <c:v>1.9985425719652294E-8</c:v>
                </c:pt>
                <c:pt idx="385">
                  <c:v>2.3448873744395731E-8</c:v>
                </c:pt>
                <c:pt idx="386">
                  <c:v>2.7277210636113456E-8</c:v>
                </c:pt>
                <c:pt idx="387">
                  <c:v>3.0328547840609729E-8</c:v>
                </c:pt>
                <c:pt idx="388">
                  <c:v>3.1655779549191614E-8</c:v>
                </c:pt>
                <c:pt idx="389">
                  <c:v>3.173166274284049E-8</c:v>
                </c:pt>
                <c:pt idx="390">
                  <c:v>3.0945076978606573E-8</c:v>
                </c:pt>
                <c:pt idx="391">
                  <c:v>2.9615974450155025E-8</c:v>
                </c:pt>
                <c:pt idx="392">
                  <c:v>2.7698452577178146E-8</c:v>
                </c:pt>
                <c:pt idx="393">
                  <c:v>2.5906854079772185E-8</c:v>
                </c:pt>
                <c:pt idx="394">
                  <c:v>2.4375465028312805E-8</c:v>
                </c:pt>
                <c:pt idx="395">
                  <c:v>2.2818381950781707E-8</c:v>
                </c:pt>
                <c:pt idx="396">
                  <c:v>2.1256095874217119E-8</c:v>
                </c:pt>
                <c:pt idx="397">
                  <c:v>2.0037310723947134E-8</c:v>
                </c:pt>
                <c:pt idx="398">
                  <c:v>1.8895658147030516E-8</c:v>
                </c:pt>
                <c:pt idx="399">
                  <c:v>1.7822423982503094E-8</c:v>
                </c:pt>
                <c:pt idx="400">
                  <c:v>1.6717330385535026E-8</c:v>
                </c:pt>
              </c:numCache>
            </c:numRef>
          </c:yVal>
          <c:smooth val="0"/>
          <c:extLst>
            <c:ext xmlns:c16="http://schemas.microsoft.com/office/drawing/2014/chart" uri="{C3380CC4-5D6E-409C-BE32-E72D297353CC}">
              <c16:uniqueId val="{00000002-A036-40E0-92B5-797B53BF8FF2}"/>
            </c:ext>
          </c:extLst>
        </c:ser>
        <c:ser>
          <c:idx val="3"/>
          <c:order val="3"/>
          <c:tx>
            <c:strRef>
              <c:f>Calculations!$AC$20</c:f>
              <c:strCache>
                <c:ptCount val="1"/>
                <c:pt idx="0">
                  <c:v>rh</c:v>
                </c:pt>
              </c:strCache>
            </c:strRef>
          </c:tx>
          <c:spPr>
            <a:ln w="19050" cap="rnd">
              <a:solidFill>
                <a:srgbClr val="7030A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Calculations!$AC$21:$AC$421</c:f>
              <c:numCache>
                <c:formatCode>General</c:formatCode>
                <c:ptCount val="401"/>
                <c:pt idx="0">
                  <c:v>7.0378723642232672E-7</c:v>
                </c:pt>
                <c:pt idx="1">
                  <c:v>7.3142957490240404E-7</c:v>
                </c:pt>
                <c:pt idx="2">
                  <c:v>7.5944687727939423E-7</c:v>
                </c:pt>
                <c:pt idx="3">
                  <c:v>8.2830024778900475E-7</c:v>
                </c:pt>
                <c:pt idx="4">
                  <c:v>9.5246829237052414E-7</c:v>
                </c:pt>
                <c:pt idx="5">
                  <c:v>1.1245117273092865E-6</c:v>
                </c:pt>
                <c:pt idx="6">
                  <c:v>1.3439505988172554E-6</c:v>
                </c:pt>
                <c:pt idx="7">
                  <c:v>1.6199390254976204E-6</c:v>
                </c:pt>
                <c:pt idx="8">
                  <c:v>1.9346937195996871E-6</c:v>
                </c:pt>
                <c:pt idx="9">
                  <c:v>2.3013784136642289E-6</c:v>
                </c:pt>
                <c:pt idx="10">
                  <c:v>2.6836766043960274E-6</c:v>
                </c:pt>
                <c:pt idx="11">
                  <c:v>3.0561057453612043E-6</c:v>
                </c:pt>
                <c:pt idx="12">
                  <c:v>3.3795246052411458E-6</c:v>
                </c:pt>
                <c:pt idx="13">
                  <c:v>3.7330405672462545E-6</c:v>
                </c:pt>
                <c:pt idx="14">
                  <c:v>4.2538754190891002E-6</c:v>
                </c:pt>
                <c:pt idx="15">
                  <c:v>5.0731115396101917E-6</c:v>
                </c:pt>
                <c:pt idx="16">
                  <c:v>6.3397895785525661E-6</c:v>
                </c:pt>
                <c:pt idx="17">
                  <c:v>8.1667136746622285E-6</c:v>
                </c:pt>
                <c:pt idx="18">
                  <c:v>1.0468992001679039E-5</c:v>
                </c:pt>
                <c:pt idx="19">
                  <c:v>1.3297719639955064E-5</c:v>
                </c:pt>
                <c:pt idx="20">
                  <c:v>1.6673944562903368E-5</c:v>
                </c:pt>
                <c:pt idx="21">
                  <c:v>2.038153758034612E-5</c:v>
                </c:pt>
                <c:pt idx="22">
                  <c:v>2.4002188968892497E-5</c:v>
                </c:pt>
                <c:pt idx="23">
                  <c:v>2.7338917694699869E-5</c:v>
                </c:pt>
                <c:pt idx="24">
                  <c:v>3.1162749520184163E-5</c:v>
                </c:pt>
                <c:pt idx="25">
                  <c:v>3.4814247938649316E-5</c:v>
                </c:pt>
                <c:pt idx="26">
                  <c:v>3.8875456908469891E-5</c:v>
                </c:pt>
                <c:pt idx="27">
                  <c:v>4.4247739642626638E-5</c:v>
                </c:pt>
                <c:pt idx="28">
                  <c:v>5.0909598211030106E-5</c:v>
                </c:pt>
                <c:pt idx="29">
                  <c:v>5.8530914398842903E-5</c:v>
                </c:pt>
                <c:pt idx="30">
                  <c:v>6.6712176672705011E-5</c:v>
                </c:pt>
                <c:pt idx="31">
                  <c:v>7.5767304807108774E-5</c:v>
                </c:pt>
                <c:pt idx="32">
                  <c:v>8.5816237253877832E-5</c:v>
                </c:pt>
                <c:pt idx="33">
                  <c:v>9.6765682995461754E-5</c:v>
                </c:pt>
                <c:pt idx="34">
                  <c:v>1.0817208473941158E-4</c:v>
                </c:pt>
                <c:pt idx="35">
                  <c:v>1.2048639906574201E-4</c:v>
                </c:pt>
                <c:pt idx="36">
                  <c:v>1.3358713767185434E-4</c:v>
                </c:pt>
                <c:pt idx="37">
                  <c:v>1.4424211176639978E-4</c:v>
                </c:pt>
                <c:pt idx="38">
                  <c:v>1.5512106429536507E-4</c:v>
                </c:pt>
                <c:pt idx="39">
                  <c:v>1.6946118356872542E-4</c:v>
                </c:pt>
                <c:pt idx="40">
                  <c:v>1.8545414369965679E-4</c:v>
                </c:pt>
                <c:pt idx="41">
                  <c:v>2.0196455400832186E-4</c:v>
                </c:pt>
                <c:pt idx="42">
                  <c:v>2.1848046378747534E-4</c:v>
                </c:pt>
                <c:pt idx="43">
                  <c:v>2.3462740909207085E-4</c:v>
                </c:pt>
                <c:pt idx="44">
                  <c:v>2.5076785502245241E-4</c:v>
                </c:pt>
                <c:pt idx="45">
                  <c:v>2.6707028535629974E-4</c:v>
                </c:pt>
                <c:pt idx="46">
                  <c:v>2.8120542436601588E-4</c:v>
                </c:pt>
                <c:pt idx="47">
                  <c:v>2.9384970692162589E-4</c:v>
                </c:pt>
                <c:pt idx="48">
                  <c:v>3.0337878942172215E-4</c:v>
                </c:pt>
                <c:pt idx="49">
                  <c:v>3.0906574185816341E-4</c:v>
                </c:pt>
                <c:pt idx="50">
                  <c:v>3.1865031901500269E-4</c:v>
                </c:pt>
                <c:pt idx="51">
                  <c:v>3.4218555294427777E-4</c:v>
                </c:pt>
                <c:pt idx="52">
                  <c:v>3.779091133305226E-4</c:v>
                </c:pt>
                <c:pt idx="53">
                  <c:v>4.1808824471576339E-4</c:v>
                </c:pt>
                <c:pt idx="54">
                  <c:v>4.5672402470133E-4</c:v>
                </c:pt>
                <c:pt idx="55">
                  <c:v>4.9082774105293158E-4</c:v>
                </c:pt>
                <c:pt idx="56">
                  <c:v>5.1651276799114746E-4</c:v>
                </c:pt>
                <c:pt idx="57">
                  <c:v>5.3963004216333742E-4</c:v>
                </c:pt>
                <c:pt idx="58">
                  <c:v>5.6714139325542655E-4</c:v>
                </c:pt>
                <c:pt idx="59">
                  <c:v>5.98252397757839E-4</c:v>
                </c:pt>
                <c:pt idx="60">
                  <c:v>6.3645271967112914E-4</c:v>
                </c:pt>
                <c:pt idx="61">
                  <c:v>6.8233430200054939E-4</c:v>
                </c:pt>
                <c:pt idx="62">
                  <c:v>7.2447374463882879E-4</c:v>
                </c:pt>
                <c:pt idx="63">
                  <c:v>7.5472883155256094E-4</c:v>
                </c:pt>
                <c:pt idx="64">
                  <c:v>7.7383599183528324E-4</c:v>
                </c:pt>
                <c:pt idx="65">
                  <c:v>7.979161732947302E-4</c:v>
                </c:pt>
                <c:pt idx="66">
                  <c:v>8.2816026126749016E-4</c:v>
                </c:pt>
                <c:pt idx="67">
                  <c:v>8.5890730081396804E-4</c:v>
                </c:pt>
                <c:pt idx="68">
                  <c:v>8.9854848399510993E-4</c:v>
                </c:pt>
                <c:pt idx="69">
                  <c:v>9.3685479570326281E-4</c:v>
                </c:pt>
                <c:pt idx="70">
                  <c:v>9.7588103809347515E-4</c:v>
                </c:pt>
                <c:pt idx="71">
                  <c:v>1.0109576607695858E-3</c:v>
                </c:pt>
                <c:pt idx="72">
                  <c:v>1.0297508512826289E-3</c:v>
                </c:pt>
                <c:pt idx="73">
                  <c:v>1.0386999896221738E-3</c:v>
                </c:pt>
                <c:pt idx="74">
                  <c:v>1.0540985069885428E-3</c:v>
                </c:pt>
                <c:pt idx="75">
                  <c:v>1.0797610360929431E-3</c:v>
                </c:pt>
                <c:pt idx="76">
                  <c:v>1.1055335546071034E-3</c:v>
                </c:pt>
                <c:pt idx="77">
                  <c:v>1.1314160625310284E-3</c:v>
                </c:pt>
                <c:pt idx="78">
                  <c:v>1.1519490855257223E-3</c:v>
                </c:pt>
                <c:pt idx="79">
                  <c:v>1.1695873872362916E-3</c:v>
                </c:pt>
                <c:pt idx="80">
                  <c:v>1.1877506384025244E-3</c:v>
                </c:pt>
                <c:pt idx="81">
                  <c:v>1.2136831415127045E-3</c:v>
                </c:pt>
                <c:pt idx="82">
                  <c:v>1.2288016858360445E-3</c:v>
                </c:pt>
                <c:pt idx="83">
                  <c:v>1.2487947608191899E-3</c:v>
                </c:pt>
                <c:pt idx="84">
                  <c:v>1.2595287273080202E-3</c:v>
                </c:pt>
                <c:pt idx="85">
                  <c:v>1.2708776345877781E-3</c:v>
                </c:pt>
                <c:pt idx="86">
                  <c:v>1.2808066785779059E-3</c:v>
                </c:pt>
                <c:pt idx="87">
                  <c:v>1.2902957649290009E-3</c:v>
                </c:pt>
                <c:pt idx="88">
                  <c:v>1.3058742649658815E-3</c:v>
                </c:pt>
                <c:pt idx="89">
                  <c:v>1.3278721469178335E-3</c:v>
                </c:pt>
                <c:pt idx="90">
                  <c:v>1.3451104871383683E-3</c:v>
                </c:pt>
                <c:pt idx="91">
                  <c:v>1.3566943717935149E-3</c:v>
                </c:pt>
                <c:pt idx="92">
                  <c:v>1.3734027630397524E-3</c:v>
                </c:pt>
                <c:pt idx="93">
                  <c:v>1.3985653402816081E-3</c:v>
                </c:pt>
                <c:pt idx="94">
                  <c:v>1.4258127167902732E-3</c:v>
                </c:pt>
                <c:pt idx="95">
                  <c:v>1.4531800817459565E-3</c:v>
                </c:pt>
                <c:pt idx="96">
                  <c:v>1.4675087021264761E-3</c:v>
                </c:pt>
                <c:pt idx="97">
                  <c:v>1.4911464261875738E-3</c:v>
                </c:pt>
                <c:pt idx="98">
                  <c:v>1.5147841502486713E-3</c:v>
                </c:pt>
                <c:pt idx="99">
                  <c:v>1.5423264983562375E-3</c:v>
                </c:pt>
                <c:pt idx="100">
                  <c:v>1.5660242166408403E-3</c:v>
                </c:pt>
                <c:pt idx="101">
                  <c:v>1.5776480974449977E-3</c:v>
                </c:pt>
                <c:pt idx="102">
                  <c:v>1.5929966196251153E-3</c:v>
                </c:pt>
                <c:pt idx="103">
                  <c:v>1.5937465474189305E-3</c:v>
                </c:pt>
                <c:pt idx="104">
                  <c:v>1.5748483670147506E-3</c:v>
                </c:pt>
                <c:pt idx="105">
                  <c:v>1.5444162971416785E-3</c:v>
                </c:pt>
                <c:pt idx="106">
                  <c:v>1.529902694572015E-3</c:v>
                </c:pt>
                <c:pt idx="107">
                  <c:v>1.5406966552843455E-3</c:v>
                </c:pt>
                <c:pt idx="108">
                  <c:v>1.56894893503673E-3</c:v>
                </c:pt>
                <c:pt idx="109">
                  <c:v>1.6090450744127897E-3</c:v>
                </c:pt>
                <c:pt idx="110">
                  <c:v>1.6451216008139869E-3</c:v>
                </c:pt>
                <c:pt idx="111">
                  <c:v>1.6724589686579153E-3</c:v>
                </c:pt>
                <c:pt idx="112">
                  <c:v>1.6843128273188364E-3</c:v>
                </c:pt>
                <c:pt idx="113">
                  <c:v>1.6960766946445087E-3</c:v>
                </c:pt>
                <c:pt idx="114">
                  <c:v>1.717159664688001E-3</c:v>
                </c:pt>
                <c:pt idx="115">
                  <c:v>1.7317582590742964E-3</c:v>
                </c:pt>
                <c:pt idx="116">
                  <c:v>1.7463568534605918E-3</c:v>
                </c:pt>
                <c:pt idx="117">
                  <c:v>1.7446720156838182E-3</c:v>
                </c:pt>
                <c:pt idx="118">
                  <c:v>1.7361328378715649E-3</c:v>
                </c:pt>
                <c:pt idx="119">
                  <c:v>1.7224741529868514E-3</c:v>
                </c:pt>
                <c:pt idx="120">
                  <c:v>1.7036059696944289E-3</c:v>
                </c:pt>
                <c:pt idx="121">
                  <c:v>1.6858976747231057E-3</c:v>
                </c:pt>
                <c:pt idx="122">
                  <c:v>1.6778884458851459E-3</c:v>
                </c:pt>
                <c:pt idx="123">
                  <c:v>1.6796982716275602E-3</c:v>
                </c:pt>
                <c:pt idx="124">
                  <c:v>1.6847677835137602E-3</c:v>
                </c:pt>
                <c:pt idx="125">
                  <c:v>1.6914471403973491E-3</c:v>
                </c:pt>
                <c:pt idx="126">
                  <c:v>1.69983633265084E-3</c:v>
                </c:pt>
                <c:pt idx="127">
                  <c:v>1.69983633265084E-3</c:v>
                </c:pt>
                <c:pt idx="128">
                  <c:v>1.6948368140254E-3</c:v>
                </c:pt>
                <c:pt idx="129">
                  <c:v>1.6914471403973491E-3</c:v>
                </c:pt>
                <c:pt idx="130">
                  <c:v>1.6847677835137602E-3</c:v>
                </c:pt>
                <c:pt idx="131">
                  <c:v>1.6747287501138628E-3</c:v>
                </c:pt>
                <c:pt idx="132">
                  <c:v>1.6531408286891982E-3</c:v>
                </c:pt>
                <c:pt idx="133">
                  <c:v>1.6218138449821664E-3</c:v>
                </c:pt>
                <c:pt idx="134">
                  <c:v>1.5841624702139523E-3</c:v>
                </c:pt>
                <c:pt idx="135">
                  <c:v>1.5403516884991851E-3</c:v>
                </c:pt>
                <c:pt idx="136">
                  <c:v>1.4905764810642674E-3</c:v>
                </c:pt>
                <c:pt idx="137">
                  <c:v>1.4557748319125622E-3</c:v>
                </c:pt>
                <c:pt idx="138">
                  <c:v>1.4388914575144329E-3</c:v>
                </c:pt>
                <c:pt idx="139">
                  <c:v>1.4394614026377326E-3</c:v>
                </c:pt>
                <c:pt idx="140">
                  <c:v>1.4444359236700543E-3</c:v>
                </c:pt>
                <c:pt idx="141">
                  <c:v>1.4428610753030385E-3</c:v>
                </c:pt>
                <c:pt idx="142">
                  <c:v>1.4364116962762186E-3</c:v>
                </c:pt>
                <c:pt idx="143">
                  <c:v>1.423662923781334E-3</c:v>
                </c:pt>
                <c:pt idx="144">
                  <c:v>1.4003051727632645E-3</c:v>
                </c:pt>
                <c:pt idx="145">
                  <c:v>1.3682682574114224E-3</c:v>
                </c:pt>
                <c:pt idx="146">
                  <c:v>1.3350514556639669E-3</c:v>
                </c:pt>
                <c:pt idx="147">
                  <c:v>1.3107637941815649E-3</c:v>
                </c:pt>
                <c:pt idx="148">
                  <c:v>1.2892758631294079E-3</c:v>
                </c:pt>
                <c:pt idx="149">
                  <c:v>1.2719175344618645E-3</c:v>
                </c:pt>
                <c:pt idx="150">
                  <c:v>1.2569289776227868E-3</c:v>
                </c:pt>
                <c:pt idx="151">
                  <c:v>1.2297015991886238E-3</c:v>
                </c:pt>
                <c:pt idx="152">
                  <c:v>1.1948149582202785E-3</c:v>
                </c:pt>
                <c:pt idx="153">
                  <c:v>1.1626880515331756E-3</c:v>
                </c:pt>
                <c:pt idx="154">
                  <c:v>1.1383703929390176E-3</c:v>
                </c:pt>
                <c:pt idx="155">
                  <c:v>1.1177173814973071E-3</c:v>
                </c:pt>
                <c:pt idx="156">
                  <c:v>1.0933197306051423E-3</c:v>
                </c:pt>
                <c:pt idx="157">
                  <c:v>1.063897563494409E-3</c:v>
                </c:pt>
                <c:pt idx="158">
                  <c:v>1.027816037574583E-3</c:v>
                </c:pt>
                <c:pt idx="159">
                  <c:v>9.9039964018175905E-4</c:v>
                </c:pt>
                <c:pt idx="160">
                  <c:v>9.5215832221574349E-4</c:v>
                </c:pt>
                <c:pt idx="161">
                  <c:v>9.2409102465250512E-4</c:v>
                </c:pt>
                <c:pt idx="162">
                  <c:v>8.9927341419580279E-4</c:v>
                </c:pt>
                <c:pt idx="163">
                  <c:v>8.77450515395739E-4</c:v>
                </c:pt>
                <c:pt idx="164">
                  <c:v>8.5108305416514913E-4</c:v>
                </c:pt>
                <c:pt idx="165">
                  <c:v>8.205409948823123E-4</c:v>
                </c:pt>
                <c:pt idx="166">
                  <c:v>7.9178376374876465E-4</c:v>
                </c:pt>
                <c:pt idx="167">
                  <c:v>7.6456638435184587E-4</c:v>
                </c:pt>
                <c:pt idx="168">
                  <c:v>7.3751898858819768E-4</c:v>
                </c:pt>
                <c:pt idx="169">
                  <c:v>7.1064157645780936E-4</c:v>
                </c:pt>
                <c:pt idx="170">
                  <c:v>6.8776377922777929E-4</c:v>
                </c:pt>
                <c:pt idx="171">
                  <c:v>6.6256120583691965E-4</c:v>
                </c:pt>
                <c:pt idx="172">
                  <c:v>6.3833853809664516E-4</c:v>
                </c:pt>
                <c:pt idx="173">
                  <c:v>6.1480080440805794E-4</c:v>
                </c:pt>
                <c:pt idx="174">
                  <c:v>5.8999819250722934E-4</c:v>
                </c:pt>
                <c:pt idx="175">
                  <c:v>5.6475562296736737E-4</c:v>
                </c:pt>
                <c:pt idx="176">
                  <c:v>5.3897610512712861E-4</c:v>
                </c:pt>
                <c:pt idx="177">
                  <c:v>5.126206427412402E-4</c:v>
                </c:pt>
                <c:pt idx="178">
                  <c:v>4.8533726969846714E-4</c:v>
                </c:pt>
                <c:pt idx="179">
                  <c:v>4.6088712386073536E-4</c:v>
                </c:pt>
                <c:pt idx="180">
                  <c:v>4.4054958204429431E-4</c:v>
                </c:pt>
                <c:pt idx="181">
                  <c:v>4.2061800114023612E-4</c:v>
                </c:pt>
                <c:pt idx="182">
                  <c:v>3.9984650110710767E-4</c:v>
                </c:pt>
                <c:pt idx="183">
                  <c:v>3.797354374843972E-4</c:v>
                </c:pt>
                <c:pt idx="184">
                  <c:v>3.617871656190555E-4</c:v>
                </c:pt>
                <c:pt idx="185">
                  <c:v>3.4303697096619087E-4</c:v>
                </c:pt>
                <c:pt idx="186">
                  <c:v>3.249197153713075E-4</c:v>
                </c:pt>
                <c:pt idx="187">
                  <c:v>3.0635300305199766E-4</c:v>
                </c:pt>
                <c:pt idx="188">
                  <c:v>2.8863820870646338E-4</c:v>
                </c:pt>
                <c:pt idx="189">
                  <c:v>2.7272374101795056E-4</c:v>
                </c:pt>
                <c:pt idx="190">
                  <c:v>2.5739921652724015E-4</c:v>
                </c:pt>
                <c:pt idx="191">
                  <c:v>2.4376552923565609E-4</c:v>
                </c:pt>
                <c:pt idx="192">
                  <c:v>2.3072578475677466E-4</c:v>
                </c:pt>
                <c:pt idx="193">
                  <c:v>2.1827398366824357E-4</c:v>
                </c:pt>
                <c:pt idx="194">
                  <c:v>2.0700506868649363E-4</c:v>
                </c:pt>
                <c:pt idx="195">
                  <c:v>1.9462426076244618E-4</c:v>
                </c:pt>
                <c:pt idx="196">
                  <c:v>1.8278090109063227E-4</c:v>
                </c:pt>
                <c:pt idx="197">
                  <c:v>1.7158547903267592E-4</c:v>
                </c:pt>
                <c:pt idx="198">
                  <c:v>1.6158644178178912E-4</c:v>
                </c:pt>
                <c:pt idx="199">
                  <c:v>1.5406516596167203E-4</c:v>
                </c:pt>
                <c:pt idx="200">
                  <c:v>1.4724382274911658E-4</c:v>
                </c:pt>
                <c:pt idx="201">
                  <c:v>1.405754648064997E-4</c:v>
                </c:pt>
                <c:pt idx="202">
                  <c:v>1.3365913074006016E-4</c:v>
                </c:pt>
                <c:pt idx="203">
                  <c:v>1.2686278512063237E-4</c:v>
                </c:pt>
                <c:pt idx="204">
                  <c:v>1.19488495148103E-4</c:v>
                </c:pt>
                <c:pt idx="205">
                  <c:v>1.114652676579908E-4</c:v>
                </c:pt>
                <c:pt idx="206">
                  <c:v>1.0350253434324681E-4</c:v>
                </c:pt>
                <c:pt idx="207">
                  <c:v>9.5150838479443858E-5</c:v>
                </c:pt>
                <c:pt idx="208">
                  <c:v>8.7529072334954875E-5</c:v>
                </c:pt>
                <c:pt idx="209">
                  <c:v>8.0726727293175865E-5</c:v>
                </c:pt>
                <c:pt idx="210">
                  <c:v>7.4990279622342301E-5</c:v>
                </c:pt>
                <c:pt idx="211">
                  <c:v>7.0181742608390577E-5</c:v>
                </c:pt>
                <c:pt idx="212">
                  <c:v>6.6290617262207348E-5</c:v>
                </c:pt>
                <c:pt idx="213">
                  <c:v>6.2286002843227342E-5</c:v>
                </c:pt>
                <c:pt idx="214">
                  <c:v>5.7975417884369503E-5</c:v>
                </c:pt>
                <c:pt idx="215">
                  <c:v>5.3929807412660675E-5</c:v>
                </c:pt>
                <c:pt idx="216">
                  <c:v>5.0365150632719354E-5</c:v>
                </c:pt>
                <c:pt idx="217">
                  <c:v>4.6825991397767943E-5</c:v>
                </c:pt>
                <c:pt idx="218">
                  <c:v>4.3498211810299886E-5</c:v>
                </c:pt>
                <c:pt idx="219">
                  <c:v>4.0379412101375764E-5</c:v>
                </c:pt>
                <c:pt idx="220">
                  <c:v>3.7621627632394784E-5</c:v>
                </c:pt>
                <c:pt idx="221">
                  <c:v>3.4879741632642528E-5</c:v>
                </c:pt>
                <c:pt idx="222">
                  <c:v>3.232938719143133E-5</c:v>
                </c:pt>
                <c:pt idx="223">
                  <c:v>3.0213290938025953E-5</c:v>
                </c:pt>
                <c:pt idx="224">
                  <c:v>2.8224732404755909E-5</c:v>
                </c:pt>
                <c:pt idx="225">
                  <c:v>2.6354262501418591E-5</c:v>
                </c:pt>
                <c:pt idx="226">
                  <c:v>2.4473443594526692E-5</c:v>
                </c:pt>
                <c:pt idx="227">
                  <c:v>2.2629721115835657E-5</c:v>
                </c:pt>
                <c:pt idx="228">
                  <c:v>2.0914286285073311E-5</c:v>
                </c:pt>
                <c:pt idx="229">
                  <c:v>1.932563924665241E-5</c:v>
                </c:pt>
                <c:pt idx="230">
                  <c:v>1.7760239969839704E-5</c:v>
                </c:pt>
                <c:pt idx="231">
                  <c:v>1.6393121601712197E-5</c:v>
                </c:pt>
                <c:pt idx="232">
                  <c:v>1.5125993606093556E-5</c:v>
                </c:pt>
                <c:pt idx="233">
                  <c:v>1.3957656098513545E-5</c:v>
                </c:pt>
                <c:pt idx="234">
                  <c:v>1.29237556467718E-5</c:v>
                </c:pt>
                <c:pt idx="235">
                  <c:v>1.1912453019217102E-5</c:v>
                </c:pt>
                <c:pt idx="236">
                  <c:v>1.0975243257691472E-5</c:v>
                </c:pt>
                <c:pt idx="237">
                  <c:v>1.0157821962431431E-5</c:v>
                </c:pt>
                <c:pt idx="238">
                  <c:v>9.4379912707400179E-6</c:v>
                </c:pt>
                <c:pt idx="239">
                  <c:v>8.7661559578528726E-6</c:v>
                </c:pt>
                <c:pt idx="240">
                  <c:v>8.1430659515638782E-6</c:v>
                </c:pt>
                <c:pt idx="241">
                  <c:v>7.5353744626412012E-6</c:v>
                </c:pt>
                <c:pt idx="242">
                  <c:v>6.8978358475246085E-6</c:v>
                </c:pt>
                <c:pt idx="243">
                  <c:v>6.3140920528177915E-6</c:v>
                </c:pt>
                <c:pt idx="244">
                  <c:v>5.7560457838457778E-6</c:v>
                </c:pt>
                <c:pt idx="245">
                  <c:v>5.267692804512428E-6</c:v>
                </c:pt>
                <c:pt idx="246">
                  <c:v>4.7960882125743355E-6</c:v>
                </c:pt>
                <c:pt idx="247">
                  <c:v>4.3879775071793592E-6</c:v>
                </c:pt>
                <c:pt idx="248">
                  <c:v>4.0104388581790127E-6</c:v>
                </c:pt>
                <c:pt idx="249">
                  <c:v>3.6668419411267621E-6</c:v>
                </c:pt>
                <c:pt idx="250">
                  <c:v>3.3846991070184753E-6</c:v>
                </c:pt>
                <c:pt idx="251">
                  <c:v>3.1402776409391499E-6</c:v>
                </c:pt>
                <c:pt idx="252">
                  <c:v>2.9269781783032305E-6</c:v>
                </c:pt>
                <c:pt idx="253">
                  <c:v>2.7276573697440507E-6</c:v>
                </c:pt>
                <c:pt idx="254">
                  <c:v>2.5418052643618148E-6</c:v>
                </c:pt>
                <c:pt idx="255">
                  <c:v>2.3576979909798435E-6</c:v>
                </c:pt>
                <c:pt idx="256">
                  <c:v>2.1855095700009312E-6</c:v>
                </c:pt>
                <c:pt idx="257">
                  <c:v>2.0264998801187087E-6</c:v>
                </c:pt>
                <c:pt idx="258">
                  <c:v>1.8798090041295599E-6</c:v>
                </c:pt>
                <c:pt idx="259">
                  <c:v>1.7261987943628096E-6</c:v>
                </c:pt>
                <c:pt idx="260">
                  <c:v>1.5941515084275917E-6</c:v>
                </c:pt>
                <c:pt idx="261">
                  <c:v>1.4716882996973491E-6</c:v>
                </c:pt>
                <c:pt idx="262">
                  <c:v>1.358809168172082E-6</c:v>
                </c:pt>
                <c:pt idx="263">
                  <c:v>1.248559783443791E-6</c:v>
                </c:pt>
                <c:pt idx="264">
                  <c:v>1.1531689680703265E-6</c:v>
                </c:pt>
                <c:pt idx="265">
                  <c:v>1.0601729221184532E-6</c:v>
                </c:pt>
                <c:pt idx="266">
                  <c:v>9.6966663644204415E-7</c:v>
                </c:pt>
                <c:pt idx="267">
                  <c:v>8.9119419209708399E-7</c:v>
                </c:pt>
                <c:pt idx="268">
                  <c:v>8.1568146277838089E-7</c:v>
                </c:pt>
                <c:pt idx="269">
                  <c:v>7.5022776493407549E-7</c:v>
                </c:pt>
                <c:pt idx="270">
                  <c:v>6.9385819243219814E-7</c:v>
                </c:pt>
                <c:pt idx="271">
                  <c:v>6.4471792386271021E-7</c:v>
                </c:pt>
                <c:pt idx="272">
                  <c:v>5.9631258453116486E-7</c:v>
                </c:pt>
                <c:pt idx="273">
                  <c:v>5.493471065637492E-7</c:v>
                </c:pt>
                <c:pt idx="274">
                  <c:v>4.9843200888222836E-7</c:v>
                </c:pt>
                <c:pt idx="275">
                  <c:v>4.4977669361941414E-7</c:v>
                </c:pt>
                <c:pt idx="276">
                  <c:v>4.1221031066783018E-7</c:v>
                </c:pt>
                <c:pt idx="277">
                  <c:v>3.8362556292685616E-7</c:v>
                </c:pt>
                <c:pt idx="278">
                  <c:v>3.6082025871689487E-7</c:v>
                </c:pt>
                <c:pt idx="279">
                  <c:v>3.4273250028190079E-7</c:v>
                </c:pt>
                <c:pt idx="280">
                  <c:v>3.2382032122557117E-7</c:v>
                </c:pt>
                <c:pt idx="281">
                  <c:v>3.0167495347417047E-7</c:v>
                </c:pt>
                <c:pt idx="282">
                  <c:v>2.8097344670179492E-7</c:v>
                </c:pt>
                <c:pt idx="283">
                  <c:v>2.5924703861120542E-7</c:v>
                </c:pt>
                <c:pt idx="284">
                  <c:v>2.4052884087754437E-7</c:v>
                </c:pt>
                <c:pt idx="285">
                  <c:v>2.2423540967722274E-7</c:v>
                </c:pt>
                <c:pt idx="286">
                  <c:v>2.0803946909009806E-7</c:v>
                </c:pt>
                <c:pt idx="287">
                  <c:v>1.9402131881621781E-7</c:v>
                </c:pt>
                <c:pt idx="288">
                  <c:v>1.7930473579036075E-7</c:v>
                </c:pt>
                <c:pt idx="289">
                  <c:v>1.6485962662586603E-7</c:v>
                </c:pt>
                <c:pt idx="290">
                  <c:v>1.5316525260909085E-7</c:v>
                </c:pt>
                <c:pt idx="291">
                  <c:v>1.4161136506569115E-7</c:v>
                </c:pt>
                <c:pt idx="292">
                  <c:v>1.3151833686464549E-7</c:v>
                </c:pt>
                <c:pt idx="293">
                  <c:v>1.22249229333073E-7</c:v>
                </c:pt>
                <c:pt idx="294">
                  <c:v>1.1370105238728947E-7</c:v>
                </c:pt>
                <c:pt idx="295">
                  <c:v>1.0515487524895647E-7</c:v>
                </c:pt>
                <c:pt idx="296">
                  <c:v>9.7775585757801631E-8</c:v>
                </c:pt>
                <c:pt idx="297">
                  <c:v>9.1011237057576369E-8</c:v>
                </c:pt>
                <c:pt idx="298">
                  <c:v>8.4656848884637471E-8</c:v>
                </c:pt>
                <c:pt idx="299">
                  <c:v>7.8814911370806556E-8</c:v>
                </c:pt>
                <c:pt idx="300">
                  <c:v>7.292297867072076E-8</c:v>
                </c:pt>
                <c:pt idx="301">
                  <c:v>6.7925459852727317E-8</c:v>
                </c:pt>
                <c:pt idx="302">
                  <c:v>6.2923941419833732E-8</c:v>
                </c:pt>
                <c:pt idx="303">
                  <c:v>5.7794435310128823E-8</c:v>
                </c:pt>
                <c:pt idx="304">
                  <c:v>5.2449949899529505E-8</c:v>
                </c:pt>
                <c:pt idx="305">
                  <c:v>4.6087562496789907E-8</c:v>
                </c:pt>
                <c:pt idx="306">
                  <c:v>3.9924655887205491E-8</c:v>
                </c:pt>
                <c:pt idx="307">
                  <c:v>3.4658662919025676E-8</c:v>
                </c:pt>
                <c:pt idx="308">
                  <c:v>3.0853029341337944E-8</c:v>
                </c:pt>
                <c:pt idx="309">
                  <c:v>2.9172491150581295E-8</c:v>
                </c:pt>
                <c:pt idx="310">
                  <c:v>2.8614544871981812E-8</c:v>
                </c:pt>
                <c:pt idx="311">
                  <c:v>2.8004803580422688E-8</c:v>
                </c:pt>
                <c:pt idx="312">
                  <c:v>2.6903659603168745E-8</c:v>
                </c:pt>
                <c:pt idx="313">
                  <c:v>2.568402703449174E-8</c:v>
                </c:pt>
                <c:pt idx="314">
                  <c:v>2.4376552923565713E-8</c:v>
                </c:pt>
                <c:pt idx="315">
                  <c:v>2.3006984791311689E-8</c:v>
                </c:pt>
                <c:pt idx="316">
                  <c:v>2.1722708446807714E-8</c:v>
                </c:pt>
                <c:pt idx="317">
                  <c:v>2.0508825324549984E-8</c:v>
                </c:pt>
                <c:pt idx="318">
                  <c:v>1.9257245831856427E-8</c:v>
                </c:pt>
                <c:pt idx="319">
                  <c:v>1.7905276005163939E-8</c:v>
                </c:pt>
                <c:pt idx="320">
                  <c:v>1.6641397696651774E-8</c:v>
                </c:pt>
                <c:pt idx="321">
                  <c:v>1.5473710126493168E-8</c:v>
                </c:pt>
                <c:pt idx="322">
                  <c:v>1.4547199334825935E-8</c:v>
                </c:pt>
                <c:pt idx="323">
                  <c:v>1.3738977153836722E-8</c:v>
                </c:pt>
                <c:pt idx="324">
                  <c:v>1.2918756128146426E-8</c:v>
                </c:pt>
                <c:pt idx="325">
                  <c:v>1.215597957146249E-8</c:v>
                </c:pt>
                <c:pt idx="326">
                  <c:v>1.1432499231174541E-8</c:v>
                </c:pt>
                <c:pt idx="327">
                  <c:v>1.0804759672563831E-8</c:v>
                </c:pt>
                <c:pt idx="328">
                  <c:v>1.0116125977095221E-8</c:v>
                </c:pt>
                <c:pt idx="329">
                  <c:v>9.4174932443757295E-9</c:v>
                </c:pt>
                <c:pt idx="330">
                  <c:v>8.8192508456551403E-9</c:v>
                </c:pt>
                <c:pt idx="331">
                  <c:v>8.3024006101567679E-9</c:v>
                </c:pt>
                <c:pt idx="332">
                  <c:v>7.7385548995792358E-9</c:v>
                </c:pt>
                <c:pt idx="333">
                  <c:v>7.208905896399732E-9</c:v>
                </c:pt>
                <c:pt idx="334">
                  <c:v>6.6169628911472E-9</c:v>
                </c:pt>
                <c:pt idx="335">
                  <c:v>6.0054217728829304E-9</c:v>
                </c:pt>
                <c:pt idx="336">
                  <c:v>5.2833912929963584E-9</c:v>
                </c:pt>
                <c:pt idx="337">
                  <c:v>4.6395532844117189E-9</c:v>
                </c:pt>
                <c:pt idx="338">
                  <c:v>4.1340019610068571E-9</c:v>
                </c:pt>
                <c:pt idx="339">
                  <c:v>3.8246317484644049E-9</c:v>
                </c:pt>
                <c:pt idx="340">
                  <c:v>3.6802456505615889E-9</c:v>
                </c:pt>
                <c:pt idx="341">
                  <c:v>3.5692063418904884E-9</c:v>
                </c:pt>
                <c:pt idx="342">
                  <c:v>3.4097716929250899E-9</c:v>
                </c:pt>
                <c:pt idx="343">
                  <c:v>3.2000018904387242E-9</c:v>
                </c:pt>
                <c:pt idx="344">
                  <c:v>2.9483711185015192E-9</c:v>
                </c:pt>
                <c:pt idx="345">
                  <c:v>2.7331068450457884E-9</c:v>
                </c:pt>
                <c:pt idx="346">
                  <c:v>2.5503544412113236E-9</c:v>
                </c:pt>
                <c:pt idx="347">
                  <c:v>2.4097179822775909E-9</c:v>
                </c:pt>
                <c:pt idx="348">
                  <c:v>2.2781406510931655E-9</c:v>
                </c:pt>
                <c:pt idx="349">
                  <c:v>2.1542425805174214E-9</c:v>
                </c:pt>
                <c:pt idx="350">
                  <c:v>2.0620614561014913E-9</c:v>
                </c:pt>
                <c:pt idx="351">
                  <c:v>1.9979626278046771E-9</c:v>
                </c:pt>
                <c:pt idx="352">
                  <c:v>1.9348137080466999E-9</c:v>
                </c:pt>
                <c:pt idx="353">
                  <c:v>1.8715947950279638E-9</c:v>
                </c:pt>
                <c:pt idx="354">
                  <c:v>1.7899276582813414E-9</c:v>
                </c:pt>
                <c:pt idx="355">
                  <c:v>1.701536168983497E-9</c:v>
                </c:pt>
                <c:pt idx="356">
                  <c:v>1.600535893712284E-9</c:v>
                </c:pt>
                <c:pt idx="357">
                  <c:v>1.5141792084949962E-9</c:v>
                </c:pt>
                <c:pt idx="358">
                  <c:v>1.4245178414662896E-9</c:v>
                </c:pt>
                <c:pt idx="359">
                  <c:v>1.348590152101677E-9</c:v>
                </c:pt>
                <c:pt idx="360">
                  <c:v>1.2754521941300607E-9</c:v>
                </c:pt>
                <c:pt idx="361">
                  <c:v>1.2014593184734944E-9</c:v>
                </c:pt>
                <c:pt idx="362">
                  <c:v>1.1372804978786744E-9</c:v>
                </c:pt>
                <c:pt idx="363">
                  <c:v>1.0760813903846177E-9</c:v>
                </c:pt>
                <c:pt idx="364">
                  <c:v>1.0188618997164153E-9</c:v>
                </c:pt>
                <c:pt idx="365">
                  <c:v>9.6058751061824385E-10</c:v>
                </c:pt>
                <c:pt idx="366">
                  <c:v>8.9938340360556231E-10</c:v>
                </c:pt>
                <c:pt idx="367">
                  <c:v>8.4796335454287413E-10</c:v>
                </c:pt>
                <c:pt idx="368">
                  <c:v>7.9507344700430626E-10</c:v>
                </c:pt>
                <c:pt idx="369">
                  <c:v>7.4547822223990483E-10</c:v>
                </c:pt>
                <c:pt idx="370">
                  <c:v>7.0293231873737928E-10</c:v>
                </c:pt>
                <c:pt idx="371">
                  <c:v>6.6223623712626783E-10</c:v>
                </c:pt>
                <c:pt idx="372">
                  <c:v>6.2431488835227768E-10</c:v>
                </c:pt>
                <c:pt idx="373">
                  <c:v>5.9235296577981656E-10</c:v>
                </c:pt>
                <c:pt idx="374">
                  <c:v>5.5887618906384581E-10</c:v>
                </c:pt>
                <c:pt idx="375">
                  <c:v>5.300939603371662E-10</c:v>
                </c:pt>
                <c:pt idx="376">
                  <c:v>4.9482735595328672E-10</c:v>
                </c:pt>
                <c:pt idx="377">
                  <c:v>4.3678294471188581E-10</c:v>
                </c:pt>
                <c:pt idx="378">
                  <c:v>3.5533078726615759E-10</c:v>
                </c:pt>
                <c:pt idx="379">
                  <c:v>2.5872508886670946E-10</c:v>
                </c:pt>
                <c:pt idx="380">
                  <c:v>1.7295834684722346E-10</c:v>
                </c:pt>
                <c:pt idx="381">
                  <c:v>1.206893795219349E-10</c:v>
                </c:pt>
                <c:pt idx="382">
                  <c:v>1.0194118467652135E-10</c:v>
                </c:pt>
                <c:pt idx="383">
                  <c:v>1.0828457390848408E-10</c:v>
                </c:pt>
                <c:pt idx="384">
                  <c:v>1.2681278993437859E-10</c:v>
                </c:pt>
                <c:pt idx="385">
                  <c:v>1.5035732296829796E-10</c:v>
                </c:pt>
                <c:pt idx="386">
                  <c:v>1.7671148547934421E-10</c:v>
                </c:pt>
                <c:pt idx="387">
                  <c:v>1.9840339689141928E-10</c:v>
                </c:pt>
                <c:pt idx="388">
                  <c:v>2.09152361936123E-10</c:v>
                </c:pt>
                <c:pt idx="389">
                  <c:v>2.1179560743339522E-10</c:v>
                </c:pt>
                <c:pt idx="390">
                  <c:v>2.0870440506728325E-10</c:v>
                </c:pt>
                <c:pt idx="391">
                  <c:v>2.019375566077453E-10</c:v>
                </c:pt>
                <c:pt idx="392">
                  <c:v>1.9105310460829191E-10</c:v>
                </c:pt>
                <c:pt idx="393">
                  <c:v>1.806996014868606E-10</c:v>
                </c:pt>
                <c:pt idx="394">
                  <c:v>1.719314457215574E-10</c:v>
                </c:pt>
                <c:pt idx="395">
                  <c:v>1.62765328273669E-10</c:v>
                </c:pt>
                <c:pt idx="396">
                  <c:v>1.5317875130938087E-10</c:v>
                </c:pt>
                <c:pt idx="397">
                  <c:v>1.4576796485088561E-10</c:v>
                </c:pt>
                <c:pt idx="398">
                  <c:v>1.3880113564632994E-10</c:v>
                </c:pt>
                <c:pt idx="399">
                  <c:v>1.3210728015872343E-10</c:v>
                </c:pt>
                <c:pt idx="400">
                  <c:v>1.2508795600860052E-10</c:v>
                </c:pt>
              </c:numCache>
            </c:numRef>
          </c:yVal>
          <c:smooth val="0"/>
          <c:extLst>
            <c:ext xmlns:c16="http://schemas.microsoft.com/office/drawing/2014/chart" uri="{C3380CC4-5D6E-409C-BE32-E72D297353CC}">
              <c16:uniqueId val="{00000003-A036-40E0-92B5-797B53BF8FF2}"/>
            </c:ext>
          </c:extLst>
        </c:ser>
        <c:ser>
          <c:idx val="4"/>
          <c:order val="4"/>
          <c:tx>
            <c:strRef>
              <c:f>Calculations!$AD$20</c:f>
              <c:strCache>
                <c:ptCount val="1"/>
                <c:pt idx="0">
                  <c:v>mel</c:v>
                </c:pt>
              </c:strCache>
            </c:strRef>
          </c:tx>
          <c:spPr>
            <a:ln w="25400" cap="rnd">
              <a:solidFill>
                <a:schemeClr val="accent4">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Calculations!$AD$21:$AD$421</c:f>
              <c:numCache>
                <c:formatCode>General</c:formatCode>
                <c:ptCount val="401"/>
                <c:pt idx="0">
                  <c:v>1.0971015414765799E-6</c:v>
                </c:pt>
                <c:pt idx="1">
                  <c:v>1.1500162716251226E-6</c:v>
                </c:pt>
                <c:pt idx="2">
                  <c:v>1.1902511976382295E-6</c:v>
                </c:pt>
                <c:pt idx="3">
                  <c:v>1.2829827690548214E-6</c:v>
                </c:pt>
                <c:pt idx="4">
                  <c:v>1.4539938033974355E-6</c:v>
                </c:pt>
                <c:pt idx="5">
                  <c:v>1.6920856789161866E-6</c:v>
                </c:pt>
                <c:pt idx="6">
                  <c:v>1.9936892392643798E-6</c:v>
                </c:pt>
                <c:pt idx="7">
                  <c:v>2.3745987137075889E-6</c:v>
                </c:pt>
                <c:pt idx="8">
                  <c:v>2.8006315434855016E-6</c:v>
                </c:pt>
                <c:pt idx="9">
                  <c:v>3.2826799298514111E-6</c:v>
                </c:pt>
                <c:pt idx="10">
                  <c:v>3.7593583332617271E-6</c:v>
                </c:pt>
                <c:pt idx="11">
                  <c:v>4.2080668297316317E-6</c:v>
                </c:pt>
                <c:pt idx="12">
                  <c:v>4.5889551562110442E-6</c:v>
                </c:pt>
                <c:pt idx="13">
                  <c:v>5.0009874840157921E-6</c:v>
                </c:pt>
                <c:pt idx="14">
                  <c:v>5.6156905478347247E-6</c:v>
                </c:pt>
                <c:pt idx="15">
                  <c:v>6.5853579342045895E-6</c:v>
                </c:pt>
                <c:pt idx="16">
                  <c:v>8.0981616751353116E-6</c:v>
                </c:pt>
                <c:pt idx="17">
                  <c:v>1.0327882588283341E-5</c:v>
                </c:pt>
                <c:pt idx="18">
                  <c:v>1.3134145389567798E-5</c:v>
                </c:pt>
                <c:pt idx="19">
                  <c:v>1.6522499144701488E-5</c:v>
                </c:pt>
                <c:pt idx="20">
                  <c:v>2.0510746639557677E-5</c:v>
                </c:pt>
                <c:pt idx="21">
                  <c:v>2.4908715184758142E-5</c:v>
                </c:pt>
                <c:pt idx="22">
                  <c:v>2.9324591505723192E-5</c:v>
                </c:pt>
                <c:pt idx="23">
                  <c:v>3.3504395056761484E-5</c:v>
                </c:pt>
                <c:pt idx="24">
                  <c:v>3.831747813299927E-5</c:v>
                </c:pt>
                <c:pt idx="25">
                  <c:v>4.2880927245038736E-5</c:v>
                </c:pt>
                <c:pt idx="26">
                  <c:v>4.8423033627864769E-5</c:v>
                </c:pt>
                <c:pt idx="27">
                  <c:v>5.6291955975121072E-5</c:v>
                </c:pt>
                <c:pt idx="28">
                  <c:v>6.6114971174147216E-5</c:v>
                </c:pt>
                <c:pt idx="29">
                  <c:v>7.7124380142221523E-5</c:v>
                </c:pt>
                <c:pt idx="30">
                  <c:v>8.8378315566265786E-5</c:v>
                </c:pt>
                <c:pt idx="31">
                  <c:v>1.0018891039281582E-4</c:v>
                </c:pt>
                <c:pt idx="32">
                  <c:v>1.1294980672036361E-4</c:v>
                </c:pt>
                <c:pt idx="33">
                  <c:v>1.2697474434073067E-4</c:v>
                </c:pt>
                <c:pt idx="34">
                  <c:v>1.4187433824553421E-4</c:v>
                </c:pt>
                <c:pt idx="35">
                  <c:v>1.5854055205278726E-4</c:v>
                </c:pt>
                <c:pt idx="36">
                  <c:v>1.7834422827204101E-4</c:v>
                </c:pt>
                <c:pt idx="37">
                  <c:v>1.9746274746107849E-4</c:v>
                </c:pt>
                <c:pt idx="38">
                  <c:v>2.1743058487420629E-4</c:v>
                </c:pt>
                <c:pt idx="39">
                  <c:v>2.4075359923686989E-4</c:v>
                </c:pt>
                <c:pt idx="40">
                  <c:v>2.6346967203840367E-4</c:v>
                </c:pt>
                <c:pt idx="41">
                  <c:v>2.830690649269109E-4</c:v>
                </c:pt>
                <c:pt idx="42">
                  <c:v>3.0065286188542202E-4</c:v>
                </c:pt>
                <c:pt idx="43">
                  <c:v>3.1624925019994648E-4</c:v>
                </c:pt>
                <c:pt idx="44">
                  <c:v>3.3144216736235926E-4</c:v>
                </c:pt>
                <c:pt idx="45">
                  <c:v>3.4796505646951433E-4</c:v>
                </c:pt>
                <c:pt idx="46">
                  <c:v>3.6352324846173934E-4</c:v>
                </c:pt>
                <c:pt idx="47">
                  <c:v>3.7804983978079171E-4</c:v>
                </c:pt>
                <c:pt idx="48">
                  <c:v>3.8906953875810147E-4</c:v>
                </c:pt>
                <c:pt idx="49">
                  <c:v>3.9508931414895679E-4</c:v>
                </c:pt>
                <c:pt idx="50">
                  <c:v>4.0487569187559389E-4</c:v>
                </c:pt>
                <c:pt idx="51">
                  <c:v>4.3119739751172251E-4</c:v>
                </c:pt>
                <c:pt idx="52">
                  <c:v>4.717141413902202E-4</c:v>
                </c:pt>
                <c:pt idx="53">
                  <c:v>5.1715521613355435E-4</c:v>
                </c:pt>
                <c:pt idx="54">
                  <c:v>5.6084099988364447E-4</c:v>
                </c:pt>
                <c:pt idx="55">
                  <c:v>5.9961199684995447E-4</c:v>
                </c:pt>
                <c:pt idx="56">
                  <c:v>6.299693439176529E-4</c:v>
                </c:pt>
                <c:pt idx="57">
                  <c:v>6.588516330101029E-4</c:v>
                </c:pt>
                <c:pt idx="58">
                  <c:v>6.9389382900095827E-4</c:v>
                </c:pt>
                <c:pt idx="59">
                  <c:v>7.3282024100326055E-4</c:v>
                </c:pt>
                <c:pt idx="60">
                  <c:v>7.7900377425958473E-4</c:v>
                </c:pt>
                <c:pt idx="61">
                  <c:v>8.3286380839030715E-4</c:v>
                </c:pt>
                <c:pt idx="62">
                  <c:v>8.8089504874166947E-4</c:v>
                </c:pt>
                <c:pt idx="63">
                  <c:v>9.142246296302667E-4</c:v>
                </c:pt>
                <c:pt idx="64">
                  <c:v>9.3438813820335932E-4</c:v>
                </c:pt>
                <c:pt idx="65">
                  <c:v>9.6213142196400071E-4</c:v>
                </c:pt>
                <c:pt idx="66">
                  <c:v>9.9851853846029057E-4</c:v>
                </c:pt>
                <c:pt idx="67">
                  <c:v>1.0387476950288967E-3</c:v>
                </c:pt>
                <c:pt idx="68">
                  <c:v>1.0877252542647162E-3</c:v>
                </c:pt>
                <c:pt idx="69">
                  <c:v>1.1375447424361029E-3</c:v>
                </c:pt>
                <c:pt idx="70">
                  <c:v>1.1876043274899528E-3</c:v>
                </c:pt>
                <c:pt idx="71">
                  <c:v>1.2319828795374116E-3</c:v>
                </c:pt>
                <c:pt idx="72">
                  <c:v>1.2559950675435556E-3</c:v>
                </c:pt>
                <c:pt idx="73">
                  <c:v>1.2703534050627877E-3</c:v>
                </c:pt>
                <c:pt idx="74">
                  <c:v>1.2900527883238067E-3</c:v>
                </c:pt>
                <c:pt idx="75">
                  <c:v>1.3252940651463276E-3</c:v>
                </c:pt>
                <c:pt idx="76">
                  <c:v>1.3612261654534748E-3</c:v>
                </c:pt>
                <c:pt idx="77">
                  <c:v>1.39765200822104E-3</c:v>
                </c:pt>
                <c:pt idx="78">
                  <c:v>1.4276151432451195E-3</c:v>
                </c:pt>
                <c:pt idx="79">
                  <c:v>1.4539189106084261E-3</c:v>
                </c:pt>
                <c:pt idx="80">
                  <c:v>1.483219844392009E-3</c:v>
                </c:pt>
                <c:pt idx="81">
                  <c:v>1.5194011057088994E-3</c:v>
                </c:pt>
                <c:pt idx="82">
                  <c:v>1.5445807313092684E-3</c:v>
                </c:pt>
                <c:pt idx="83">
                  <c:v>1.5731061347641535E-3</c:v>
                </c:pt>
                <c:pt idx="84">
                  <c:v>1.589768900403414E-3</c:v>
                </c:pt>
                <c:pt idx="85">
                  <c:v>1.6095378269685109E-3</c:v>
                </c:pt>
                <c:pt idx="86">
                  <c:v>1.6252300060598944E-3</c:v>
                </c:pt>
                <c:pt idx="87">
                  <c:v>1.6407135652380834E-3</c:v>
                </c:pt>
                <c:pt idx="88">
                  <c:v>1.6634358374427111E-3</c:v>
                </c:pt>
                <c:pt idx="89">
                  <c:v>1.6930109898233854E-3</c:v>
                </c:pt>
                <c:pt idx="90">
                  <c:v>1.7118142693650206E-3</c:v>
                </c:pt>
                <c:pt idx="91">
                  <c:v>1.7238608944655806E-3</c:v>
                </c:pt>
                <c:pt idx="92">
                  <c:v>1.7386021501158597E-3</c:v>
                </c:pt>
                <c:pt idx="93">
                  <c:v>1.7654267573305198E-3</c:v>
                </c:pt>
                <c:pt idx="94">
                  <c:v>1.7914645603019817E-3</c:v>
                </c:pt>
                <c:pt idx="95">
                  <c:v>1.8169383775763538E-3</c:v>
                </c:pt>
                <c:pt idx="96">
                  <c:v>1.828663578624971E-3</c:v>
                </c:pt>
                <c:pt idx="97">
                  <c:v>1.8495534172639659E-3</c:v>
                </c:pt>
                <c:pt idx="98">
                  <c:v>1.8694189545269801E-3</c:v>
                </c:pt>
                <c:pt idx="99">
                  <c:v>1.8920475507511214E-3</c:v>
                </c:pt>
                <c:pt idx="100">
                  <c:v>1.906886272016997E-3</c:v>
                </c:pt>
                <c:pt idx="101">
                  <c:v>1.9048895492698125E-3</c:v>
                </c:pt>
                <c:pt idx="102">
                  <c:v>1.906590775468648E-3</c:v>
                </c:pt>
                <c:pt idx="103">
                  <c:v>1.8921043702803059E-3</c:v>
                </c:pt>
                <c:pt idx="104">
                  <c:v>1.8510561475748081E-3</c:v>
                </c:pt>
                <c:pt idx="105">
                  <c:v>1.7978040149127929E-3</c:v>
                </c:pt>
                <c:pt idx="106">
                  <c:v>1.7630140746336996E-3</c:v>
                </c:pt>
                <c:pt idx="107">
                  <c:v>1.7575713286840332E-3</c:v>
                </c:pt>
                <c:pt idx="108">
                  <c:v>1.7712936524413312E-3</c:v>
                </c:pt>
                <c:pt idx="109">
                  <c:v>1.7988565985656388E-3</c:v>
                </c:pt>
                <c:pt idx="110">
                  <c:v>1.8198247796614899E-3</c:v>
                </c:pt>
                <c:pt idx="111">
                  <c:v>1.8290205242567554E-3</c:v>
                </c:pt>
                <c:pt idx="112">
                  <c:v>1.8218407105592307E-3</c:v>
                </c:pt>
                <c:pt idx="113">
                  <c:v>1.8136191771628441E-3</c:v>
                </c:pt>
                <c:pt idx="114">
                  <c:v>1.8146344794052957E-3</c:v>
                </c:pt>
                <c:pt idx="115">
                  <c:v>1.8102658500351967E-3</c:v>
                </c:pt>
                <c:pt idx="116">
                  <c:v>1.80437166755173E-3</c:v>
                </c:pt>
                <c:pt idx="117">
                  <c:v>1.7812666921953606E-3</c:v>
                </c:pt>
                <c:pt idx="118">
                  <c:v>1.7516273759926517E-3</c:v>
                </c:pt>
                <c:pt idx="119">
                  <c:v>1.7162107710514513E-3</c:v>
                </c:pt>
                <c:pt idx="120">
                  <c:v>1.6757653703037402E-3</c:v>
                </c:pt>
                <c:pt idx="121">
                  <c:v>1.6394653854180543E-3</c:v>
                </c:pt>
                <c:pt idx="122">
                  <c:v>1.6113084764829721E-3</c:v>
                </c:pt>
                <c:pt idx="123">
                  <c:v>1.5914515883871834E-3</c:v>
                </c:pt>
                <c:pt idx="124">
                  <c:v>1.5753271609144769E-3</c:v>
                </c:pt>
                <c:pt idx="125">
                  <c:v>1.5631462987388124E-3</c:v>
                </c:pt>
                <c:pt idx="126">
                  <c:v>1.5499651628736806E-3</c:v>
                </c:pt>
                <c:pt idx="127">
                  <c:v>1.5308760008580118E-3</c:v>
                </c:pt>
                <c:pt idx="128">
                  <c:v>1.506138767662254E-3</c:v>
                </c:pt>
                <c:pt idx="129">
                  <c:v>1.4848007721736743E-3</c:v>
                </c:pt>
                <c:pt idx="130">
                  <c:v>1.4581403241530806E-3</c:v>
                </c:pt>
                <c:pt idx="131">
                  <c:v>1.4300919897639809E-3</c:v>
                </c:pt>
                <c:pt idx="132">
                  <c:v>1.3921082219999529E-3</c:v>
                </c:pt>
                <c:pt idx="133">
                  <c:v>1.3452041181231797E-3</c:v>
                </c:pt>
                <c:pt idx="134">
                  <c:v>1.294425452305433E-3</c:v>
                </c:pt>
                <c:pt idx="135">
                  <c:v>1.2405486947849032E-3</c:v>
                </c:pt>
                <c:pt idx="136">
                  <c:v>1.1837117472838447E-3</c:v>
                </c:pt>
                <c:pt idx="137">
                  <c:v>1.138877949069394E-3</c:v>
                </c:pt>
                <c:pt idx="138">
                  <c:v>1.1091286384573977E-3</c:v>
                </c:pt>
                <c:pt idx="139">
                  <c:v>1.0935774307926907E-3</c:v>
                </c:pt>
                <c:pt idx="140">
                  <c:v>1.0808211940165056E-3</c:v>
                </c:pt>
                <c:pt idx="141">
                  <c:v>1.063642868017555E-3</c:v>
                </c:pt>
                <c:pt idx="142">
                  <c:v>1.0421928233175436E-3</c:v>
                </c:pt>
                <c:pt idx="143">
                  <c:v>1.0169173869422324E-3</c:v>
                </c:pt>
                <c:pt idx="144">
                  <c:v>9.8513195737628891E-4</c:v>
                </c:pt>
                <c:pt idx="145">
                  <c:v>9.4755997496384528E-4</c:v>
                </c:pt>
                <c:pt idx="146">
                  <c:v>9.1057438609097401E-4</c:v>
                </c:pt>
                <c:pt idx="147">
                  <c:v>8.7978803532954598E-4</c:v>
                </c:pt>
                <c:pt idx="148">
                  <c:v>8.5200414047910714E-4</c:v>
                </c:pt>
                <c:pt idx="149">
                  <c:v>8.2707284596837899E-4</c:v>
                </c:pt>
                <c:pt idx="150">
                  <c:v>8.0485145553675934E-4</c:v>
                </c:pt>
                <c:pt idx="151">
                  <c:v>7.7496690794595115E-4</c:v>
                </c:pt>
                <c:pt idx="152">
                  <c:v>7.4055120663356669E-4</c:v>
                </c:pt>
                <c:pt idx="153">
                  <c:v>7.0922907245960214E-4</c:v>
                </c:pt>
                <c:pt idx="154">
                  <c:v>6.8308606961722026E-4</c:v>
                </c:pt>
                <c:pt idx="155">
                  <c:v>6.5954932083379914E-4</c:v>
                </c:pt>
                <c:pt idx="156">
                  <c:v>6.3412849345734408E-4</c:v>
                </c:pt>
                <c:pt idx="157">
                  <c:v>6.0698699675412727E-4</c:v>
                </c:pt>
                <c:pt idx="158">
                  <c:v>5.7656416599147198E-4</c:v>
                </c:pt>
                <c:pt idx="159">
                  <c:v>5.4527513862984438E-4</c:v>
                </c:pt>
                <c:pt idx="160">
                  <c:v>5.1520114927928074E-4</c:v>
                </c:pt>
                <c:pt idx="161">
                  <c:v>4.9129671589807282E-4</c:v>
                </c:pt>
                <c:pt idx="162">
                  <c:v>4.6955940885687889E-4</c:v>
                </c:pt>
                <c:pt idx="163">
                  <c:v>4.4983621288864861E-4</c:v>
                </c:pt>
                <c:pt idx="164">
                  <c:v>4.2905572372102936E-4</c:v>
                </c:pt>
                <c:pt idx="165">
                  <c:v>4.061023237703445E-4</c:v>
                </c:pt>
                <c:pt idx="166">
                  <c:v>3.839529964001924E-4</c:v>
                </c:pt>
                <c:pt idx="167">
                  <c:v>3.6377809392415284E-4</c:v>
                </c:pt>
                <c:pt idx="168">
                  <c:v>3.442477493873825E-4</c:v>
                </c:pt>
                <c:pt idx="169">
                  <c:v>3.2542522669856287E-4</c:v>
                </c:pt>
                <c:pt idx="170">
                  <c:v>3.084527608785343E-4</c:v>
                </c:pt>
                <c:pt idx="171">
                  <c:v>2.9101113023165758E-4</c:v>
                </c:pt>
                <c:pt idx="172">
                  <c:v>2.7510538670314676E-4</c:v>
                </c:pt>
                <c:pt idx="173">
                  <c:v>2.5882403933934428E-4</c:v>
                </c:pt>
                <c:pt idx="174">
                  <c:v>2.4325752814812455E-4</c:v>
                </c:pt>
                <c:pt idx="175">
                  <c:v>2.2766675929253652E-4</c:v>
                </c:pt>
                <c:pt idx="176">
                  <c:v>2.128579001514103E-4</c:v>
                </c:pt>
                <c:pt idx="177">
                  <c:v>1.979929964064935E-4</c:v>
                </c:pt>
                <c:pt idx="178">
                  <c:v>1.8323963692162804E-4</c:v>
                </c:pt>
                <c:pt idx="179">
                  <c:v>1.7001315042304847E-4</c:v>
                </c:pt>
                <c:pt idx="180">
                  <c:v>1.5880954915262175E-4</c:v>
                </c:pt>
                <c:pt idx="181">
                  <c:v>1.481800776025839E-4</c:v>
                </c:pt>
                <c:pt idx="182">
                  <c:v>1.3751248472302857E-4</c:v>
                </c:pt>
                <c:pt idx="183">
                  <c:v>1.2743831870585271E-4</c:v>
                </c:pt>
                <c:pt idx="184">
                  <c:v>1.1844652447339664E-4</c:v>
                </c:pt>
                <c:pt idx="185">
                  <c:v>1.0963885351278152E-4</c:v>
                </c:pt>
                <c:pt idx="186">
                  <c:v>1.0140977784259278E-4</c:v>
                </c:pt>
                <c:pt idx="187">
                  <c:v>9.3289142731293914E-5</c:v>
                </c:pt>
                <c:pt idx="188">
                  <c:v>8.5708035671978419E-5</c:v>
                </c:pt>
                <c:pt idx="189">
                  <c:v>7.8990394474559342E-5</c:v>
                </c:pt>
                <c:pt idx="190">
                  <c:v>7.2782604186563012E-5</c:v>
                </c:pt>
                <c:pt idx="191">
                  <c:v>6.7280273973921478E-5</c:v>
                </c:pt>
                <c:pt idx="192">
                  <c:v>6.2095368198327941E-5</c:v>
                </c:pt>
                <c:pt idx="193">
                  <c:v>5.7244128295988568E-5</c:v>
                </c:pt>
                <c:pt idx="194">
                  <c:v>5.2958633421352855E-5</c:v>
                </c:pt>
                <c:pt idx="195">
                  <c:v>4.860613349824365E-5</c:v>
                </c:pt>
                <c:pt idx="196">
                  <c:v>4.4592997399766107E-5</c:v>
                </c:pt>
                <c:pt idx="197">
                  <c:v>4.085347495662186E-5</c:v>
                </c:pt>
                <c:pt idx="198">
                  <c:v>3.7548262696277566E-5</c:v>
                </c:pt>
                <c:pt idx="199">
                  <c:v>3.4934996312491196E-5</c:v>
                </c:pt>
                <c:pt idx="200">
                  <c:v>3.2649616858380224E-5</c:v>
                </c:pt>
                <c:pt idx="201">
                  <c:v>3.0502785064321278E-5</c:v>
                </c:pt>
                <c:pt idx="202">
                  <c:v>2.8343298988669326E-5</c:v>
                </c:pt>
                <c:pt idx="203">
                  <c:v>2.6314216357228783E-5</c:v>
                </c:pt>
                <c:pt idx="204">
                  <c:v>2.4230666970075147E-5</c:v>
                </c:pt>
                <c:pt idx="205">
                  <c:v>2.2147243570790822E-5</c:v>
                </c:pt>
                <c:pt idx="206">
                  <c:v>2.0158864020287424E-5</c:v>
                </c:pt>
                <c:pt idx="207">
                  <c:v>1.8174650068702853E-5</c:v>
                </c:pt>
                <c:pt idx="208">
                  <c:v>1.6367819037948863E-5</c:v>
                </c:pt>
                <c:pt idx="209">
                  <c:v>1.4796435337341475E-5</c:v>
                </c:pt>
                <c:pt idx="210">
                  <c:v>1.3498364820998137E-5</c:v>
                </c:pt>
                <c:pt idx="211">
                  <c:v>1.2420680084990339E-5</c:v>
                </c:pt>
                <c:pt idx="212">
                  <c:v>1.1515534836159251E-5</c:v>
                </c:pt>
                <c:pt idx="213">
                  <c:v>1.0622837188821185E-5</c:v>
                </c:pt>
                <c:pt idx="214">
                  <c:v>9.7154096597376028E-6</c:v>
                </c:pt>
                <c:pt idx="215">
                  <c:v>8.8935886880968331E-6</c:v>
                </c:pt>
                <c:pt idx="216">
                  <c:v>8.1786450258618265E-6</c:v>
                </c:pt>
                <c:pt idx="217">
                  <c:v>7.4815798422121767E-6</c:v>
                </c:pt>
                <c:pt idx="218">
                  <c:v>6.8405953588781611E-6</c:v>
                </c:pt>
                <c:pt idx="219">
                  <c:v>6.2552226210128407E-6</c:v>
                </c:pt>
                <c:pt idx="220">
                  <c:v>5.7503324339510063E-6</c:v>
                </c:pt>
                <c:pt idx="221">
                  <c:v>5.2638128780879633E-6</c:v>
                </c:pt>
                <c:pt idx="222">
                  <c:v>4.8139289947892379E-6</c:v>
                </c:pt>
                <c:pt idx="223">
                  <c:v>4.4397832191088179E-6</c:v>
                </c:pt>
                <c:pt idx="224">
                  <c:v>4.0955028678605045E-6</c:v>
                </c:pt>
                <c:pt idx="225">
                  <c:v>3.7817682755387716E-6</c:v>
                </c:pt>
                <c:pt idx="226">
                  <c:v>3.4779077325023027E-6</c:v>
                </c:pt>
                <c:pt idx="227">
                  <c:v>3.181938529654617E-6</c:v>
                </c:pt>
                <c:pt idx="228">
                  <c:v>2.9101477988025297E-6</c:v>
                </c:pt>
                <c:pt idx="229">
                  <c:v>2.6622586666046169E-6</c:v>
                </c:pt>
                <c:pt idx="230">
                  <c:v>2.4270990087596761E-6</c:v>
                </c:pt>
                <c:pt idx="231">
                  <c:v>2.2233046309344497E-6</c:v>
                </c:pt>
                <c:pt idx="232">
                  <c:v>2.0351035517212359E-6</c:v>
                </c:pt>
                <c:pt idx="233">
                  <c:v>1.8623076892293284E-6</c:v>
                </c:pt>
                <c:pt idx="234">
                  <c:v>1.7124471184316555E-6</c:v>
                </c:pt>
                <c:pt idx="235">
                  <c:v>1.5691372169081615E-6</c:v>
                </c:pt>
                <c:pt idx="236">
                  <c:v>1.4383563090407733E-6</c:v>
                </c:pt>
                <c:pt idx="237">
                  <c:v>1.3236884497416949E-6</c:v>
                </c:pt>
                <c:pt idx="238">
                  <c:v>1.2234680493808608E-6</c:v>
                </c:pt>
                <c:pt idx="239">
                  <c:v>1.1311200910283957E-6</c:v>
                </c:pt>
                <c:pt idx="240">
                  <c:v>1.0466800862651061E-6</c:v>
                </c:pt>
                <c:pt idx="241">
                  <c:v>9.6436661675010512E-7</c:v>
                </c:pt>
                <c:pt idx="242">
                  <c:v>8.7983100619213244E-7</c:v>
                </c:pt>
                <c:pt idx="243">
                  <c:v>8.0241044056788573E-7</c:v>
                </c:pt>
                <c:pt idx="244">
                  <c:v>7.2856775045082885E-7</c:v>
                </c:pt>
                <c:pt idx="245">
                  <c:v>6.6524282763915828E-7</c:v>
                </c:pt>
                <c:pt idx="246">
                  <c:v>6.0473865823355859E-7</c:v>
                </c:pt>
                <c:pt idx="247">
                  <c:v>5.5197238379107758E-7</c:v>
                </c:pt>
                <c:pt idx="248">
                  <c:v>5.0367750382404645E-7</c:v>
                </c:pt>
                <c:pt idx="249">
                  <c:v>4.5973043523155291E-7</c:v>
                </c:pt>
                <c:pt idx="250">
                  <c:v>4.2418348284075168E-7</c:v>
                </c:pt>
                <c:pt idx="251">
                  <c:v>3.934668953622194E-7</c:v>
                </c:pt>
                <c:pt idx="252">
                  <c:v>3.6654685733603495E-7</c:v>
                </c:pt>
                <c:pt idx="253">
                  <c:v>3.4138768976588052E-7</c:v>
                </c:pt>
                <c:pt idx="254">
                  <c:v>3.1804167761754113E-7</c:v>
                </c:pt>
                <c:pt idx="255">
                  <c:v>2.9516163560364704E-7</c:v>
                </c:pt>
                <c:pt idx="256">
                  <c:v>2.7403025522130006E-7</c:v>
                </c:pt>
                <c:pt idx="257">
                  <c:v>2.5428154171000832E-7</c:v>
                </c:pt>
                <c:pt idx="258">
                  <c:v>2.3592084455469604E-7</c:v>
                </c:pt>
                <c:pt idx="259">
                  <c:v>2.1691854917514494E-7</c:v>
                </c:pt>
                <c:pt idx="260">
                  <c:v>2.0056385387358785E-7</c:v>
                </c:pt>
                <c:pt idx="261">
                  <c:v>1.8549661960989914E-7</c:v>
                </c:pt>
                <c:pt idx="262">
                  <c:v>1.7146979017168391E-7</c:v>
                </c:pt>
                <c:pt idx="263">
                  <c:v>1.5773507260771512E-7</c:v>
                </c:pt>
                <c:pt idx="264">
                  <c:v>1.4583559833884971E-7</c:v>
                </c:pt>
                <c:pt idx="265">
                  <c:v>1.343276013769129E-7</c:v>
                </c:pt>
                <c:pt idx="266">
                  <c:v>1.2318423430688472E-7</c:v>
                </c:pt>
                <c:pt idx="267">
                  <c:v>1.1344891666397139E-7</c:v>
                </c:pt>
                <c:pt idx="268">
                  <c:v>1.0396745957830148E-7</c:v>
                </c:pt>
                <c:pt idx="269">
                  <c:v>9.5770571308975778E-8</c:v>
                </c:pt>
                <c:pt idx="270">
                  <c:v>8.8730934114677701E-8</c:v>
                </c:pt>
                <c:pt idx="271">
                  <c:v>8.2639758098571553E-8</c:v>
                </c:pt>
                <c:pt idx="272">
                  <c:v>7.6561077379366305E-8</c:v>
                </c:pt>
                <c:pt idx="273">
                  <c:v>7.0579829278941399E-8</c:v>
                </c:pt>
                <c:pt idx="274">
                  <c:v>6.4130111284755931E-8</c:v>
                </c:pt>
                <c:pt idx="275">
                  <c:v>5.800198732615292E-8</c:v>
                </c:pt>
                <c:pt idx="276">
                  <c:v>5.3267562176401027E-8</c:v>
                </c:pt>
                <c:pt idx="277">
                  <c:v>4.9659183606176472E-8</c:v>
                </c:pt>
                <c:pt idx="278">
                  <c:v>4.6763493415334977E-8</c:v>
                </c:pt>
                <c:pt idx="279">
                  <c:v>4.4480020777627589E-8</c:v>
                </c:pt>
                <c:pt idx="280">
                  <c:v>4.211475251554492E-8</c:v>
                </c:pt>
                <c:pt idx="281">
                  <c:v>3.9307175340814098E-8</c:v>
                </c:pt>
                <c:pt idx="282">
                  <c:v>3.6672416026456729E-8</c:v>
                </c:pt>
                <c:pt idx="283">
                  <c:v>3.3885865327208811E-8</c:v>
                </c:pt>
                <c:pt idx="284">
                  <c:v>3.1472257719440627E-8</c:v>
                </c:pt>
                <c:pt idx="285">
                  <c:v>2.9395109715934903E-8</c:v>
                </c:pt>
                <c:pt idx="286">
                  <c:v>2.7333209744285026E-8</c:v>
                </c:pt>
                <c:pt idx="287">
                  <c:v>2.5529131948438251E-8</c:v>
                </c:pt>
                <c:pt idx="288">
                  <c:v>2.3616502604388093E-8</c:v>
                </c:pt>
                <c:pt idx="289">
                  <c:v>2.1748223990064342E-8</c:v>
                </c:pt>
                <c:pt idx="290">
                  <c:v>2.0235924100620661E-8</c:v>
                </c:pt>
                <c:pt idx="291">
                  <c:v>1.8742341409006987E-8</c:v>
                </c:pt>
                <c:pt idx="292">
                  <c:v>1.74364271478921E-8</c:v>
                </c:pt>
                <c:pt idx="293">
                  <c:v>1.6220217249666103E-8</c:v>
                </c:pt>
                <c:pt idx="294">
                  <c:v>1.5093505734161625E-8</c:v>
                </c:pt>
                <c:pt idx="295">
                  <c:v>1.3987853191011287E-8</c:v>
                </c:pt>
                <c:pt idx="296">
                  <c:v>1.3030902830193053E-8</c:v>
                </c:pt>
                <c:pt idx="297">
                  <c:v>1.21355490385996E-8</c:v>
                </c:pt>
                <c:pt idx="298">
                  <c:v>1.1301484345835459E-8</c:v>
                </c:pt>
                <c:pt idx="299">
                  <c:v>1.0528093811109704E-8</c:v>
                </c:pt>
                <c:pt idx="300">
                  <c:v>9.7669569965444764E-9</c:v>
                </c:pt>
                <c:pt idx="301">
                  <c:v>9.1080596379370311E-9</c:v>
                </c:pt>
                <c:pt idx="302">
                  <c:v>8.4494978970149401E-9</c:v>
                </c:pt>
                <c:pt idx="303">
                  <c:v>7.7606027767174448E-9</c:v>
                </c:pt>
                <c:pt idx="304">
                  <c:v>7.0561073584818156E-9</c:v>
                </c:pt>
                <c:pt idx="305">
                  <c:v>6.2133117563661326E-9</c:v>
                </c:pt>
                <c:pt idx="306">
                  <c:v>5.3902474544383667E-9</c:v>
                </c:pt>
                <c:pt idx="307">
                  <c:v>4.6773852917878765E-9</c:v>
                </c:pt>
                <c:pt idx="308">
                  <c:v>4.1728722184159572E-9</c:v>
                </c:pt>
                <c:pt idx="309">
                  <c:v>3.9465784069302632E-9</c:v>
                </c:pt>
                <c:pt idx="310">
                  <c:v>3.8779390158178254E-9</c:v>
                </c:pt>
                <c:pt idx="311">
                  <c:v>3.8020834195117902E-9</c:v>
                </c:pt>
                <c:pt idx="312">
                  <c:v>3.6556517685633793E-9</c:v>
                </c:pt>
                <c:pt idx="313">
                  <c:v>3.4923385930387316E-9</c:v>
                </c:pt>
                <c:pt idx="314">
                  <c:v>3.3173858882166325E-9</c:v>
                </c:pt>
                <c:pt idx="315">
                  <c:v>3.1354353071793154E-9</c:v>
                </c:pt>
                <c:pt idx="316">
                  <c:v>2.9639873149088372E-9</c:v>
                </c:pt>
                <c:pt idx="317">
                  <c:v>2.800911516528527E-9</c:v>
                </c:pt>
                <c:pt idx="318">
                  <c:v>2.6325543266626728E-9</c:v>
                </c:pt>
                <c:pt idx="319">
                  <c:v>2.4489154081855407E-9</c:v>
                </c:pt>
                <c:pt idx="320">
                  <c:v>2.2794881713482807E-9</c:v>
                </c:pt>
                <c:pt idx="321">
                  <c:v>2.1222881572228985E-9</c:v>
                </c:pt>
                <c:pt idx="322">
                  <c:v>1.9967807416016216E-9</c:v>
                </c:pt>
                <c:pt idx="323">
                  <c:v>1.8886274550522425E-9</c:v>
                </c:pt>
                <c:pt idx="324">
                  <c:v>1.7772883752443563E-9</c:v>
                </c:pt>
                <c:pt idx="325">
                  <c:v>1.6734954688593435E-9</c:v>
                </c:pt>
                <c:pt idx="326">
                  <c:v>1.5761394427045895E-9</c:v>
                </c:pt>
                <c:pt idx="327">
                  <c:v>1.4917745657076775E-9</c:v>
                </c:pt>
                <c:pt idx="328">
                  <c:v>1.3973735550316776E-9</c:v>
                </c:pt>
                <c:pt idx="329">
                  <c:v>1.302557034362718E-9</c:v>
                </c:pt>
                <c:pt idx="330">
                  <c:v>1.2211864190657708E-9</c:v>
                </c:pt>
                <c:pt idx="331">
                  <c:v>1.1511142659056493E-9</c:v>
                </c:pt>
                <c:pt idx="332">
                  <c:v>1.0736810714973569E-9</c:v>
                </c:pt>
                <c:pt idx="333">
                  <c:v>1.0014331778266291E-9</c:v>
                </c:pt>
                <c:pt idx="334">
                  <c:v>9.1959335770668363E-10</c:v>
                </c:pt>
                <c:pt idx="335">
                  <c:v>8.3537054703103253E-10</c:v>
                </c:pt>
                <c:pt idx="336">
                  <c:v>7.3668684371058691E-10</c:v>
                </c:pt>
                <c:pt idx="337">
                  <c:v>6.4684971860460213E-10</c:v>
                </c:pt>
                <c:pt idx="338">
                  <c:v>5.766727555360178E-10</c:v>
                </c:pt>
                <c:pt idx="339">
                  <c:v>5.3418331659684818E-10</c:v>
                </c:pt>
                <c:pt idx="340">
                  <c:v>5.1507347657214395E-10</c:v>
                </c:pt>
                <c:pt idx="341">
                  <c:v>4.9956487980468291E-10</c:v>
                </c:pt>
                <c:pt idx="342">
                  <c:v>4.7804756158204559E-10</c:v>
                </c:pt>
                <c:pt idx="343">
                  <c:v>4.4899079928860602E-10</c:v>
                </c:pt>
                <c:pt idx="344">
                  <c:v>4.139945488739159E-10</c:v>
                </c:pt>
                <c:pt idx="345">
                  <c:v>3.8424483830043368E-10</c:v>
                </c:pt>
                <c:pt idx="346">
                  <c:v>3.589612177131354E-10</c:v>
                </c:pt>
                <c:pt idx="347">
                  <c:v>3.3959598227896911E-10</c:v>
                </c:pt>
                <c:pt idx="348">
                  <c:v>3.212699667843625E-10</c:v>
                </c:pt>
                <c:pt idx="349">
                  <c:v>3.0399463012600458E-10</c:v>
                </c:pt>
                <c:pt idx="350">
                  <c:v>2.913824044838213E-10</c:v>
                </c:pt>
                <c:pt idx="351">
                  <c:v>2.8264366588611021E-10</c:v>
                </c:pt>
                <c:pt idx="352">
                  <c:v>2.7387503016701927E-10</c:v>
                </c:pt>
                <c:pt idx="353">
                  <c:v>2.6515940934343227E-10</c:v>
                </c:pt>
                <c:pt idx="354">
                  <c:v>2.5375846707382151E-10</c:v>
                </c:pt>
                <c:pt idx="355">
                  <c:v>2.4157537011333451E-10</c:v>
                </c:pt>
                <c:pt idx="356">
                  <c:v>2.2750175517982237E-10</c:v>
                </c:pt>
                <c:pt idx="357">
                  <c:v>2.1539222113639032E-10</c:v>
                </c:pt>
                <c:pt idx="358">
                  <c:v>2.0281858677847689E-10</c:v>
                </c:pt>
                <c:pt idx="359">
                  <c:v>1.9206738694894748E-10</c:v>
                </c:pt>
                <c:pt idx="360">
                  <c:v>1.8196697945841053E-10</c:v>
                </c:pt>
                <c:pt idx="361">
                  <c:v>1.7150253701868065E-10</c:v>
                </c:pt>
                <c:pt idx="362">
                  <c:v>1.6248883489560759E-10</c:v>
                </c:pt>
                <c:pt idx="363">
                  <c:v>1.5394788725375626E-10</c:v>
                </c:pt>
                <c:pt idx="364">
                  <c:v>1.4588523355976406E-10</c:v>
                </c:pt>
                <c:pt idx="365">
                  <c:v>1.3757455374676357E-10</c:v>
                </c:pt>
                <c:pt idx="366">
                  <c:v>1.2907554206714257E-10</c:v>
                </c:pt>
                <c:pt idx="367">
                  <c:v>1.2173275906099069E-10</c:v>
                </c:pt>
                <c:pt idx="368">
                  <c:v>1.1419765457235537E-10</c:v>
                </c:pt>
                <c:pt idx="369">
                  <c:v>1.0714908323827358E-10</c:v>
                </c:pt>
                <c:pt idx="370">
                  <c:v>1.0112236351604625E-10</c:v>
                </c:pt>
                <c:pt idx="371">
                  <c:v>9.5452659418861858E-11</c:v>
                </c:pt>
                <c:pt idx="372">
                  <c:v>9.0086788567342247E-11</c:v>
                </c:pt>
                <c:pt idx="373">
                  <c:v>8.548425121888148E-11</c:v>
                </c:pt>
                <c:pt idx="374">
                  <c:v>8.0698281032101289E-11</c:v>
                </c:pt>
                <c:pt idx="375">
                  <c:v>7.6624006820256957E-11</c:v>
                </c:pt>
                <c:pt idx="376">
                  <c:v>7.1606790398831123E-11</c:v>
                </c:pt>
                <c:pt idx="377">
                  <c:v>6.3246429869297717E-11</c:v>
                </c:pt>
                <c:pt idx="378">
                  <c:v>5.1451674517657057E-11</c:v>
                </c:pt>
                <c:pt idx="379">
                  <c:v>3.751709269745542E-11</c:v>
                </c:pt>
                <c:pt idx="380">
                  <c:v>2.5099267637571345E-11</c:v>
                </c:pt>
                <c:pt idx="381">
                  <c:v>1.7547934811468084E-11</c:v>
                </c:pt>
                <c:pt idx="382">
                  <c:v>1.4823808301758087E-11</c:v>
                </c:pt>
                <c:pt idx="383">
                  <c:v>1.5757885764874515E-11</c:v>
                </c:pt>
                <c:pt idx="384">
                  <c:v>1.8469784151959357E-11</c:v>
                </c:pt>
                <c:pt idx="385">
                  <c:v>2.191923732418571E-11</c:v>
                </c:pt>
                <c:pt idx="386">
                  <c:v>2.5783264479495632E-11</c:v>
                </c:pt>
                <c:pt idx="387">
                  <c:v>2.8976069062921182E-11</c:v>
                </c:pt>
                <c:pt idx="388">
                  <c:v>3.0566466932764763E-11</c:v>
                </c:pt>
                <c:pt idx="389">
                  <c:v>3.0974111683023859E-11</c:v>
                </c:pt>
                <c:pt idx="390">
                  <c:v>3.0555086028565806E-11</c:v>
                </c:pt>
                <c:pt idx="391">
                  <c:v>2.9596063867229197E-11</c:v>
                </c:pt>
                <c:pt idx="392">
                  <c:v>2.8016402463633726E-11</c:v>
                </c:pt>
                <c:pt idx="393">
                  <c:v>2.6521958354960809E-11</c:v>
                </c:pt>
                <c:pt idx="394">
                  <c:v>2.5254166423268634E-11</c:v>
                </c:pt>
                <c:pt idx="395">
                  <c:v>2.3921163770337367E-11</c:v>
                </c:pt>
                <c:pt idx="396">
                  <c:v>2.2547629020005919E-11</c:v>
                </c:pt>
                <c:pt idx="397">
                  <c:v>2.1505669344239939E-11</c:v>
                </c:pt>
                <c:pt idx="398">
                  <c:v>2.0508471858583166E-11</c:v>
                </c:pt>
                <c:pt idx="399">
                  <c:v>1.9537568841185051E-11</c:v>
                </c:pt>
                <c:pt idx="400">
                  <c:v>1.847144149238369E-11</c:v>
                </c:pt>
              </c:numCache>
            </c:numRef>
          </c:yVal>
          <c:smooth val="0"/>
          <c:extLst>
            <c:ext xmlns:c16="http://schemas.microsoft.com/office/drawing/2014/chart" uri="{C3380CC4-5D6E-409C-BE32-E72D297353CC}">
              <c16:uniqueId val="{00000004-A036-40E0-92B5-797B53BF8FF2}"/>
            </c:ext>
          </c:extLst>
        </c:ser>
        <c:dLbls>
          <c:showLegendKey val="0"/>
          <c:showVal val="0"/>
          <c:showCatName val="0"/>
          <c:showSerName val="0"/>
          <c:showPercent val="0"/>
          <c:showBubbleSize val="0"/>
        </c:dLbls>
        <c:axId val="362373560"/>
        <c:axId val="362373952"/>
      </c:scatterChart>
      <c:valAx>
        <c:axId val="36237356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952"/>
        <c:crosses val="autoZero"/>
        <c:crossBetween val="midCat"/>
      </c:valAx>
      <c:valAx>
        <c:axId val="362373952"/>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560"/>
        <c:crosses val="autoZero"/>
        <c:crossBetween val="midCat"/>
      </c:valAx>
      <c:spPr>
        <a:noFill/>
        <a:ln>
          <a:noFill/>
        </a:ln>
        <a:effectLst/>
      </c:spPr>
    </c:plotArea>
    <c:legend>
      <c:legendPos val="r"/>
      <c:layout>
        <c:manualLayout>
          <c:xMode val="edge"/>
          <c:yMode val="edge"/>
          <c:x val="0.79795822397200344"/>
          <c:y val="0.28637576552930882"/>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B65F-4DD0-B206-9884F263FA7C}"/>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B65F-4DD0-B206-9884F263FA7C}"/>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B65F-4DD0-B206-9884F263FA7C}"/>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B65F-4DD0-B206-9884F263FA7C}"/>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B65F-4DD0-B206-9884F263FA7C}"/>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mailto:ciecb@cie.co.at" TargetMode="External"/><Relationship Id="rId2" Type="http://schemas.openxmlformats.org/officeDocument/2006/relationships/hyperlink" Target="https://doi.org/10.25039/S026.2018.TB" TargetMode="External"/><Relationship Id="rId1" Type="http://schemas.openxmlformats.org/officeDocument/2006/relationships/hyperlink" Target="https://doi.org/10.25039/S026.2018"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xdr:colOff>
      <xdr:row>3</xdr:row>
      <xdr:rowOff>139700</xdr:rowOff>
    </xdr:from>
    <xdr:to>
      <xdr:col>7</xdr:col>
      <xdr:colOff>1038225</xdr:colOff>
      <xdr:row>9</xdr:row>
      <xdr:rowOff>11760</xdr:rowOff>
    </xdr:to>
    <xdr:sp macro="" textlink="">
      <xdr:nvSpPr>
        <xdr:cNvPr id="2" name="TextBox 1">
          <a:hlinkClick xmlns:r="http://schemas.openxmlformats.org/officeDocument/2006/relationships" r:id="rId1"/>
          <a:extLst>
            <a:ext uri="{FF2B5EF4-FFF2-40B4-BE49-F238E27FC236}">
              <a16:creationId xmlns:a16="http://schemas.microsoft.com/office/drawing/2014/main" id="{65E11CF4-C9F3-427F-95B7-1520A4789D35}"/>
            </a:ext>
          </a:extLst>
        </xdr:cNvPr>
        <xdr:cNvSpPr txBox="1"/>
      </xdr:nvSpPr>
      <xdr:spPr>
        <a:xfrm>
          <a:off x="399816" y="833496"/>
          <a:ext cx="7635168" cy="96567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and User Guide were designed by the International Commission on Illumination (CIE) to enable calculations and conversions of quantities related to ipRGC-influenced responses to light (IIL responses, or non-visual effects of light), following the international standard </a:t>
          </a:r>
          <a:r>
            <a:rPr lang="en-GB" sz="1100" i="1">
              <a:solidFill>
                <a:schemeClr val="dk1"/>
              </a:solidFill>
              <a:effectLst/>
              <a:latin typeface="+mn-lt"/>
              <a:ea typeface="+mn-ea"/>
              <a:cs typeface="+mn-cs"/>
            </a:rPr>
            <a:t>CIE S 026:2018. System for Metrology of Optical Radiation for ipRGC-Influenced Responses to Light. CIE, Vienna</a:t>
          </a:r>
          <a:r>
            <a:rPr lang="en-GB" sz="1100">
              <a:solidFill>
                <a:schemeClr val="dk1"/>
              </a:solidFill>
              <a:effectLst/>
              <a:latin typeface="+mn-lt"/>
              <a:ea typeface="+mn-ea"/>
              <a:cs typeface="+mn-cs"/>
            </a:rPr>
            <a:t> (</a:t>
          </a:r>
          <a:r>
            <a:rPr lang="en-GB" sz="1100">
              <a:solidFill>
                <a:srgbClr val="0000FF"/>
              </a:solidFill>
              <a:effectLst/>
              <a:latin typeface="+mn-lt"/>
              <a:ea typeface="+mn-ea"/>
              <a:cs typeface="+mn-cs"/>
            </a:rPr>
            <a:t>DOI: 10.25039/S026.2018</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1</xdr:col>
      <xdr:colOff>0</xdr:colOff>
      <xdr:row>9</xdr:row>
      <xdr:rowOff>64676</xdr:rowOff>
    </xdr:from>
    <xdr:to>
      <xdr:col>7</xdr:col>
      <xdr:colOff>1038224</xdr:colOff>
      <xdr:row>14</xdr:row>
      <xdr:rowOff>88194</xdr:rowOff>
    </xdr:to>
    <xdr:sp macro="" textlink="">
      <xdr:nvSpPr>
        <xdr:cNvPr id="3" name="TextBox 2">
          <a:hlinkClick xmlns:r="http://schemas.openxmlformats.org/officeDocument/2006/relationships" r:id="rId2"/>
          <a:extLst>
            <a:ext uri="{FF2B5EF4-FFF2-40B4-BE49-F238E27FC236}">
              <a16:creationId xmlns:a16="http://schemas.microsoft.com/office/drawing/2014/main" id="{C26AFDC4-AB0F-45C3-A39D-B0E46CC4D497}"/>
            </a:ext>
          </a:extLst>
        </xdr:cNvPr>
        <xdr:cNvSpPr txBox="1"/>
      </xdr:nvSpPr>
      <xdr:spPr>
        <a:xfrm>
          <a:off x="399815" y="1852083"/>
          <a:ext cx="7635168" cy="93486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is a CIE publication </a:t>
          </a:r>
          <a:r>
            <a:rPr lang="de-DE" sz="1100">
              <a:solidFill>
                <a:schemeClr val="dk1"/>
              </a:solidFill>
              <a:effectLst/>
              <a:latin typeface="+mn-lt"/>
              <a:ea typeface="+mn-ea"/>
              <a:cs typeface="+mn-cs"/>
            </a:rPr>
            <a:t>(</a:t>
          </a:r>
          <a:r>
            <a:rPr lang="de-DE" sz="1100">
              <a:solidFill>
                <a:srgbClr val="0000FF"/>
              </a:solidFill>
              <a:effectLst/>
              <a:latin typeface="+mn-lt"/>
              <a:ea typeface="+mn-ea"/>
              <a:cs typeface="+mn-cs"/>
            </a:rPr>
            <a:t>DOI: 10.25039/S026.2018.TB</a:t>
          </a:r>
          <a:r>
            <a:rPr lang="de-DE" sz="1100">
              <a:solidFill>
                <a:schemeClr val="dk1"/>
              </a:solidFill>
              <a:effectLst/>
              <a:latin typeface="+mn-lt"/>
              <a:ea typeface="+mn-ea"/>
              <a:cs typeface="+mn-cs"/>
            </a:rPr>
            <a:t>)</a:t>
          </a:r>
          <a:r>
            <a:rPr lang="en-GB" sz="1100">
              <a:solidFill>
                <a:schemeClr val="dk1"/>
              </a:solidFill>
              <a:effectLst/>
              <a:latin typeface="+mn-lt"/>
              <a:ea typeface="+mn-ea"/>
              <a:cs typeface="+mn-cs"/>
            </a:rPr>
            <a:t> under the Division</a:t>
          </a:r>
          <a:r>
            <a:rPr lang="en-GB" sz="1100" baseline="0">
              <a:solidFill>
                <a:schemeClr val="dk1"/>
              </a:solidFill>
              <a:effectLst/>
              <a:latin typeface="+mn-lt"/>
              <a:ea typeface="+mn-ea"/>
              <a:cs typeface="+mn-cs"/>
            </a:rPr>
            <a:t> 6 reportership DR 6-45 </a:t>
          </a:r>
          <a:r>
            <a:rPr lang="en-GB" sz="1100" i="1" baseline="0">
              <a:solidFill>
                <a:schemeClr val="dk1"/>
              </a:solidFill>
              <a:effectLst/>
              <a:latin typeface="+mn-lt"/>
              <a:ea typeface="+mn-ea"/>
              <a:cs typeface="+mn-cs"/>
            </a:rPr>
            <a:t>Publication and maintenance of the CIE S 026 Toolbox.</a:t>
          </a:r>
          <a:r>
            <a:rPr lang="en-GB" sz="1100" baseline="0">
              <a:solidFill>
                <a:schemeClr val="dk1"/>
              </a:solidFill>
              <a:effectLst/>
              <a:latin typeface="+mn-lt"/>
              <a:ea typeface="+mn-ea"/>
              <a:cs typeface="+mn-cs"/>
            </a:rPr>
            <a:t> T</a:t>
          </a:r>
          <a:r>
            <a:rPr lang="en-GB" sz="1100">
              <a:solidFill>
                <a:schemeClr val="dk1"/>
              </a:solidFill>
              <a:effectLst/>
              <a:latin typeface="+mn-lt"/>
              <a:ea typeface="+mn-ea"/>
              <a:cs typeface="+mn-cs"/>
            </a:rPr>
            <a: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supports the usage of CIE S 026, but is not part of the official international standard. The Toolbox was designed with feedback from </a:t>
          </a:r>
          <a:r>
            <a:rPr lang="en-GB" sz="1100" i="0">
              <a:solidFill>
                <a:schemeClr val="dk1"/>
              </a:solidFill>
              <a:effectLst/>
              <a:latin typeface="+mn-lt"/>
              <a:ea typeface="+mn-ea"/>
              <a:cs typeface="+mn-cs"/>
            </a:rPr>
            <a:t>experts including </a:t>
          </a:r>
          <a:r>
            <a:rPr lang="en-GB" sz="1100">
              <a:solidFill>
                <a:schemeClr val="dk1"/>
              </a:solidFill>
              <a:effectLst/>
              <a:latin typeface="+mn-lt"/>
              <a:ea typeface="+mn-ea"/>
              <a:cs typeface="+mn-cs"/>
            </a:rPr>
            <a:t>the participants of the </a:t>
          </a:r>
          <a:r>
            <a:rPr lang="en-GB" sz="1100" i="1">
              <a:solidFill>
                <a:schemeClr val="dk1"/>
              </a:solidFill>
              <a:effectLst/>
              <a:latin typeface="+mn-lt"/>
              <a:ea typeface="+mn-ea"/>
              <a:cs typeface="+mn-cs"/>
            </a:rPr>
            <a:t>Tutorial on CIE S 026. Use and application of the new metrology for ipRGC-influenced responses to light, 14-15 March 2019, Eindhoven</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0</xdr:col>
      <xdr:colOff>393935</xdr:colOff>
      <xdr:row>14</xdr:row>
      <xdr:rowOff>152869</xdr:rowOff>
    </xdr:from>
    <xdr:to>
      <xdr:col>7</xdr:col>
      <xdr:colOff>1032344</xdr:colOff>
      <xdr:row>19</xdr:row>
      <xdr:rowOff>5878</xdr:rowOff>
    </xdr:to>
    <xdr:sp macro="" textlink="">
      <xdr:nvSpPr>
        <xdr:cNvPr id="4" name="TextBox 3">
          <a:hlinkClick xmlns:r="http://schemas.openxmlformats.org/officeDocument/2006/relationships" r:id="rId3"/>
          <a:extLst>
            <a:ext uri="{FF2B5EF4-FFF2-40B4-BE49-F238E27FC236}">
              <a16:creationId xmlns:a16="http://schemas.microsoft.com/office/drawing/2014/main" id="{AB7CEBF5-2447-4433-B78C-AAE572F40F8B}"/>
            </a:ext>
          </a:extLst>
        </xdr:cNvPr>
        <xdr:cNvSpPr txBox="1"/>
      </xdr:nvSpPr>
      <xdr:spPr>
        <a:xfrm>
          <a:off x="393935" y="2851619"/>
          <a:ext cx="7635168" cy="764352"/>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b="1">
              <a:solidFill>
                <a:schemeClr val="dk1"/>
              </a:solidFill>
              <a:effectLst/>
              <a:latin typeface="+mn-lt"/>
              <a:ea typeface="+mn-ea"/>
              <a:cs typeface="+mn-cs"/>
            </a:rPr>
            <a:t>No liability is taken by CIE for any potential errors due to calculations with the </a:t>
          </a:r>
          <a:r>
            <a:rPr lang="en-GB" sz="1100" b="1">
              <a:solidFill>
                <a:schemeClr val="dk1"/>
              </a:solidFill>
              <a:effectLst/>
              <a:latin typeface="+mn-lt"/>
              <a:ea typeface="+mn-ea"/>
              <a:cs typeface="+mn-cs"/>
              <a:sym typeface="Symbol" panose="05050102010706020507" pitchFamily="18" charset="2"/>
            </a:rPr>
            <a:t></a:t>
          </a:r>
          <a:r>
            <a:rPr lang="en-GB" sz="1100" b="1">
              <a:solidFill>
                <a:schemeClr val="dk1"/>
              </a:solidFill>
              <a:effectLst/>
              <a:latin typeface="+mn-lt"/>
              <a:ea typeface="+mn-ea"/>
              <a:cs typeface="+mn-cs"/>
            </a:rPr>
            <a:t>-opic Toolbox. It is recommended that users check the results against manual calculations.</a:t>
          </a:r>
          <a:r>
            <a:rPr lang="en-GB" sz="1100">
              <a:solidFill>
                <a:schemeClr val="dk1"/>
              </a:solidFill>
              <a:effectLst/>
              <a:latin typeface="+mn-lt"/>
              <a:ea typeface="+mn-ea"/>
              <a:cs typeface="+mn-cs"/>
            </a:rPr>
            <a:t> Considered feedback is welcome and should be sent to the reporter via</a:t>
          </a:r>
          <a:r>
            <a:rPr lang="en-GB" sz="1100">
              <a:solidFill>
                <a:srgbClr val="0000FF"/>
              </a:solidFill>
              <a:effectLst/>
              <a:latin typeface="+mn-lt"/>
              <a:ea typeface="+mn-ea"/>
              <a:cs typeface="+mn-cs"/>
            </a:rPr>
            <a:t> </a:t>
          </a:r>
          <a:r>
            <a:rPr lang="en-GB" sz="1100">
              <a:solidFill>
                <a:srgbClr val="0000FF"/>
              </a:solidFill>
              <a:effectLst/>
              <a:latin typeface="+mn-lt"/>
              <a:ea typeface="+mn-ea"/>
              <a:cs typeface="+mn-cs"/>
              <a:hlinkClick xmlns:r="http://schemas.openxmlformats.org/officeDocument/2006/relationships" r:id=""/>
            </a:rPr>
            <a:t>ciecb@cie.co.at</a:t>
          </a:r>
          <a:r>
            <a:rPr lang="en-GB" sz="1100">
              <a:solidFill>
                <a:schemeClr val="dk1"/>
              </a:solidFill>
              <a:effectLst/>
              <a:latin typeface="+mn-lt"/>
              <a:ea typeface="+mn-ea"/>
              <a:cs typeface="+mn-cs"/>
            </a:rPr>
            <a:t> who will aim to answer any questions as quickly as possible.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xdr:col>
      <xdr:colOff>952500</xdr:colOff>
      <xdr:row>9</xdr:row>
      <xdr:rowOff>165100</xdr:rowOff>
    </xdr:from>
    <xdr:ext cx="1625600" cy="264560"/>
    <xdr:sp macro="" textlink="">
      <xdr:nvSpPr>
        <xdr:cNvPr id="2" name="TextBox 1">
          <a:extLst>
            <a:ext uri="{FF2B5EF4-FFF2-40B4-BE49-F238E27FC236}">
              <a16:creationId xmlns:a16="http://schemas.microsoft.com/office/drawing/2014/main" id="{45C50184-CF38-4DBB-BD4C-4A7A0301210C}"/>
            </a:ext>
          </a:extLst>
        </xdr:cNvPr>
        <xdr:cNvSpPr txBox="1"/>
      </xdr:nvSpPr>
      <xdr:spPr>
        <a:xfrm>
          <a:off x="5276850" y="2006600"/>
          <a:ext cx="1625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tx1"/>
              </a:solidFill>
              <a:effectLst/>
              <a:latin typeface="+mn-lt"/>
              <a:ea typeface="+mn-ea"/>
              <a:cs typeface="+mn-cs"/>
            </a:rPr>
            <a:t>, where </a:t>
          </a:r>
          <a:r>
            <a:rPr lang="en-GB" sz="1100" i="1"/>
            <a:t>K</a:t>
          </a:r>
          <a:r>
            <a:rPr lang="en-GB" sz="1100" baseline="-25000"/>
            <a:t>m</a:t>
          </a:r>
          <a:r>
            <a:rPr lang="en-GB" sz="1100" i="1"/>
            <a:t> ≈ 683 lm.W</a:t>
          </a:r>
          <a:r>
            <a:rPr lang="en-GB" sz="1100" i="1" baseline="30000"/>
            <a:t>-1</a:t>
          </a:r>
        </a:p>
      </xdr:txBody>
    </xdr:sp>
    <xdr:clientData/>
  </xdr:oneCellAnchor>
  <xdr:oneCellAnchor>
    <xdr:from>
      <xdr:col>3</xdr:col>
      <xdr:colOff>247650</xdr:colOff>
      <xdr:row>9</xdr:row>
      <xdr:rowOff>158750</xdr:rowOff>
    </xdr:from>
    <xdr:ext cx="2051050" cy="264560"/>
    <xdr:sp macro="" textlink="">
      <xdr:nvSpPr>
        <xdr:cNvPr id="3" name="TextBox 2">
          <a:extLst>
            <a:ext uri="{FF2B5EF4-FFF2-40B4-BE49-F238E27FC236}">
              <a16:creationId xmlns:a16="http://schemas.microsoft.com/office/drawing/2014/main" id="{83587B44-8896-4DB2-8B32-EAC546440D3D}"/>
            </a:ext>
          </a:extLst>
        </xdr:cNvPr>
        <xdr:cNvSpPr txBox="1"/>
      </xdr:nvSpPr>
      <xdr:spPr>
        <a:xfrm>
          <a:off x="3263900" y="200025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0</xdr:rowOff>
    </xdr:from>
    <xdr:to>
      <xdr:col>5</xdr:col>
      <xdr:colOff>381000</xdr:colOff>
      <xdr:row>19</xdr:row>
      <xdr:rowOff>76200</xdr:rowOff>
    </xdr:to>
    <xdr:graphicFrame macro="">
      <xdr:nvGraphicFramePr>
        <xdr:cNvPr id="25" name="Chart 24">
          <a:extLst>
            <a:ext uri="{FF2B5EF4-FFF2-40B4-BE49-F238E27FC236}">
              <a16:creationId xmlns:a16="http://schemas.microsoft.com/office/drawing/2014/main" id="{6ED0738C-3C5A-4BAD-BAA9-28342A54F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20</xdr:row>
      <xdr:rowOff>9525</xdr:rowOff>
    </xdr:from>
    <xdr:to>
      <xdr:col>5</xdr:col>
      <xdr:colOff>381000</xdr:colOff>
      <xdr:row>34</xdr:row>
      <xdr:rowOff>85725</xdr:rowOff>
    </xdr:to>
    <xdr:graphicFrame macro="">
      <xdr:nvGraphicFramePr>
        <xdr:cNvPr id="26" name="Chart 25">
          <a:extLst>
            <a:ext uri="{FF2B5EF4-FFF2-40B4-BE49-F238E27FC236}">
              <a16:creationId xmlns:a16="http://schemas.microsoft.com/office/drawing/2014/main" id="{0CB3CD2F-DFDF-45FA-833E-C2992A134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xdr:colOff>
      <xdr:row>20</xdr:row>
      <xdr:rowOff>19050</xdr:rowOff>
    </xdr:from>
    <xdr:to>
      <xdr:col>14</xdr:col>
      <xdr:colOff>400050</xdr:colOff>
      <xdr:row>34</xdr:row>
      <xdr:rowOff>95250</xdr:rowOff>
    </xdr:to>
    <xdr:graphicFrame macro="">
      <xdr:nvGraphicFramePr>
        <xdr:cNvPr id="27" name="Chart 26">
          <a:extLst>
            <a:ext uri="{FF2B5EF4-FFF2-40B4-BE49-F238E27FC236}">
              <a16:creationId xmlns:a16="http://schemas.microsoft.com/office/drawing/2014/main" id="{FF76D7E4-D395-4B0A-BAFE-05E400EFB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552450</xdr:colOff>
      <xdr:row>5</xdr:row>
      <xdr:rowOff>9525</xdr:rowOff>
    </xdr:from>
    <xdr:to>
      <xdr:col>9</xdr:col>
      <xdr:colOff>923925</xdr:colOff>
      <xdr:row>19</xdr:row>
      <xdr:rowOff>85725</xdr:rowOff>
    </xdr:to>
    <xdr:graphicFrame macro="">
      <xdr:nvGraphicFramePr>
        <xdr:cNvPr id="28" name="Chart 27">
          <a:extLst>
            <a:ext uri="{FF2B5EF4-FFF2-40B4-BE49-F238E27FC236}">
              <a16:creationId xmlns:a16="http://schemas.microsoft.com/office/drawing/2014/main" id="{979F7662-A03A-4290-B6A2-52BB1D694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xdr:colOff>
      <xdr:row>5</xdr:row>
      <xdr:rowOff>0</xdr:rowOff>
    </xdr:from>
    <xdr:to>
      <xdr:col>14</xdr:col>
      <xdr:colOff>400050</xdr:colOff>
      <xdr:row>19</xdr:row>
      <xdr:rowOff>76200</xdr:rowOff>
    </xdr:to>
    <xdr:graphicFrame macro="">
      <xdr:nvGraphicFramePr>
        <xdr:cNvPr id="29" name="Chart 28">
          <a:extLst>
            <a:ext uri="{FF2B5EF4-FFF2-40B4-BE49-F238E27FC236}">
              <a16:creationId xmlns:a16="http://schemas.microsoft.com/office/drawing/2014/main" id="{01335DA8-1243-4D2C-8C6E-68F12E554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152400</xdr:colOff>
      <xdr:row>9</xdr:row>
      <xdr:rowOff>57150</xdr:rowOff>
    </xdr:from>
    <xdr:to>
      <xdr:col>5</xdr:col>
      <xdr:colOff>666750</xdr:colOff>
      <xdr:row>13</xdr:row>
      <xdr:rowOff>161925</xdr:rowOff>
    </xdr:to>
    <xdr:sp macro="" textlink="">
      <xdr:nvSpPr>
        <xdr:cNvPr id="30" name="TextBox 29">
          <a:extLst>
            <a:ext uri="{FF2B5EF4-FFF2-40B4-BE49-F238E27FC236}">
              <a16:creationId xmlns:a16="http://schemas.microsoft.com/office/drawing/2014/main" id="{D7EADAFD-DAD0-4069-A1BE-0AD8CF76CE25}"/>
            </a:ext>
          </a:extLst>
        </xdr:cNvPr>
        <xdr:cNvSpPr txBox="1"/>
      </xdr:nvSpPr>
      <xdr:spPr>
        <a:xfrm>
          <a:off x="4724400" y="1895475"/>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9</xdr:row>
      <xdr:rowOff>85725</xdr:rowOff>
    </xdr:from>
    <xdr:to>
      <xdr:col>10</xdr:col>
      <xdr:colOff>200025</xdr:colOff>
      <xdr:row>13</xdr:row>
      <xdr:rowOff>104775</xdr:rowOff>
    </xdr:to>
    <xdr:sp macro="" textlink="">
      <xdr:nvSpPr>
        <xdr:cNvPr id="31" name="TextBox 30">
          <a:extLst>
            <a:ext uri="{FF2B5EF4-FFF2-40B4-BE49-F238E27FC236}">
              <a16:creationId xmlns:a16="http://schemas.microsoft.com/office/drawing/2014/main" id="{9B36B245-A58F-462D-8270-00EAF040D981}"/>
            </a:ext>
          </a:extLst>
        </xdr:cNvPr>
        <xdr:cNvSpPr txBox="1"/>
      </xdr:nvSpPr>
      <xdr:spPr>
        <a:xfrm>
          <a:off x="9515475" y="1924050"/>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twoCellAnchor>
    <xdr:from>
      <xdr:col>5</xdr:col>
      <xdr:colOff>552450</xdr:colOff>
      <xdr:row>20</xdr:row>
      <xdr:rowOff>19050</xdr:rowOff>
    </xdr:from>
    <xdr:to>
      <xdr:col>9</xdr:col>
      <xdr:colOff>923925</xdr:colOff>
      <xdr:row>34</xdr:row>
      <xdr:rowOff>95250</xdr:rowOff>
    </xdr:to>
    <xdr:graphicFrame macro="">
      <xdr:nvGraphicFramePr>
        <xdr:cNvPr id="9" name="Chart 8">
          <a:extLst>
            <a:ext uri="{FF2B5EF4-FFF2-40B4-BE49-F238E27FC236}">
              <a16:creationId xmlns:a16="http://schemas.microsoft.com/office/drawing/2014/main" id="{1228B280-D531-40CC-B445-A266065BD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24</xdr:row>
      <xdr:rowOff>66675</xdr:rowOff>
    </xdr:from>
    <xdr:to>
      <xdr:col>5</xdr:col>
      <xdr:colOff>666750</xdr:colOff>
      <xdr:row>28</xdr:row>
      <xdr:rowOff>171450</xdr:rowOff>
    </xdr:to>
    <xdr:sp macro="" textlink="">
      <xdr:nvSpPr>
        <xdr:cNvPr id="10" name="TextBox 9">
          <a:extLst>
            <a:ext uri="{FF2B5EF4-FFF2-40B4-BE49-F238E27FC236}">
              <a16:creationId xmlns:a16="http://schemas.microsoft.com/office/drawing/2014/main" id="{187DCF7D-FD5C-4931-974B-81B5AFFD9B11}"/>
            </a:ext>
          </a:extLst>
        </xdr:cNvPr>
        <xdr:cNvSpPr txBox="1"/>
      </xdr:nvSpPr>
      <xdr:spPr>
        <a:xfrm>
          <a:off x="4724400" y="4762500"/>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24</xdr:row>
      <xdr:rowOff>95250</xdr:rowOff>
    </xdr:from>
    <xdr:to>
      <xdr:col>10</xdr:col>
      <xdr:colOff>200025</xdr:colOff>
      <xdr:row>28</xdr:row>
      <xdr:rowOff>114300</xdr:rowOff>
    </xdr:to>
    <xdr:sp macro="" textlink="">
      <xdr:nvSpPr>
        <xdr:cNvPr id="11" name="TextBox 10">
          <a:extLst>
            <a:ext uri="{FF2B5EF4-FFF2-40B4-BE49-F238E27FC236}">
              <a16:creationId xmlns:a16="http://schemas.microsoft.com/office/drawing/2014/main" id="{48A698B5-5470-4F44-9142-F3F8586CE75D}"/>
            </a:ext>
          </a:extLst>
        </xdr:cNvPr>
        <xdr:cNvSpPr txBox="1"/>
      </xdr:nvSpPr>
      <xdr:spPr>
        <a:xfrm>
          <a:off x="9515475" y="4791075"/>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xdr:col>
      <xdr:colOff>1</xdr:colOff>
      <xdr:row>3</xdr:row>
      <xdr:rowOff>190499</xdr:rowOff>
    </xdr:from>
    <xdr:to>
      <xdr:col>7</xdr:col>
      <xdr:colOff>1038225</xdr:colOff>
      <xdr:row>27</xdr:row>
      <xdr:rowOff>66674</xdr:rowOff>
    </xdr:to>
    <xdr:sp macro="" textlink="">
      <xdr:nvSpPr>
        <xdr:cNvPr id="2" name="TextBox 1">
          <a:extLst>
            <a:ext uri="{FF2B5EF4-FFF2-40B4-BE49-F238E27FC236}">
              <a16:creationId xmlns:a16="http://schemas.microsoft.com/office/drawing/2014/main" id="{8AD147D8-F8D9-4B37-A4D4-4BC46E3C49C5}"/>
            </a:ext>
          </a:extLst>
        </xdr:cNvPr>
        <xdr:cNvSpPr txBox="1"/>
      </xdr:nvSpPr>
      <xdr:spPr>
        <a:xfrm>
          <a:off x="381001" y="885824"/>
          <a:ext cx="7324724" cy="4448175"/>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List of quantities, abbreviations and symbols</a:t>
          </a:r>
        </a:p>
        <a:p>
          <a:endParaRPr lang="en-GB" sz="400" b="0"/>
        </a:p>
        <a:p>
          <a:pPr eaLnBrk="1" fontAlgn="auto" latinLnBrk="0" hangingPunct="1"/>
          <a:r>
            <a:rPr lang="en-GB" sz="1100" b="1" i="1">
              <a:solidFill>
                <a:schemeClr val="dk1"/>
              </a:solidFill>
              <a:effectLst/>
              <a:latin typeface="+mn-lt"/>
              <a:ea typeface="+mn-ea"/>
              <a:cs typeface="+mn-cs"/>
            </a:rPr>
            <a:t>Previously published (CIE DIS 017:2016; CIE 018:2019)</a:t>
          </a: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illuminance;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luminance </a:t>
          </a:r>
          <a:endParaRPr lang="en-GB">
            <a:effectLst/>
          </a:endParaRPr>
        </a:p>
        <a:p>
          <a:pPr eaLnBrk="1" fontAlgn="auto" latinLnBrk="0" hangingPunct="1"/>
          <a:r>
            <a:rPr lang="en-GB" sz="1100" i="1">
              <a:solidFill>
                <a:schemeClr val="dk1"/>
              </a:solidFill>
              <a:effectLst/>
              <a:latin typeface="+mn-lt"/>
              <a:ea typeface="+mn-ea"/>
              <a:cs typeface="+mn-cs"/>
            </a:rPr>
            <a:t>E</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endParaRPr lang="en-GB" sz="400" b="0" i="1"/>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a:t>
          </a:r>
          <a:endParaRPr lang="en-GB" sz="800">
            <a:effectLst/>
          </a:endParaRPr>
        </a:p>
        <a:p>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-opic (</a:t>
          </a:r>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 </a:t>
          </a:r>
          <a:r>
            <a:rPr lang="en-GB" sz="1100" b="0" i="0"/>
            <a:t>may represent any one of S-cone-opic (sc), M-cone-opic (mc), L-cone-opic (lc), rhodopic (rh) and melanopic (mel)</a:t>
          </a:r>
        </a:p>
        <a:p>
          <a:r>
            <a:rPr lang="en-GB" sz="1100" b="0" i="1"/>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Times New Roman" panose="02020603050405020304" pitchFamily="18" charset="0"/>
              <a:ea typeface="+mn-ea"/>
              <a:cs typeface="Times New Roman" panose="02020603050405020304" pitchFamily="18" charset="0"/>
            </a:rPr>
            <a:t>λ</a:t>
          </a:r>
          <a:r>
            <a:rPr lang="en-GB" sz="1100">
              <a:solidFill>
                <a:schemeClr val="dk1"/>
              </a:solidFill>
              <a:effectLst/>
              <a:latin typeface="+mn-lt"/>
              <a:ea typeface="+mn-ea"/>
              <a:cs typeface="+mn-cs"/>
            </a:rPr>
            <a:t>) =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a:t>
          </a:r>
        </a:p>
        <a:p>
          <a:endParaRPr lang="en-GB" sz="400"/>
        </a:p>
        <a:p>
          <a:r>
            <a:rPr lang="en-GB" sz="1100" i="1">
              <a:solidFill>
                <a:schemeClr val="dk1"/>
              </a:solidFill>
              <a:effectLst/>
              <a:latin typeface="+mn-lt"/>
              <a:ea typeface="+mn-ea"/>
              <a:cs typeface="+mn-cs"/>
            </a:rPr>
            <a:t>K</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efficacy of luminous radiation,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ELR </a:t>
          </a:r>
        </a:p>
        <a:p>
          <a:r>
            <a:rPr lang="en-GB" sz="1100" b="0" i="1">
              <a:solidFill>
                <a:sysClr val="windowText" lastClr="000000"/>
              </a:solidFill>
              <a:effectLst/>
              <a:latin typeface="+mn-lt"/>
              <a:ea typeface="+mn-ea"/>
              <a:cs typeface="+mn-cs"/>
            </a:rPr>
            <a:t>K</a:t>
          </a:r>
          <a:r>
            <a:rPr lang="en-GB" sz="1100" b="0" baseline="30000">
              <a:solidFill>
                <a:sysClr val="windowText" lastClr="000000"/>
              </a:solidFill>
              <a:effectLst/>
              <a:latin typeface="+mn-lt"/>
              <a:ea typeface="+mn-ea"/>
              <a:cs typeface="+mn-cs"/>
            </a:rPr>
            <a:t>D65</a:t>
          </a:r>
          <a:r>
            <a:rPr lang="el-GR" sz="1100" b="0" baseline="-25000">
              <a:solidFill>
                <a:sysClr val="windowText" lastClr="000000"/>
              </a:solidFill>
              <a:effectLst/>
              <a:latin typeface="+mn-lt"/>
              <a:ea typeface="+mn-ea"/>
              <a:cs typeface="+mn-cs"/>
            </a:rPr>
            <a:t>α</a:t>
          </a:r>
          <a:r>
            <a:rPr lang="en-GB" sz="1100" b="0" baseline="-25000">
              <a:solidFill>
                <a:sysClr val="windowText" lastClr="000000"/>
              </a:solidFill>
              <a:effectLst/>
              <a:latin typeface="+mn-lt"/>
              <a:ea typeface="+mn-ea"/>
              <a:cs typeface="+mn-cs"/>
            </a:rPr>
            <a:t>,v </a:t>
          </a:r>
          <a:r>
            <a:rPr lang="en-GB" sz="1100" b="0">
              <a:solidFill>
                <a:sysClr val="windowText" lastClr="000000"/>
              </a:solidFill>
              <a:effectLst/>
              <a:latin typeface="+mn-lt"/>
              <a:ea typeface="+mn-ea"/>
              <a:cs typeface="+mn-cs"/>
            </a:rPr>
            <a:t> = </a:t>
          </a:r>
          <a:r>
            <a:rPr lang="el-GR" sz="1100" b="0">
              <a:solidFill>
                <a:sysClr val="windowText" lastClr="000000"/>
              </a:solidFill>
              <a:effectLst/>
              <a:latin typeface="+mn-lt"/>
              <a:ea typeface="+mn-ea"/>
              <a:cs typeface="+mn-cs"/>
            </a:rPr>
            <a:t>α</a:t>
          </a:r>
          <a:r>
            <a:rPr lang="en-GB" sz="1100" b="0">
              <a:solidFill>
                <a:sysClr val="windowText" lastClr="000000"/>
              </a:solidFill>
              <a:effectLst/>
              <a:latin typeface="+mn-lt"/>
              <a:ea typeface="+mn-ea"/>
              <a:cs typeface="+mn-cs"/>
            </a:rPr>
            <a:t>-opic ELR for</a:t>
          </a:r>
          <a:r>
            <a:rPr lang="en-GB" sz="1100" b="0" baseline="0">
              <a:solidFill>
                <a:sysClr val="windowText" lastClr="000000"/>
              </a:solidFill>
              <a:effectLst/>
              <a:latin typeface="+mn-lt"/>
              <a:ea typeface="+mn-ea"/>
              <a:cs typeface="+mn-cs"/>
            </a:rPr>
            <a:t> daylight (D65)</a:t>
          </a:r>
        </a:p>
        <a:p>
          <a:pPr eaLnBrk="1" fontAlgn="auto" latinLnBrk="0" hangingPunct="1"/>
          <a:endParaRPr lang="en-GB" sz="400" i="1">
            <a:solidFill>
              <a:schemeClr val="dk1"/>
            </a:solidFill>
            <a:effectLst/>
            <a:latin typeface="+mn-lt"/>
            <a:ea typeface="+mn-ea"/>
            <a:cs typeface="+mn-cs"/>
          </a:endParaRPr>
        </a:p>
        <a:p>
          <a:pPr eaLnBrk="1" fontAlgn="auto" latinLnBrk="0" hangingPunct="1"/>
          <a:r>
            <a:rPr lang="el-GR" sz="1100" i="1">
              <a:solidFill>
                <a:schemeClr val="dk1"/>
              </a:solidFill>
              <a:effectLst/>
              <a:latin typeface="+mn-lt"/>
              <a:ea typeface="+mn-ea"/>
              <a:cs typeface="+mn-cs"/>
            </a:rPr>
            <a:t>γ</a:t>
          </a:r>
          <a:r>
            <a:rPr lang="en-GB" sz="1100" baseline="30000">
              <a:solidFill>
                <a:schemeClr val="dk1"/>
              </a:solidFill>
              <a:effectLst/>
              <a:latin typeface="+mn-lt"/>
              <a:ea typeface="+mn-ea"/>
              <a:cs typeface="+mn-cs"/>
            </a:rPr>
            <a:t>D65</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i="0">
              <a:solidFill>
                <a:schemeClr val="dk1"/>
              </a:solidFill>
              <a:effectLst/>
              <a:latin typeface="+mn-lt"/>
              <a:ea typeface="+mn-ea"/>
              <a:cs typeface="+mn-cs"/>
            </a:rPr>
            <a:t>α</a:t>
          </a:r>
          <a:r>
            <a:rPr lang="en-GB" sz="1100" i="0">
              <a:solidFill>
                <a:schemeClr val="dk1"/>
              </a:solidFill>
              <a:effectLst/>
              <a:latin typeface="+mn-lt"/>
              <a:ea typeface="+mn-ea"/>
              <a:cs typeface="+mn-cs"/>
            </a:rPr>
            <a:t>-opic daylight (D65) efficacy ratio</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DER </a:t>
          </a:r>
          <a:endParaRPr lang="en-GB" b="0">
            <a:effectLst/>
          </a:endParaRPr>
        </a:p>
        <a:p>
          <a:endParaRPr lang="en-GB" sz="400" i="1"/>
        </a:p>
        <a:p>
          <a:r>
            <a:rPr lang="en-GB" sz="1100" i="1"/>
            <a:t>E</a:t>
          </a:r>
          <a:r>
            <a:rPr lang="el-GR" sz="1100" baseline="-25000">
              <a:latin typeface="Times New Roman" panose="02020603050405020304" pitchFamily="18" charset="0"/>
              <a:cs typeface="Times New Roman" panose="02020603050405020304" pitchFamily="18" charset="0"/>
            </a:rPr>
            <a:t>α</a:t>
          </a:r>
          <a:r>
            <a:rPr lang="en-GB" sz="1100">
              <a:latin typeface="Times New Roman" panose="02020603050405020304" pitchFamily="18" charset="0"/>
              <a:cs typeface="Times New Roman" panose="02020603050405020304" pitchFamily="18" charset="0"/>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sz="1100">
            <a:latin typeface="Times New Roman" panose="02020603050405020304" pitchFamily="18" charset="0"/>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illuminance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EDI </a:t>
          </a:r>
          <a:endParaRPr lang="en-GB" b="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EDL </a:t>
          </a:r>
          <a:endParaRPr lang="en-GB"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 and 9th edition of SI Brochure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in the photon system (renormalised</a:t>
          </a:r>
          <a:r>
            <a:rPr lang="en-GB" sz="1100" baseline="0">
              <a:solidFill>
                <a:schemeClr val="dk1"/>
              </a:solidFill>
              <a:effectLst/>
              <a:latin typeface="+mn-lt"/>
              <a:ea typeface="+mn-ea"/>
              <a:cs typeface="+mn-cs"/>
            </a:rPr>
            <a:t> to maximum of 1)</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eaLnBrk="1" fontAlgn="auto" latinLnBrk="0" hangingPunct="1"/>
          <a:endParaRPr lang="en-GB" sz="400">
            <a:effectLst/>
          </a:endParaRPr>
        </a:p>
        <a:p>
          <a:pPr eaLnBrk="1" fontAlgn="auto" latinLnBrk="0" hangingPunct="1"/>
          <a:r>
            <a:rPr lang="en-GB" sz="1100">
              <a:solidFill>
                <a:schemeClr val="dk1"/>
              </a:solidFill>
              <a:effectLst/>
              <a:latin typeface="+mn-lt"/>
              <a:ea typeface="+mn-ea"/>
              <a:cs typeface="+mn-cs"/>
            </a:rPr>
            <a:t>Further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a:t>
          </a:r>
          <a:r>
            <a:rPr lang="en-GB" sz="1100" baseline="0">
              <a:solidFill>
                <a:schemeClr val="dk1"/>
              </a:solidFill>
              <a:effectLst/>
              <a:latin typeface="+mn-lt"/>
              <a:ea typeface="+mn-ea"/>
              <a:cs typeface="+mn-cs"/>
            </a:rPr>
            <a:t>quantities and their symbols can be derived, </a:t>
          </a:r>
          <a:r>
            <a:rPr lang="en-GB" sz="1100" i="1" baseline="0">
              <a:solidFill>
                <a:schemeClr val="dk1"/>
              </a:solidFill>
              <a:effectLst/>
              <a:latin typeface="+mn-lt"/>
              <a:ea typeface="+mn-ea"/>
              <a:cs typeface="+mn-cs"/>
            </a:rPr>
            <a:t>e.g.</a:t>
          </a:r>
          <a:r>
            <a:rPr lang="en-GB" sz="1100" baseline="0">
              <a:solidFill>
                <a:schemeClr val="dk1"/>
              </a:solidFill>
              <a:effectLst/>
              <a:latin typeface="+mn-lt"/>
              <a:ea typeface="+mn-ea"/>
              <a:cs typeface="+mn-cs"/>
            </a:rPr>
            <a:t>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 daylight (D65) luminous flux, </a:t>
          </a:r>
          <a:r>
            <a:rPr lang="el-GR" sz="1100" i="1">
              <a:solidFill>
                <a:schemeClr val="dk1"/>
              </a:solidFill>
              <a:effectLst/>
              <a:latin typeface="Times New Roman" panose="02020603050405020304" pitchFamily="18" charset="0"/>
              <a:ea typeface="+mn-ea"/>
              <a:cs typeface="Times New Roman" panose="02020603050405020304" pitchFamily="18" charset="0"/>
            </a:rPr>
            <a:t>Φ</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baseline="0">
              <a:solidFill>
                <a:schemeClr val="dk1"/>
              </a:solidFill>
              <a:effectLst/>
              <a:latin typeface="+mn-lt"/>
              <a:ea typeface="+mn-ea"/>
              <a:cs typeface="+mn-cs"/>
            </a:rPr>
            <a:t>. However, any other abbreviations, e.g.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EDLF"</a:t>
          </a:r>
          <a:r>
            <a:rPr lang="en-GB" sz="1100" baseline="0">
              <a:solidFill>
                <a:schemeClr val="dk1"/>
              </a:solidFill>
              <a:effectLst/>
              <a:latin typeface="+mn-lt"/>
              <a:ea typeface="+mn-ea"/>
              <a:cs typeface="+mn-cs"/>
            </a:rPr>
            <a:t> may be ambiguous, and should be avoided.</a:t>
          </a:r>
          <a:endParaRPr lang="en-GB">
            <a:effectLst/>
          </a:endParaRPr>
        </a:p>
        <a:p>
          <a:pPr eaLnBrk="1" fontAlgn="auto" latinLnBrk="0" hangingPunct="1"/>
          <a:endParaRPr lang="en-GB" sz="400" baseline="0">
            <a:solidFill>
              <a:schemeClr val="dk1"/>
            </a:solidFill>
            <a:effectLst/>
            <a:latin typeface="+mn-lt"/>
            <a:ea typeface="+mn-ea"/>
            <a:cs typeface="+mn-cs"/>
          </a:endParaRPr>
        </a:p>
        <a:p>
          <a:pPr eaLnBrk="1" fontAlgn="auto" latinLnBrk="0" hangingPunct="1"/>
          <a:r>
            <a:rPr lang="en-GB" sz="1100" baseline="0">
              <a:solidFill>
                <a:schemeClr val="dk1"/>
              </a:solidFill>
              <a:effectLst/>
              <a:latin typeface="+mn-lt"/>
              <a:ea typeface="+mn-ea"/>
              <a:cs typeface="+mn-cs"/>
            </a:rPr>
            <a:t>Due to prior publications, the subscript order for ELR and DER differs from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quantities.</a:t>
          </a:r>
          <a:endParaRPr lang="en-GB">
            <a:effectLst/>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7</xdr:col>
      <xdr:colOff>247650</xdr:colOff>
      <xdr:row>13</xdr:row>
      <xdr:rowOff>152400</xdr:rowOff>
    </xdr:from>
    <xdr:ext cx="2051050" cy="264560"/>
    <xdr:sp macro="" textlink="">
      <xdr:nvSpPr>
        <xdr:cNvPr id="2" name="TextBox 1">
          <a:extLst>
            <a:ext uri="{FF2B5EF4-FFF2-40B4-BE49-F238E27FC236}">
              <a16:creationId xmlns:a16="http://schemas.microsoft.com/office/drawing/2014/main" id="{CEC6A674-20DB-4B1F-8280-01136CCB3A65}"/>
            </a:ext>
          </a:extLst>
        </xdr:cNvPr>
        <xdr:cNvSpPr txBox="1"/>
      </xdr:nvSpPr>
      <xdr:spPr>
        <a:xfrm>
          <a:off x="7239000" y="275590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tint="-0.249977111117893"/>
    <pageSetUpPr fitToPage="1"/>
  </sheetPr>
  <dimension ref="A1:K427"/>
  <sheetViews>
    <sheetView workbookViewId="0">
      <selection activeCell="B3" sqref="B3"/>
    </sheetView>
  </sheetViews>
  <sheetFormatPr baseColWidth="10" defaultColWidth="0" defaultRowHeight="15" zeroHeight="1" x14ac:dyDescent="0.2"/>
  <cols>
    <col min="1" max="1" width="5.6640625" style="161" customWidth="1"/>
    <col min="2" max="5" width="15.6640625" style="161" customWidth="1"/>
    <col min="6" max="6" width="10.6640625" style="183" customWidth="1"/>
    <col min="7" max="16384" width="9.1640625" style="161" hidden="1"/>
  </cols>
  <sheetData>
    <row r="1" spans="1:11" s="56" customFormat="1" ht="25" customHeight="1" x14ac:dyDescent="0.3">
      <c r="B1" s="72" t="str">
        <f>LEFT(Disclaimer!B1,Maintenance!I3)</f>
        <v>CIE S 026 α-opic Toolbox - v1.049a - 2020/11</v>
      </c>
    </row>
    <row r="2" spans="1:11" x14ac:dyDescent="0.2">
      <c r="A2" s="56"/>
      <c r="B2" s="56"/>
      <c r="C2" s="56"/>
      <c r="D2" s="56"/>
    </row>
    <row r="3" spans="1:11" x14ac:dyDescent="0.2">
      <c r="A3" s="56"/>
      <c r="B3" s="141" t="s">
        <v>316</v>
      </c>
      <c r="C3" s="143" t="s">
        <v>406</v>
      </c>
      <c r="D3" s="56"/>
      <c r="H3" s="161" t="s">
        <v>423</v>
      </c>
      <c r="I3" s="183">
        <v>44</v>
      </c>
      <c r="K3" s="161" t="s">
        <v>424</v>
      </c>
    </row>
    <row r="4" spans="1:11" x14ac:dyDescent="0.2">
      <c r="A4" s="56"/>
      <c r="B4" s="56"/>
      <c r="C4" s="93"/>
      <c r="D4" s="56"/>
    </row>
    <row r="5" spans="1:11" x14ac:dyDescent="0.2">
      <c r="A5" s="73"/>
      <c r="B5" s="73"/>
      <c r="C5" s="73"/>
      <c r="D5" s="73"/>
      <c r="E5" s="183"/>
    </row>
    <row r="6" spans="1:11" hidden="1" x14ac:dyDescent="0.2">
      <c r="A6" s="183"/>
      <c r="B6" s="189" t="s">
        <v>321</v>
      </c>
      <c r="C6" s="183"/>
      <c r="D6" s="183"/>
      <c r="E6" s="183"/>
    </row>
    <row r="7" spans="1:11" hidden="1" x14ac:dyDescent="0.2">
      <c r="A7" s="183"/>
      <c r="B7" s="187" t="s">
        <v>308</v>
      </c>
      <c r="C7" s="187" t="s">
        <v>307</v>
      </c>
      <c r="D7" s="188" t="s">
        <v>317</v>
      </c>
      <c r="E7" s="187" t="s">
        <v>309</v>
      </c>
    </row>
    <row r="8" spans="1:11" hidden="1" x14ac:dyDescent="0.2">
      <c r="A8" s="183"/>
      <c r="D8" s="190"/>
      <c r="E8" s="161" t="s">
        <v>410</v>
      </c>
    </row>
    <row r="9" spans="1:11" hidden="1" x14ac:dyDescent="0.2">
      <c r="A9" s="183"/>
      <c r="B9" s="161" t="s">
        <v>407</v>
      </c>
      <c r="C9" s="161" t="s">
        <v>408</v>
      </c>
      <c r="D9" s="190">
        <v>43780</v>
      </c>
      <c r="E9" s="161" t="s">
        <v>409</v>
      </c>
    </row>
    <row r="10" spans="1:11" hidden="1" x14ac:dyDescent="0.2">
      <c r="A10" s="183"/>
      <c r="B10" s="161" t="s">
        <v>412</v>
      </c>
      <c r="C10" s="161" t="s">
        <v>408</v>
      </c>
      <c r="D10" s="190">
        <v>43780</v>
      </c>
      <c r="E10" s="161" t="s">
        <v>411</v>
      </c>
    </row>
    <row r="11" spans="1:11" hidden="1" x14ac:dyDescent="0.2">
      <c r="A11" s="183"/>
      <c r="B11" s="161" t="s">
        <v>414</v>
      </c>
      <c r="C11" s="161" t="s">
        <v>408</v>
      </c>
      <c r="D11" s="190">
        <v>43780</v>
      </c>
      <c r="E11" s="161" t="s">
        <v>415</v>
      </c>
    </row>
    <row r="12" spans="1:11" hidden="1" x14ac:dyDescent="0.2">
      <c r="A12" s="183"/>
      <c r="B12" s="161" t="s">
        <v>416</v>
      </c>
      <c r="C12" s="161" t="s">
        <v>408</v>
      </c>
      <c r="D12" s="190">
        <v>43780</v>
      </c>
      <c r="E12" s="161" t="s">
        <v>417</v>
      </c>
    </row>
    <row r="13" spans="1:11" hidden="1" x14ac:dyDescent="0.2">
      <c r="A13" s="183"/>
      <c r="B13" s="161" t="s">
        <v>418</v>
      </c>
      <c r="C13" s="161" t="s">
        <v>408</v>
      </c>
      <c r="D13" s="190">
        <v>43780</v>
      </c>
      <c r="E13" s="161" t="s">
        <v>419</v>
      </c>
    </row>
    <row r="14" spans="1:11" hidden="1" x14ac:dyDescent="0.2">
      <c r="A14" s="183"/>
      <c r="B14" s="161" t="s">
        <v>420</v>
      </c>
      <c r="C14" s="161" t="s">
        <v>408</v>
      </c>
      <c r="D14" s="190">
        <v>43880</v>
      </c>
      <c r="E14" s="161" t="s">
        <v>421</v>
      </c>
    </row>
    <row r="15" spans="1:11" hidden="1" x14ac:dyDescent="0.2">
      <c r="A15" s="183"/>
      <c r="B15" s="161" t="s">
        <v>422</v>
      </c>
      <c r="C15" s="161" t="s">
        <v>426</v>
      </c>
      <c r="D15" s="190">
        <v>43880</v>
      </c>
      <c r="E15" s="161" t="s">
        <v>425</v>
      </c>
    </row>
    <row r="16" spans="1:11" hidden="1" x14ac:dyDescent="0.2">
      <c r="A16" s="183"/>
      <c r="B16" s="161" t="s">
        <v>429</v>
      </c>
      <c r="C16" s="161" t="s">
        <v>408</v>
      </c>
      <c r="D16" s="190">
        <v>43880</v>
      </c>
      <c r="E16" s="161" t="s">
        <v>428</v>
      </c>
    </row>
    <row r="17" spans="1:5" hidden="1" x14ac:dyDescent="0.2">
      <c r="A17" s="183"/>
      <c r="B17" s="161" t="s">
        <v>430</v>
      </c>
      <c r="C17" s="161" t="s">
        <v>408</v>
      </c>
      <c r="D17" s="190">
        <v>43880</v>
      </c>
      <c r="E17" s="161" t="s">
        <v>431</v>
      </c>
    </row>
    <row r="18" spans="1:5" hidden="1" x14ac:dyDescent="0.2">
      <c r="A18" s="183"/>
      <c r="B18" s="161" t="s">
        <v>432</v>
      </c>
      <c r="C18" s="161" t="s">
        <v>433</v>
      </c>
      <c r="D18" s="190">
        <v>43880</v>
      </c>
      <c r="E18" s="161" t="s">
        <v>434</v>
      </c>
    </row>
    <row r="19" spans="1:5" hidden="1" x14ac:dyDescent="0.2">
      <c r="A19" s="183"/>
      <c r="D19" s="190"/>
      <c r="E19" s="161" t="s">
        <v>439</v>
      </c>
    </row>
    <row r="20" spans="1:5" hidden="1" x14ac:dyDescent="0.2">
      <c r="A20" s="183"/>
      <c r="D20" s="190"/>
      <c r="E20" s="161" t="s">
        <v>436</v>
      </c>
    </row>
    <row r="21" spans="1:5" hidden="1" x14ac:dyDescent="0.2">
      <c r="A21" s="183"/>
      <c r="E21" s="161" t="s">
        <v>438</v>
      </c>
    </row>
    <row r="22" spans="1:5" hidden="1" x14ac:dyDescent="0.2">
      <c r="A22" s="183"/>
      <c r="E22" s="161" t="s">
        <v>437</v>
      </c>
    </row>
    <row r="23" spans="1:5" hidden="1" x14ac:dyDescent="0.2">
      <c r="A23" s="183"/>
      <c r="B23" s="161" t="s">
        <v>435</v>
      </c>
      <c r="C23" s="161" t="s">
        <v>408</v>
      </c>
      <c r="D23" s="190">
        <v>43880</v>
      </c>
      <c r="E23" s="161" t="s">
        <v>447</v>
      </c>
    </row>
    <row r="24" spans="1:5" hidden="1" x14ac:dyDescent="0.2">
      <c r="A24" s="183"/>
      <c r="B24" s="161" t="s">
        <v>441</v>
      </c>
      <c r="C24" s="161" t="s">
        <v>446</v>
      </c>
      <c r="D24" s="190">
        <v>43880</v>
      </c>
      <c r="E24" s="161" t="s">
        <v>445</v>
      </c>
    </row>
    <row r="25" spans="1:5" hidden="1" x14ac:dyDescent="0.2">
      <c r="A25" s="183"/>
      <c r="B25" s="161" t="s">
        <v>443</v>
      </c>
      <c r="C25" s="161" t="s">
        <v>446</v>
      </c>
      <c r="D25" s="190">
        <v>43880</v>
      </c>
      <c r="E25" s="161" t="s">
        <v>442</v>
      </c>
    </row>
    <row r="26" spans="1:5" hidden="1" x14ac:dyDescent="0.2">
      <c r="A26" s="183"/>
      <c r="B26" s="161" t="s">
        <v>460</v>
      </c>
      <c r="C26" s="161" t="s">
        <v>466</v>
      </c>
      <c r="D26" s="190">
        <v>43916</v>
      </c>
      <c r="E26" s="161" t="s">
        <v>461</v>
      </c>
    </row>
    <row r="27" spans="1:5" hidden="1" x14ac:dyDescent="0.2">
      <c r="A27" s="183"/>
      <c r="B27" s="161" t="s">
        <v>465</v>
      </c>
      <c r="C27" s="161" t="s">
        <v>408</v>
      </c>
      <c r="D27" s="190">
        <v>44152</v>
      </c>
      <c r="E27" s="161" t="s">
        <v>467</v>
      </c>
    </row>
    <row r="28" spans="1:5" hidden="1" x14ac:dyDescent="0.2">
      <c r="A28" s="183"/>
      <c r="B28" s="161" t="s">
        <v>468</v>
      </c>
      <c r="C28" s="161" t="s">
        <v>408</v>
      </c>
      <c r="D28" s="190">
        <v>44152</v>
      </c>
      <c r="E28" s="161" t="s">
        <v>471</v>
      </c>
    </row>
    <row r="29" spans="1:5" hidden="1" x14ac:dyDescent="0.2">
      <c r="A29" s="183"/>
      <c r="B29" s="161" t="s">
        <v>470</v>
      </c>
      <c r="C29" s="161" t="s">
        <v>408</v>
      </c>
      <c r="D29" s="190">
        <v>44152</v>
      </c>
      <c r="E29" s="161" t="s">
        <v>469</v>
      </c>
    </row>
    <row r="30" spans="1:5" hidden="1" x14ac:dyDescent="0.2">
      <c r="A30" s="183"/>
      <c r="D30" s="190"/>
    </row>
    <row r="31" spans="1:5" hidden="1" x14ac:dyDescent="0.2">
      <c r="A31" s="183"/>
      <c r="D31" s="190"/>
    </row>
    <row r="32" spans="1:5" hidden="1" x14ac:dyDescent="0.2">
      <c r="A32" s="183"/>
      <c r="D32" s="190"/>
    </row>
    <row r="33" spans="1:4" hidden="1" x14ac:dyDescent="0.2">
      <c r="A33" s="183"/>
      <c r="D33" s="190"/>
    </row>
    <row r="34" spans="1:4" hidden="1" x14ac:dyDescent="0.2">
      <c r="A34" s="183"/>
      <c r="D34" s="190"/>
    </row>
    <row r="35" spans="1:4" hidden="1" x14ac:dyDescent="0.2">
      <c r="A35" s="183"/>
      <c r="D35" s="190"/>
    </row>
    <row r="36" spans="1:4" hidden="1" x14ac:dyDescent="0.2">
      <c r="A36" s="183"/>
      <c r="D36" s="190"/>
    </row>
    <row r="37" spans="1:4" hidden="1" x14ac:dyDescent="0.2">
      <c r="A37" s="183"/>
      <c r="D37" s="190"/>
    </row>
    <row r="38" spans="1:4" hidden="1" x14ac:dyDescent="0.2">
      <c r="A38" s="183"/>
      <c r="D38" s="190"/>
    </row>
    <row r="39" spans="1:4" hidden="1" x14ac:dyDescent="0.2">
      <c r="A39" s="183"/>
      <c r="D39" s="190"/>
    </row>
    <row r="40" spans="1:4" hidden="1" x14ac:dyDescent="0.2">
      <c r="A40" s="183"/>
      <c r="D40" s="190"/>
    </row>
    <row r="41" spans="1:4" hidden="1" x14ac:dyDescent="0.2">
      <c r="A41" s="183"/>
      <c r="D41" s="190"/>
    </row>
    <row r="42" spans="1:4" hidden="1" x14ac:dyDescent="0.2">
      <c r="A42" s="183"/>
      <c r="D42" s="190"/>
    </row>
    <row r="43" spans="1:4" hidden="1" x14ac:dyDescent="0.2">
      <c r="A43" s="183"/>
      <c r="D43" s="190"/>
    </row>
    <row r="44" spans="1:4" hidden="1" x14ac:dyDescent="0.2">
      <c r="A44" s="183"/>
      <c r="D44" s="190"/>
    </row>
    <row r="45" spans="1:4" hidden="1" x14ac:dyDescent="0.2">
      <c r="A45" s="183"/>
      <c r="D45" s="190"/>
    </row>
    <row r="46" spans="1:4" hidden="1" x14ac:dyDescent="0.2">
      <c r="A46" s="183"/>
      <c r="D46" s="190"/>
    </row>
    <row r="47" spans="1:4" hidden="1" x14ac:dyDescent="0.2">
      <c r="A47" s="183"/>
      <c r="D47" s="190"/>
    </row>
    <row r="48" spans="1:4" hidden="1" x14ac:dyDescent="0.2">
      <c r="A48" s="183"/>
      <c r="D48" s="190"/>
    </row>
    <row r="49" spans="1:4" hidden="1" x14ac:dyDescent="0.2">
      <c r="A49" s="183"/>
      <c r="D49" s="190"/>
    </row>
    <row r="50" spans="1:4" hidden="1" x14ac:dyDescent="0.2">
      <c r="A50" s="183"/>
      <c r="D50" s="190"/>
    </row>
    <row r="51" spans="1:4" hidden="1" x14ac:dyDescent="0.2">
      <c r="A51" s="183"/>
      <c r="D51" s="190"/>
    </row>
    <row r="52" spans="1:4" hidden="1" x14ac:dyDescent="0.2">
      <c r="A52" s="183"/>
      <c r="D52" s="190"/>
    </row>
    <row r="53" spans="1:4" hidden="1" x14ac:dyDescent="0.2">
      <c r="A53" s="183"/>
      <c r="D53" s="190"/>
    </row>
    <row r="54" spans="1:4" hidden="1" x14ac:dyDescent="0.2">
      <c r="A54" s="183"/>
      <c r="D54" s="190"/>
    </row>
    <row r="55" spans="1:4" hidden="1" x14ac:dyDescent="0.2">
      <c r="A55" s="183"/>
      <c r="D55" s="190"/>
    </row>
    <row r="56" spans="1:4" hidden="1" x14ac:dyDescent="0.2">
      <c r="A56" s="183"/>
      <c r="D56" s="190"/>
    </row>
    <row r="57" spans="1:4" hidden="1" x14ac:dyDescent="0.2">
      <c r="A57" s="183"/>
      <c r="D57" s="190"/>
    </row>
    <row r="58" spans="1:4" hidden="1" x14ac:dyDescent="0.2">
      <c r="A58" s="183"/>
      <c r="D58" s="190"/>
    </row>
    <row r="59" spans="1:4" hidden="1" x14ac:dyDescent="0.2">
      <c r="A59" s="183"/>
      <c r="D59" s="190"/>
    </row>
    <row r="60" spans="1:4" hidden="1" x14ac:dyDescent="0.2">
      <c r="A60" s="183"/>
      <c r="D60" s="190"/>
    </row>
    <row r="61" spans="1:4" hidden="1" x14ac:dyDescent="0.2">
      <c r="A61" s="183"/>
      <c r="D61" s="190"/>
    </row>
    <row r="62" spans="1:4" hidden="1" x14ac:dyDescent="0.2">
      <c r="A62" s="183"/>
      <c r="D62" s="190"/>
    </row>
    <row r="63" spans="1:4" hidden="1" x14ac:dyDescent="0.2">
      <c r="A63" s="183"/>
      <c r="D63" s="190"/>
    </row>
    <row r="64" spans="1:4" hidden="1" x14ac:dyDescent="0.2">
      <c r="A64" s="183"/>
      <c r="D64" s="190"/>
    </row>
    <row r="65" spans="1:4" hidden="1" x14ac:dyDescent="0.2">
      <c r="A65" s="183"/>
      <c r="D65" s="190"/>
    </row>
    <row r="66" spans="1:4" hidden="1" x14ac:dyDescent="0.2">
      <c r="A66" s="183"/>
      <c r="D66" s="190"/>
    </row>
    <row r="67" spans="1:4" hidden="1" x14ac:dyDescent="0.2">
      <c r="A67" s="183"/>
      <c r="D67" s="190"/>
    </row>
    <row r="68" spans="1:4" hidden="1" x14ac:dyDescent="0.2">
      <c r="A68" s="183"/>
      <c r="D68" s="190"/>
    </row>
    <row r="69" spans="1:4" hidden="1" x14ac:dyDescent="0.2">
      <c r="A69" s="183"/>
      <c r="D69" s="190"/>
    </row>
    <row r="70" spans="1:4" hidden="1" x14ac:dyDescent="0.2">
      <c r="A70" s="183"/>
      <c r="D70" s="190"/>
    </row>
    <row r="71" spans="1:4" hidden="1" x14ac:dyDescent="0.2">
      <c r="A71" s="183"/>
      <c r="D71" s="190"/>
    </row>
    <row r="72" spans="1:4" hidden="1" x14ac:dyDescent="0.2">
      <c r="A72" s="183"/>
      <c r="D72" s="190"/>
    </row>
    <row r="73" spans="1:4" hidden="1" x14ac:dyDescent="0.2">
      <c r="A73" s="183"/>
      <c r="D73" s="190"/>
    </row>
    <row r="74" spans="1:4" hidden="1" x14ac:dyDescent="0.2">
      <c r="A74" s="183"/>
      <c r="D74" s="190"/>
    </row>
    <row r="75" spans="1:4" hidden="1" x14ac:dyDescent="0.2">
      <c r="A75" s="183"/>
      <c r="D75" s="190"/>
    </row>
    <row r="76" spans="1:4" hidden="1" x14ac:dyDescent="0.2">
      <c r="A76" s="183"/>
      <c r="D76" s="190"/>
    </row>
    <row r="77" spans="1:4" hidden="1" x14ac:dyDescent="0.2">
      <c r="A77" s="183"/>
      <c r="D77" s="190"/>
    </row>
    <row r="78" spans="1:4" hidden="1" x14ac:dyDescent="0.2">
      <c r="A78" s="183"/>
      <c r="D78" s="190"/>
    </row>
    <row r="79" spans="1:4" hidden="1" x14ac:dyDescent="0.2">
      <c r="A79" s="183"/>
      <c r="D79" s="190"/>
    </row>
    <row r="80" spans="1:4" hidden="1" x14ac:dyDescent="0.2">
      <c r="A80" s="183"/>
      <c r="D80" s="190"/>
    </row>
    <row r="81" spans="1:5" hidden="1" x14ac:dyDescent="0.2">
      <c r="A81" s="183"/>
      <c r="D81" s="190"/>
    </row>
    <row r="82" spans="1:5" hidden="1" x14ac:dyDescent="0.2">
      <c r="A82" s="183"/>
      <c r="D82" s="190"/>
    </row>
    <row r="83" spans="1:5" hidden="1" x14ac:dyDescent="0.2">
      <c r="A83" s="183"/>
      <c r="D83" s="190"/>
    </row>
    <row r="84" spans="1:5" hidden="1" x14ac:dyDescent="0.2">
      <c r="A84" s="183"/>
      <c r="D84" s="190"/>
    </row>
    <row r="85" spans="1:5" hidden="1" x14ac:dyDescent="0.2">
      <c r="A85" s="183"/>
      <c r="D85" s="190"/>
    </row>
    <row r="86" spans="1:5" hidden="1" x14ac:dyDescent="0.2">
      <c r="A86" s="183"/>
      <c r="B86" s="183"/>
      <c r="C86" s="183"/>
      <c r="D86" s="190"/>
      <c r="E86" s="183"/>
    </row>
    <row r="87" spans="1:5" hidden="1" x14ac:dyDescent="0.2">
      <c r="A87" s="183"/>
      <c r="B87" s="183"/>
      <c r="C87" s="183"/>
      <c r="D87" s="183"/>
      <c r="E87" s="183"/>
    </row>
    <row r="88" spans="1:5" hidden="1" x14ac:dyDescent="0.2">
      <c r="A88" s="183"/>
      <c r="B88" s="183"/>
      <c r="C88" s="183"/>
      <c r="D88" s="183"/>
      <c r="E88" s="183"/>
    </row>
    <row r="89" spans="1:5" hidden="1" x14ac:dyDescent="0.2">
      <c r="A89" s="183"/>
      <c r="B89" s="183"/>
      <c r="C89" s="183"/>
      <c r="D89" s="183"/>
      <c r="E89" s="183"/>
    </row>
    <row r="90" spans="1:5" hidden="1" x14ac:dyDescent="0.2">
      <c r="A90" s="183"/>
      <c r="B90" s="183"/>
      <c r="C90" s="183"/>
      <c r="D90" s="183"/>
      <c r="E90" s="183"/>
    </row>
    <row r="91" spans="1:5" hidden="1" x14ac:dyDescent="0.2">
      <c r="A91" s="183"/>
      <c r="B91" s="183"/>
      <c r="C91" s="183"/>
      <c r="D91" s="183"/>
      <c r="E91" s="183"/>
    </row>
    <row r="92" spans="1:5" hidden="1" x14ac:dyDescent="0.2">
      <c r="A92" s="183"/>
      <c r="B92" s="183"/>
      <c r="C92" s="183"/>
      <c r="D92" s="183"/>
      <c r="E92" s="183"/>
    </row>
    <row r="93" spans="1:5" hidden="1" x14ac:dyDescent="0.2">
      <c r="A93" s="183"/>
      <c r="B93" s="183"/>
      <c r="C93" s="183"/>
      <c r="D93" s="183"/>
      <c r="E93" s="183"/>
    </row>
    <row r="94" spans="1:5" hidden="1" x14ac:dyDescent="0.2">
      <c r="A94" s="183"/>
      <c r="B94" s="183"/>
      <c r="C94" s="183"/>
      <c r="D94" s="183"/>
      <c r="E94" s="183"/>
    </row>
    <row r="95" spans="1:5" hidden="1" x14ac:dyDescent="0.2">
      <c r="A95" s="183"/>
      <c r="B95" s="183"/>
      <c r="C95" s="183"/>
      <c r="D95" s="183"/>
      <c r="E95" s="183"/>
    </row>
    <row r="96" spans="1:5" hidden="1" x14ac:dyDescent="0.2">
      <c r="A96" s="183"/>
      <c r="B96" s="183"/>
      <c r="C96" s="183"/>
      <c r="D96" s="183"/>
      <c r="E96" s="183"/>
    </row>
    <row r="97" spans="1:5" hidden="1" x14ac:dyDescent="0.2">
      <c r="A97" s="183"/>
      <c r="B97" s="183"/>
      <c r="C97" s="183"/>
      <c r="D97" s="183"/>
      <c r="E97" s="183"/>
    </row>
    <row r="98" spans="1:5" hidden="1" x14ac:dyDescent="0.2">
      <c r="A98" s="183"/>
      <c r="B98" s="183"/>
      <c r="C98" s="183"/>
      <c r="D98" s="183"/>
      <c r="E98" s="183"/>
    </row>
    <row r="99" spans="1:5" hidden="1" x14ac:dyDescent="0.2">
      <c r="A99" s="183"/>
      <c r="B99" s="183"/>
      <c r="C99" s="183"/>
      <c r="D99" s="183"/>
      <c r="E99" s="183"/>
    </row>
    <row r="100" spans="1:5" hidden="1" x14ac:dyDescent="0.2">
      <c r="A100" s="183"/>
      <c r="B100" s="183"/>
      <c r="C100" s="183"/>
      <c r="D100" s="183"/>
      <c r="E100" s="183"/>
    </row>
    <row r="101" spans="1:5" hidden="1" x14ac:dyDescent="0.2">
      <c r="A101" s="183"/>
      <c r="B101" s="183"/>
      <c r="C101" s="183"/>
      <c r="D101" s="183"/>
      <c r="E101" s="183"/>
    </row>
    <row r="102" spans="1:5" hidden="1" x14ac:dyDescent="0.2">
      <c r="A102" s="183"/>
      <c r="B102" s="183"/>
      <c r="C102" s="183"/>
      <c r="D102" s="183"/>
      <c r="E102" s="183"/>
    </row>
    <row r="103" spans="1:5" hidden="1" x14ac:dyDescent="0.2">
      <c r="A103" s="183"/>
      <c r="B103" s="183"/>
      <c r="C103" s="183"/>
      <c r="D103" s="183"/>
      <c r="E103" s="183"/>
    </row>
    <row r="104" spans="1:5" hidden="1" x14ac:dyDescent="0.2">
      <c r="A104" s="183"/>
      <c r="B104" s="183"/>
      <c r="C104" s="183"/>
      <c r="D104" s="183"/>
      <c r="E104" s="183"/>
    </row>
    <row r="105" spans="1:5" hidden="1" x14ac:dyDescent="0.2">
      <c r="A105" s="183"/>
      <c r="B105" s="183"/>
      <c r="C105" s="183"/>
      <c r="D105" s="183"/>
      <c r="E105" s="183"/>
    </row>
    <row r="106" spans="1:5" hidden="1" x14ac:dyDescent="0.2">
      <c r="A106" s="183"/>
      <c r="B106" s="183"/>
      <c r="C106" s="183"/>
      <c r="D106" s="183"/>
      <c r="E106" s="183"/>
    </row>
    <row r="107" spans="1:5" hidden="1" x14ac:dyDescent="0.2">
      <c r="A107" s="183"/>
      <c r="B107" s="183"/>
      <c r="C107" s="183"/>
      <c r="D107" s="183"/>
      <c r="E107" s="183"/>
    </row>
    <row r="108" spans="1:5" hidden="1" x14ac:dyDescent="0.2">
      <c r="A108" s="183"/>
      <c r="B108" s="183"/>
      <c r="C108" s="183"/>
      <c r="D108" s="183"/>
      <c r="E108" s="183"/>
    </row>
    <row r="109" spans="1:5" hidden="1" x14ac:dyDescent="0.2">
      <c r="A109" s="183"/>
      <c r="B109" s="183"/>
      <c r="C109" s="183"/>
      <c r="D109" s="183"/>
      <c r="E109" s="183"/>
    </row>
    <row r="110" spans="1:5" hidden="1" x14ac:dyDescent="0.2">
      <c r="A110" s="183"/>
      <c r="B110" s="183"/>
      <c r="C110" s="183"/>
      <c r="D110" s="183"/>
      <c r="E110" s="183"/>
    </row>
    <row r="111" spans="1:5" hidden="1" x14ac:dyDescent="0.2">
      <c r="A111" s="183"/>
      <c r="B111" s="183"/>
      <c r="C111" s="183"/>
      <c r="D111" s="183"/>
      <c r="E111" s="183"/>
    </row>
    <row r="112" spans="1:5" hidden="1" x14ac:dyDescent="0.2">
      <c r="A112" s="183"/>
      <c r="B112" s="183"/>
      <c r="C112" s="183"/>
      <c r="D112" s="183"/>
      <c r="E112" s="183"/>
    </row>
    <row r="113" spans="1:5" hidden="1" x14ac:dyDescent="0.2">
      <c r="A113" s="183"/>
      <c r="B113" s="183"/>
      <c r="C113" s="183"/>
      <c r="D113" s="183"/>
      <c r="E113" s="183"/>
    </row>
    <row r="114" spans="1:5" hidden="1" x14ac:dyDescent="0.2">
      <c r="A114" s="183"/>
      <c r="B114" s="183"/>
      <c r="C114" s="183"/>
      <c r="D114" s="183"/>
      <c r="E114" s="183"/>
    </row>
    <row r="115" spans="1:5" hidden="1" x14ac:dyDescent="0.2">
      <c r="A115" s="183"/>
      <c r="B115" s="183"/>
      <c r="C115" s="183"/>
      <c r="D115" s="183"/>
      <c r="E115" s="183"/>
    </row>
    <row r="116" spans="1:5" hidden="1" x14ac:dyDescent="0.2">
      <c r="A116" s="183"/>
      <c r="B116" s="183"/>
      <c r="C116" s="183"/>
      <c r="D116" s="183"/>
      <c r="E116" s="183"/>
    </row>
    <row r="117" spans="1:5" hidden="1" x14ac:dyDescent="0.2">
      <c r="A117" s="183"/>
      <c r="B117" s="183"/>
      <c r="C117" s="183"/>
      <c r="D117" s="183"/>
      <c r="E117" s="183"/>
    </row>
    <row r="118" spans="1:5" hidden="1" x14ac:dyDescent="0.2">
      <c r="A118" s="183"/>
      <c r="B118" s="183"/>
      <c r="C118" s="183"/>
      <c r="D118" s="183"/>
      <c r="E118" s="183"/>
    </row>
    <row r="119" spans="1:5" hidden="1" x14ac:dyDescent="0.2">
      <c r="A119" s="183"/>
      <c r="B119" s="183"/>
      <c r="C119" s="183"/>
      <c r="D119" s="183"/>
      <c r="E119" s="183"/>
    </row>
    <row r="120" spans="1:5" hidden="1" x14ac:dyDescent="0.2">
      <c r="A120" s="183"/>
      <c r="B120" s="183"/>
      <c r="C120" s="183"/>
      <c r="D120" s="183"/>
      <c r="E120" s="183"/>
    </row>
    <row r="121" spans="1:5" hidden="1" x14ac:dyDescent="0.2">
      <c r="A121" s="183"/>
      <c r="B121" s="183"/>
      <c r="C121" s="183"/>
      <c r="D121" s="183"/>
      <c r="E121" s="183"/>
    </row>
    <row r="122" spans="1:5" hidden="1" x14ac:dyDescent="0.2">
      <c r="A122" s="183"/>
      <c r="B122" s="183"/>
      <c r="C122" s="183"/>
      <c r="D122" s="183"/>
      <c r="E122" s="183"/>
    </row>
    <row r="123" spans="1:5" hidden="1" x14ac:dyDescent="0.2">
      <c r="A123" s="183"/>
      <c r="B123" s="183"/>
      <c r="C123" s="183"/>
      <c r="D123" s="183"/>
      <c r="E123" s="183"/>
    </row>
    <row r="124" spans="1:5" hidden="1" x14ac:dyDescent="0.2">
      <c r="A124" s="183"/>
      <c r="B124" s="183"/>
      <c r="C124" s="183"/>
      <c r="D124" s="183"/>
      <c r="E124" s="183"/>
    </row>
    <row r="125" spans="1:5" hidden="1" x14ac:dyDescent="0.2">
      <c r="A125" s="183"/>
      <c r="B125" s="183"/>
      <c r="C125" s="183"/>
      <c r="D125" s="183"/>
      <c r="E125" s="183"/>
    </row>
    <row r="126" spans="1:5" hidden="1" x14ac:dyDescent="0.2">
      <c r="A126" s="183"/>
      <c r="B126" s="183"/>
      <c r="C126" s="183"/>
      <c r="D126" s="183"/>
      <c r="E126" s="183"/>
    </row>
    <row r="127" spans="1:5" hidden="1" x14ac:dyDescent="0.2">
      <c r="A127" s="183"/>
      <c r="B127" s="183"/>
      <c r="C127" s="183"/>
      <c r="D127" s="183"/>
      <c r="E127" s="183"/>
    </row>
    <row r="128" spans="1:5" hidden="1" x14ac:dyDescent="0.2">
      <c r="A128" s="183"/>
      <c r="B128" s="183"/>
      <c r="C128" s="183"/>
      <c r="D128" s="183"/>
      <c r="E128" s="183"/>
    </row>
    <row r="129" spans="1:5" hidden="1" x14ac:dyDescent="0.2">
      <c r="A129" s="183"/>
      <c r="B129" s="183"/>
      <c r="C129" s="183"/>
      <c r="D129" s="183"/>
      <c r="E129" s="183"/>
    </row>
    <row r="130" spans="1:5" hidden="1" x14ac:dyDescent="0.2">
      <c r="A130" s="183"/>
      <c r="B130" s="183"/>
      <c r="C130" s="183"/>
      <c r="D130" s="183"/>
      <c r="E130" s="183"/>
    </row>
    <row r="131" spans="1:5" hidden="1" x14ac:dyDescent="0.2">
      <c r="A131" s="183"/>
      <c r="B131" s="183"/>
      <c r="C131" s="183"/>
      <c r="D131" s="183"/>
      <c r="E131" s="183"/>
    </row>
    <row r="132" spans="1:5" hidden="1" x14ac:dyDescent="0.2">
      <c r="A132" s="183"/>
      <c r="B132" s="183"/>
      <c r="C132" s="183"/>
      <c r="D132" s="183"/>
      <c r="E132" s="183"/>
    </row>
    <row r="133" spans="1:5" hidden="1" x14ac:dyDescent="0.2">
      <c r="A133" s="183"/>
      <c r="B133" s="183"/>
      <c r="C133" s="183"/>
      <c r="D133" s="183"/>
      <c r="E133" s="183"/>
    </row>
    <row r="134" spans="1:5" hidden="1" x14ac:dyDescent="0.2">
      <c r="A134" s="183"/>
      <c r="B134" s="183"/>
      <c r="C134" s="183"/>
      <c r="D134" s="183"/>
      <c r="E134" s="183"/>
    </row>
    <row r="135" spans="1:5" hidden="1" x14ac:dyDescent="0.2">
      <c r="A135" s="183"/>
      <c r="B135" s="183"/>
      <c r="C135" s="183"/>
      <c r="D135" s="183"/>
      <c r="E135" s="183"/>
    </row>
    <row r="136" spans="1:5" hidden="1" x14ac:dyDescent="0.2">
      <c r="A136" s="183"/>
      <c r="B136" s="183"/>
      <c r="C136" s="183"/>
      <c r="D136" s="183"/>
      <c r="E136" s="183"/>
    </row>
    <row r="137" spans="1:5" hidden="1" x14ac:dyDescent="0.2">
      <c r="A137" s="183"/>
      <c r="B137" s="183"/>
      <c r="C137" s="183"/>
      <c r="D137" s="183"/>
      <c r="E137" s="183"/>
    </row>
    <row r="138" spans="1:5" hidden="1" x14ac:dyDescent="0.2">
      <c r="A138" s="183"/>
      <c r="B138" s="183"/>
      <c r="C138" s="183"/>
      <c r="D138" s="183"/>
      <c r="E138" s="183"/>
    </row>
    <row r="139" spans="1:5" hidden="1" x14ac:dyDescent="0.2">
      <c r="A139" s="183"/>
      <c r="B139" s="183"/>
      <c r="C139" s="183"/>
      <c r="D139" s="183"/>
      <c r="E139" s="183"/>
    </row>
    <row r="140" spans="1:5" hidden="1" x14ac:dyDescent="0.2">
      <c r="A140" s="183"/>
      <c r="B140" s="183"/>
      <c r="C140" s="183"/>
      <c r="D140" s="183"/>
      <c r="E140" s="183"/>
    </row>
    <row r="141" spans="1:5" hidden="1" x14ac:dyDescent="0.2">
      <c r="A141" s="183"/>
      <c r="B141" s="183"/>
      <c r="C141" s="183"/>
      <c r="D141" s="183"/>
      <c r="E141" s="183"/>
    </row>
    <row r="142" spans="1:5" hidden="1" x14ac:dyDescent="0.2">
      <c r="A142" s="183"/>
      <c r="B142" s="183"/>
      <c r="C142" s="183"/>
      <c r="D142" s="183"/>
      <c r="E142" s="183"/>
    </row>
    <row r="143" spans="1:5" hidden="1" x14ac:dyDescent="0.2">
      <c r="A143" s="183"/>
      <c r="B143" s="183"/>
      <c r="C143" s="183"/>
      <c r="D143" s="183"/>
      <c r="E143" s="183"/>
    </row>
    <row r="144" spans="1:5" hidden="1" x14ac:dyDescent="0.2">
      <c r="A144" s="183"/>
      <c r="B144" s="183"/>
      <c r="C144" s="183"/>
      <c r="D144" s="183"/>
      <c r="E144" s="183"/>
    </row>
    <row r="145" spans="1:5" hidden="1" x14ac:dyDescent="0.2">
      <c r="A145" s="183"/>
      <c r="B145" s="183"/>
      <c r="C145" s="183"/>
      <c r="D145" s="183"/>
      <c r="E145" s="183"/>
    </row>
    <row r="146" spans="1:5" hidden="1" x14ac:dyDescent="0.2">
      <c r="A146" s="183"/>
      <c r="B146" s="183"/>
      <c r="C146" s="183"/>
      <c r="D146" s="183"/>
      <c r="E146" s="183"/>
    </row>
    <row r="147" spans="1:5" hidden="1" x14ac:dyDescent="0.2">
      <c r="A147" s="183"/>
      <c r="B147" s="183"/>
      <c r="C147" s="183"/>
      <c r="D147" s="183"/>
      <c r="E147" s="183"/>
    </row>
    <row r="148" spans="1:5" hidden="1" x14ac:dyDescent="0.2">
      <c r="A148" s="183"/>
      <c r="B148" s="183"/>
      <c r="C148" s="183"/>
      <c r="D148" s="183"/>
      <c r="E148" s="183"/>
    </row>
    <row r="149" spans="1:5" hidden="1" x14ac:dyDescent="0.2">
      <c r="A149" s="183"/>
      <c r="B149" s="183"/>
      <c r="C149" s="183"/>
      <c r="D149" s="183"/>
      <c r="E149" s="183"/>
    </row>
    <row r="150" spans="1:5" hidden="1" x14ac:dyDescent="0.2">
      <c r="A150" s="183"/>
      <c r="B150" s="183"/>
      <c r="C150" s="183"/>
      <c r="D150" s="183"/>
      <c r="E150" s="183"/>
    </row>
    <row r="151" spans="1:5" hidden="1" x14ac:dyDescent="0.2">
      <c r="A151" s="183"/>
      <c r="B151" s="183"/>
      <c r="C151" s="183"/>
      <c r="D151" s="183"/>
      <c r="E151" s="183"/>
    </row>
    <row r="152" spans="1:5" hidden="1" x14ac:dyDescent="0.2">
      <c r="A152" s="183"/>
      <c r="B152" s="183"/>
      <c r="C152" s="183"/>
      <c r="D152" s="183"/>
      <c r="E152" s="183"/>
    </row>
    <row r="153" spans="1:5" hidden="1" x14ac:dyDescent="0.2">
      <c r="A153" s="183"/>
      <c r="B153" s="183"/>
      <c r="C153" s="183"/>
      <c r="D153" s="183"/>
      <c r="E153" s="183"/>
    </row>
    <row r="154" spans="1:5" hidden="1" x14ac:dyDescent="0.2">
      <c r="A154" s="183"/>
      <c r="B154" s="183"/>
      <c r="C154" s="183"/>
      <c r="D154" s="183"/>
      <c r="E154" s="183"/>
    </row>
    <row r="155" spans="1:5" hidden="1" x14ac:dyDescent="0.2">
      <c r="A155" s="183"/>
      <c r="B155" s="183"/>
      <c r="C155" s="183"/>
      <c r="D155" s="183"/>
      <c r="E155" s="183"/>
    </row>
    <row r="156" spans="1:5" hidden="1" x14ac:dyDescent="0.2">
      <c r="A156" s="183"/>
      <c r="B156" s="183"/>
      <c r="C156" s="183"/>
      <c r="D156" s="183"/>
      <c r="E156" s="183"/>
    </row>
    <row r="157" spans="1:5" hidden="1" x14ac:dyDescent="0.2">
      <c r="A157" s="183"/>
      <c r="B157" s="183"/>
      <c r="C157" s="183"/>
      <c r="D157" s="183"/>
      <c r="E157" s="183"/>
    </row>
    <row r="158" spans="1:5" hidden="1" x14ac:dyDescent="0.2">
      <c r="A158" s="183"/>
      <c r="B158" s="183"/>
      <c r="C158" s="183"/>
      <c r="D158" s="183"/>
      <c r="E158" s="183"/>
    </row>
    <row r="159" spans="1:5" hidden="1" x14ac:dyDescent="0.2">
      <c r="A159" s="183"/>
      <c r="B159" s="183"/>
      <c r="C159" s="183"/>
      <c r="D159" s="183"/>
      <c r="E159" s="183"/>
    </row>
    <row r="160" spans="1:5" hidden="1" x14ac:dyDescent="0.2">
      <c r="A160" s="183"/>
      <c r="B160" s="183"/>
      <c r="C160" s="183"/>
      <c r="D160" s="183"/>
      <c r="E160" s="183"/>
    </row>
    <row r="161" spans="1:5" hidden="1" x14ac:dyDescent="0.2">
      <c r="A161" s="183"/>
      <c r="B161" s="183"/>
      <c r="C161" s="183"/>
      <c r="D161" s="183"/>
      <c r="E161" s="183"/>
    </row>
    <row r="162" spans="1:5" hidden="1" x14ac:dyDescent="0.2">
      <c r="A162" s="183"/>
      <c r="B162" s="183"/>
      <c r="C162" s="183"/>
      <c r="D162" s="183"/>
      <c r="E162" s="183"/>
    </row>
    <row r="163" spans="1:5" hidden="1" x14ac:dyDescent="0.2">
      <c r="A163" s="183"/>
      <c r="B163" s="183"/>
      <c r="C163" s="183"/>
      <c r="D163" s="183"/>
      <c r="E163" s="183"/>
    </row>
    <row r="164" spans="1:5" hidden="1" x14ac:dyDescent="0.2">
      <c r="A164" s="183"/>
      <c r="B164" s="183"/>
      <c r="C164" s="183"/>
      <c r="D164" s="183"/>
      <c r="E164" s="183"/>
    </row>
    <row r="165" spans="1:5" hidden="1" x14ac:dyDescent="0.2">
      <c r="A165" s="183"/>
      <c r="B165" s="183"/>
      <c r="C165" s="183"/>
      <c r="D165" s="183"/>
      <c r="E165" s="183"/>
    </row>
    <row r="166" spans="1:5" hidden="1" x14ac:dyDescent="0.2">
      <c r="A166" s="183"/>
      <c r="B166" s="183"/>
      <c r="C166" s="183"/>
      <c r="D166" s="183"/>
      <c r="E166" s="183"/>
    </row>
    <row r="167" spans="1:5" hidden="1" x14ac:dyDescent="0.2">
      <c r="A167" s="183"/>
      <c r="B167" s="183"/>
      <c r="C167" s="183"/>
      <c r="D167" s="183"/>
      <c r="E167" s="183"/>
    </row>
    <row r="168" spans="1:5" hidden="1" x14ac:dyDescent="0.2">
      <c r="A168" s="183"/>
      <c r="B168" s="183"/>
      <c r="C168" s="183"/>
      <c r="D168" s="183"/>
      <c r="E168" s="183"/>
    </row>
    <row r="169" spans="1:5" hidden="1" x14ac:dyDescent="0.2">
      <c r="A169" s="183"/>
      <c r="B169" s="183"/>
      <c r="C169" s="183"/>
      <c r="D169" s="183"/>
      <c r="E169" s="183"/>
    </row>
    <row r="170" spans="1:5" hidden="1" x14ac:dyDescent="0.2">
      <c r="A170" s="183"/>
      <c r="B170" s="183"/>
      <c r="C170" s="183"/>
      <c r="D170" s="183"/>
      <c r="E170" s="183"/>
    </row>
    <row r="171" spans="1:5" hidden="1" x14ac:dyDescent="0.2">
      <c r="A171" s="183"/>
      <c r="B171" s="183"/>
      <c r="C171" s="183"/>
      <c r="D171" s="183"/>
      <c r="E171" s="183"/>
    </row>
    <row r="172" spans="1:5" hidden="1" x14ac:dyDescent="0.2">
      <c r="A172" s="183"/>
      <c r="B172" s="183"/>
      <c r="C172" s="183"/>
      <c r="D172" s="183"/>
      <c r="E172" s="183"/>
    </row>
    <row r="173" spans="1:5" hidden="1" x14ac:dyDescent="0.2">
      <c r="A173" s="183"/>
      <c r="B173" s="183"/>
      <c r="C173" s="183"/>
      <c r="D173" s="183"/>
      <c r="E173" s="183"/>
    </row>
    <row r="174" spans="1:5" hidden="1" x14ac:dyDescent="0.2">
      <c r="A174" s="183"/>
      <c r="B174" s="183"/>
      <c r="C174" s="183"/>
      <c r="D174" s="183"/>
      <c r="E174" s="183"/>
    </row>
    <row r="175" spans="1:5" hidden="1" x14ac:dyDescent="0.2">
      <c r="A175" s="183"/>
      <c r="B175" s="183"/>
      <c r="C175" s="183"/>
      <c r="D175" s="183"/>
      <c r="E175" s="183"/>
    </row>
    <row r="176" spans="1:5" hidden="1" x14ac:dyDescent="0.2">
      <c r="A176" s="183"/>
      <c r="B176" s="183"/>
      <c r="C176" s="183"/>
      <c r="D176" s="183"/>
      <c r="E176" s="183"/>
    </row>
    <row r="177" spans="1:5" hidden="1" x14ac:dyDescent="0.2">
      <c r="A177" s="183"/>
      <c r="B177" s="183"/>
      <c r="C177" s="183"/>
      <c r="D177" s="183"/>
      <c r="E177" s="183"/>
    </row>
    <row r="178" spans="1:5" hidden="1" x14ac:dyDescent="0.2">
      <c r="A178" s="183"/>
      <c r="B178" s="183"/>
      <c r="C178" s="183"/>
      <c r="D178" s="183"/>
      <c r="E178" s="183"/>
    </row>
    <row r="179" spans="1:5" hidden="1" x14ac:dyDescent="0.2">
      <c r="A179" s="183"/>
      <c r="B179" s="183"/>
      <c r="C179" s="183"/>
      <c r="D179" s="183"/>
      <c r="E179" s="183"/>
    </row>
    <row r="180" spans="1:5" hidden="1" x14ac:dyDescent="0.2">
      <c r="A180" s="183"/>
      <c r="B180" s="183"/>
      <c r="C180" s="183"/>
      <c r="D180" s="183"/>
      <c r="E180" s="183"/>
    </row>
    <row r="181" spans="1:5" hidden="1" x14ac:dyDescent="0.2">
      <c r="A181" s="183"/>
      <c r="B181" s="183"/>
      <c r="C181" s="183"/>
      <c r="D181" s="183"/>
      <c r="E181" s="183"/>
    </row>
    <row r="182" spans="1:5" hidden="1" x14ac:dyDescent="0.2">
      <c r="A182" s="183"/>
      <c r="B182" s="183"/>
      <c r="C182" s="183"/>
      <c r="D182" s="183"/>
      <c r="E182" s="183"/>
    </row>
    <row r="183" spans="1:5" hidden="1" x14ac:dyDescent="0.2">
      <c r="A183" s="183"/>
      <c r="B183" s="183"/>
      <c r="C183" s="183"/>
      <c r="D183" s="183"/>
      <c r="E183" s="183"/>
    </row>
    <row r="184" spans="1:5" hidden="1" x14ac:dyDescent="0.2">
      <c r="A184" s="183"/>
      <c r="B184" s="183"/>
      <c r="C184" s="183"/>
      <c r="D184" s="183"/>
      <c r="E184" s="183"/>
    </row>
    <row r="185" spans="1:5" hidden="1" x14ac:dyDescent="0.2">
      <c r="A185" s="183"/>
      <c r="B185" s="183"/>
      <c r="C185" s="183"/>
      <c r="D185" s="183"/>
      <c r="E185" s="183"/>
    </row>
    <row r="186" spans="1:5" hidden="1" x14ac:dyDescent="0.2">
      <c r="A186" s="183"/>
      <c r="B186" s="183"/>
      <c r="C186" s="183"/>
      <c r="D186" s="183"/>
      <c r="E186" s="183"/>
    </row>
    <row r="187" spans="1:5" hidden="1" x14ac:dyDescent="0.2">
      <c r="A187" s="183"/>
      <c r="B187" s="183"/>
      <c r="C187" s="183"/>
      <c r="D187" s="183"/>
      <c r="E187" s="183"/>
    </row>
    <row r="188" spans="1:5" hidden="1" x14ac:dyDescent="0.2">
      <c r="A188" s="183"/>
      <c r="B188" s="183"/>
      <c r="C188" s="183"/>
      <c r="D188" s="183"/>
      <c r="E188" s="183"/>
    </row>
    <row r="189" spans="1:5" hidden="1" x14ac:dyDescent="0.2">
      <c r="A189" s="183"/>
      <c r="B189" s="183"/>
      <c r="C189" s="183"/>
      <c r="D189" s="183"/>
      <c r="E189" s="183"/>
    </row>
    <row r="190" spans="1:5" hidden="1" x14ac:dyDescent="0.2">
      <c r="A190" s="183"/>
      <c r="B190" s="183"/>
      <c r="C190" s="183"/>
      <c r="D190" s="183"/>
      <c r="E190" s="183"/>
    </row>
    <row r="191" spans="1:5" hidden="1" x14ac:dyDescent="0.2">
      <c r="A191" s="183"/>
      <c r="B191" s="183"/>
      <c r="C191" s="183"/>
      <c r="D191" s="183"/>
      <c r="E191" s="183"/>
    </row>
    <row r="192" spans="1:5" hidden="1" x14ac:dyDescent="0.2">
      <c r="A192" s="183"/>
      <c r="B192" s="183"/>
      <c r="C192" s="183"/>
      <c r="D192" s="183"/>
      <c r="E192" s="183"/>
    </row>
    <row r="193" spans="1:5" hidden="1" x14ac:dyDescent="0.2">
      <c r="A193" s="183"/>
      <c r="B193" s="183"/>
      <c r="C193" s="183"/>
      <c r="D193" s="183"/>
      <c r="E193" s="183"/>
    </row>
    <row r="194" spans="1:5" hidden="1" x14ac:dyDescent="0.2">
      <c r="A194" s="183"/>
      <c r="B194" s="183"/>
      <c r="C194" s="183"/>
      <c r="D194" s="183"/>
      <c r="E194" s="183"/>
    </row>
    <row r="195" spans="1:5" hidden="1" x14ac:dyDescent="0.2">
      <c r="A195" s="183"/>
      <c r="B195" s="183"/>
      <c r="C195" s="183"/>
      <c r="D195" s="183"/>
      <c r="E195" s="183"/>
    </row>
    <row r="196" spans="1:5" hidden="1" x14ac:dyDescent="0.2">
      <c r="A196" s="183"/>
      <c r="B196" s="183"/>
      <c r="C196" s="183"/>
      <c r="D196" s="183"/>
      <c r="E196" s="183"/>
    </row>
    <row r="197" spans="1:5" hidden="1" x14ac:dyDescent="0.2">
      <c r="A197" s="183"/>
      <c r="B197" s="183"/>
      <c r="C197" s="183"/>
      <c r="D197" s="183"/>
      <c r="E197" s="183"/>
    </row>
    <row r="198" spans="1:5" hidden="1" x14ac:dyDescent="0.2">
      <c r="A198" s="183"/>
      <c r="B198" s="183"/>
      <c r="C198" s="183"/>
      <c r="D198" s="183"/>
      <c r="E198" s="183"/>
    </row>
    <row r="199" spans="1:5" hidden="1" x14ac:dyDescent="0.2">
      <c r="A199" s="183"/>
      <c r="B199" s="183"/>
      <c r="C199" s="183"/>
      <c r="D199" s="183"/>
      <c r="E199" s="183"/>
    </row>
    <row r="200" spans="1:5" hidden="1" x14ac:dyDescent="0.2">
      <c r="A200" s="183"/>
      <c r="B200" s="183"/>
      <c r="C200" s="183"/>
      <c r="D200" s="183"/>
      <c r="E200" s="183"/>
    </row>
    <row r="201" spans="1:5" hidden="1" x14ac:dyDescent="0.2">
      <c r="A201" s="183"/>
      <c r="B201" s="183"/>
      <c r="C201" s="183"/>
      <c r="D201" s="183"/>
      <c r="E201" s="183"/>
    </row>
    <row r="202" spans="1:5" hidden="1" x14ac:dyDescent="0.2">
      <c r="A202" s="183"/>
      <c r="B202" s="183"/>
      <c r="C202" s="183"/>
      <c r="D202" s="183"/>
      <c r="E202" s="183"/>
    </row>
    <row r="203" spans="1:5" hidden="1" x14ac:dyDescent="0.2">
      <c r="A203" s="183"/>
      <c r="B203" s="183"/>
      <c r="C203" s="183"/>
      <c r="D203" s="183"/>
      <c r="E203" s="183"/>
    </row>
    <row r="204" spans="1:5" hidden="1" x14ac:dyDescent="0.2">
      <c r="A204" s="183"/>
      <c r="B204" s="183"/>
      <c r="C204" s="183"/>
      <c r="D204" s="183"/>
      <c r="E204" s="183"/>
    </row>
    <row r="205" spans="1:5" hidden="1" x14ac:dyDescent="0.2">
      <c r="A205" s="183"/>
      <c r="B205" s="183"/>
      <c r="C205" s="183"/>
      <c r="D205" s="183"/>
      <c r="E205" s="183"/>
    </row>
    <row r="206" spans="1:5" hidden="1" x14ac:dyDescent="0.2">
      <c r="A206" s="183"/>
      <c r="B206" s="183"/>
      <c r="C206" s="183"/>
      <c r="D206" s="183"/>
      <c r="E206" s="183"/>
    </row>
    <row r="207" spans="1:5" hidden="1" x14ac:dyDescent="0.2">
      <c r="A207" s="183"/>
      <c r="B207" s="183"/>
      <c r="C207" s="183"/>
      <c r="D207" s="183"/>
      <c r="E207" s="183"/>
    </row>
    <row r="208" spans="1:5" hidden="1" x14ac:dyDescent="0.2">
      <c r="A208" s="183"/>
      <c r="B208" s="183"/>
      <c r="C208" s="183"/>
      <c r="D208" s="183"/>
      <c r="E208" s="183"/>
    </row>
    <row r="209" spans="1:5" hidden="1" x14ac:dyDescent="0.2">
      <c r="A209" s="183"/>
      <c r="B209" s="183"/>
      <c r="C209" s="183"/>
      <c r="D209" s="183"/>
      <c r="E209" s="183"/>
    </row>
    <row r="210" spans="1:5" hidden="1" x14ac:dyDescent="0.2">
      <c r="A210" s="183"/>
      <c r="B210" s="183"/>
      <c r="C210" s="183"/>
      <c r="D210" s="183"/>
      <c r="E210" s="183"/>
    </row>
    <row r="211" spans="1:5" hidden="1" x14ac:dyDescent="0.2">
      <c r="A211" s="183"/>
      <c r="B211" s="183"/>
      <c r="C211" s="183"/>
      <c r="D211" s="183"/>
      <c r="E211" s="183"/>
    </row>
    <row r="212" spans="1:5" hidden="1" x14ac:dyDescent="0.2">
      <c r="A212" s="183"/>
      <c r="B212" s="183"/>
      <c r="C212" s="183"/>
      <c r="D212" s="183"/>
      <c r="E212" s="183"/>
    </row>
    <row r="213" spans="1:5" hidden="1" x14ac:dyDescent="0.2">
      <c r="A213" s="183"/>
      <c r="B213" s="183"/>
      <c r="C213" s="183"/>
      <c r="D213" s="183"/>
      <c r="E213" s="183"/>
    </row>
    <row r="214" spans="1:5" hidden="1" x14ac:dyDescent="0.2">
      <c r="A214" s="183"/>
      <c r="B214" s="183"/>
      <c r="C214" s="183"/>
      <c r="D214" s="183"/>
      <c r="E214" s="183"/>
    </row>
    <row r="215" spans="1:5" hidden="1" x14ac:dyDescent="0.2">
      <c r="A215" s="183"/>
      <c r="B215" s="183"/>
      <c r="C215" s="183"/>
      <c r="D215" s="183"/>
      <c r="E215" s="183"/>
    </row>
    <row r="216" spans="1:5" hidden="1" x14ac:dyDescent="0.2">
      <c r="A216" s="183"/>
      <c r="B216" s="183"/>
      <c r="C216" s="183"/>
      <c r="D216" s="183"/>
      <c r="E216" s="183"/>
    </row>
    <row r="217" spans="1:5" hidden="1" x14ac:dyDescent="0.2">
      <c r="A217" s="183"/>
      <c r="B217" s="183"/>
      <c r="C217" s="183"/>
      <c r="D217" s="183"/>
      <c r="E217" s="183"/>
    </row>
    <row r="218" spans="1:5" hidden="1" x14ac:dyDescent="0.2">
      <c r="A218" s="183"/>
      <c r="B218" s="183"/>
      <c r="C218" s="183"/>
      <c r="D218" s="183"/>
      <c r="E218" s="183"/>
    </row>
    <row r="219" spans="1:5" hidden="1" x14ac:dyDescent="0.2">
      <c r="A219" s="183"/>
      <c r="B219" s="183"/>
      <c r="C219" s="183"/>
      <c r="D219" s="183"/>
      <c r="E219" s="183"/>
    </row>
    <row r="220" spans="1:5" hidden="1" x14ac:dyDescent="0.2">
      <c r="A220" s="183"/>
      <c r="B220" s="183"/>
      <c r="C220" s="183"/>
      <c r="D220" s="183"/>
      <c r="E220" s="183"/>
    </row>
    <row r="221" spans="1:5" hidden="1" x14ac:dyDescent="0.2">
      <c r="A221" s="183"/>
      <c r="B221" s="183"/>
      <c r="C221" s="183"/>
      <c r="D221" s="183"/>
      <c r="E221" s="183"/>
    </row>
    <row r="222" spans="1:5" hidden="1" x14ac:dyDescent="0.2">
      <c r="A222" s="183"/>
      <c r="B222" s="183"/>
      <c r="C222" s="183"/>
      <c r="D222" s="183"/>
      <c r="E222" s="183"/>
    </row>
    <row r="223" spans="1:5" hidden="1" x14ac:dyDescent="0.2">
      <c r="A223" s="183"/>
      <c r="B223" s="183"/>
      <c r="C223" s="183"/>
      <c r="D223" s="183"/>
      <c r="E223" s="183"/>
    </row>
    <row r="224" spans="1:5" hidden="1" x14ac:dyDescent="0.2">
      <c r="A224" s="183"/>
      <c r="B224" s="183"/>
      <c r="C224" s="183"/>
      <c r="D224" s="183"/>
      <c r="E224" s="183"/>
    </row>
    <row r="225" spans="1:5" hidden="1" x14ac:dyDescent="0.2">
      <c r="A225" s="183"/>
      <c r="B225" s="183"/>
      <c r="C225" s="183"/>
      <c r="D225" s="183"/>
      <c r="E225" s="183"/>
    </row>
    <row r="226" spans="1:5" hidden="1" x14ac:dyDescent="0.2">
      <c r="A226" s="183"/>
      <c r="B226" s="183"/>
      <c r="C226" s="183"/>
      <c r="D226" s="183"/>
      <c r="E226" s="183"/>
    </row>
    <row r="227" spans="1:5" hidden="1" x14ac:dyDescent="0.2">
      <c r="A227" s="183"/>
      <c r="B227" s="183"/>
      <c r="C227" s="183"/>
      <c r="D227" s="183"/>
      <c r="E227" s="183"/>
    </row>
    <row r="228" spans="1:5" hidden="1" x14ac:dyDescent="0.2">
      <c r="A228" s="183"/>
      <c r="B228" s="183"/>
      <c r="C228" s="183"/>
      <c r="D228" s="183"/>
      <c r="E228" s="183"/>
    </row>
    <row r="229" spans="1:5" hidden="1" x14ac:dyDescent="0.2">
      <c r="A229" s="183"/>
      <c r="B229" s="183"/>
      <c r="C229" s="183"/>
      <c r="D229" s="183"/>
      <c r="E229" s="183"/>
    </row>
    <row r="230" spans="1:5" hidden="1" x14ac:dyDescent="0.2">
      <c r="A230" s="183"/>
      <c r="B230" s="183"/>
      <c r="C230" s="183"/>
      <c r="D230" s="183"/>
      <c r="E230" s="183"/>
    </row>
    <row r="231" spans="1:5" hidden="1" x14ac:dyDescent="0.2">
      <c r="A231" s="183"/>
      <c r="B231" s="183"/>
      <c r="C231" s="183"/>
      <c r="D231" s="183"/>
      <c r="E231" s="183"/>
    </row>
    <row r="232" spans="1:5" hidden="1" x14ac:dyDescent="0.2">
      <c r="A232" s="183"/>
      <c r="B232" s="183"/>
      <c r="C232" s="183"/>
      <c r="D232" s="183"/>
      <c r="E232" s="183"/>
    </row>
    <row r="233" spans="1:5" hidden="1" x14ac:dyDescent="0.2">
      <c r="A233" s="183"/>
      <c r="B233" s="183"/>
      <c r="C233" s="183"/>
      <c r="D233" s="183"/>
      <c r="E233" s="183"/>
    </row>
    <row r="234" spans="1:5" hidden="1" x14ac:dyDescent="0.2">
      <c r="A234" s="183"/>
      <c r="B234" s="183"/>
      <c r="C234" s="183"/>
      <c r="D234" s="183"/>
      <c r="E234" s="183"/>
    </row>
    <row r="235" spans="1:5" hidden="1" x14ac:dyDescent="0.2">
      <c r="A235" s="183"/>
      <c r="B235" s="183"/>
      <c r="C235" s="183"/>
      <c r="D235" s="183"/>
      <c r="E235" s="183"/>
    </row>
    <row r="236" spans="1:5" hidden="1" x14ac:dyDescent="0.2">
      <c r="A236" s="183"/>
      <c r="B236" s="183"/>
      <c r="C236" s="183"/>
      <c r="D236" s="183"/>
      <c r="E236" s="183"/>
    </row>
    <row r="237" spans="1:5" hidden="1" x14ac:dyDescent="0.2">
      <c r="A237" s="183"/>
      <c r="B237" s="183"/>
      <c r="C237" s="183"/>
      <c r="D237" s="183"/>
      <c r="E237" s="183"/>
    </row>
    <row r="238" spans="1:5" hidden="1" x14ac:dyDescent="0.2">
      <c r="A238" s="183"/>
      <c r="B238" s="183"/>
      <c r="C238" s="183"/>
      <c r="D238" s="183"/>
      <c r="E238" s="183"/>
    </row>
    <row r="239" spans="1:5" hidden="1" x14ac:dyDescent="0.2">
      <c r="A239" s="183"/>
      <c r="B239" s="183"/>
      <c r="C239" s="183"/>
      <c r="D239" s="183"/>
      <c r="E239" s="183"/>
    </row>
    <row r="240" spans="1:5" hidden="1" x14ac:dyDescent="0.2">
      <c r="A240" s="183"/>
      <c r="B240" s="183"/>
      <c r="C240" s="183"/>
      <c r="D240" s="183"/>
      <c r="E240" s="183"/>
    </row>
    <row r="241" spans="1:5" hidden="1" x14ac:dyDescent="0.2">
      <c r="A241" s="183"/>
      <c r="B241" s="183"/>
      <c r="C241" s="183"/>
      <c r="D241" s="183"/>
      <c r="E241" s="183"/>
    </row>
    <row r="242" spans="1:5" hidden="1" x14ac:dyDescent="0.2">
      <c r="A242" s="183"/>
      <c r="B242" s="183"/>
      <c r="C242" s="183"/>
      <c r="D242" s="183"/>
      <c r="E242" s="183"/>
    </row>
    <row r="243" spans="1:5" hidden="1" x14ac:dyDescent="0.2">
      <c r="A243" s="183"/>
      <c r="B243" s="183"/>
      <c r="C243" s="183"/>
      <c r="D243" s="183"/>
      <c r="E243" s="183"/>
    </row>
    <row r="244" spans="1:5" hidden="1" x14ac:dyDescent="0.2">
      <c r="A244" s="183"/>
      <c r="B244" s="183"/>
      <c r="C244" s="183"/>
      <c r="D244" s="183"/>
      <c r="E244" s="183"/>
    </row>
    <row r="245" spans="1:5" hidden="1" x14ac:dyDescent="0.2">
      <c r="A245" s="183"/>
      <c r="B245" s="183"/>
      <c r="C245" s="183"/>
      <c r="D245" s="183"/>
      <c r="E245" s="183"/>
    </row>
    <row r="246" spans="1:5" hidden="1" x14ac:dyDescent="0.2">
      <c r="A246" s="183"/>
      <c r="B246" s="183"/>
      <c r="C246" s="183"/>
      <c r="D246" s="183"/>
      <c r="E246" s="183"/>
    </row>
    <row r="247" spans="1:5" hidden="1" x14ac:dyDescent="0.2">
      <c r="A247" s="183"/>
      <c r="B247" s="183"/>
      <c r="C247" s="183"/>
      <c r="D247" s="183"/>
      <c r="E247" s="183"/>
    </row>
    <row r="248" spans="1:5" hidden="1" x14ac:dyDescent="0.2">
      <c r="A248" s="183"/>
      <c r="B248" s="183"/>
      <c r="C248" s="183"/>
      <c r="D248" s="183"/>
      <c r="E248" s="183"/>
    </row>
    <row r="249" spans="1:5" hidden="1" x14ac:dyDescent="0.2">
      <c r="A249" s="183"/>
      <c r="B249" s="183"/>
      <c r="C249" s="183"/>
      <c r="D249" s="183"/>
      <c r="E249" s="183"/>
    </row>
    <row r="250" spans="1:5" hidden="1" x14ac:dyDescent="0.2">
      <c r="A250" s="183"/>
      <c r="B250" s="183"/>
      <c r="C250" s="183"/>
      <c r="D250" s="183"/>
      <c r="E250" s="183"/>
    </row>
    <row r="251" spans="1:5" hidden="1" x14ac:dyDescent="0.2">
      <c r="A251" s="183"/>
      <c r="B251" s="183"/>
      <c r="C251" s="183"/>
      <c r="D251" s="183"/>
      <c r="E251" s="183"/>
    </row>
    <row r="252" spans="1:5" hidden="1" x14ac:dyDescent="0.2">
      <c r="A252" s="183"/>
      <c r="B252" s="183"/>
      <c r="C252" s="183"/>
      <c r="D252" s="183"/>
      <c r="E252" s="183"/>
    </row>
    <row r="253" spans="1:5" hidden="1" x14ac:dyDescent="0.2">
      <c r="A253" s="183"/>
      <c r="B253" s="183"/>
      <c r="C253" s="183"/>
      <c r="D253" s="183"/>
      <c r="E253" s="183"/>
    </row>
    <row r="254" spans="1:5" hidden="1" x14ac:dyDescent="0.2">
      <c r="A254" s="183"/>
      <c r="B254" s="183"/>
      <c r="C254" s="183"/>
      <c r="D254" s="183"/>
      <c r="E254" s="183"/>
    </row>
    <row r="255" spans="1:5" hidden="1" x14ac:dyDescent="0.2">
      <c r="A255" s="183"/>
      <c r="B255" s="183"/>
      <c r="C255" s="183"/>
      <c r="D255" s="183"/>
      <c r="E255" s="183"/>
    </row>
    <row r="256" spans="1:5" hidden="1" x14ac:dyDescent="0.2">
      <c r="A256" s="183"/>
      <c r="B256" s="183"/>
      <c r="C256" s="183"/>
      <c r="D256" s="183"/>
      <c r="E256" s="183"/>
    </row>
    <row r="257" spans="1:5" hidden="1" x14ac:dyDescent="0.2">
      <c r="A257" s="183"/>
      <c r="B257" s="183"/>
      <c r="C257" s="183"/>
      <c r="D257" s="183"/>
      <c r="E257" s="183"/>
    </row>
    <row r="258" spans="1:5" hidden="1" x14ac:dyDescent="0.2">
      <c r="A258" s="183"/>
      <c r="B258" s="183"/>
      <c r="C258" s="183"/>
      <c r="D258" s="183"/>
      <c r="E258" s="183"/>
    </row>
    <row r="259" spans="1:5" hidden="1" x14ac:dyDescent="0.2">
      <c r="A259" s="183"/>
      <c r="B259" s="183"/>
      <c r="C259" s="183"/>
      <c r="D259" s="183"/>
      <c r="E259" s="183"/>
    </row>
    <row r="260" spans="1:5" hidden="1" x14ac:dyDescent="0.2">
      <c r="A260" s="183"/>
      <c r="B260" s="183"/>
      <c r="C260" s="183"/>
      <c r="D260" s="183"/>
      <c r="E260" s="183"/>
    </row>
    <row r="261" spans="1:5" hidden="1" x14ac:dyDescent="0.2">
      <c r="A261" s="183"/>
      <c r="B261" s="183"/>
      <c r="C261" s="183"/>
      <c r="D261" s="183"/>
      <c r="E261" s="183"/>
    </row>
    <row r="262" spans="1:5" hidden="1" x14ac:dyDescent="0.2">
      <c r="A262" s="183"/>
      <c r="B262" s="183"/>
      <c r="C262" s="183"/>
      <c r="D262" s="183"/>
      <c r="E262" s="183"/>
    </row>
    <row r="263" spans="1:5" hidden="1" x14ac:dyDescent="0.2">
      <c r="A263" s="183"/>
      <c r="B263" s="183"/>
      <c r="C263" s="183"/>
      <c r="D263" s="183"/>
      <c r="E263" s="183"/>
    </row>
    <row r="264" spans="1:5" hidden="1" x14ac:dyDescent="0.2">
      <c r="A264" s="183"/>
      <c r="B264" s="183"/>
      <c r="C264" s="183"/>
      <c r="D264" s="183"/>
      <c r="E264" s="183"/>
    </row>
    <row r="265" spans="1:5" hidden="1" x14ac:dyDescent="0.2">
      <c r="A265" s="183"/>
      <c r="B265" s="183"/>
      <c r="C265" s="183"/>
      <c r="D265" s="183"/>
      <c r="E265" s="183"/>
    </row>
    <row r="266" spans="1:5" hidden="1" x14ac:dyDescent="0.2">
      <c r="A266" s="183"/>
      <c r="B266" s="183"/>
      <c r="C266" s="183"/>
      <c r="D266" s="183"/>
      <c r="E266" s="183"/>
    </row>
    <row r="267" spans="1:5" hidden="1" x14ac:dyDescent="0.2">
      <c r="A267" s="183"/>
      <c r="B267" s="183"/>
      <c r="C267" s="183"/>
      <c r="D267" s="183"/>
      <c r="E267" s="183"/>
    </row>
    <row r="268" spans="1:5" hidden="1" x14ac:dyDescent="0.2">
      <c r="A268" s="183"/>
      <c r="B268" s="183"/>
      <c r="C268" s="183"/>
      <c r="D268" s="183"/>
      <c r="E268" s="183"/>
    </row>
    <row r="269" spans="1:5" hidden="1" x14ac:dyDescent="0.2">
      <c r="A269" s="183"/>
      <c r="B269" s="183"/>
      <c r="C269" s="183"/>
      <c r="D269" s="183"/>
      <c r="E269" s="183"/>
    </row>
    <row r="270" spans="1:5" hidden="1" x14ac:dyDescent="0.2">
      <c r="A270" s="183"/>
      <c r="B270" s="183"/>
      <c r="C270" s="183"/>
      <c r="D270" s="183"/>
      <c r="E270" s="183"/>
    </row>
    <row r="271" spans="1:5" hidden="1" x14ac:dyDescent="0.2">
      <c r="A271" s="183"/>
      <c r="B271" s="183"/>
      <c r="C271" s="183"/>
      <c r="D271" s="183"/>
      <c r="E271" s="183"/>
    </row>
    <row r="272" spans="1:5" hidden="1" x14ac:dyDescent="0.2">
      <c r="A272" s="183"/>
      <c r="B272" s="183"/>
      <c r="C272" s="183"/>
      <c r="D272" s="183"/>
      <c r="E272" s="183"/>
    </row>
    <row r="273" spans="1:5" hidden="1" x14ac:dyDescent="0.2">
      <c r="A273" s="183"/>
      <c r="B273" s="183"/>
      <c r="C273" s="183"/>
      <c r="D273" s="183"/>
      <c r="E273" s="183"/>
    </row>
    <row r="274" spans="1:5" hidden="1" x14ac:dyDescent="0.2">
      <c r="A274" s="183"/>
      <c r="B274" s="183"/>
      <c r="C274" s="183"/>
      <c r="D274" s="183"/>
      <c r="E274" s="183"/>
    </row>
    <row r="275" spans="1:5" hidden="1" x14ac:dyDescent="0.2">
      <c r="A275" s="183"/>
      <c r="B275" s="183"/>
      <c r="C275" s="183"/>
      <c r="D275" s="183"/>
      <c r="E275" s="183"/>
    </row>
    <row r="276" spans="1:5" hidden="1" x14ac:dyDescent="0.2">
      <c r="A276" s="183"/>
      <c r="B276" s="183"/>
      <c r="C276" s="183"/>
      <c r="D276" s="183"/>
      <c r="E276" s="183"/>
    </row>
    <row r="277" spans="1:5" hidden="1" x14ac:dyDescent="0.2">
      <c r="A277" s="183"/>
      <c r="B277" s="183"/>
      <c r="C277" s="183"/>
      <c r="D277" s="183"/>
      <c r="E277" s="183"/>
    </row>
    <row r="278" spans="1:5" hidden="1" x14ac:dyDescent="0.2">
      <c r="A278" s="183"/>
      <c r="B278" s="183"/>
      <c r="C278" s="183"/>
      <c r="D278" s="183"/>
      <c r="E278" s="183"/>
    </row>
    <row r="279" spans="1:5" hidden="1" x14ac:dyDescent="0.2">
      <c r="A279" s="183"/>
      <c r="B279" s="183"/>
      <c r="C279" s="183"/>
      <c r="D279" s="183"/>
      <c r="E279" s="183"/>
    </row>
    <row r="280" spans="1:5" hidden="1" x14ac:dyDescent="0.2">
      <c r="A280" s="183"/>
      <c r="B280" s="183"/>
      <c r="C280" s="183"/>
      <c r="D280" s="183"/>
      <c r="E280" s="183"/>
    </row>
    <row r="281" spans="1:5" hidden="1" x14ac:dyDescent="0.2">
      <c r="A281" s="183"/>
      <c r="B281" s="183"/>
      <c r="C281" s="183"/>
      <c r="D281" s="183"/>
      <c r="E281" s="183"/>
    </row>
    <row r="282" spans="1:5" hidden="1" x14ac:dyDescent="0.2">
      <c r="A282" s="183"/>
      <c r="B282" s="183"/>
      <c r="C282" s="183"/>
      <c r="D282" s="183"/>
      <c r="E282" s="183"/>
    </row>
    <row r="283" spans="1:5" hidden="1" x14ac:dyDescent="0.2">
      <c r="A283" s="183"/>
      <c r="B283" s="183"/>
      <c r="C283" s="183"/>
      <c r="D283" s="183"/>
      <c r="E283" s="183"/>
    </row>
    <row r="284" spans="1:5" hidden="1" x14ac:dyDescent="0.2">
      <c r="A284" s="183"/>
      <c r="B284" s="183"/>
      <c r="C284" s="183"/>
      <c r="D284" s="183"/>
      <c r="E284" s="183"/>
    </row>
    <row r="285" spans="1:5" hidden="1" x14ac:dyDescent="0.2">
      <c r="A285" s="183"/>
      <c r="B285" s="183"/>
      <c r="C285" s="183"/>
      <c r="D285" s="183"/>
      <c r="E285" s="183"/>
    </row>
    <row r="286" spans="1:5" hidden="1" x14ac:dyDescent="0.2">
      <c r="A286" s="183"/>
      <c r="B286" s="183"/>
      <c r="C286" s="183"/>
      <c r="D286" s="183"/>
      <c r="E286" s="183"/>
    </row>
    <row r="287" spans="1:5" hidden="1" x14ac:dyDescent="0.2">
      <c r="A287" s="183"/>
      <c r="B287" s="183"/>
      <c r="C287" s="183"/>
      <c r="D287" s="183"/>
      <c r="E287" s="183"/>
    </row>
    <row r="288" spans="1:5" hidden="1" x14ac:dyDescent="0.2">
      <c r="A288" s="183"/>
      <c r="B288" s="183"/>
      <c r="C288" s="183"/>
      <c r="D288" s="183"/>
      <c r="E288" s="183"/>
    </row>
    <row r="289" spans="1:5" hidden="1" x14ac:dyDescent="0.2">
      <c r="A289" s="183"/>
      <c r="B289" s="183"/>
      <c r="C289" s="183"/>
      <c r="D289" s="183"/>
      <c r="E289" s="183"/>
    </row>
    <row r="290" spans="1:5" hidden="1" x14ac:dyDescent="0.2">
      <c r="A290" s="183"/>
      <c r="B290" s="183"/>
      <c r="C290" s="183"/>
      <c r="D290" s="183"/>
      <c r="E290" s="183"/>
    </row>
    <row r="291" spans="1:5" hidden="1" x14ac:dyDescent="0.2">
      <c r="A291" s="183"/>
      <c r="B291" s="183"/>
      <c r="C291" s="183"/>
      <c r="D291" s="183"/>
      <c r="E291" s="183"/>
    </row>
    <row r="292" spans="1:5" hidden="1" x14ac:dyDescent="0.2">
      <c r="A292" s="183"/>
      <c r="B292" s="183"/>
      <c r="C292" s="183"/>
      <c r="D292" s="183"/>
      <c r="E292" s="183"/>
    </row>
    <row r="293" spans="1:5" hidden="1" x14ac:dyDescent="0.2">
      <c r="A293" s="183"/>
      <c r="B293" s="183"/>
      <c r="C293" s="183"/>
      <c r="D293" s="183"/>
      <c r="E293" s="183"/>
    </row>
    <row r="294" spans="1:5" hidden="1" x14ac:dyDescent="0.2">
      <c r="A294" s="183"/>
      <c r="B294" s="183"/>
      <c r="C294" s="183"/>
      <c r="D294" s="183"/>
      <c r="E294" s="183"/>
    </row>
    <row r="295" spans="1:5" hidden="1" x14ac:dyDescent="0.2">
      <c r="A295" s="183"/>
      <c r="B295" s="183"/>
      <c r="C295" s="183"/>
      <c r="D295" s="183"/>
      <c r="E295" s="183"/>
    </row>
    <row r="296" spans="1:5" hidden="1" x14ac:dyDescent="0.2">
      <c r="A296" s="183"/>
      <c r="B296" s="183"/>
      <c r="C296" s="183"/>
      <c r="D296" s="183"/>
      <c r="E296" s="183"/>
    </row>
    <row r="297" spans="1:5" hidden="1" x14ac:dyDescent="0.2">
      <c r="A297" s="183"/>
      <c r="B297" s="183"/>
      <c r="C297" s="183"/>
      <c r="D297" s="183"/>
      <c r="E297" s="183"/>
    </row>
    <row r="298" spans="1:5" hidden="1" x14ac:dyDescent="0.2">
      <c r="A298" s="183"/>
      <c r="B298" s="183"/>
      <c r="C298" s="183"/>
      <c r="D298" s="183"/>
      <c r="E298" s="183"/>
    </row>
    <row r="299" spans="1:5" hidden="1" x14ac:dyDescent="0.2">
      <c r="A299" s="183"/>
      <c r="B299" s="183"/>
      <c r="C299" s="183"/>
      <c r="D299" s="183"/>
      <c r="E299" s="183"/>
    </row>
    <row r="300" spans="1:5" hidden="1" x14ac:dyDescent="0.2">
      <c r="A300" s="183"/>
      <c r="B300" s="183"/>
      <c r="C300" s="183"/>
      <c r="D300" s="183"/>
      <c r="E300" s="183"/>
    </row>
    <row r="301" spans="1:5" hidden="1" x14ac:dyDescent="0.2">
      <c r="A301" s="183"/>
      <c r="B301" s="183"/>
      <c r="C301" s="183"/>
      <c r="D301" s="183"/>
      <c r="E301" s="183"/>
    </row>
    <row r="302" spans="1:5" hidden="1" x14ac:dyDescent="0.2">
      <c r="A302" s="183"/>
      <c r="B302" s="183"/>
      <c r="C302" s="183"/>
      <c r="D302" s="183"/>
      <c r="E302" s="183"/>
    </row>
    <row r="303" spans="1:5" hidden="1" x14ac:dyDescent="0.2">
      <c r="A303" s="183"/>
      <c r="B303" s="183"/>
      <c r="C303" s="183"/>
      <c r="D303" s="183"/>
      <c r="E303" s="183"/>
    </row>
    <row r="304" spans="1:5" hidden="1" x14ac:dyDescent="0.2">
      <c r="A304" s="183"/>
      <c r="B304" s="183"/>
      <c r="C304" s="183"/>
      <c r="D304" s="183"/>
      <c r="E304" s="183"/>
    </row>
    <row r="305" spans="1:5" hidden="1" x14ac:dyDescent="0.2">
      <c r="A305" s="183"/>
      <c r="B305" s="183"/>
      <c r="C305" s="183"/>
      <c r="D305" s="183"/>
      <c r="E305" s="183"/>
    </row>
    <row r="306" spans="1:5" hidden="1" x14ac:dyDescent="0.2">
      <c r="A306" s="183"/>
      <c r="B306" s="183"/>
      <c r="C306" s="183"/>
      <c r="D306" s="183"/>
      <c r="E306" s="183"/>
    </row>
    <row r="307" spans="1:5" hidden="1" x14ac:dyDescent="0.2">
      <c r="A307" s="183"/>
      <c r="B307" s="183"/>
      <c r="C307" s="183"/>
      <c r="D307" s="183"/>
      <c r="E307" s="183"/>
    </row>
    <row r="308" spans="1:5" hidden="1" x14ac:dyDescent="0.2">
      <c r="A308" s="183"/>
      <c r="B308" s="183"/>
      <c r="C308" s="183"/>
      <c r="D308" s="183"/>
      <c r="E308" s="183"/>
    </row>
    <row r="309" spans="1:5" hidden="1" x14ac:dyDescent="0.2">
      <c r="A309" s="183"/>
      <c r="B309" s="183"/>
      <c r="C309" s="183"/>
      <c r="D309" s="183"/>
      <c r="E309" s="183"/>
    </row>
    <row r="310" spans="1:5" hidden="1" x14ac:dyDescent="0.2">
      <c r="A310" s="183"/>
      <c r="B310" s="183"/>
      <c r="C310" s="183"/>
      <c r="D310" s="183"/>
      <c r="E310" s="183"/>
    </row>
    <row r="311" spans="1:5" hidden="1" x14ac:dyDescent="0.2">
      <c r="A311" s="183"/>
      <c r="B311" s="183"/>
      <c r="C311" s="183"/>
      <c r="D311" s="183"/>
      <c r="E311" s="183"/>
    </row>
    <row r="312" spans="1:5" hidden="1" x14ac:dyDescent="0.2">
      <c r="A312" s="183"/>
      <c r="B312" s="183"/>
      <c r="C312" s="183"/>
      <c r="D312" s="183"/>
      <c r="E312" s="183"/>
    </row>
    <row r="313" spans="1:5" hidden="1" x14ac:dyDescent="0.2">
      <c r="A313" s="183"/>
      <c r="B313" s="183"/>
      <c r="C313" s="183"/>
      <c r="D313" s="183"/>
      <c r="E313" s="183"/>
    </row>
    <row r="314" spans="1:5" hidden="1" x14ac:dyDescent="0.2">
      <c r="A314" s="183"/>
      <c r="B314" s="183"/>
      <c r="C314" s="183"/>
      <c r="D314" s="183"/>
      <c r="E314" s="183"/>
    </row>
    <row r="315" spans="1:5" hidden="1" x14ac:dyDescent="0.2">
      <c r="A315" s="183"/>
      <c r="B315" s="183"/>
      <c r="C315" s="183"/>
      <c r="D315" s="183"/>
      <c r="E315" s="183"/>
    </row>
    <row r="316" spans="1:5" hidden="1" x14ac:dyDescent="0.2">
      <c r="A316" s="183"/>
      <c r="B316" s="183"/>
      <c r="C316" s="183"/>
      <c r="D316" s="183"/>
      <c r="E316" s="183"/>
    </row>
    <row r="317" spans="1:5" hidden="1" x14ac:dyDescent="0.2">
      <c r="A317" s="183"/>
      <c r="B317" s="183"/>
      <c r="C317" s="183"/>
      <c r="D317" s="183"/>
      <c r="E317" s="183"/>
    </row>
    <row r="318" spans="1:5" hidden="1" x14ac:dyDescent="0.2">
      <c r="A318" s="183"/>
      <c r="B318" s="183"/>
      <c r="C318" s="183"/>
      <c r="D318" s="183"/>
      <c r="E318" s="183"/>
    </row>
    <row r="319" spans="1:5" hidden="1" x14ac:dyDescent="0.2">
      <c r="A319" s="183"/>
      <c r="B319" s="183"/>
      <c r="C319" s="183"/>
      <c r="D319" s="183"/>
      <c r="E319" s="183"/>
    </row>
    <row r="320" spans="1:5" hidden="1" x14ac:dyDescent="0.2">
      <c r="A320" s="183"/>
      <c r="B320" s="183"/>
      <c r="C320" s="183"/>
      <c r="D320" s="183"/>
      <c r="E320" s="183"/>
    </row>
    <row r="321" spans="1:5" hidden="1" x14ac:dyDescent="0.2">
      <c r="A321" s="183"/>
      <c r="B321" s="183"/>
      <c r="C321" s="183"/>
      <c r="D321" s="183"/>
      <c r="E321" s="183"/>
    </row>
    <row r="322" spans="1:5" hidden="1" x14ac:dyDescent="0.2">
      <c r="A322" s="183"/>
      <c r="B322" s="183"/>
      <c r="C322" s="183"/>
      <c r="D322" s="183"/>
      <c r="E322" s="183"/>
    </row>
    <row r="323" spans="1:5" hidden="1" x14ac:dyDescent="0.2">
      <c r="A323" s="183"/>
      <c r="B323" s="183"/>
      <c r="C323" s="183"/>
      <c r="D323" s="183"/>
      <c r="E323" s="183"/>
    </row>
    <row r="324" spans="1:5" hidden="1" x14ac:dyDescent="0.2">
      <c r="A324" s="183"/>
      <c r="B324" s="183"/>
      <c r="C324" s="183"/>
      <c r="D324" s="183"/>
      <c r="E324" s="183"/>
    </row>
    <row r="325" spans="1:5" hidden="1" x14ac:dyDescent="0.2">
      <c r="A325" s="183"/>
      <c r="B325" s="183"/>
      <c r="C325" s="183"/>
      <c r="D325" s="183"/>
      <c r="E325" s="183"/>
    </row>
    <row r="326" spans="1:5" hidden="1" x14ac:dyDescent="0.2">
      <c r="A326" s="183"/>
      <c r="B326" s="183"/>
      <c r="C326" s="183"/>
      <c r="D326" s="183"/>
      <c r="E326" s="183"/>
    </row>
    <row r="327" spans="1:5" hidden="1" x14ac:dyDescent="0.2">
      <c r="A327" s="183"/>
      <c r="B327" s="183"/>
      <c r="C327" s="183"/>
      <c r="D327" s="183"/>
      <c r="E327" s="183"/>
    </row>
    <row r="328" spans="1:5" hidden="1" x14ac:dyDescent="0.2">
      <c r="A328" s="183"/>
      <c r="B328" s="183"/>
      <c r="C328" s="183"/>
      <c r="D328" s="183"/>
      <c r="E328" s="183"/>
    </row>
    <row r="329" spans="1:5" hidden="1" x14ac:dyDescent="0.2">
      <c r="A329" s="183"/>
      <c r="B329" s="183"/>
      <c r="C329" s="183"/>
      <c r="D329" s="183"/>
      <c r="E329" s="183"/>
    </row>
    <row r="330" spans="1:5" hidden="1" x14ac:dyDescent="0.2">
      <c r="A330" s="183"/>
      <c r="B330" s="183"/>
      <c r="C330" s="183"/>
      <c r="D330" s="183"/>
      <c r="E330" s="183"/>
    </row>
    <row r="331" spans="1:5" hidden="1" x14ac:dyDescent="0.2">
      <c r="A331" s="183"/>
      <c r="B331" s="183"/>
      <c r="C331" s="183"/>
      <c r="D331" s="183"/>
      <c r="E331" s="183"/>
    </row>
    <row r="332" spans="1:5" hidden="1" x14ac:dyDescent="0.2">
      <c r="A332" s="183"/>
      <c r="B332" s="183"/>
      <c r="C332" s="183"/>
      <c r="D332" s="183"/>
      <c r="E332" s="183"/>
    </row>
    <row r="333" spans="1:5" hidden="1" x14ac:dyDescent="0.2">
      <c r="A333" s="183"/>
      <c r="B333" s="183"/>
      <c r="C333" s="183"/>
      <c r="D333" s="183"/>
      <c r="E333" s="183"/>
    </row>
    <row r="334" spans="1:5" hidden="1" x14ac:dyDescent="0.2">
      <c r="A334" s="183"/>
      <c r="B334" s="183"/>
      <c r="C334" s="183"/>
      <c r="D334" s="183"/>
      <c r="E334" s="183"/>
    </row>
    <row r="335" spans="1:5" hidden="1" x14ac:dyDescent="0.2">
      <c r="A335" s="183"/>
      <c r="B335" s="183"/>
      <c r="C335" s="183"/>
      <c r="D335" s="183"/>
      <c r="E335" s="183"/>
    </row>
    <row r="336" spans="1:5" hidden="1" x14ac:dyDescent="0.2">
      <c r="A336" s="183"/>
      <c r="B336" s="183"/>
      <c r="C336" s="183"/>
      <c r="D336" s="183"/>
      <c r="E336" s="183"/>
    </row>
    <row r="337" spans="1:5" hidden="1" x14ac:dyDescent="0.2">
      <c r="A337" s="183"/>
      <c r="B337" s="183"/>
      <c r="C337" s="183"/>
      <c r="D337" s="183"/>
      <c r="E337" s="183"/>
    </row>
    <row r="338" spans="1:5" hidden="1" x14ac:dyDescent="0.2">
      <c r="A338" s="183"/>
      <c r="B338" s="183"/>
      <c r="C338" s="183"/>
      <c r="D338" s="183"/>
      <c r="E338" s="183"/>
    </row>
    <row r="339" spans="1:5" hidden="1" x14ac:dyDescent="0.2">
      <c r="A339" s="183"/>
      <c r="B339" s="183"/>
      <c r="C339" s="183"/>
      <c r="D339" s="183"/>
      <c r="E339" s="183"/>
    </row>
    <row r="340" spans="1:5" hidden="1" x14ac:dyDescent="0.2">
      <c r="A340" s="183"/>
      <c r="B340" s="183"/>
      <c r="C340" s="183"/>
      <c r="D340" s="183"/>
      <c r="E340" s="183"/>
    </row>
    <row r="341" spans="1:5" hidden="1" x14ac:dyDescent="0.2">
      <c r="A341" s="183"/>
      <c r="B341" s="183"/>
      <c r="C341" s="183"/>
      <c r="D341" s="183"/>
      <c r="E341" s="183"/>
    </row>
    <row r="342" spans="1:5" hidden="1" x14ac:dyDescent="0.2">
      <c r="A342" s="183"/>
      <c r="B342" s="183"/>
      <c r="C342" s="183"/>
      <c r="D342" s="183"/>
      <c r="E342" s="183"/>
    </row>
    <row r="343" spans="1:5" hidden="1" x14ac:dyDescent="0.2">
      <c r="A343" s="183"/>
      <c r="B343" s="183"/>
      <c r="C343" s="183"/>
      <c r="D343" s="183"/>
      <c r="E343" s="183"/>
    </row>
    <row r="344" spans="1:5" hidden="1" x14ac:dyDescent="0.2">
      <c r="A344" s="183"/>
      <c r="B344" s="183"/>
      <c r="C344" s="183"/>
      <c r="D344" s="183"/>
      <c r="E344" s="183"/>
    </row>
    <row r="345" spans="1:5" hidden="1" x14ac:dyDescent="0.2">
      <c r="A345" s="183"/>
      <c r="B345" s="183"/>
      <c r="C345" s="183"/>
      <c r="D345" s="183"/>
      <c r="E345" s="183"/>
    </row>
    <row r="346" spans="1:5" hidden="1" x14ac:dyDescent="0.2">
      <c r="A346" s="183"/>
      <c r="B346" s="183"/>
      <c r="C346" s="183"/>
      <c r="D346" s="183"/>
      <c r="E346" s="183"/>
    </row>
    <row r="347" spans="1:5" hidden="1" x14ac:dyDescent="0.2">
      <c r="A347" s="183"/>
      <c r="B347" s="183"/>
      <c r="C347" s="183"/>
      <c r="D347" s="183"/>
      <c r="E347" s="183"/>
    </row>
    <row r="348" spans="1:5" hidden="1" x14ac:dyDescent="0.2">
      <c r="A348" s="183"/>
      <c r="B348" s="183"/>
      <c r="C348" s="183"/>
      <c r="D348" s="183"/>
      <c r="E348" s="183"/>
    </row>
    <row r="349" spans="1:5" hidden="1" x14ac:dyDescent="0.2">
      <c r="A349" s="183"/>
      <c r="B349" s="183"/>
      <c r="C349" s="183"/>
      <c r="D349" s="183"/>
      <c r="E349" s="183"/>
    </row>
    <row r="350" spans="1:5" hidden="1" x14ac:dyDescent="0.2">
      <c r="A350" s="183"/>
      <c r="B350" s="183"/>
      <c r="C350" s="183"/>
      <c r="D350" s="183"/>
      <c r="E350" s="183"/>
    </row>
    <row r="351" spans="1:5" hidden="1" x14ac:dyDescent="0.2">
      <c r="A351" s="183"/>
      <c r="B351" s="183"/>
      <c r="C351" s="183"/>
      <c r="D351" s="183"/>
      <c r="E351" s="183"/>
    </row>
    <row r="352" spans="1:5" hidden="1" x14ac:dyDescent="0.2">
      <c r="A352" s="183"/>
      <c r="B352" s="183"/>
      <c r="C352" s="183"/>
      <c r="D352" s="183"/>
      <c r="E352" s="183"/>
    </row>
    <row r="353" spans="1:5" hidden="1" x14ac:dyDescent="0.2">
      <c r="A353" s="183"/>
      <c r="B353" s="183"/>
      <c r="C353" s="183"/>
      <c r="D353" s="183"/>
      <c r="E353" s="183"/>
    </row>
    <row r="354" spans="1:5" hidden="1" x14ac:dyDescent="0.2">
      <c r="A354" s="183"/>
      <c r="B354" s="183"/>
      <c r="C354" s="183"/>
      <c r="D354" s="183"/>
      <c r="E354" s="183"/>
    </row>
    <row r="355" spans="1:5" hidden="1" x14ac:dyDescent="0.2">
      <c r="A355" s="183"/>
      <c r="B355" s="183"/>
      <c r="C355" s="183"/>
      <c r="D355" s="183"/>
      <c r="E355" s="183"/>
    </row>
    <row r="356" spans="1:5" hidden="1" x14ac:dyDescent="0.2">
      <c r="A356" s="183"/>
      <c r="B356" s="183"/>
      <c r="C356" s="183"/>
      <c r="D356" s="183"/>
      <c r="E356" s="183"/>
    </row>
    <row r="357" spans="1:5" hidden="1" x14ac:dyDescent="0.2">
      <c r="A357" s="183"/>
      <c r="B357" s="183"/>
      <c r="C357" s="183"/>
      <c r="D357" s="183"/>
      <c r="E357" s="183"/>
    </row>
    <row r="358" spans="1:5" hidden="1" x14ac:dyDescent="0.2">
      <c r="A358" s="183"/>
      <c r="B358" s="183"/>
      <c r="C358" s="183"/>
      <c r="D358" s="183"/>
      <c r="E358" s="183"/>
    </row>
    <row r="359" spans="1:5" hidden="1" x14ac:dyDescent="0.2">
      <c r="A359" s="183"/>
      <c r="B359" s="183"/>
      <c r="C359" s="183"/>
      <c r="D359" s="183"/>
      <c r="E359" s="183"/>
    </row>
    <row r="360" spans="1:5" hidden="1" x14ac:dyDescent="0.2">
      <c r="A360" s="183"/>
      <c r="B360" s="183"/>
      <c r="C360" s="183"/>
      <c r="D360" s="183"/>
      <c r="E360" s="183"/>
    </row>
    <row r="361" spans="1:5" hidden="1" x14ac:dyDescent="0.2">
      <c r="A361" s="183"/>
      <c r="B361" s="183"/>
      <c r="C361" s="183"/>
      <c r="D361" s="183"/>
      <c r="E361" s="183"/>
    </row>
    <row r="362" spans="1:5" hidden="1" x14ac:dyDescent="0.2">
      <c r="A362" s="183"/>
      <c r="B362" s="183"/>
      <c r="C362" s="183"/>
      <c r="D362" s="183"/>
      <c r="E362" s="183"/>
    </row>
    <row r="363" spans="1:5" hidden="1" x14ac:dyDescent="0.2">
      <c r="A363" s="183"/>
      <c r="B363" s="183"/>
      <c r="C363" s="183"/>
      <c r="D363" s="183"/>
      <c r="E363" s="183"/>
    </row>
    <row r="364" spans="1:5" hidden="1" x14ac:dyDescent="0.2">
      <c r="A364" s="183"/>
      <c r="B364" s="183"/>
      <c r="C364" s="183"/>
      <c r="D364" s="183"/>
      <c r="E364" s="183"/>
    </row>
    <row r="365" spans="1:5" hidden="1" x14ac:dyDescent="0.2">
      <c r="A365" s="183"/>
      <c r="B365" s="183"/>
      <c r="C365" s="183"/>
      <c r="D365" s="183"/>
      <c r="E365" s="183"/>
    </row>
    <row r="366" spans="1:5" hidden="1" x14ac:dyDescent="0.2">
      <c r="A366" s="183"/>
      <c r="B366" s="183"/>
      <c r="C366" s="183"/>
      <c r="D366" s="183"/>
      <c r="E366" s="183"/>
    </row>
    <row r="367" spans="1:5" hidden="1" x14ac:dyDescent="0.2">
      <c r="A367" s="183"/>
      <c r="B367" s="183"/>
      <c r="C367" s="183"/>
      <c r="D367" s="183"/>
      <c r="E367" s="183"/>
    </row>
    <row r="368" spans="1:5" hidden="1" x14ac:dyDescent="0.2">
      <c r="A368" s="183"/>
      <c r="B368" s="183"/>
      <c r="C368" s="183"/>
      <c r="D368" s="183"/>
      <c r="E368" s="183"/>
    </row>
    <row r="369" spans="1:5" hidden="1" x14ac:dyDescent="0.2">
      <c r="A369" s="183"/>
      <c r="B369" s="183"/>
      <c r="C369" s="183"/>
      <c r="D369" s="183"/>
      <c r="E369" s="183"/>
    </row>
    <row r="370" spans="1:5" hidden="1" x14ac:dyDescent="0.2">
      <c r="A370" s="183"/>
      <c r="B370" s="183"/>
      <c r="C370" s="183"/>
      <c r="D370" s="183"/>
      <c r="E370" s="183"/>
    </row>
    <row r="371" spans="1:5" hidden="1" x14ac:dyDescent="0.2">
      <c r="A371" s="183"/>
      <c r="B371" s="183"/>
      <c r="C371" s="183"/>
      <c r="D371" s="183"/>
      <c r="E371" s="183"/>
    </row>
    <row r="372" spans="1:5" hidden="1" x14ac:dyDescent="0.2">
      <c r="A372" s="183"/>
      <c r="B372" s="183"/>
      <c r="C372" s="183"/>
      <c r="D372" s="183"/>
      <c r="E372" s="183"/>
    </row>
    <row r="373" spans="1:5" hidden="1" x14ac:dyDescent="0.2">
      <c r="A373" s="183"/>
      <c r="B373" s="183"/>
      <c r="C373" s="183"/>
      <c r="D373" s="183"/>
      <c r="E373" s="183"/>
    </row>
    <row r="374" spans="1:5" hidden="1" x14ac:dyDescent="0.2">
      <c r="A374" s="183"/>
      <c r="B374" s="183"/>
      <c r="C374" s="183"/>
      <c r="D374" s="183"/>
      <c r="E374" s="183"/>
    </row>
    <row r="375" spans="1:5" hidden="1" x14ac:dyDescent="0.2">
      <c r="A375" s="183"/>
      <c r="B375" s="183"/>
      <c r="C375" s="183"/>
      <c r="D375" s="183"/>
      <c r="E375" s="183"/>
    </row>
    <row r="376" spans="1:5" hidden="1" x14ac:dyDescent="0.2">
      <c r="A376" s="183"/>
      <c r="B376" s="183"/>
      <c r="C376" s="183"/>
      <c r="D376" s="183"/>
      <c r="E376" s="183"/>
    </row>
    <row r="377" spans="1:5" hidden="1" x14ac:dyDescent="0.2">
      <c r="A377" s="183"/>
      <c r="B377" s="183"/>
      <c r="C377" s="183"/>
      <c r="D377" s="183"/>
      <c r="E377" s="183"/>
    </row>
    <row r="378" spans="1:5" hidden="1" x14ac:dyDescent="0.2">
      <c r="A378" s="183"/>
      <c r="B378" s="183"/>
      <c r="C378" s="183"/>
      <c r="D378" s="183"/>
      <c r="E378" s="183"/>
    </row>
    <row r="379" spans="1:5" hidden="1" x14ac:dyDescent="0.2">
      <c r="A379" s="183"/>
      <c r="B379" s="183"/>
      <c r="C379" s="183"/>
      <c r="D379" s="183"/>
      <c r="E379" s="183"/>
    </row>
    <row r="380" spans="1:5" hidden="1" x14ac:dyDescent="0.2">
      <c r="A380" s="183"/>
      <c r="B380" s="183"/>
      <c r="C380" s="183"/>
      <c r="D380" s="183"/>
      <c r="E380" s="183"/>
    </row>
    <row r="381" spans="1:5" hidden="1" x14ac:dyDescent="0.2">
      <c r="A381" s="183"/>
      <c r="B381" s="183"/>
      <c r="C381" s="183"/>
      <c r="D381" s="183"/>
      <c r="E381" s="183"/>
    </row>
    <row r="382" spans="1:5" hidden="1" x14ac:dyDescent="0.2">
      <c r="A382" s="183"/>
      <c r="B382" s="183"/>
      <c r="C382" s="183"/>
      <c r="D382" s="183"/>
      <c r="E382" s="183"/>
    </row>
    <row r="383" spans="1:5" hidden="1" x14ac:dyDescent="0.2">
      <c r="A383" s="183"/>
      <c r="B383" s="183"/>
      <c r="C383" s="183"/>
      <c r="D383" s="183"/>
      <c r="E383" s="183"/>
    </row>
    <row r="384" spans="1:5" hidden="1" x14ac:dyDescent="0.2">
      <c r="A384" s="183"/>
      <c r="B384" s="183"/>
      <c r="C384" s="183"/>
      <c r="D384" s="183"/>
      <c r="E384" s="183"/>
    </row>
    <row r="385" spans="1:5" hidden="1" x14ac:dyDescent="0.2">
      <c r="A385" s="183"/>
      <c r="B385" s="183"/>
      <c r="C385" s="183"/>
      <c r="D385" s="183"/>
      <c r="E385" s="183"/>
    </row>
    <row r="386" spans="1:5" hidden="1" x14ac:dyDescent="0.2">
      <c r="A386" s="183"/>
      <c r="B386" s="183"/>
      <c r="C386" s="183"/>
      <c r="D386" s="183"/>
      <c r="E386" s="183"/>
    </row>
    <row r="387" spans="1:5" hidden="1" x14ac:dyDescent="0.2">
      <c r="A387" s="183"/>
      <c r="B387" s="183"/>
      <c r="C387" s="183"/>
      <c r="D387" s="183"/>
      <c r="E387" s="183"/>
    </row>
    <row r="388" spans="1:5" hidden="1" x14ac:dyDescent="0.2">
      <c r="A388" s="183"/>
      <c r="B388" s="183"/>
      <c r="C388" s="183"/>
      <c r="D388" s="183"/>
      <c r="E388" s="183"/>
    </row>
    <row r="389" spans="1:5" hidden="1" x14ac:dyDescent="0.2">
      <c r="A389" s="183"/>
      <c r="B389" s="183"/>
      <c r="C389" s="183"/>
      <c r="D389" s="183"/>
      <c r="E389" s="183"/>
    </row>
    <row r="390" spans="1:5" hidden="1" x14ac:dyDescent="0.2">
      <c r="A390" s="183"/>
      <c r="B390" s="183"/>
      <c r="C390" s="183"/>
      <c r="D390" s="183"/>
      <c r="E390" s="183"/>
    </row>
    <row r="391" spans="1:5" hidden="1" x14ac:dyDescent="0.2">
      <c r="A391" s="183"/>
      <c r="B391" s="183"/>
      <c r="C391" s="183"/>
      <c r="D391" s="183"/>
      <c r="E391" s="183"/>
    </row>
    <row r="392" spans="1:5" hidden="1" x14ac:dyDescent="0.2">
      <c r="A392" s="183"/>
      <c r="B392" s="183"/>
      <c r="C392" s="183"/>
      <c r="D392" s="183"/>
      <c r="E392" s="183"/>
    </row>
    <row r="393" spans="1:5" hidden="1" x14ac:dyDescent="0.2">
      <c r="A393" s="183"/>
      <c r="B393" s="183"/>
      <c r="C393" s="183"/>
      <c r="D393" s="183"/>
      <c r="E393" s="183"/>
    </row>
    <row r="394" spans="1:5" hidden="1" x14ac:dyDescent="0.2">
      <c r="A394" s="183"/>
      <c r="B394" s="183"/>
      <c r="C394" s="183"/>
      <c r="D394" s="183"/>
      <c r="E394" s="183"/>
    </row>
    <row r="395" spans="1:5" hidden="1" x14ac:dyDescent="0.2">
      <c r="A395" s="183"/>
      <c r="B395" s="183"/>
      <c r="C395" s="183"/>
      <c r="D395" s="183"/>
      <c r="E395" s="183"/>
    </row>
    <row r="396" spans="1:5" hidden="1" x14ac:dyDescent="0.2">
      <c r="A396" s="183"/>
      <c r="B396" s="183"/>
      <c r="C396" s="183"/>
      <c r="D396" s="183"/>
      <c r="E396" s="183"/>
    </row>
    <row r="397" spans="1:5" hidden="1" x14ac:dyDescent="0.2">
      <c r="A397" s="183"/>
      <c r="B397" s="183"/>
      <c r="C397" s="183"/>
      <c r="D397" s="183"/>
      <c r="E397" s="183"/>
    </row>
    <row r="398" spans="1:5" hidden="1" x14ac:dyDescent="0.2">
      <c r="A398" s="183"/>
      <c r="B398" s="183"/>
      <c r="C398" s="183"/>
      <c r="D398" s="183"/>
      <c r="E398" s="183"/>
    </row>
    <row r="399" spans="1:5" hidden="1" x14ac:dyDescent="0.2">
      <c r="A399" s="183"/>
      <c r="B399" s="183"/>
      <c r="C399" s="183"/>
      <c r="D399" s="183"/>
      <c r="E399" s="183"/>
    </row>
    <row r="400" spans="1:5" hidden="1" x14ac:dyDescent="0.2">
      <c r="A400" s="183"/>
      <c r="B400" s="183"/>
      <c r="C400" s="183"/>
      <c r="D400" s="183"/>
      <c r="E400" s="183"/>
    </row>
    <row r="401" spans="1:5" hidden="1" x14ac:dyDescent="0.2">
      <c r="A401" s="183"/>
      <c r="B401" s="183"/>
      <c r="C401" s="183"/>
      <c r="D401" s="183"/>
      <c r="E401" s="183"/>
    </row>
    <row r="402" spans="1:5" hidden="1" x14ac:dyDescent="0.2">
      <c r="A402" s="183"/>
      <c r="B402" s="183"/>
      <c r="C402" s="183"/>
      <c r="D402" s="183"/>
      <c r="E402" s="183"/>
    </row>
    <row r="403" spans="1:5" hidden="1" x14ac:dyDescent="0.2">
      <c r="A403" s="183"/>
      <c r="B403" s="183"/>
      <c r="C403" s="183"/>
      <c r="D403" s="183"/>
      <c r="E403" s="183"/>
    </row>
    <row r="404" spans="1:5" hidden="1" x14ac:dyDescent="0.2">
      <c r="A404" s="183"/>
      <c r="B404" s="183"/>
      <c r="C404" s="183"/>
      <c r="D404" s="183"/>
      <c r="E404" s="183"/>
    </row>
    <row r="405" spans="1:5" hidden="1" x14ac:dyDescent="0.2">
      <c r="A405" s="183"/>
      <c r="B405" s="183"/>
      <c r="C405" s="183"/>
      <c r="D405" s="183"/>
      <c r="E405" s="183"/>
    </row>
    <row r="406" spans="1:5" hidden="1" x14ac:dyDescent="0.2">
      <c r="A406" s="183"/>
      <c r="B406" s="183"/>
      <c r="C406" s="183"/>
      <c r="D406" s="183"/>
      <c r="E406" s="183"/>
    </row>
    <row r="407" spans="1:5" hidden="1" x14ac:dyDescent="0.2">
      <c r="A407" s="183"/>
      <c r="B407" s="183"/>
      <c r="C407" s="183"/>
      <c r="D407" s="183"/>
      <c r="E407" s="183"/>
    </row>
    <row r="408" spans="1:5" hidden="1" x14ac:dyDescent="0.2">
      <c r="A408" s="183"/>
      <c r="B408" s="183"/>
      <c r="C408" s="183"/>
      <c r="D408" s="183"/>
      <c r="E408" s="183"/>
    </row>
    <row r="409" spans="1:5" hidden="1" x14ac:dyDescent="0.2">
      <c r="A409" s="183"/>
      <c r="B409" s="183"/>
      <c r="C409" s="183"/>
      <c r="D409" s="183"/>
      <c r="E409" s="183"/>
    </row>
    <row r="410" spans="1:5" hidden="1" x14ac:dyDescent="0.2">
      <c r="A410" s="183"/>
      <c r="B410" s="183"/>
      <c r="C410" s="183"/>
      <c r="D410" s="183"/>
      <c r="E410" s="183"/>
    </row>
    <row r="411" spans="1:5" hidden="1" x14ac:dyDescent="0.2">
      <c r="A411" s="183"/>
      <c r="B411" s="183"/>
      <c r="C411" s="183"/>
      <c r="D411" s="183"/>
      <c r="E411" s="183"/>
    </row>
    <row r="412" spans="1:5" hidden="1" x14ac:dyDescent="0.2">
      <c r="A412" s="183"/>
      <c r="B412" s="183"/>
      <c r="C412" s="183"/>
      <c r="D412" s="183"/>
      <c r="E412" s="183"/>
    </row>
    <row r="413" spans="1:5" hidden="1" x14ac:dyDescent="0.2">
      <c r="A413" s="183"/>
      <c r="B413" s="183"/>
      <c r="C413" s="183"/>
      <c r="D413" s="183"/>
      <c r="E413" s="183"/>
    </row>
    <row r="414" spans="1:5" hidden="1" x14ac:dyDescent="0.2">
      <c r="A414" s="183"/>
      <c r="B414" s="183"/>
      <c r="C414" s="183"/>
      <c r="D414" s="183"/>
      <c r="E414" s="183"/>
    </row>
    <row r="415" spans="1:5" hidden="1" x14ac:dyDescent="0.2">
      <c r="A415" s="183"/>
      <c r="B415" s="183"/>
      <c r="C415" s="183"/>
      <c r="D415" s="183"/>
      <c r="E415" s="183"/>
    </row>
    <row r="416" spans="1:5" hidden="1" x14ac:dyDescent="0.2">
      <c r="A416" s="183"/>
      <c r="B416" s="183"/>
      <c r="C416" s="183"/>
      <c r="D416" s="183"/>
      <c r="E416" s="183"/>
    </row>
    <row r="417" spans="1:5" hidden="1" x14ac:dyDescent="0.2">
      <c r="A417" s="183"/>
      <c r="B417" s="183"/>
      <c r="C417" s="183"/>
      <c r="D417" s="183"/>
      <c r="E417" s="183"/>
    </row>
    <row r="418" spans="1:5" hidden="1" x14ac:dyDescent="0.2">
      <c r="A418" s="183"/>
      <c r="B418" s="183"/>
      <c r="C418" s="183"/>
      <c r="D418" s="183"/>
      <c r="E418" s="183"/>
    </row>
    <row r="419" spans="1:5" hidden="1" x14ac:dyDescent="0.2">
      <c r="A419" s="183"/>
      <c r="B419" s="183"/>
      <c r="C419" s="183"/>
      <c r="D419" s="183"/>
      <c r="E419" s="183"/>
    </row>
    <row r="420" spans="1:5" hidden="1" x14ac:dyDescent="0.2">
      <c r="A420" s="183"/>
      <c r="B420" s="183"/>
      <c r="C420" s="183"/>
      <c r="D420" s="183"/>
      <c r="E420" s="183"/>
    </row>
    <row r="421" spans="1:5" hidden="1" x14ac:dyDescent="0.2">
      <c r="A421" s="183"/>
      <c r="B421" s="183"/>
      <c r="C421" s="183"/>
      <c r="D421" s="183"/>
      <c r="E421" s="183"/>
    </row>
    <row r="422" spans="1:5" hidden="1" x14ac:dyDescent="0.2">
      <c r="A422" s="183"/>
      <c r="B422" s="183"/>
      <c r="C422" s="183"/>
      <c r="D422" s="183"/>
      <c r="E422" s="183"/>
    </row>
    <row r="423" spans="1:5" hidden="1" x14ac:dyDescent="0.2">
      <c r="A423" s="183"/>
      <c r="B423" s="183"/>
      <c r="C423" s="183"/>
      <c r="D423" s="183"/>
      <c r="E423" s="183"/>
    </row>
    <row r="424" spans="1:5" hidden="1" x14ac:dyDescent="0.2">
      <c r="A424" s="183"/>
      <c r="B424" s="183"/>
      <c r="C424" s="183"/>
      <c r="D424" s="183"/>
      <c r="E424" s="183"/>
    </row>
    <row r="425" spans="1:5" hidden="1" x14ac:dyDescent="0.2">
      <c r="A425" s="183"/>
      <c r="B425" s="183"/>
      <c r="C425" s="183"/>
      <c r="D425" s="183"/>
      <c r="E425" s="183"/>
    </row>
    <row r="426" spans="1:5" hidden="1" x14ac:dyDescent="0.2">
      <c r="A426" s="183"/>
      <c r="B426" s="183"/>
      <c r="C426" s="183"/>
      <c r="D426" s="183"/>
      <c r="E426" s="183"/>
    </row>
    <row r="427" spans="1:5" hidden="1" x14ac:dyDescent="0.2">
      <c r="A427" s="183"/>
      <c r="B427" s="183"/>
      <c r="C427" s="183"/>
      <c r="D427" s="183"/>
      <c r="E427" s="183"/>
    </row>
  </sheetData>
  <sheetProtection password="CAB0" sheet="1" objects="1" scenarios="1"/>
  <pageMargins left="0.7" right="0.7" top="0.75" bottom="0.75" header="0.3" footer="0.3"/>
  <pageSetup paperSize="9" scale="52"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O45"/>
  <sheetViews>
    <sheetView zoomScaleNormal="100" workbookViewId="0">
      <selection activeCell="B3" sqref="B3"/>
    </sheetView>
  </sheetViews>
  <sheetFormatPr baseColWidth="10" defaultColWidth="0" defaultRowHeight="14.5" customHeight="1"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
        <v>464</v>
      </c>
    </row>
    <row r="2" spans="2:10" ht="15" customHeight="1" x14ac:dyDescent="0.3">
      <c r="B2" s="118"/>
    </row>
    <row r="3" spans="2:10" ht="15" customHeight="1" x14ac:dyDescent="0.2">
      <c r="B3" s="145" t="s">
        <v>218</v>
      </c>
      <c r="C3" s="146" t="s">
        <v>462</v>
      </c>
    </row>
    <row r="4" spans="2:10" ht="15" x14ac:dyDescent="0.2"/>
    <row r="5" spans="2:10" ht="15" x14ac:dyDescent="0.2">
      <c r="J5" s="59"/>
    </row>
    <row r="6" spans="2:10" ht="15" x14ac:dyDescent="0.2"/>
    <row r="7" spans="2:10" ht="15" x14ac:dyDescent="0.2">
      <c r="J7" s="59"/>
    </row>
    <row r="8" spans="2:10" ht="15" x14ac:dyDescent="0.2"/>
    <row r="9" spans="2:10" ht="15" x14ac:dyDescent="0.2">
      <c r="J9" s="59"/>
    </row>
    <row r="10" spans="2:10" ht="15" x14ac:dyDescent="0.2"/>
    <row r="11" spans="2:10" ht="15" x14ac:dyDescent="0.2"/>
    <row r="12" spans="2:10" ht="15" x14ac:dyDescent="0.2"/>
    <row r="13" spans="2:10" ht="15" x14ac:dyDescent="0.2"/>
    <row r="14" spans="2:10" ht="15" x14ac:dyDescent="0.2"/>
    <row r="15" spans="2:10" ht="15" x14ac:dyDescent="0.2"/>
    <row r="16" spans="2:10" ht="15" x14ac:dyDescent="0.2"/>
    <row r="17" spans="10:15" ht="15" x14ac:dyDescent="0.2"/>
    <row r="18" spans="10:15" ht="15" x14ac:dyDescent="0.2"/>
    <row r="19" spans="10:15" ht="15" x14ac:dyDescent="0.2"/>
    <row r="20" spans="10:15" ht="15" x14ac:dyDescent="0.2"/>
    <row r="21" spans="10:15" ht="15" hidden="1" x14ac:dyDescent="0.2"/>
    <row r="22" spans="10:15" ht="15" hidden="1" x14ac:dyDescent="0.2"/>
    <row r="23" spans="10:15" ht="15" hidden="1" x14ac:dyDescent="0.2"/>
    <row r="24" spans="10:15" ht="15" hidden="1" x14ac:dyDescent="0.2"/>
    <row r="25" spans="10:15" ht="15" hidden="1" x14ac:dyDescent="0.2"/>
    <row r="26" spans="10:15" ht="15" hidden="1" x14ac:dyDescent="0.2"/>
    <row r="27" spans="10:15" ht="15" hidden="1" x14ac:dyDescent="0.2"/>
    <row r="28" spans="10:15" ht="15" hidden="1" x14ac:dyDescent="0.2"/>
    <row r="29" spans="10:15" ht="15" hidden="1" x14ac:dyDescent="0.2">
      <c r="J29" s="57"/>
    </row>
    <row r="30" spans="10:15" ht="15" hidden="1" x14ac:dyDescent="0.2">
      <c r="O30" s="119"/>
    </row>
    <row r="31" spans="10:15" ht="15" hidden="1" x14ac:dyDescent="0.2"/>
    <row r="32" spans="10:15" ht="15" hidden="1" x14ac:dyDescent="0.2"/>
    <row r="33" ht="15" hidden="1" x14ac:dyDescent="0.2"/>
    <row r="34" ht="15" hidden="1" x14ac:dyDescent="0.2"/>
    <row r="35" ht="15" hidden="1" x14ac:dyDescent="0.2"/>
    <row r="36" ht="15" hidden="1" x14ac:dyDescent="0.2"/>
    <row r="37" ht="15" hidden="1" x14ac:dyDescent="0.2"/>
    <row r="38" ht="15" hidden="1" x14ac:dyDescent="0.2"/>
    <row r="39" ht="15" hidden="1" x14ac:dyDescent="0.2"/>
    <row r="40" ht="15" hidden="1" x14ac:dyDescent="0.2"/>
    <row r="41" ht="15" hidden="1" x14ac:dyDescent="0.2"/>
    <row r="42" ht="15" hidden="1" x14ac:dyDescent="0.2"/>
    <row r="43" ht="15" hidden="1" x14ac:dyDescent="0.2"/>
    <row r="44" ht="15" hidden="1" x14ac:dyDescent="0.2"/>
    <row r="45" ht="15" hidden="1" x14ac:dyDescent="0.2"/>
  </sheetData>
  <sheetProtection password="CAB0" sheet="1" objects="1" scenarios="1"/>
  <pageMargins left="0.7" right="0.7" top="0.75" bottom="0.75" header="0.3" footer="0.3"/>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W425"/>
  <sheetViews>
    <sheetView tabSelected="1" zoomScaleNormal="100" workbookViewId="0">
      <selection activeCell="D22" sqref="D22"/>
    </sheetView>
  </sheetViews>
  <sheetFormatPr baseColWidth="10" defaultColWidth="0" defaultRowHeight="15" zeroHeight="1" x14ac:dyDescent="0.2"/>
  <cols>
    <col min="1" max="1" width="5.6640625" style="1" customWidth="1"/>
    <col min="2" max="3" width="18.6640625" style="1" customWidth="1"/>
    <col min="4" max="4" width="5.6640625" style="1" customWidth="1"/>
    <col min="5" max="6" width="18.6640625" style="1" customWidth="1"/>
    <col min="7" max="7" width="5.6640625" style="1" customWidth="1"/>
    <col min="8" max="14" width="0" hidden="1" customWidth="1"/>
    <col min="15" max="16384" width="5.6640625" style="1" hidden="1"/>
  </cols>
  <sheetData>
    <row r="1" spans="1:23" ht="25" customHeight="1" x14ac:dyDescent="0.3">
      <c r="A1" s="36"/>
      <c r="B1" s="37" t="str">
        <f>LEFT(Disclaimer!B1,Maintenance!I3)</f>
        <v>CIE S 026 α-opic Toolbox - v1.049a - 2020/11</v>
      </c>
      <c r="C1" s="36"/>
      <c r="D1" s="36"/>
      <c r="E1" s="38"/>
      <c r="F1" s="36"/>
      <c r="G1" s="36"/>
      <c r="P1" s="180" t="s">
        <v>285</v>
      </c>
    </row>
    <row r="2" spans="1:23" ht="15" customHeight="1" x14ac:dyDescent="0.2">
      <c r="A2" s="36"/>
      <c r="B2" s="142"/>
      <c r="C2" s="36"/>
      <c r="D2" s="36"/>
      <c r="E2" s="36"/>
      <c r="F2" s="36"/>
      <c r="G2" s="36"/>
    </row>
    <row r="3" spans="1:23" ht="15" customHeight="1" x14ac:dyDescent="0.2">
      <c r="A3" s="36"/>
      <c r="B3" s="141" t="s">
        <v>352</v>
      </c>
      <c r="C3" s="225" t="s">
        <v>351</v>
      </c>
      <c r="D3" s="36"/>
      <c r="E3" s="144" t="s">
        <v>233</v>
      </c>
      <c r="F3" s="36"/>
      <c r="G3" s="36"/>
      <c r="P3" s="1" t="s">
        <v>264</v>
      </c>
      <c r="Q3" s="1" t="s">
        <v>282</v>
      </c>
    </row>
    <row r="4" spans="1:23" ht="15" customHeight="1" thickBot="1" x14ac:dyDescent="0.25">
      <c r="A4" s="36"/>
      <c r="B4" s="36"/>
      <c r="C4" s="36"/>
      <c r="D4" s="36"/>
      <c r="E4" s="39"/>
      <c r="F4" s="36"/>
      <c r="G4" s="36"/>
      <c r="P4" s="1" t="s">
        <v>260</v>
      </c>
      <c r="Q4" s="1" t="s">
        <v>281</v>
      </c>
    </row>
    <row r="5" spans="1:23" ht="15" customHeight="1" x14ac:dyDescent="0.2">
      <c r="A5" s="36"/>
      <c r="B5" s="261" t="s">
        <v>374</v>
      </c>
      <c r="C5" s="261"/>
      <c r="D5" s="36"/>
      <c r="E5" s="64" t="s">
        <v>228</v>
      </c>
      <c r="F5" s="65"/>
      <c r="G5" s="36"/>
      <c r="P5" s="1" t="s">
        <v>261</v>
      </c>
      <c r="Q5" s="1" t="s">
        <v>281</v>
      </c>
    </row>
    <row r="6" spans="1:23" ht="15" customHeight="1" x14ac:dyDescent="0.2">
      <c r="A6" s="36"/>
      <c r="B6" s="36"/>
      <c r="C6" s="36"/>
      <c r="D6" s="36"/>
      <c r="E6" s="66" t="s">
        <v>457</v>
      </c>
      <c r="F6" s="67"/>
      <c r="G6" s="36"/>
      <c r="P6" s="1" t="s">
        <v>262</v>
      </c>
      <c r="Q6" s="1" t="s">
        <v>281</v>
      </c>
    </row>
    <row r="7" spans="1:23" ht="15" customHeight="1" x14ac:dyDescent="0.2">
      <c r="A7" s="139"/>
      <c r="B7" s="39" t="s">
        <v>378</v>
      </c>
      <c r="C7" s="48"/>
      <c r="D7" s="36"/>
      <c r="E7" s="66" t="s">
        <v>229</v>
      </c>
      <c r="F7" s="67"/>
      <c r="G7" s="36"/>
      <c r="P7" s="1" t="s">
        <v>263</v>
      </c>
      <c r="Q7" s="1" t="s">
        <v>281</v>
      </c>
    </row>
    <row r="8" spans="1:23" ht="15" customHeight="1" x14ac:dyDescent="0.2">
      <c r="A8" s="139"/>
      <c r="B8" s="36" t="s">
        <v>377</v>
      </c>
      <c r="C8" s="222" t="s">
        <v>210</v>
      </c>
      <c r="D8" s="120"/>
      <c r="E8" s="66" t="s">
        <v>230</v>
      </c>
      <c r="F8" s="67"/>
      <c r="G8" s="36"/>
      <c r="R8" s="1" t="s">
        <v>265</v>
      </c>
      <c r="S8" s="1" t="s">
        <v>284</v>
      </c>
    </row>
    <row r="9" spans="1:23" ht="15" customHeight="1" x14ac:dyDescent="0.2">
      <c r="A9" s="36"/>
      <c r="B9" s="36"/>
      <c r="C9" s="255" t="str">
        <f>IF(OR(C8="",C8="User"),"",VLOOKUP(C8,$D$34:$E$38,2))</f>
        <v/>
      </c>
      <c r="D9" s="36"/>
      <c r="E9" s="66" t="s">
        <v>231</v>
      </c>
      <c r="F9" s="67"/>
      <c r="G9" s="36"/>
      <c r="R9" s="1" t="s">
        <v>266</v>
      </c>
      <c r="S9" s="1" t="s">
        <v>284</v>
      </c>
    </row>
    <row r="10" spans="1:23" ht="15" customHeight="1" x14ac:dyDescent="0.2">
      <c r="A10" s="139"/>
      <c r="B10" s="39" t="s">
        <v>376</v>
      </c>
      <c r="C10" s="36"/>
      <c r="D10" s="36"/>
      <c r="E10" s="66" t="s">
        <v>232</v>
      </c>
      <c r="F10" s="67"/>
      <c r="G10" s="36"/>
      <c r="R10" s="1" t="s">
        <v>267</v>
      </c>
      <c r="S10" s="1" t="s">
        <v>284</v>
      </c>
    </row>
    <row r="11" spans="1:23" ht="15" customHeight="1" x14ac:dyDescent="0.2">
      <c r="A11" s="139"/>
      <c r="B11" s="36" t="str">
        <f>IF($C$8="User","Spectral quantity, Q","Quantity, Q")</f>
        <v>Spectral quantity, Q</v>
      </c>
      <c r="C11" s="222" t="s">
        <v>54</v>
      </c>
      <c r="D11" s="252" t="str">
        <f>IF(AND($C$8="User",OR(C11="luminance",C11="illuminance")),"*","")</f>
        <v/>
      </c>
      <c r="E11" s="68" t="s">
        <v>455</v>
      </c>
      <c r="F11" s="67"/>
      <c r="G11" s="36"/>
      <c r="R11" s="1" t="s">
        <v>268</v>
      </c>
      <c r="S11" s="1" t="s">
        <v>282</v>
      </c>
    </row>
    <row r="12" spans="1:23" ht="15" customHeight="1" x14ac:dyDescent="0.2">
      <c r="A12" s="139"/>
      <c r="B12" s="36" t="str">
        <f>IF(LEFT($C$11,6)="photon","Clear this input","Main SI prefix")</f>
        <v>Main SI prefix</v>
      </c>
      <c r="C12" s="222"/>
      <c r="D12" s="252" t="str">
        <f>IF(AND(LEFT($C$11,6)="photon",C12&lt;&gt;""),"*","")</f>
        <v/>
      </c>
      <c r="E12" s="69" t="s">
        <v>196</v>
      </c>
      <c r="F12" s="67"/>
      <c r="G12" s="36"/>
      <c r="P12" s="1" t="s">
        <v>269</v>
      </c>
      <c r="Q12" s="179" t="s">
        <v>283</v>
      </c>
      <c r="R12" s="179"/>
      <c r="S12" s="179"/>
      <c r="T12" s="179"/>
      <c r="U12" s="179"/>
      <c r="V12" s="179"/>
      <c r="W12" s="179"/>
    </row>
    <row r="13" spans="1:23" ht="15" customHeight="1" x14ac:dyDescent="0.2">
      <c r="A13" s="139"/>
      <c r="B13" s="36" t="str">
        <f>IF(C$11="illuminance","Clear this input","Area prefix")</f>
        <v>Area prefix</v>
      </c>
      <c r="C13" s="222"/>
      <c r="D13" s="252" t="str">
        <f>IF(AND(C$11="illuminance",C13&lt;&gt;""),"*","")</f>
        <v/>
      </c>
      <c r="E13" s="69" t="s">
        <v>310</v>
      </c>
      <c r="F13" s="67"/>
      <c r="G13" s="36"/>
      <c r="P13" s="1" t="s">
        <v>270</v>
      </c>
      <c r="Q13" s="1" t="s">
        <v>279</v>
      </c>
    </row>
    <row r="14" spans="1:23" ht="15" customHeight="1" x14ac:dyDescent="0.2">
      <c r="A14" s="139"/>
      <c r="B14" s="36"/>
      <c r="C14" s="49" t="str">
        <f>IF(LEFT(C16&amp;C23,3)="log","NOTE: log = log base 10","")</f>
        <v/>
      </c>
      <c r="D14" s="36"/>
      <c r="E14" s="69" t="s">
        <v>252</v>
      </c>
      <c r="F14" s="67"/>
      <c r="G14" s="36"/>
      <c r="P14" s="1" t="s">
        <v>271</v>
      </c>
      <c r="Q14" s="1" t="s">
        <v>279</v>
      </c>
    </row>
    <row r="15" spans="1:23" ht="15" customHeight="1" x14ac:dyDescent="0.2">
      <c r="A15" s="139"/>
      <c r="B15" s="39" t="str">
        <f>"3. "&amp;IF($C$8="User","Skip this step",IF($C$8="","Enter value","Enter "&amp;$C$11&amp;" value"))</f>
        <v>3. Skip this step</v>
      </c>
      <c r="C15" s="36"/>
      <c r="D15" s="36"/>
      <c r="E15" s="69" t="s">
        <v>207</v>
      </c>
      <c r="F15" s="67"/>
      <c r="G15" s="36"/>
      <c r="P15" s="1" t="s">
        <v>272</v>
      </c>
      <c r="Q15" s="1" t="s">
        <v>279</v>
      </c>
    </row>
    <row r="16" spans="1:23" ht="15" customHeight="1" x14ac:dyDescent="0.2">
      <c r="A16" s="139"/>
      <c r="B16" s="36"/>
      <c r="C16" s="49" t="str">
        <f>SUBSTITUTE(IF($C$8="User","",IF($C$8="","(units)",Physics!D67)),"log ","log Q/")</f>
        <v/>
      </c>
      <c r="D16" s="36"/>
      <c r="E16" s="69" t="s">
        <v>313</v>
      </c>
      <c r="F16" s="67"/>
      <c r="G16" s="36"/>
      <c r="R16" s="1" t="s">
        <v>273</v>
      </c>
      <c r="S16" s="179" t="s">
        <v>280</v>
      </c>
      <c r="T16" s="179"/>
      <c r="U16" s="179"/>
      <c r="V16" s="179"/>
      <c r="W16" s="179"/>
    </row>
    <row r="17" spans="1:19" ht="15" customHeight="1" x14ac:dyDescent="0.2">
      <c r="A17" s="139"/>
      <c r="B17" s="36" t="str">
        <f>IF($C$8="User","Clear this input","Enter value")</f>
        <v>Clear this input</v>
      </c>
      <c r="C17" s="221"/>
      <c r="D17" s="252" t="str">
        <f>IF(AND($C$8="User",C17&lt;&gt;""),"*","")</f>
        <v/>
      </c>
      <c r="E17" s="68" t="s">
        <v>456</v>
      </c>
      <c r="F17" s="67"/>
      <c r="G17" s="36"/>
      <c r="R17" s="1" t="s">
        <v>274</v>
      </c>
      <c r="S17" s="1" t="s">
        <v>278</v>
      </c>
    </row>
    <row r="18" spans="1:19" ht="15" customHeight="1" x14ac:dyDescent="0.2">
      <c r="A18" s="139"/>
      <c r="B18" s="45"/>
      <c r="C18" s="36"/>
      <c r="D18" s="36"/>
      <c r="E18" s="69" t="s">
        <v>182</v>
      </c>
      <c r="F18" s="67"/>
      <c r="G18" s="36"/>
      <c r="R18" s="1" t="s">
        <v>275</v>
      </c>
      <c r="S18" s="1" t="s">
        <v>278</v>
      </c>
    </row>
    <row r="19" spans="1:19" ht="15" customHeight="1" x14ac:dyDescent="0.2">
      <c r="A19" s="139"/>
      <c r="B19" s="39" t="str">
        <f>"4. "&amp;IF($C$8="User","Select wavelength step",IF($C$8="","Select wavelength step","Skip this input"))</f>
        <v>4. Select wavelength step</v>
      </c>
      <c r="C19" s="36"/>
      <c r="D19" s="36"/>
      <c r="E19" s="69" t="s">
        <v>181</v>
      </c>
      <c r="F19" s="67"/>
      <c r="G19" s="36"/>
      <c r="R19" s="1" t="s">
        <v>276</v>
      </c>
      <c r="S19" s="1" t="s">
        <v>278</v>
      </c>
    </row>
    <row r="20" spans="1:19" ht="15" customHeight="1" thickBot="1" x14ac:dyDescent="0.25">
      <c r="A20" s="139"/>
      <c r="B20" s="46" t="str">
        <f>IF($C$8="User","Step size, nm",IF($C$8="","Step size, nm","Input not used"))</f>
        <v>Step size, nm</v>
      </c>
      <c r="C20" s="223">
        <v>1</v>
      </c>
      <c r="D20" s="36"/>
      <c r="E20" s="70" t="s">
        <v>206</v>
      </c>
      <c r="F20" s="71"/>
      <c r="G20" s="36"/>
      <c r="R20" s="1" t="s">
        <v>277</v>
      </c>
      <c r="S20" s="1" t="s">
        <v>278</v>
      </c>
    </row>
    <row r="21" spans="1:19" ht="15" customHeight="1" x14ac:dyDescent="0.2">
      <c r="A21" s="36"/>
      <c r="B21" s="36"/>
      <c r="C21" s="36"/>
      <c r="D21" s="36"/>
      <c r="E21" s="36"/>
      <c r="F21" s="36"/>
      <c r="G21" s="36"/>
      <c r="P21" s="1" t="s">
        <v>286</v>
      </c>
    </row>
    <row r="22" spans="1:19" ht="15" customHeight="1" x14ac:dyDescent="0.2">
      <c r="A22" s="36"/>
      <c r="B22" s="39" t="str">
        <f>"5. "&amp;IF($C$8="User","Enter spectral "&amp;$C$11&amp;" data",IF($C$8="","Enter spectral data","Clear the spectral data"))</f>
        <v>5. Enter spectral irradiance data</v>
      </c>
      <c r="C22" s="36"/>
      <c r="D22" s="36"/>
      <c r="E22" s="144" t="s">
        <v>373</v>
      </c>
      <c r="F22" s="36"/>
      <c r="G22" s="36"/>
      <c r="P22" s="1" t="s">
        <v>288</v>
      </c>
    </row>
    <row r="23" spans="1:19" ht="15" customHeight="1" thickBot="1" x14ac:dyDescent="0.25">
      <c r="A23" s="36"/>
      <c r="B23" s="47" t="s">
        <v>12</v>
      </c>
      <c r="C23" s="49" t="str">
        <f>SUBSTITUTE(SUBSTITUTE(IF($C$8="User",Physics!D67&amp;".nm-1",IF($C$8="","(units)","Clear spectral data")),").nm-1",".nm-1)"),"log ","log Q/")</f>
        <v>W.m-2.nm-1</v>
      </c>
      <c r="D23" s="36"/>
      <c r="E23" s="36"/>
      <c r="F23" s="36"/>
      <c r="G23" s="36"/>
      <c r="P23" s="1" t="s">
        <v>289</v>
      </c>
    </row>
    <row r="24" spans="1:19" ht="15" customHeight="1" thickBot="1" x14ac:dyDescent="0.25">
      <c r="A24" s="36"/>
      <c r="B24" s="47">
        <f t="shared" ref="B24:B87" si="0">IF(380+C$20*(ROW()-ROW(B$23)-1)&gt;780,"",380+C$20*(ROW()-ROW(B$23)-1))</f>
        <v>380</v>
      </c>
      <c r="C24" s="224">
        <v>1.19488495148103E-3</v>
      </c>
      <c r="D24" s="36"/>
      <c r="E24" s="259" t="str">
        <f ca="1">IF($C$8="","ERROR: Select spectrum or User in cell C8.",IF(OR(LEFT(E$26,5)="ERROR",LEFT(E$28,5)="ERROR",LEFT(E$30,5)="ERROR"),"ERROR: At least one input error.","No errors detected."))</f>
        <v>No errors detected.</v>
      </c>
      <c r="F24" s="260"/>
      <c r="G24" s="42"/>
    </row>
    <row r="25" spans="1:19" ht="15" customHeight="1" thickBot="1" x14ac:dyDescent="0.25">
      <c r="A25" s="36"/>
      <c r="B25" s="47">
        <f t="shared" si="0"/>
        <v>381</v>
      </c>
      <c r="C25" s="224">
        <v>1.0998940975976001E-3</v>
      </c>
      <c r="D25" s="36"/>
      <c r="E25" s="36"/>
      <c r="F25" s="36"/>
      <c r="G25" s="36"/>
      <c r="P25" s="1" t="s">
        <v>287</v>
      </c>
    </row>
    <row r="26" spans="1:19" ht="15" customHeight="1" thickBot="1" x14ac:dyDescent="0.25">
      <c r="A26" s="36"/>
      <c r="B26" s="47">
        <f t="shared" si="0"/>
        <v>382</v>
      </c>
      <c r="C26" s="224">
        <v>1.0099027623396201E-3</v>
      </c>
      <c r="D26" s="36"/>
      <c r="E26" s="259" t="str">
        <f>IF($C$8="","",IF(AND($C$8="User",OR(C11="luminance",C11="illuminance")),"ERROR: spectral "&amp;$C$11&amp;" forbidden.","Selected "&amp;IF($C$8="User","spectral quantity","quantity")&amp;" is permitted."))</f>
        <v>Selected spectral quantity is permitted.</v>
      </c>
      <c r="F26" s="260"/>
      <c r="G26" s="121"/>
    </row>
    <row r="27" spans="1:19" ht="15" customHeight="1" thickBot="1" x14ac:dyDescent="0.25">
      <c r="A27" s="36"/>
      <c r="B27" s="47">
        <f t="shared" si="0"/>
        <v>383</v>
      </c>
      <c r="C27" s="224">
        <v>9.6990661333607104E-4</v>
      </c>
      <c r="D27" s="36"/>
      <c r="E27" s="36"/>
      <c r="F27" s="36"/>
      <c r="G27" s="36"/>
    </row>
    <row r="28" spans="1:19" ht="15" customHeight="1" thickBot="1" x14ac:dyDescent="0.25">
      <c r="A28" s="36"/>
      <c r="B28" s="47">
        <f t="shared" si="0"/>
        <v>384</v>
      </c>
      <c r="C28" s="224">
        <v>9.7990565058695897E-4</v>
      </c>
      <c r="D28" s="36"/>
      <c r="E28" s="259" t="str">
        <f>IF($C$8="","",IF(AND(LEFT($C$11,6)="photon",C12&lt;&gt;""),"ERROR: delete prefix for photon system",IF(AND(C$11="illuminance",C13&lt;&gt;""),"ERROR: delete area prefix for illuminance","Selected prefixes are permitted.")))</f>
        <v>Selected prefixes are permitted.</v>
      </c>
      <c r="F28" s="260"/>
      <c r="G28" s="121"/>
    </row>
    <row r="29" spans="1:19" ht="15" customHeight="1" thickBot="1" x14ac:dyDescent="0.25">
      <c r="A29" s="36"/>
      <c r="B29" s="47">
        <f t="shared" si="0"/>
        <v>385</v>
      </c>
      <c r="C29" s="224">
        <v>1.0149022809650601E-3</v>
      </c>
      <c r="D29" s="36"/>
      <c r="E29" s="36"/>
      <c r="F29" s="36"/>
      <c r="G29" s="36"/>
    </row>
    <row r="30" spans="1:19" ht="15" customHeight="1" thickBot="1" x14ac:dyDescent="0.25">
      <c r="A30" s="36"/>
      <c r="B30" s="47">
        <f t="shared" si="0"/>
        <v>386</v>
      </c>
      <c r="C30" s="224">
        <v>1.0598979485940501E-3</v>
      </c>
      <c r="D30" s="36"/>
      <c r="E30" s="259" t="str">
        <f ca="1">IF($C$8="","",IF(AND(MIN(C17,C$24:C$424)&lt;0,LEFT($C$11,6)&lt;&gt;"photon"),"ERROR: No negative quantities permitted.",IF(NOT($C$8="User"),IF(COUNT(C$24:C$424)&lt;&gt;0,"ERROR: Clear spectral data.",IF(C$17="","ERROR: Enter "&amp;LOWER(C$11)&amp;" in cell C17.","Results based on a standard spectrum.")),IF(C$17&lt;&gt;"","ERROR: Clear cell C17.",IF(C$20="","ERROR: Enter a resolution in cell C20.",IF(OR(COUNTBLANK(INDIRECT("C24:C"&amp;INT(24+400/$C$20)))&lt;&gt;0,COUNT(B24:B424)&lt;&gt;COUNT(C$24:C$424)),"ERROR: User spectral range mismatch.","Results based on spectral data provided."))))))</f>
        <v>Results based on spectral data provided.</v>
      </c>
      <c r="F30" s="260"/>
      <c r="G30" s="42"/>
    </row>
    <row r="31" spans="1:19" ht="15" customHeight="1" x14ac:dyDescent="0.2">
      <c r="A31" s="36"/>
      <c r="B31" s="47">
        <f t="shared" si="0"/>
        <v>387</v>
      </c>
      <c r="C31" s="224">
        <v>1.1148926534739301E-3</v>
      </c>
      <c r="D31" s="36"/>
      <c r="E31" s="36"/>
      <c r="F31" s="36"/>
      <c r="G31" s="36"/>
    </row>
    <row r="32" spans="1:19" ht="15" customHeight="1" x14ac:dyDescent="0.2">
      <c r="A32" s="36"/>
      <c r="B32" s="47">
        <f t="shared" si="0"/>
        <v>388</v>
      </c>
      <c r="C32" s="224">
        <v>1.15988832110293E-3</v>
      </c>
      <c r="D32" s="36"/>
      <c r="E32" s="144" t="s">
        <v>453</v>
      </c>
      <c r="F32" s="36"/>
      <c r="G32" s="36"/>
    </row>
    <row r="33" spans="1:7" ht="15" customHeight="1" x14ac:dyDescent="0.2">
      <c r="A33" s="36"/>
      <c r="B33" s="47">
        <f t="shared" si="0"/>
        <v>389</v>
      </c>
      <c r="C33" s="224">
        <v>1.19988447010648E-3</v>
      </c>
      <c r="D33" s="36"/>
      <c r="E33" s="36"/>
      <c r="F33" s="36"/>
      <c r="G33" s="36"/>
    </row>
    <row r="34" spans="1:7" ht="15" customHeight="1" x14ac:dyDescent="0.2">
      <c r="A34" s="36"/>
      <c r="B34" s="47">
        <f t="shared" si="0"/>
        <v>390</v>
      </c>
      <c r="C34" s="224">
        <v>1.21488302598281E-3</v>
      </c>
      <c r="D34" s="120" t="s">
        <v>163</v>
      </c>
      <c r="E34" s="256" t="s">
        <v>448</v>
      </c>
      <c r="F34" s="36"/>
      <c r="G34" s="36"/>
    </row>
    <row r="35" spans="1:7" ht="15" customHeight="1" x14ac:dyDescent="0.2">
      <c r="A35" s="36"/>
      <c r="B35" s="47">
        <f t="shared" si="0"/>
        <v>391</v>
      </c>
      <c r="C35" s="224">
        <v>1.19988447010648E-3</v>
      </c>
      <c r="D35" s="120" t="s">
        <v>162</v>
      </c>
      <c r="E35" s="256" t="s">
        <v>449</v>
      </c>
      <c r="F35" s="36"/>
      <c r="G35" s="36"/>
    </row>
    <row r="36" spans="1:7" ht="15" customHeight="1" x14ac:dyDescent="0.2">
      <c r="A36" s="36"/>
      <c r="B36" s="47">
        <f t="shared" si="0"/>
        <v>392</v>
      </c>
      <c r="C36" s="224">
        <v>1.14988928385204E-3</v>
      </c>
      <c r="D36" s="120" t="s">
        <v>23</v>
      </c>
      <c r="E36" s="256" t="s">
        <v>450</v>
      </c>
      <c r="F36" s="36"/>
      <c r="G36" s="36"/>
    </row>
    <row r="37" spans="1:7" ht="15" customHeight="1" x14ac:dyDescent="0.2">
      <c r="A37" s="36"/>
      <c r="B37" s="47">
        <f t="shared" si="0"/>
        <v>393</v>
      </c>
      <c r="C37" s="224">
        <v>1.0998940975976001E-3</v>
      </c>
      <c r="D37" s="120" t="s">
        <v>123</v>
      </c>
      <c r="E37" s="256" t="s">
        <v>451</v>
      </c>
      <c r="F37" s="36"/>
      <c r="G37" s="36"/>
    </row>
    <row r="38" spans="1:7" ht="15" customHeight="1" x14ac:dyDescent="0.2">
      <c r="A38" s="36"/>
      <c r="B38" s="47">
        <f t="shared" si="0"/>
        <v>394</v>
      </c>
      <c r="C38" s="224">
        <v>1.0848955417212701E-3</v>
      </c>
      <c r="D38" s="120" t="s">
        <v>144</v>
      </c>
      <c r="E38" s="256" t="s">
        <v>452</v>
      </c>
      <c r="F38" s="36"/>
      <c r="G38" s="36"/>
    </row>
    <row r="39" spans="1:7" ht="15" customHeight="1" x14ac:dyDescent="0.2">
      <c r="A39" s="36"/>
      <c r="B39" s="47">
        <f t="shared" si="0"/>
        <v>395</v>
      </c>
      <c r="C39" s="224">
        <v>1.11989217209938E-3</v>
      </c>
      <c r="D39" s="36"/>
      <c r="E39" s="39"/>
      <c r="F39" s="36"/>
      <c r="G39" s="36"/>
    </row>
    <row r="40" spans="1:7" ht="15" customHeight="1" x14ac:dyDescent="0.2">
      <c r="A40" s="36"/>
      <c r="B40" s="47">
        <f t="shared" si="0"/>
        <v>396</v>
      </c>
      <c r="C40" s="224">
        <v>1.20988350735736E-3</v>
      </c>
      <c r="D40" s="36"/>
      <c r="E40" s="36"/>
      <c r="F40" s="36"/>
      <c r="G40" s="36"/>
    </row>
    <row r="41" spans="1:7" ht="15" customHeight="1" x14ac:dyDescent="0.2">
      <c r="A41" s="36"/>
      <c r="B41" s="47">
        <f t="shared" si="0"/>
        <v>397</v>
      </c>
      <c r="C41" s="224">
        <v>1.34987002886979E-3</v>
      </c>
      <c r="D41" s="36"/>
      <c r="E41" s="36"/>
      <c r="F41" s="36"/>
      <c r="G41" s="36"/>
    </row>
    <row r="42" spans="1:7" ht="15" customHeight="1" x14ac:dyDescent="0.2">
      <c r="A42" s="36"/>
      <c r="B42" s="47">
        <f t="shared" si="0"/>
        <v>398</v>
      </c>
      <c r="C42" s="224">
        <v>1.4998555876331E-3</v>
      </c>
      <c r="D42" s="36"/>
      <c r="E42" s="36"/>
      <c r="F42" s="36"/>
      <c r="G42" s="36"/>
    </row>
    <row r="43" spans="1:7" ht="15" customHeight="1" x14ac:dyDescent="0.2">
      <c r="A43" s="36"/>
      <c r="B43" s="47">
        <f t="shared" si="0"/>
        <v>399</v>
      </c>
      <c r="C43" s="224">
        <v>1.6498411463964099E-3</v>
      </c>
      <c r="D43" s="36"/>
      <c r="E43" s="36"/>
      <c r="F43" s="36"/>
      <c r="G43" s="36"/>
    </row>
    <row r="44" spans="1:7" ht="15" customHeight="1" x14ac:dyDescent="0.2">
      <c r="A44" s="36"/>
      <c r="B44" s="47">
        <f t="shared" si="0"/>
        <v>400</v>
      </c>
      <c r="C44" s="224">
        <v>1.7948271865342699E-3</v>
      </c>
      <c r="D44" s="36"/>
      <c r="E44" s="36"/>
      <c r="F44" s="36"/>
      <c r="G44" s="36"/>
    </row>
    <row r="45" spans="1:7" ht="15" customHeight="1" x14ac:dyDescent="0.2">
      <c r="A45" s="36"/>
      <c r="B45" s="47">
        <f t="shared" si="0"/>
        <v>401</v>
      </c>
      <c r="C45" s="224">
        <v>1.9048165962940299E-3</v>
      </c>
      <c r="D45" s="36"/>
      <c r="E45" s="36"/>
      <c r="F45" s="36"/>
      <c r="G45" s="36"/>
    </row>
    <row r="46" spans="1:7" ht="15" customHeight="1" x14ac:dyDescent="0.2">
      <c r="A46" s="36"/>
      <c r="B46" s="47">
        <f t="shared" si="0"/>
        <v>402</v>
      </c>
      <c r="C46" s="224">
        <v>1.9498122639230299E-3</v>
      </c>
      <c r="D46" s="36"/>
      <c r="E46" s="36"/>
      <c r="F46" s="36"/>
      <c r="G46" s="36"/>
    </row>
    <row r="47" spans="1:7" ht="15" customHeight="1" x14ac:dyDescent="0.2">
      <c r="A47" s="36"/>
      <c r="B47" s="47">
        <f t="shared" si="0"/>
        <v>403</v>
      </c>
      <c r="C47" s="224">
        <v>1.9348137080466999E-3</v>
      </c>
      <c r="D47" s="36"/>
      <c r="E47" s="36"/>
      <c r="F47" s="36"/>
      <c r="G47" s="36"/>
    </row>
    <row r="48" spans="1:7" ht="15" customHeight="1" x14ac:dyDescent="0.2">
      <c r="A48" s="36"/>
      <c r="B48" s="47">
        <f t="shared" si="0"/>
        <v>404</v>
      </c>
      <c r="C48" s="224">
        <v>1.9248146707958099E-3</v>
      </c>
      <c r="D48" s="36"/>
      <c r="E48" s="36"/>
      <c r="F48" s="36"/>
      <c r="G48" s="36"/>
    </row>
    <row r="49" spans="1:7" ht="15" customHeight="1" x14ac:dyDescent="0.2">
      <c r="A49" s="36"/>
      <c r="B49" s="47">
        <f t="shared" si="0"/>
        <v>405</v>
      </c>
      <c r="C49" s="224">
        <v>1.8798190031668099E-3</v>
      </c>
      <c r="D49" s="36"/>
      <c r="E49" s="36"/>
      <c r="F49" s="36"/>
      <c r="G49" s="36"/>
    </row>
    <row r="50" spans="1:7" ht="15" customHeight="1" x14ac:dyDescent="0.2">
      <c r="A50" s="36"/>
      <c r="B50" s="47">
        <f t="shared" si="0"/>
        <v>406</v>
      </c>
      <c r="C50" s="224">
        <v>1.8398228541632699E-3</v>
      </c>
      <c r="D50" s="36"/>
      <c r="E50" s="36"/>
      <c r="F50" s="36"/>
      <c r="G50" s="36"/>
    </row>
    <row r="51" spans="1:7" ht="15" customHeight="1" x14ac:dyDescent="0.2">
      <c r="A51" s="36"/>
      <c r="B51" s="47">
        <f t="shared" si="0"/>
        <v>407</v>
      </c>
      <c r="C51" s="224">
        <v>1.8398228541632699E-3</v>
      </c>
      <c r="D51" s="36"/>
      <c r="E51" s="36"/>
      <c r="F51" s="36"/>
      <c r="G51" s="36"/>
    </row>
    <row r="52" spans="1:7" ht="15" customHeight="1" x14ac:dyDescent="0.2">
      <c r="A52" s="36"/>
      <c r="B52" s="47">
        <f t="shared" si="0"/>
        <v>408</v>
      </c>
      <c r="C52" s="224">
        <v>1.8648204472904799E-3</v>
      </c>
      <c r="D52" s="36"/>
      <c r="E52" s="36"/>
      <c r="F52" s="36"/>
      <c r="G52" s="36"/>
    </row>
    <row r="53" spans="1:7" ht="15" customHeight="1" x14ac:dyDescent="0.2">
      <c r="A53" s="36"/>
      <c r="B53" s="47">
        <f t="shared" si="0"/>
        <v>409</v>
      </c>
      <c r="C53" s="224">
        <v>1.8948175590431499E-3</v>
      </c>
      <c r="D53" s="36"/>
      <c r="E53" s="36"/>
      <c r="F53" s="36"/>
      <c r="G53" s="36"/>
    </row>
    <row r="54" spans="1:7" ht="15" customHeight="1" x14ac:dyDescent="0.2">
      <c r="A54" s="36"/>
      <c r="B54" s="47">
        <f t="shared" si="0"/>
        <v>410</v>
      </c>
      <c r="C54" s="224">
        <v>1.9148156335449199E-3</v>
      </c>
      <c r="D54" s="36"/>
      <c r="E54" s="36"/>
      <c r="F54" s="36"/>
      <c r="G54" s="36"/>
    </row>
    <row r="55" spans="1:7" ht="15" customHeight="1" x14ac:dyDescent="0.2">
      <c r="A55" s="36"/>
      <c r="B55" s="47">
        <f t="shared" si="0"/>
        <v>411</v>
      </c>
      <c r="C55" s="224">
        <v>1.9348137080466999E-3</v>
      </c>
      <c r="D55" s="36"/>
      <c r="E55" s="36"/>
      <c r="F55" s="36"/>
      <c r="G55" s="36"/>
    </row>
    <row r="56" spans="1:7" ht="15" customHeight="1" x14ac:dyDescent="0.2">
      <c r="A56" s="36"/>
      <c r="B56" s="47">
        <f t="shared" si="0"/>
        <v>412</v>
      </c>
      <c r="C56" s="224">
        <v>1.9548117825484699E-3</v>
      </c>
      <c r="D56" s="36"/>
      <c r="E56" s="36"/>
      <c r="F56" s="36"/>
      <c r="G56" s="36"/>
    </row>
    <row r="57" spans="1:7" ht="15" customHeight="1" x14ac:dyDescent="0.2">
      <c r="A57" s="36"/>
      <c r="B57" s="47">
        <f t="shared" si="0"/>
        <v>413</v>
      </c>
      <c r="C57" s="224">
        <v>1.9748098570502399E-3</v>
      </c>
      <c r="D57" s="36"/>
      <c r="E57" s="36"/>
      <c r="F57" s="36"/>
      <c r="G57" s="36"/>
    </row>
    <row r="58" spans="1:7" ht="15" customHeight="1" x14ac:dyDescent="0.2">
      <c r="A58" s="36"/>
      <c r="B58" s="47">
        <f t="shared" si="0"/>
        <v>414</v>
      </c>
      <c r="C58" s="224">
        <v>1.9848088943011299E-3</v>
      </c>
      <c r="D58" s="36"/>
      <c r="E58" s="36"/>
      <c r="F58" s="36"/>
      <c r="G58" s="36"/>
    </row>
    <row r="59" spans="1:7" ht="15" customHeight="1" x14ac:dyDescent="0.2">
      <c r="A59" s="36"/>
      <c r="B59" s="47">
        <f t="shared" si="0"/>
        <v>415</v>
      </c>
      <c r="C59" s="224">
        <v>1.9948079315520199E-3</v>
      </c>
      <c r="D59" s="36"/>
      <c r="E59" s="36"/>
      <c r="F59" s="36"/>
      <c r="G59" s="36"/>
    </row>
    <row r="60" spans="1:7" ht="15" customHeight="1" x14ac:dyDescent="0.2">
      <c r="A60" s="36"/>
      <c r="B60" s="47">
        <f t="shared" si="0"/>
        <v>416</v>
      </c>
      <c r="C60" s="224">
        <v>1.9998074501774601E-3</v>
      </c>
      <c r="D60" s="36"/>
      <c r="E60" s="36"/>
      <c r="F60" s="36"/>
      <c r="G60" s="36"/>
    </row>
    <row r="61" spans="1:7" ht="15" customHeight="1" x14ac:dyDescent="0.2">
      <c r="A61" s="36"/>
      <c r="B61" s="47">
        <f t="shared" si="0"/>
        <v>417</v>
      </c>
      <c r="C61" s="224">
        <v>1.9598113011739101E-3</v>
      </c>
      <c r="D61" s="36"/>
      <c r="E61" s="36"/>
      <c r="F61" s="36"/>
      <c r="G61" s="36"/>
    </row>
    <row r="62" spans="1:7" ht="15" customHeight="1" x14ac:dyDescent="0.2">
      <c r="A62" s="36"/>
      <c r="B62" s="47">
        <f t="shared" si="0"/>
        <v>418</v>
      </c>
      <c r="C62" s="224">
        <v>1.9198151521703599E-3</v>
      </c>
      <c r="D62" s="36"/>
      <c r="E62" s="36"/>
      <c r="F62" s="36"/>
      <c r="G62" s="36"/>
    </row>
    <row r="63" spans="1:7" ht="15" customHeight="1" x14ac:dyDescent="0.2">
      <c r="A63" s="36"/>
      <c r="B63" s="47">
        <f t="shared" si="0"/>
        <v>419</v>
      </c>
      <c r="C63" s="224">
        <v>1.9148156335449199E-3</v>
      </c>
      <c r="D63" s="36"/>
      <c r="E63" s="36"/>
      <c r="F63" s="36"/>
      <c r="G63" s="36"/>
    </row>
    <row r="64" spans="1:7" ht="15" customHeight="1" x14ac:dyDescent="0.2">
      <c r="A64" s="36"/>
      <c r="B64" s="47">
        <f t="shared" si="0"/>
        <v>420</v>
      </c>
      <c r="C64" s="224">
        <v>1.9198151521703599E-3</v>
      </c>
      <c r="D64" s="36"/>
      <c r="E64" s="36"/>
      <c r="F64" s="36"/>
      <c r="G64" s="36"/>
    </row>
    <row r="65" spans="1:7" ht="15" customHeight="1" x14ac:dyDescent="0.2">
      <c r="A65" s="36"/>
      <c r="B65" s="47">
        <f t="shared" si="0"/>
        <v>421</v>
      </c>
      <c r="C65" s="224">
        <v>1.9198151521703599E-3</v>
      </c>
      <c r="D65" s="36"/>
      <c r="E65" s="36"/>
      <c r="F65" s="36"/>
      <c r="G65" s="36"/>
    </row>
    <row r="66" spans="1:7" ht="15" customHeight="1" x14ac:dyDescent="0.2">
      <c r="A66" s="36"/>
      <c r="B66" s="47">
        <f t="shared" si="0"/>
        <v>422</v>
      </c>
      <c r="C66" s="224">
        <v>1.9148156335449199E-3</v>
      </c>
      <c r="D66" s="36"/>
      <c r="E66" s="36"/>
      <c r="F66" s="36"/>
      <c r="G66" s="36"/>
    </row>
    <row r="67" spans="1:7" ht="15" customHeight="1" x14ac:dyDescent="0.2">
      <c r="A67" s="36"/>
      <c r="B67" s="47">
        <f t="shared" si="0"/>
        <v>423</v>
      </c>
      <c r="C67" s="224">
        <v>1.8998170776685899E-3</v>
      </c>
      <c r="D67" s="36"/>
      <c r="E67" s="36"/>
      <c r="F67" s="36"/>
      <c r="G67" s="36"/>
    </row>
    <row r="68" spans="1:7" ht="15" customHeight="1" x14ac:dyDescent="0.2">
      <c r="A68" s="36"/>
      <c r="B68" s="47">
        <f t="shared" si="0"/>
        <v>424</v>
      </c>
      <c r="C68" s="224">
        <v>1.8798190031668099E-3</v>
      </c>
      <c r="D68" s="36"/>
      <c r="E68" s="36"/>
      <c r="F68" s="36"/>
      <c r="G68" s="36"/>
    </row>
    <row r="69" spans="1:7" ht="15" customHeight="1" x14ac:dyDescent="0.2">
      <c r="A69" s="36"/>
      <c r="B69" s="47">
        <f t="shared" si="0"/>
        <v>425</v>
      </c>
      <c r="C69" s="224">
        <v>1.8598209286650399E-3</v>
      </c>
      <c r="D69" s="36"/>
      <c r="E69" s="36"/>
      <c r="F69" s="36"/>
      <c r="G69" s="36"/>
    </row>
    <row r="70" spans="1:7" ht="15" customHeight="1" x14ac:dyDescent="0.2">
      <c r="A70" s="36"/>
      <c r="B70" s="47">
        <f t="shared" si="0"/>
        <v>426</v>
      </c>
      <c r="C70" s="224">
        <v>1.8248242982869299E-3</v>
      </c>
      <c r="D70" s="36"/>
      <c r="E70" s="36"/>
      <c r="F70" s="36"/>
      <c r="G70" s="36"/>
    </row>
    <row r="71" spans="1:7" ht="15" customHeight="1" x14ac:dyDescent="0.2">
      <c r="A71" s="36"/>
      <c r="B71" s="47">
        <f t="shared" si="0"/>
        <v>427</v>
      </c>
      <c r="C71" s="224">
        <v>1.7798286306579399E-3</v>
      </c>
      <c r="D71" s="36"/>
      <c r="E71" s="36"/>
      <c r="F71" s="36"/>
      <c r="G71" s="36"/>
    </row>
    <row r="72" spans="1:7" ht="15" customHeight="1" x14ac:dyDescent="0.2">
      <c r="A72" s="36"/>
      <c r="B72" s="47">
        <f t="shared" si="0"/>
        <v>428</v>
      </c>
      <c r="C72" s="224">
        <v>1.7198344071526199E-3</v>
      </c>
      <c r="D72" s="36"/>
      <c r="E72" s="36"/>
      <c r="F72" s="36"/>
      <c r="G72" s="36"/>
    </row>
    <row r="73" spans="1:7" ht="15" customHeight="1" x14ac:dyDescent="0.2">
      <c r="A73" s="36"/>
      <c r="B73" s="47">
        <f t="shared" si="0"/>
        <v>429</v>
      </c>
      <c r="C73" s="224">
        <v>1.64484162777096E-3</v>
      </c>
      <c r="D73" s="36"/>
      <c r="E73" s="36"/>
      <c r="F73" s="36"/>
      <c r="G73" s="36"/>
    </row>
    <row r="74" spans="1:7" ht="15" customHeight="1" x14ac:dyDescent="0.2">
      <c r="A74" s="36"/>
      <c r="B74" s="47">
        <f t="shared" si="0"/>
        <v>430</v>
      </c>
      <c r="C74" s="224">
        <v>1.59484644151653E-3</v>
      </c>
      <c r="D74" s="36"/>
      <c r="E74" s="36"/>
      <c r="F74" s="36"/>
      <c r="G74" s="36"/>
    </row>
    <row r="75" spans="1:7" ht="15" customHeight="1" x14ac:dyDescent="0.2">
      <c r="A75" s="36"/>
      <c r="B75" s="47">
        <f t="shared" si="0"/>
        <v>431</v>
      </c>
      <c r="C75" s="224">
        <v>1.6148445160183E-3</v>
      </c>
      <c r="D75" s="36"/>
      <c r="E75" s="36"/>
      <c r="F75" s="36"/>
      <c r="G75" s="36"/>
    </row>
    <row r="76" spans="1:7" ht="15" customHeight="1" x14ac:dyDescent="0.2">
      <c r="A76" s="36"/>
      <c r="B76" s="47">
        <f t="shared" si="0"/>
        <v>432</v>
      </c>
      <c r="C76" s="224">
        <v>1.68483777677451E-3</v>
      </c>
      <c r="D76" s="36"/>
      <c r="E76" s="36"/>
      <c r="F76" s="36"/>
      <c r="G76" s="36"/>
    </row>
    <row r="77" spans="1:7" ht="15" customHeight="1" x14ac:dyDescent="0.2">
      <c r="A77" s="36"/>
      <c r="B77" s="47">
        <f t="shared" si="0"/>
        <v>433</v>
      </c>
      <c r="C77" s="224">
        <v>1.7648300747816099E-3</v>
      </c>
      <c r="D77" s="36"/>
      <c r="E77" s="36"/>
      <c r="F77" s="36"/>
      <c r="G77" s="36"/>
    </row>
    <row r="78" spans="1:7" ht="15" customHeight="1" x14ac:dyDescent="0.2">
      <c r="A78" s="36"/>
      <c r="B78" s="47">
        <f t="shared" si="0"/>
        <v>434</v>
      </c>
      <c r="C78" s="224">
        <v>1.8298238169123799E-3</v>
      </c>
      <c r="D78" s="36"/>
      <c r="E78" s="36"/>
      <c r="F78" s="36"/>
      <c r="G78" s="36"/>
    </row>
    <row r="79" spans="1:7" ht="15" customHeight="1" x14ac:dyDescent="0.2">
      <c r="A79" s="36"/>
      <c r="B79" s="47">
        <f t="shared" si="0"/>
        <v>435</v>
      </c>
      <c r="C79" s="224">
        <v>1.8698199659159299E-3</v>
      </c>
      <c r="D79" s="36"/>
      <c r="E79" s="36"/>
      <c r="F79" s="36"/>
      <c r="G79" s="36"/>
    </row>
    <row r="80" spans="1:7" ht="15" customHeight="1" x14ac:dyDescent="0.2">
      <c r="A80" s="36"/>
      <c r="B80" s="47">
        <f t="shared" si="0"/>
        <v>436</v>
      </c>
      <c r="C80" s="224">
        <v>1.8748194845413699E-3</v>
      </c>
      <c r="D80" s="36"/>
      <c r="E80" s="36"/>
      <c r="F80" s="36"/>
      <c r="G80" s="36"/>
    </row>
    <row r="81" spans="1:7" ht="15" customHeight="1" x14ac:dyDescent="0.2">
      <c r="A81" s="36"/>
      <c r="B81" s="47">
        <f t="shared" si="0"/>
        <v>437</v>
      </c>
      <c r="C81" s="224">
        <v>1.8698199659159299E-3</v>
      </c>
      <c r="D81" s="36"/>
      <c r="E81" s="36"/>
      <c r="F81" s="36"/>
      <c r="G81" s="36"/>
    </row>
    <row r="82" spans="1:7" ht="15" customHeight="1" x14ac:dyDescent="0.2">
      <c r="A82" s="36"/>
      <c r="B82" s="47">
        <f t="shared" si="0"/>
        <v>438</v>
      </c>
      <c r="C82" s="224">
        <v>1.8798190031668099E-3</v>
      </c>
      <c r="D82" s="36"/>
      <c r="E82" s="36"/>
      <c r="F82" s="36"/>
      <c r="G82" s="36"/>
    </row>
    <row r="83" spans="1:7" ht="15" customHeight="1" x14ac:dyDescent="0.2">
      <c r="A83" s="36"/>
      <c r="B83" s="47">
        <f t="shared" si="0"/>
        <v>439</v>
      </c>
      <c r="C83" s="224">
        <v>1.8998170776685899E-3</v>
      </c>
      <c r="D83" s="36"/>
      <c r="E83" s="36"/>
      <c r="F83" s="36"/>
      <c r="G83" s="36"/>
    </row>
    <row r="84" spans="1:7" ht="15" customHeight="1" x14ac:dyDescent="0.2">
      <c r="A84" s="36"/>
      <c r="B84" s="47">
        <f t="shared" si="0"/>
        <v>440</v>
      </c>
      <c r="C84" s="224">
        <v>1.9398132266721399E-3</v>
      </c>
      <c r="D84" s="36"/>
      <c r="E84" s="36"/>
      <c r="F84" s="36"/>
      <c r="G84" s="36"/>
    </row>
    <row r="85" spans="1:7" ht="15" customHeight="1" x14ac:dyDescent="0.2">
      <c r="A85" s="36"/>
      <c r="B85" s="47">
        <f t="shared" si="0"/>
        <v>441</v>
      </c>
      <c r="C85" s="224">
        <v>1.9998074501774601E-3</v>
      </c>
      <c r="D85" s="36"/>
      <c r="E85" s="36"/>
      <c r="F85" s="36"/>
      <c r="G85" s="36"/>
    </row>
    <row r="86" spans="1:7" ht="15" customHeight="1" x14ac:dyDescent="0.2">
      <c r="A86" s="36"/>
      <c r="B86" s="47">
        <f t="shared" si="0"/>
        <v>442</v>
      </c>
      <c r="C86" s="224">
        <v>2.0448031178064599E-3</v>
      </c>
      <c r="D86" s="36"/>
      <c r="E86" s="36"/>
      <c r="F86" s="36"/>
      <c r="G86" s="36"/>
    </row>
    <row r="87" spans="1:7" ht="15" customHeight="1" x14ac:dyDescent="0.2">
      <c r="A87" s="36"/>
      <c r="B87" s="47">
        <f t="shared" si="0"/>
        <v>443</v>
      </c>
      <c r="C87" s="224">
        <v>2.0548021550573399E-3</v>
      </c>
      <c r="D87" s="36"/>
      <c r="E87" s="36"/>
      <c r="F87" s="36"/>
      <c r="G87" s="36"/>
    </row>
    <row r="88" spans="1:7" ht="15" customHeight="1" x14ac:dyDescent="0.2">
      <c r="A88" s="36"/>
      <c r="B88" s="47">
        <f t="shared" ref="B88:B151" si="1">IF(380+C$20*(ROW()-ROW(B$23)-1)&gt;780,"",380+C$20*(ROW()-ROW(B$23)-1))</f>
        <v>444</v>
      </c>
      <c r="C88" s="224">
        <v>2.0348040805555699E-3</v>
      </c>
      <c r="D88" s="36"/>
      <c r="E88" s="36"/>
      <c r="F88" s="36"/>
      <c r="G88" s="36"/>
    </row>
    <row r="89" spans="1:7" ht="15" customHeight="1" x14ac:dyDescent="0.2">
      <c r="A89" s="36"/>
      <c r="B89" s="47">
        <f t="shared" si="1"/>
        <v>445</v>
      </c>
      <c r="C89" s="224">
        <v>2.0298045619301201E-3</v>
      </c>
      <c r="D89" s="36"/>
      <c r="E89" s="36"/>
      <c r="F89" s="36"/>
      <c r="G89" s="36"/>
    </row>
    <row r="90" spans="1:7" ht="15" customHeight="1" x14ac:dyDescent="0.2">
      <c r="A90" s="36"/>
      <c r="B90" s="47">
        <f t="shared" si="1"/>
        <v>446</v>
      </c>
      <c r="C90" s="224">
        <v>2.0398035991810101E-3</v>
      </c>
      <c r="D90" s="36"/>
      <c r="E90" s="36"/>
      <c r="F90" s="36"/>
      <c r="G90" s="36"/>
    </row>
    <row r="91" spans="1:7" ht="15" customHeight="1" x14ac:dyDescent="0.2">
      <c r="A91" s="36"/>
      <c r="B91" s="47">
        <f t="shared" si="1"/>
        <v>447</v>
      </c>
      <c r="C91" s="224">
        <v>2.0548021550573399E-3</v>
      </c>
      <c r="D91" s="36"/>
      <c r="E91" s="36"/>
      <c r="F91" s="36"/>
      <c r="G91" s="36"/>
    </row>
    <row r="92" spans="1:7" ht="15" customHeight="1" x14ac:dyDescent="0.2">
      <c r="A92" s="36"/>
      <c r="B92" s="47">
        <f t="shared" si="1"/>
        <v>448</v>
      </c>
      <c r="C92" s="224">
        <v>2.0847992668099999E-3</v>
      </c>
      <c r="D92" s="36"/>
      <c r="E92" s="36"/>
      <c r="F92" s="36"/>
      <c r="G92" s="36"/>
    </row>
    <row r="93" spans="1:7" ht="15" customHeight="1" x14ac:dyDescent="0.2">
      <c r="A93" s="36"/>
      <c r="B93" s="47">
        <f t="shared" si="1"/>
        <v>449</v>
      </c>
      <c r="C93" s="224">
        <v>2.1147963785626699E-3</v>
      </c>
      <c r="D93" s="36"/>
      <c r="E93" s="36"/>
      <c r="F93" s="36"/>
      <c r="G93" s="36"/>
    </row>
    <row r="94" spans="1:7" ht="15" customHeight="1" x14ac:dyDescent="0.2">
      <c r="A94" s="36"/>
      <c r="B94" s="47">
        <f t="shared" si="1"/>
        <v>450</v>
      </c>
      <c r="C94" s="224">
        <v>2.1447934903153299E-3</v>
      </c>
      <c r="D94" s="36"/>
      <c r="E94" s="36"/>
      <c r="F94" s="36"/>
      <c r="G94" s="36"/>
    </row>
    <row r="95" spans="1:7" ht="15" customHeight="1" x14ac:dyDescent="0.2">
      <c r="A95" s="36"/>
      <c r="B95" s="47">
        <f t="shared" si="1"/>
        <v>451</v>
      </c>
      <c r="C95" s="224">
        <v>2.1647915648170999E-3</v>
      </c>
      <c r="D95" s="36"/>
      <c r="E95" s="36"/>
      <c r="F95" s="36"/>
      <c r="G95" s="36"/>
    </row>
    <row r="96" spans="1:7" ht="15" customHeight="1" x14ac:dyDescent="0.2">
      <c r="A96" s="36"/>
      <c r="B96" s="47">
        <f t="shared" si="1"/>
        <v>452</v>
      </c>
      <c r="C96" s="224">
        <v>2.1497930089407701E-3</v>
      </c>
      <c r="D96" s="36"/>
      <c r="E96" s="36"/>
      <c r="F96" s="36"/>
      <c r="G96" s="36"/>
    </row>
    <row r="97" spans="1:7" ht="15" customHeight="1" x14ac:dyDescent="0.2">
      <c r="A97" s="36"/>
      <c r="B97" s="47">
        <f t="shared" si="1"/>
        <v>453</v>
      </c>
      <c r="C97" s="224">
        <v>2.1197958971881101E-3</v>
      </c>
      <c r="D97" s="36"/>
      <c r="E97" s="36"/>
      <c r="F97" s="36"/>
      <c r="G97" s="36"/>
    </row>
    <row r="98" spans="1:7" ht="15" customHeight="1" x14ac:dyDescent="0.2">
      <c r="A98" s="36"/>
      <c r="B98" s="47">
        <f t="shared" si="1"/>
        <v>454</v>
      </c>
      <c r="C98" s="224">
        <v>2.0997978226863401E-3</v>
      </c>
      <c r="D98" s="36"/>
      <c r="E98" s="36"/>
      <c r="F98" s="36"/>
      <c r="G98" s="36"/>
    </row>
    <row r="99" spans="1:7" ht="15" customHeight="1" x14ac:dyDescent="0.2">
      <c r="A99" s="36"/>
      <c r="B99" s="47">
        <f t="shared" si="1"/>
        <v>455</v>
      </c>
      <c r="C99" s="224">
        <v>2.1047973413117799E-3</v>
      </c>
      <c r="D99" s="36"/>
      <c r="E99" s="36"/>
      <c r="F99" s="36"/>
      <c r="G99" s="36"/>
    </row>
    <row r="100" spans="1:7" ht="15" customHeight="1" x14ac:dyDescent="0.2">
      <c r="A100" s="36"/>
      <c r="B100" s="47">
        <f t="shared" si="1"/>
        <v>456</v>
      </c>
      <c r="C100" s="224">
        <v>2.1097968599372201E-3</v>
      </c>
      <c r="D100" s="36"/>
      <c r="E100" s="36"/>
      <c r="F100" s="36"/>
      <c r="G100" s="36"/>
    </row>
    <row r="101" spans="1:7" ht="15" customHeight="1" x14ac:dyDescent="0.2">
      <c r="A101" s="36"/>
      <c r="B101" s="47">
        <f t="shared" si="1"/>
        <v>457</v>
      </c>
      <c r="C101" s="224">
        <v>2.1147963785626699E-3</v>
      </c>
      <c r="D101" s="36"/>
      <c r="E101" s="36"/>
      <c r="F101" s="36"/>
      <c r="G101" s="36"/>
    </row>
    <row r="102" spans="1:7" ht="15" customHeight="1" x14ac:dyDescent="0.2">
      <c r="A102" s="36"/>
      <c r="B102" s="47">
        <f t="shared" si="1"/>
        <v>458</v>
      </c>
      <c r="C102" s="224">
        <v>2.1097968599372201E-3</v>
      </c>
      <c r="D102" s="36"/>
      <c r="E102" s="36"/>
      <c r="F102" s="36"/>
      <c r="G102" s="36"/>
    </row>
    <row r="103" spans="1:7" ht="15" customHeight="1" x14ac:dyDescent="0.2">
      <c r="A103" s="36"/>
      <c r="B103" s="47">
        <f t="shared" si="1"/>
        <v>459</v>
      </c>
      <c r="C103" s="224">
        <v>2.0997978226863401E-3</v>
      </c>
      <c r="D103" s="36"/>
      <c r="E103" s="36"/>
      <c r="F103" s="36"/>
      <c r="G103" s="36"/>
    </row>
    <row r="104" spans="1:7" ht="15" customHeight="1" x14ac:dyDescent="0.2">
      <c r="A104" s="36"/>
      <c r="B104" s="47">
        <f t="shared" si="1"/>
        <v>460</v>
      </c>
      <c r="C104" s="224">
        <v>2.0947983040608899E-3</v>
      </c>
      <c r="D104" s="36"/>
      <c r="E104" s="36"/>
      <c r="F104" s="36"/>
      <c r="G104" s="36"/>
    </row>
    <row r="105" spans="1:7" ht="15" customHeight="1" x14ac:dyDescent="0.2">
      <c r="A105" s="36"/>
      <c r="B105" s="47">
        <f t="shared" si="1"/>
        <v>461</v>
      </c>
      <c r="C105" s="224">
        <v>2.0997978226863401E-3</v>
      </c>
      <c r="D105" s="36"/>
      <c r="E105" s="36"/>
      <c r="F105" s="36"/>
      <c r="G105" s="36"/>
    </row>
    <row r="106" spans="1:7" ht="15" customHeight="1" x14ac:dyDescent="0.2">
      <c r="A106" s="36"/>
      <c r="B106" s="47">
        <f t="shared" si="1"/>
        <v>462</v>
      </c>
      <c r="C106" s="224">
        <v>2.0897987854354501E-3</v>
      </c>
      <c r="D106" s="36"/>
      <c r="E106" s="36"/>
      <c r="F106" s="36"/>
      <c r="G106" s="36"/>
    </row>
    <row r="107" spans="1:7" ht="15" customHeight="1" x14ac:dyDescent="0.2">
      <c r="A107" s="36"/>
      <c r="B107" s="47">
        <f t="shared" si="1"/>
        <v>463</v>
      </c>
      <c r="C107" s="224">
        <v>2.0847992668099999E-3</v>
      </c>
      <c r="D107" s="36"/>
      <c r="E107" s="36"/>
      <c r="F107" s="36"/>
      <c r="G107" s="36"/>
    </row>
    <row r="108" spans="1:7" ht="15" customHeight="1" x14ac:dyDescent="0.2">
      <c r="A108" s="36"/>
      <c r="B108" s="47">
        <f t="shared" si="1"/>
        <v>464</v>
      </c>
      <c r="C108" s="224">
        <v>2.0648011923082299E-3</v>
      </c>
      <c r="D108" s="36"/>
      <c r="E108" s="36"/>
      <c r="F108" s="36"/>
      <c r="G108" s="36"/>
    </row>
    <row r="109" spans="1:7" ht="15" customHeight="1" x14ac:dyDescent="0.2">
      <c r="A109" s="36"/>
      <c r="B109" s="47">
        <f t="shared" si="1"/>
        <v>465</v>
      </c>
      <c r="C109" s="224">
        <v>2.0498026364319001E-3</v>
      </c>
      <c r="D109" s="36"/>
      <c r="E109" s="36"/>
      <c r="F109" s="36"/>
      <c r="G109" s="36"/>
    </row>
    <row r="110" spans="1:7" ht="15" customHeight="1" x14ac:dyDescent="0.2">
      <c r="A110" s="36"/>
      <c r="B110" s="47">
        <f t="shared" si="1"/>
        <v>466</v>
      </c>
      <c r="C110" s="224">
        <v>2.0298045619301201E-3</v>
      </c>
      <c r="D110" s="36"/>
      <c r="E110" s="36"/>
      <c r="F110" s="36"/>
      <c r="G110" s="36"/>
    </row>
    <row r="111" spans="1:7" ht="15" customHeight="1" x14ac:dyDescent="0.2">
      <c r="A111" s="36"/>
      <c r="B111" s="47">
        <f t="shared" si="1"/>
        <v>467</v>
      </c>
      <c r="C111" s="224">
        <v>2.0098064874283501E-3</v>
      </c>
      <c r="D111" s="36"/>
      <c r="E111" s="36"/>
      <c r="F111" s="36"/>
      <c r="G111" s="36"/>
    </row>
    <row r="112" spans="1:7" ht="15" customHeight="1" x14ac:dyDescent="0.2">
      <c r="A112" s="36"/>
      <c r="B112" s="47">
        <f t="shared" si="1"/>
        <v>468</v>
      </c>
      <c r="C112" s="224">
        <v>1.9998074501774601E-3</v>
      </c>
      <c r="D112" s="36"/>
      <c r="E112" s="36"/>
      <c r="F112" s="36"/>
      <c r="G112" s="36"/>
    </row>
    <row r="113" spans="1:7" ht="15" customHeight="1" x14ac:dyDescent="0.2">
      <c r="A113" s="36"/>
      <c r="B113" s="47">
        <f t="shared" si="1"/>
        <v>469</v>
      </c>
      <c r="C113" s="224">
        <v>1.9998074501774601E-3</v>
      </c>
      <c r="D113" s="36"/>
      <c r="E113" s="36"/>
      <c r="F113" s="36"/>
      <c r="G113" s="36"/>
    </row>
    <row r="114" spans="1:7" ht="15" customHeight="1" x14ac:dyDescent="0.2">
      <c r="A114" s="36"/>
      <c r="B114" s="47">
        <f t="shared" si="1"/>
        <v>470</v>
      </c>
      <c r="C114" s="224">
        <v>1.9898084129265801E-3</v>
      </c>
      <c r="D114" s="36"/>
      <c r="E114" s="36"/>
      <c r="F114" s="36"/>
      <c r="G114" s="36"/>
    </row>
    <row r="115" spans="1:7" ht="15" customHeight="1" x14ac:dyDescent="0.2">
      <c r="A115" s="36"/>
      <c r="B115" s="47">
        <f t="shared" si="1"/>
        <v>471</v>
      </c>
      <c r="C115" s="224">
        <v>1.9748098570502399E-3</v>
      </c>
      <c r="D115" s="36"/>
      <c r="E115" s="36"/>
      <c r="F115" s="36"/>
      <c r="G115" s="36"/>
    </row>
    <row r="116" spans="1:7" ht="15" customHeight="1" x14ac:dyDescent="0.2">
      <c r="A116" s="36"/>
      <c r="B116" s="47">
        <f t="shared" si="1"/>
        <v>472</v>
      </c>
      <c r="C116" s="224">
        <v>1.9648108197993599E-3</v>
      </c>
      <c r="D116" s="36"/>
      <c r="E116" s="36"/>
      <c r="F116" s="36"/>
      <c r="G116" s="36"/>
    </row>
    <row r="117" spans="1:7" ht="15" customHeight="1" x14ac:dyDescent="0.2">
      <c r="A117" s="36"/>
      <c r="B117" s="47">
        <f t="shared" si="1"/>
        <v>473</v>
      </c>
      <c r="C117" s="224">
        <v>1.9698103384248001E-3</v>
      </c>
      <c r="D117" s="36"/>
      <c r="E117" s="36"/>
      <c r="F117" s="36"/>
      <c r="G117" s="36"/>
    </row>
    <row r="118" spans="1:7" ht="15" customHeight="1" x14ac:dyDescent="0.2">
      <c r="A118" s="36"/>
      <c r="B118" s="47">
        <f t="shared" si="1"/>
        <v>474</v>
      </c>
      <c r="C118" s="224">
        <v>1.9748098570502399E-3</v>
      </c>
      <c r="D118" s="36"/>
      <c r="E118" s="36"/>
      <c r="F118" s="36"/>
      <c r="G118" s="36"/>
    </row>
    <row r="119" spans="1:7" ht="15" customHeight="1" x14ac:dyDescent="0.2">
      <c r="A119" s="36"/>
      <c r="B119" s="47">
        <f t="shared" si="1"/>
        <v>475</v>
      </c>
      <c r="C119" s="224">
        <v>1.9798093756756901E-3</v>
      </c>
      <c r="D119" s="36"/>
      <c r="E119" s="36"/>
      <c r="F119" s="36"/>
      <c r="G119" s="36"/>
    </row>
    <row r="120" spans="1:7" ht="15" customHeight="1" x14ac:dyDescent="0.2">
      <c r="A120" s="36"/>
      <c r="B120" s="47">
        <f t="shared" si="1"/>
        <v>476</v>
      </c>
      <c r="C120" s="224">
        <v>1.9698103384248001E-3</v>
      </c>
      <c r="D120" s="36"/>
      <c r="E120" s="36"/>
      <c r="F120" s="36"/>
      <c r="G120" s="36"/>
    </row>
    <row r="121" spans="1:7" ht="15" customHeight="1" x14ac:dyDescent="0.2">
      <c r="A121" s="36"/>
      <c r="B121" s="47">
        <f t="shared" si="1"/>
        <v>477</v>
      </c>
      <c r="C121" s="224">
        <v>1.9698103384248001E-3</v>
      </c>
      <c r="D121" s="36"/>
      <c r="E121" s="36"/>
      <c r="F121" s="36"/>
      <c r="G121" s="36"/>
    </row>
    <row r="122" spans="1:7" ht="15" customHeight="1" x14ac:dyDescent="0.2">
      <c r="A122" s="36"/>
      <c r="B122" s="47">
        <f t="shared" si="1"/>
        <v>478</v>
      </c>
      <c r="C122" s="224">
        <v>1.9698103384248001E-3</v>
      </c>
      <c r="D122" s="36"/>
      <c r="E122" s="36"/>
      <c r="F122" s="36"/>
      <c r="G122" s="36"/>
    </row>
    <row r="123" spans="1:7" ht="15" customHeight="1" x14ac:dyDescent="0.2">
      <c r="A123" s="36"/>
      <c r="B123" s="47">
        <f t="shared" si="1"/>
        <v>479</v>
      </c>
      <c r="C123" s="224">
        <v>1.9748098570502399E-3</v>
      </c>
      <c r="D123" s="36"/>
      <c r="E123" s="36"/>
      <c r="F123" s="36"/>
      <c r="G123" s="36"/>
    </row>
    <row r="124" spans="1:7" ht="15" customHeight="1" x14ac:dyDescent="0.2">
      <c r="A124" s="36"/>
      <c r="B124" s="47">
        <f t="shared" si="1"/>
        <v>480</v>
      </c>
      <c r="C124" s="224">
        <v>1.9748098570502399E-3</v>
      </c>
      <c r="D124" s="36"/>
      <c r="E124" s="36"/>
      <c r="F124" s="36"/>
      <c r="G124" s="36"/>
    </row>
    <row r="125" spans="1:7" ht="15" customHeight="1" x14ac:dyDescent="0.2">
      <c r="A125" s="36"/>
      <c r="B125" s="47">
        <f t="shared" si="1"/>
        <v>481</v>
      </c>
      <c r="C125" s="224">
        <v>1.9598113011739101E-3</v>
      </c>
      <c r="D125" s="36"/>
      <c r="E125" s="36"/>
      <c r="F125" s="36"/>
      <c r="G125" s="36"/>
    </row>
    <row r="126" spans="1:7" ht="15" customHeight="1" x14ac:dyDescent="0.2">
      <c r="A126" s="36"/>
      <c r="B126" s="47">
        <f t="shared" si="1"/>
        <v>482</v>
      </c>
      <c r="C126" s="224">
        <v>1.9498122639230299E-3</v>
      </c>
      <c r="D126" s="36"/>
      <c r="E126" s="36"/>
      <c r="F126" s="36"/>
      <c r="G126" s="36"/>
    </row>
    <row r="127" spans="1:7" ht="15" customHeight="1" x14ac:dyDescent="0.2">
      <c r="A127" s="36"/>
      <c r="B127" s="47">
        <f t="shared" si="1"/>
        <v>483</v>
      </c>
      <c r="C127" s="224">
        <v>1.9248146707958099E-3</v>
      </c>
      <c r="D127" s="36"/>
      <c r="E127" s="36"/>
      <c r="F127" s="36"/>
      <c r="G127" s="36"/>
    </row>
    <row r="128" spans="1:7" ht="15" customHeight="1" x14ac:dyDescent="0.2">
      <c r="A128" s="36"/>
      <c r="B128" s="47">
        <f t="shared" si="1"/>
        <v>484</v>
      </c>
      <c r="C128" s="224">
        <v>1.8748194845413699E-3</v>
      </c>
      <c r="D128" s="36"/>
      <c r="E128" s="36"/>
      <c r="F128" s="36"/>
      <c r="G128" s="36"/>
    </row>
    <row r="129" spans="1:7" ht="15" customHeight="1" x14ac:dyDescent="0.2">
      <c r="A129" s="36"/>
      <c r="B129" s="47">
        <f t="shared" si="1"/>
        <v>485</v>
      </c>
      <c r="C129" s="224">
        <v>1.8148252610360499E-3</v>
      </c>
      <c r="D129" s="36"/>
      <c r="E129" s="36"/>
      <c r="F129" s="36"/>
      <c r="G129" s="36"/>
    </row>
    <row r="130" spans="1:7" ht="15" customHeight="1" x14ac:dyDescent="0.2">
      <c r="A130" s="36"/>
      <c r="B130" s="47">
        <f t="shared" si="1"/>
        <v>486</v>
      </c>
      <c r="C130" s="224">
        <v>1.7748291120324999E-3</v>
      </c>
      <c r="D130" s="36"/>
      <c r="E130" s="36"/>
      <c r="F130" s="36"/>
      <c r="G130" s="36"/>
    </row>
    <row r="131" spans="1:7" ht="15" customHeight="1" x14ac:dyDescent="0.2">
      <c r="A131" s="36"/>
      <c r="B131" s="47">
        <f t="shared" si="1"/>
        <v>487</v>
      </c>
      <c r="C131" s="224">
        <v>1.7648300747816099E-3</v>
      </c>
      <c r="D131" s="36"/>
      <c r="E131" s="36"/>
      <c r="F131" s="36"/>
      <c r="G131" s="36"/>
    </row>
    <row r="132" spans="1:7" ht="15" customHeight="1" x14ac:dyDescent="0.2">
      <c r="A132" s="36"/>
      <c r="B132" s="47">
        <f t="shared" si="1"/>
        <v>488</v>
      </c>
      <c r="C132" s="224">
        <v>1.7748291120324999E-3</v>
      </c>
      <c r="D132" s="36"/>
      <c r="E132" s="36"/>
      <c r="F132" s="36"/>
      <c r="G132" s="36"/>
    </row>
    <row r="133" spans="1:7" ht="15" customHeight="1" x14ac:dyDescent="0.2">
      <c r="A133" s="36"/>
      <c r="B133" s="47">
        <f t="shared" si="1"/>
        <v>489</v>
      </c>
      <c r="C133" s="224">
        <v>1.7998267051597199E-3</v>
      </c>
      <c r="D133" s="36"/>
      <c r="E133" s="36"/>
      <c r="F133" s="36"/>
      <c r="G133" s="36"/>
    </row>
    <row r="134" spans="1:7" ht="15" customHeight="1" x14ac:dyDescent="0.2">
      <c r="A134" s="36"/>
      <c r="B134" s="47">
        <f t="shared" si="1"/>
        <v>490</v>
      </c>
      <c r="C134" s="224">
        <v>1.8198247796614899E-3</v>
      </c>
      <c r="D134" s="36"/>
      <c r="E134" s="36"/>
      <c r="F134" s="36"/>
      <c r="G134" s="36"/>
    </row>
    <row r="135" spans="1:7" ht="15" customHeight="1" x14ac:dyDescent="0.2">
      <c r="A135" s="36"/>
      <c r="B135" s="47">
        <f t="shared" si="1"/>
        <v>491</v>
      </c>
      <c r="C135" s="224">
        <v>1.8298238169123799E-3</v>
      </c>
      <c r="D135" s="36"/>
      <c r="E135" s="36"/>
      <c r="F135" s="36"/>
      <c r="G135" s="36"/>
    </row>
    <row r="136" spans="1:7" ht="15" customHeight="1" x14ac:dyDescent="0.2">
      <c r="A136" s="36"/>
      <c r="B136" s="47">
        <f t="shared" si="1"/>
        <v>492</v>
      </c>
      <c r="C136" s="224">
        <v>1.8248242982869299E-3</v>
      </c>
      <c r="D136" s="36"/>
      <c r="E136" s="36"/>
      <c r="F136" s="36"/>
      <c r="G136" s="36"/>
    </row>
    <row r="137" spans="1:7" ht="15" customHeight="1" x14ac:dyDescent="0.2">
      <c r="A137" s="36"/>
      <c r="B137" s="47">
        <f t="shared" si="1"/>
        <v>493</v>
      </c>
      <c r="C137" s="224">
        <v>1.8198247796614899E-3</v>
      </c>
      <c r="D137" s="36"/>
      <c r="E137" s="36"/>
      <c r="F137" s="36"/>
      <c r="G137" s="36"/>
    </row>
    <row r="138" spans="1:7" ht="15" customHeight="1" x14ac:dyDescent="0.2">
      <c r="A138" s="36"/>
      <c r="B138" s="47">
        <f t="shared" si="1"/>
        <v>494</v>
      </c>
      <c r="C138" s="224">
        <v>1.8248242982869299E-3</v>
      </c>
      <c r="D138" s="36"/>
      <c r="E138" s="36"/>
      <c r="F138" s="36"/>
      <c r="G138" s="36"/>
    </row>
    <row r="139" spans="1:7" ht="15" customHeight="1" x14ac:dyDescent="0.2">
      <c r="A139" s="36"/>
      <c r="B139" s="47">
        <f t="shared" si="1"/>
        <v>495</v>
      </c>
      <c r="C139" s="224">
        <v>1.8248242982869299E-3</v>
      </c>
      <c r="D139" s="36"/>
      <c r="E139" s="36"/>
      <c r="F139" s="36"/>
      <c r="G139" s="36"/>
    </row>
    <row r="140" spans="1:7" ht="15" customHeight="1" x14ac:dyDescent="0.2">
      <c r="A140" s="36"/>
      <c r="B140" s="47">
        <f t="shared" si="1"/>
        <v>496</v>
      </c>
      <c r="C140" s="224">
        <v>1.8248242982869299E-3</v>
      </c>
      <c r="D140" s="36"/>
      <c r="E140" s="36"/>
      <c r="F140" s="36"/>
      <c r="G140" s="36"/>
    </row>
    <row r="141" spans="1:7" ht="15" customHeight="1" x14ac:dyDescent="0.2">
      <c r="A141" s="36"/>
      <c r="B141" s="47">
        <f t="shared" si="1"/>
        <v>497</v>
      </c>
      <c r="C141" s="224">
        <v>1.8098257424105999E-3</v>
      </c>
      <c r="D141" s="36"/>
      <c r="E141" s="36"/>
      <c r="F141" s="36"/>
      <c r="G141" s="36"/>
    </row>
    <row r="142" spans="1:7" ht="15" customHeight="1" x14ac:dyDescent="0.2">
      <c r="A142" s="36"/>
      <c r="B142" s="47">
        <f t="shared" si="1"/>
        <v>498</v>
      </c>
      <c r="C142" s="224">
        <v>1.7898276679088299E-3</v>
      </c>
      <c r="D142" s="36"/>
      <c r="E142" s="36"/>
      <c r="F142" s="36"/>
      <c r="G142" s="36"/>
    </row>
    <row r="143" spans="1:7" ht="15" customHeight="1" x14ac:dyDescent="0.2">
      <c r="A143" s="36"/>
      <c r="B143" s="47">
        <f t="shared" si="1"/>
        <v>499</v>
      </c>
      <c r="C143" s="224">
        <v>1.7648300747816099E-3</v>
      </c>
      <c r="D143" s="36"/>
      <c r="E143" s="36"/>
      <c r="F143" s="36"/>
      <c r="G143" s="36"/>
    </row>
    <row r="144" spans="1:7" ht="15" customHeight="1" x14ac:dyDescent="0.2">
      <c r="A144" s="36"/>
      <c r="B144" s="47">
        <f t="shared" si="1"/>
        <v>500</v>
      </c>
      <c r="C144" s="224">
        <v>1.7348329630289499E-3</v>
      </c>
      <c r="D144" s="36"/>
      <c r="E144" s="36"/>
      <c r="F144" s="36"/>
      <c r="G144" s="36"/>
    </row>
    <row r="145" spans="1:7" ht="15" customHeight="1" x14ac:dyDescent="0.2">
      <c r="A145" s="36"/>
      <c r="B145" s="47">
        <f t="shared" si="1"/>
        <v>501</v>
      </c>
      <c r="C145" s="224">
        <v>1.70983536990173E-3</v>
      </c>
      <c r="D145" s="36"/>
      <c r="E145" s="36"/>
      <c r="F145" s="36"/>
      <c r="G145" s="36"/>
    </row>
    <row r="146" spans="1:7" ht="15" customHeight="1" x14ac:dyDescent="0.2">
      <c r="A146" s="36"/>
      <c r="B146" s="47">
        <f t="shared" si="1"/>
        <v>502</v>
      </c>
      <c r="C146" s="224">
        <v>1.6948368140254E-3</v>
      </c>
      <c r="D146" s="36"/>
      <c r="E146" s="36"/>
      <c r="F146" s="36"/>
      <c r="G146" s="36"/>
    </row>
    <row r="147" spans="1:7" ht="15" customHeight="1" x14ac:dyDescent="0.2">
      <c r="A147" s="36"/>
      <c r="B147" s="47">
        <f t="shared" si="1"/>
        <v>503</v>
      </c>
      <c r="C147" s="224">
        <v>1.6898372953999599E-3</v>
      </c>
      <c r="D147" s="36"/>
      <c r="E147" s="36"/>
      <c r="F147" s="36"/>
      <c r="G147" s="36"/>
    </row>
    <row r="148" spans="1:7" ht="15" customHeight="1" x14ac:dyDescent="0.2">
      <c r="A148" s="36"/>
      <c r="B148" s="47">
        <f t="shared" si="1"/>
        <v>504</v>
      </c>
      <c r="C148" s="224">
        <v>1.6898372953999599E-3</v>
      </c>
      <c r="D148" s="36"/>
      <c r="E148" s="36"/>
      <c r="F148" s="36"/>
      <c r="G148" s="36"/>
    </row>
    <row r="149" spans="1:7" ht="15" customHeight="1" x14ac:dyDescent="0.2">
      <c r="A149" s="36"/>
      <c r="B149" s="47">
        <f t="shared" si="1"/>
        <v>505</v>
      </c>
      <c r="C149" s="224">
        <v>1.6948368140254E-3</v>
      </c>
      <c r="D149" s="36"/>
      <c r="E149" s="36"/>
      <c r="F149" s="36"/>
      <c r="G149" s="36"/>
    </row>
    <row r="150" spans="1:7" ht="15" customHeight="1" x14ac:dyDescent="0.2">
      <c r="A150" s="36"/>
      <c r="B150" s="47">
        <f t="shared" si="1"/>
        <v>506</v>
      </c>
      <c r="C150" s="224">
        <v>1.69983633265084E-3</v>
      </c>
      <c r="D150" s="36"/>
      <c r="E150" s="36"/>
      <c r="F150" s="36"/>
      <c r="G150" s="36"/>
    </row>
    <row r="151" spans="1:7" ht="15" customHeight="1" x14ac:dyDescent="0.2">
      <c r="A151" s="36"/>
      <c r="B151" s="47">
        <f t="shared" si="1"/>
        <v>507</v>
      </c>
      <c r="C151" s="224">
        <v>1.69983633265084E-3</v>
      </c>
      <c r="D151" s="36"/>
      <c r="E151" s="36"/>
      <c r="F151" s="36"/>
      <c r="G151" s="36"/>
    </row>
    <row r="152" spans="1:7" ht="15" customHeight="1" x14ac:dyDescent="0.2">
      <c r="A152" s="36"/>
      <c r="B152" s="47">
        <f t="shared" ref="B152:B215" si="2">IF(380+C$20*(ROW()-ROW(B$23)-1)&gt;780,"",380+C$20*(ROW()-ROW(B$23)-1))</f>
        <v>508</v>
      </c>
      <c r="C152" s="224">
        <v>1.6948368140254E-3</v>
      </c>
      <c r="D152" s="36"/>
      <c r="E152" s="36"/>
      <c r="F152" s="36"/>
      <c r="G152" s="36"/>
    </row>
    <row r="153" spans="1:7" ht="15" customHeight="1" x14ac:dyDescent="0.2">
      <c r="A153" s="36"/>
      <c r="B153" s="47">
        <f t="shared" si="2"/>
        <v>509</v>
      </c>
      <c r="C153" s="224">
        <v>1.6948368140254E-3</v>
      </c>
      <c r="D153" s="36"/>
      <c r="E153" s="36"/>
      <c r="F153" s="36"/>
      <c r="G153" s="36"/>
    </row>
    <row r="154" spans="1:7" ht="15" customHeight="1" x14ac:dyDescent="0.2">
      <c r="A154" s="36"/>
      <c r="B154" s="47">
        <f t="shared" si="2"/>
        <v>510</v>
      </c>
      <c r="C154" s="224">
        <v>1.6898372953999599E-3</v>
      </c>
      <c r="D154" s="36"/>
      <c r="E154" s="36"/>
      <c r="F154" s="36"/>
      <c r="G154" s="36"/>
    </row>
    <row r="155" spans="1:7" ht="15" customHeight="1" x14ac:dyDescent="0.2">
      <c r="A155" s="36"/>
      <c r="B155" s="47">
        <f t="shared" si="2"/>
        <v>511</v>
      </c>
      <c r="C155" s="224">
        <v>1.68483777677451E-3</v>
      </c>
      <c r="D155" s="36"/>
      <c r="E155" s="36"/>
      <c r="F155" s="36"/>
      <c r="G155" s="36"/>
    </row>
    <row r="156" spans="1:7" ht="15" customHeight="1" x14ac:dyDescent="0.2">
      <c r="A156" s="36"/>
      <c r="B156" s="47">
        <f t="shared" si="2"/>
        <v>512</v>
      </c>
      <c r="C156" s="224">
        <v>1.66983922089818E-3</v>
      </c>
      <c r="D156" s="36"/>
      <c r="E156" s="36"/>
      <c r="F156" s="36"/>
      <c r="G156" s="36"/>
    </row>
    <row r="157" spans="1:7" ht="15" customHeight="1" x14ac:dyDescent="0.2">
      <c r="A157" s="36"/>
      <c r="B157" s="47">
        <f t="shared" si="2"/>
        <v>513</v>
      </c>
      <c r="C157" s="224">
        <v>1.64484162777096E-3</v>
      </c>
      <c r="D157" s="36"/>
      <c r="E157" s="36"/>
      <c r="F157" s="36"/>
      <c r="G157" s="36"/>
    </row>
    <row r="158" spans="1:7" ht="15" customHeight="1" x14ac:dyDescent="0.2">
      <c r="A158" s="36"/>
      <c r="B158" s="47">
        <f t="shared" si="2"/>
        <v>514</v>
      </c>
      <c r="C158" s="224">
        <v>1.6148445160183E-3</v>
      </c>
      <c r="D158" s="36"/>
      <c r="E158" s="36"/>
      <c r="F158" s="36"/>
      <c r="G158" s="36"/>
    </row>
    <row r="159" spans="1:7" ht="15" customHeight="1" x14ac:dyDescent="0.2">
      <c r="A159" s="36"/>
      <c r="B159" s="47">
        <f t="shared" si="2"/>
        <v>515</v>
      </c>
      <c r="C159" s="224">
        <v>1.57984788564019E-3</v>
      </c>
      <c r="D159" s="36"/>
      <c r="E159" s="36"/>
      <c r="F159" s="36"/>
      <c r="G159" s="36"/>
    </row>
    <row r="160" spans="1:7" ht="15" customHeight="1" x14ac:dyDescent="0.2">
      <c r="A160" s="36"/>
      <c r="B160" s="47">
        <f t="shared" si="2"/>
        <v>516</v>
      </c>
      <c r="C160" s="224">
        <v>1.53985173663664E-3</v>
      </c>
      <c r="D160" s="36"/>
      <c r="E160" s="36"/>
      <c r="F160" s="36"/>
      <c r="G160" s="36"/>
    </row>
    <row r="161" spans="1:7" ht="15" customHeight="1" x14ac:dyDescent="0.2">
      <c r="A161" s="36"/>
      <c r="B161" s="47">
        <f t="shared" si="2"/>
        <v>517</v>
      </c>
      <c r="C161" s="224">
        <v>1.51485414350943E-3</v>
      </c>
      <c r="D161" s="36"/>
      <c r="E161" s="36"/>
      <c r="F161" s="36"/>
      <c r="G161" s="36"/>
    </row>
    <row r="162" spans="1:7" ht="15" customHeight="1" x14ac:dyDescent="0.2">
      <c r="A162" s="36"/>
      <c r="B162" s="47">
        <f t="shared" si="2"/>
        <v>518</v>
      </c>
      <c r="C162" s="224">
        <v>1.50985462488398E-3</v>
      </c>
      <c r="D162" s="36"/>
      <c r="E162" s="36"/>
      <c r="F162" s="36"/>
      <c r="G162" s="36"/>
    </row>
    <row r="163" spans="1:7" ht="15" customHeight="1" x14ac:dyDescent="0.2">
      <c r="A163" s="36"/>
      <c r="B163" s="47">
        <f t="shared" si="2"/>
        <v>519</v>
      </c>
      <c r="C163" s="224">
        <v>1.52485318076031E-3</v>
      </c>
      <c r="D163" s="36"/>
      <c r="E163" s="36"/>
      <c r="F163" s="36"/>
      <c r="G163" s="36"/>
    </row>
    <row r="164" spans="1:7" ht="15" customHeight="1" x14ac:dyDescent="0.2">
      <c r="A164" s="36"/>
      <c r="B164" s="47">
        <f t="shared" si="2"/>
        <v>520</v>
      </c>
      <c r="C164" s="224">
        <v>1.54485125526209E-3</v>
      </c>
      <c r="D164" s="36"/>
      <c r="E164" s="36"/>
      <c r="F164" s="36"/>
      <c r="G164" s="36"/>
    </row>
    <row r="165" spans="1:7" ht="15" customHeight="1" x14ac:dyDescent="0.2">
      <c r="A165" s="36"/>
      <c r="B165" s="47">
        <f t="shared" si="2"/>
        <v>521</v>
      </c>
      <c r="C165" s="224">
        <v>1.55984981113842E-3</v>
      </c>
      <c r="D165" s="36"/>
      <c r="E165" s="36"/>
      <c r="F165" s="36"/>
      <c r="G165" s="36"/>
    </row>
    <row r="166" spans="1:7" ht="15" customHeight="1" x14ac:dyDescent="0.2">
      <c r="A166" s="36"/>
      <c r="B166" s="47">
        <f t="shared" si="2"/>
        <v>522</v>
      </c>
      <c r="C166" s="224">
        <v>1.56984884838931E-3</v>
      </c>
      <c r="D166" s="36"/>
      <c r="E166" s="36"/>
      <c r="F166" s="36"/>
      <c r="G166" s="36"/>
    </row>
    <row r="167" spans="1:7" ht="15" customHeight="1" x14ac:dyDescent="0.2">
      <c r="A167" s="36"/>
      <c r="B167" s="47">
        <f t="shared" si="2"/>
        <v>523</v>
      </c>
      <c r="C167" s="224">
        <v>1.57484836701475E-3</v>
      </c>
      <c r="D167" s="36"/>
      <c r="E167" s="36"/>
      <c r="F167" s="36"/>
      <c r="G167" s="36"/>
    </row>
    <row r="168" spans="1:7" ht="15" customHeight="1" x14ac:dyDescent="0.2">
      <c r="A168" s="36"/>
      <c r="B168" s="47">
        <f t="shared" si="2"/>
        <v>524</v>
      </c>
      <c r="C168" s="224">
        <v>1.56984884838931E-3</v>
      </c>
      <c r="D168" s="36"/>
      <c r="E168" s="36"/>
      <c r="F168" s="36"/>
      <c r="G168" s="36"/>
    </row>
    <row r="169" spans="1:7" ht="15" customHeight="1" x14ac:dyDescent="0.2">
      <c r="A169" s="36"/>
      <c r="B169" s="47">
        <f t="shared" si="2"/>
        <v>525</v>
      </c>
      <c r="C169" s="224">
        <v>1.55485029251298E-3</v>
      </c>
      <c r="D169" s="36"/>
      <c r="E169" s="36"/>
      <c r="F169" s="36"/>
      <c r="G169" s="36"/>
    </row>
    <row r="170" spans="1:7" ht="15" customHeight="1" x14ac:dyDescent="0.2">
      <c r="A170" s="36"/>
      <c r="B170" s="47">
        <f t="shared" si="2"/>
        <v>526</v>
      </c>
      <c r="C170" s="224">
        <v>1.53985173663664E-3</v>
      </c>
      <c r="D170" s="36"/>
      <c r="E170" s="36"/>
      <c r="F170" s="36"/>
      <c r="G170" s="36"/>
    </row>
    <row r="171" spans="1:7" ht="15" customHeight="1" x14ac:dyDescent="0.2">
      <c r="A171" s="36"/>
      <c r="B171" s="47">
        <f t="shared" si="2"/>
        <v>527</v>
      </c>
      <c r="C171" s="224">
        <v>1.5348522180112E-3</v>
      </c>
      <c r="D171" s="36"/>
      <c r="E171" s="36"/>
      <c r="F171" s="36"/>
      <c r="G171" s="36"/>
    </row>
    <row r="172" spans="1:7" ht="15" customHeight="1" x14ac:dyDescent="0.2">
      <c r="A172" s="36"/>
      <c r="B172" s="47">
        <f t="shared" si="2"/>
        <v>528</v>
      </c>
      <c r="C172" s="224">
        <v>1.5348522180112E-3</v>
      </c>
      <c r="D172" s="36"/>
      <c r="E172" s="36"/>
      <c r="F172" s="36"/>
      <c r="G172" s="36"/>
    </row>
    <row r="173" spans="1:7" ht="15" customHeight="1" x14ac:dyDescent="0.2">
      <c r="A173" s="36"/>
      <c r="B173" s="47">
        <f t="shared" si="2"/>
        <v>529</v>
      </c>
      <c r="C173" s="224">
        <v>1.53985173663664E-3</v>
      </c>
      <c r="D173" s="36"/>
      <c r="E173" s="36"/>
      <c r="F173" s="36"/>
      <c r="G173" s="36"/>
    </row>
    <row r="174" spans="1:7" ht="15" customHeight="1" x14ac:dyDescent="0.2">
      <c r="A174" s="36"/>
      <c r="B174" s="47">
        <f t="shared" si="2"/>
        <v>530</v>
      </c>
      <c r="C174" s="224">
        <v>1.54985077388753E-3</v>
      </c>
      <c r="D174" s="36"/>
      <c r="E174" s="36"/>
      <c r="F174" s="36"/>
      <c r="G174" s="36"/>
    </row>
    <row r="175" spans="1:7" ht="15" customHeight="1" x14ac:dyDescent="0.2">
      <c r="A175" s="36"/>
      <c r="B175" s="47">
        <f t="shared" si="2"/>
        <v>531</v>
      </c>
      <c r="C175" s="224">
        <v>1.54485125526209E-3</v>
      </c>
      <c r="D175" s="36"/>
      <c r="E175" s="36"/>
      <c r="F175" s="36"/>
      <c r="G175" s="36"/>
    </row>
    <row r="176" spans="1:7" ht="15" customHeight="1" x14ac:dyDescent="0.2">
      <c r="A176" s="36"/>
      <c r="B176" s="47">
        <f t="shared" si="2"/>
        <v>532</v>
      </c>
      <c r="C176" s="224">
        <v>1.52985269938576E-3</v>
      </c>
      <c r="D176" s="36"/>
      <c r="E176" s="36"/>
      <c r="F176" s="36"/>
      <c r="G176" s="36"/>
    </row>
    <row r="177" spans="1:7" ht="15" customHeight="1" x14ac:dyDescent="0.2">
      <c r="A177" s="36"/>
      <c r="B177" s="47">
        <f t="shared" si="2"/>
        <v>533</v>
      </c>
      <c r="C177" s="224">
        <v>1.51985366213487E-3</v>
      </c>
      <c r="D177" s="36"/>
      <c r="E177" s="36"/>
      <c r="F177" s="36"/>
      <c r="G177" s="36"/>
    </row>
    <row r="178" spans="1:7" ht="15" customHeight="1" x14ac:dyDescent="0.2">
      <c r="A178" s="36"/>
      <c r="B178" s="47">
        <f t="shared" si="2"/>
        <v>534</v>
      </c>
      <c r="C178" s="224">
        <v>1.51985366213487E-3</v>
      </c>
      <c r="D178" s="36"/>
      <c r="E178" s="36"/>
      <c r="F178" s="36"/>
      <c r="G178" s="36"/>
    </row>
    <row r="179" spans="1:7" ht="15" customHeight="1" x14ac:dyDescent="0.2">
      <c r="A179" s="36"/>
      <c r="B179" s="47">
        <f t="shared" si="2"/>
        <v>535</v>
      </c>
      <c r="C179" s="224">
        <v>1.52485318076031E-3</v>
      </c>
      <c r="D179" s="36"/>
      <c r="E179" s="36"/>
      <c r="F179" s="36"/>
      <c r="G179" s="36"/>
    </row>
    <row r="180" spans="1:7" ht="15" customHeight="1" x14ac:dyDescent="0.2">
      <c r="A180" s="36"/>
      <c r="B180" s="47">
        <f t="shared" si="2"/>
        <v>536</v>
      </c>
      <c r="C180" s="224">
        <v>1.52485318076031E-3</v>
      </c>
      <c r="D180" s="36"/>
      <c r="E180" s="36"/>
      <c r="F180" s="36"/>
      <c r="G180" s="36"/>
    </row>
    <row r="181" spans="1:7" ht="15" customHeight="1" x14ac:dyDescent="0.2">
      <c r="A181" s="36"/>
      <c r="B181" s="47">
        <f t="shared" si="2"/>
        <v>537</v>
      </c>
      <c r="C181" s="224">
        <v>1.51985366213487E-3</v>
      </c>
      <c r="D181" s="36"/>
      <c r="E181" s="36"/>
      <c r="F181" s="36"/>
      <c r="G181" s="36"/>
    </row>
    <row r="182" spans="1:7" ht="15" customHeight="1" x14ac:dyDescent="0.2">
      <c r="A182" s="36"/>
      <c r="B182" s="47">
        <f t="shared" si="2"/>
        <v>538</v>
      </c>
      <c r="C182" s="224">
        <v>1.50485510625854E-3</v>
      </c>
      <c r="D182" s="36"/>
      <c r="E182" s="36"/>
      <c r="F182" s="36"/>
      <c r="G182" s="36"/>
    </row>
    <row r="183" spans="1:7" ht="15" customHeight="1" x14ac:dyDescent="0.2">
      <c r="A183" s="36"/>
      <c r="B183" s="47">
        <f t="shared" si="2"/>
        <v>539</v>
      </c>
      <c r="C183" s="224">
        <v>1.48485703175676E-3</v>
      </c>
      <c r="D183" s="36"/>
      <c r="E183" s="36"/>
      <c r="F183" s="36"/>
      <c r="G183" s="36"/>
    </row>
    <row r="184" spans="1:7" ht="15" customHeight="1" x14ac:dyDescent="0.2">
      <c r="A184" s="36"/>
      <c r="B184" s="47">
        <f t="shared" si="2"/>
        <v>540</v>
      </c>
      <c r="C184" s="224">
        <v>1.46485895725499E-3</v>
      </c>
      <c r="D184" s="36"/>
      <c r="E184" s="36"/>
      <c r="F184" s="36"/>
      <c r="G184" s="36"/>
    </row>
    <row r="185" spans="1:7" ht="15" customHeight="1" x14ac:dyDescent="0.2">
      <c r="A185" s="36"/>
      <c r="B185" s="47">
        <f t="shared" si="2"/>
        <v>541</v>
      </c>
      <c r="C185" s="224">
        <v>1.45985943862955E-3</v>
      </c>
      <c r="D185" s="36"/>
      <c r="E185" s="36"/>
      <c r="F185" s="36"/>
      <c r="G185" s="36"/>
    </row>
    <row r="186" spans="1:7" ht="15" customHeight="1" x14ac:dyDescent="0.2">
      <c r="A186" s="36"/>
      <c r="B186" s="47">
        <f t="shared" si="2"/>
        <v>542</v>
      </c>
      <c r="C186" s="224">
        <v>1.45985943862955E-3</v>
      </c>
      <c r="D186" s="36"/>
      <c r="E186" s="36"/>
      <c r="F186" s="36"/>
      <c r="G186" s="36"/>
    </row>
    <row r="187" spans="1:7" ht="15" customHeight="1" x14ac:dyDescent="0.2">
      <c r="A187" s="36"/>
      <c r="B187" s="47">
        <f t="shared" si="2"/>
        <v>543</v>
      </c>
      <c r="C187" s="224">
        <v>1.46485895725499E-3</v>
      </c>
      <c r="D187" s="36"/>
      <c r="E187" s="36"/>
      <c r="F187" s="36"/>
      <c r="G187" s="36"/>
    </row>
    <row r="188" spans="1:7" ht="15" customHeight="1" x14ac:dyDescent="0.2">
      <c r="A188" s="36"/>
      <c r="B188" s="47">
        <f t="shared" si="2"/>
        <v>544</v>
      </c>
      <c r="C188" s="224">
        <v>1.46485895725499E-3</v>
      </c>
      <c r="D188" s="36"/>
      <c r="E188" s="36"/>
      <c r="F188" s="36"/>
      <c r="G188" s="36"/>
    </row>
    <row r="189" spans="1:7" ht="15" customHeight="1" x14ac:dyDescent="0.2">
      <c r="A189" s="36"/>
      <c r="B189" s="47">
        <f t="shared" si="2"/>
        <v>545</v>
      </c>
      <c r="C189" s="224">
        <v>1.4548599200041E-3</v>
      </c>
      <c r="D189" s="36"/>
      <c r="E189" s="36"/>
      <c r="F189" s="36"/>
      <c r="G189" s="36"/>
    </row>
    <row r="190" spans="1:7" ht="15" customHeight="1" x14ac:dyDescent="0.2">
      <c r="A190" s="36"/>
      <c r="B190" s="47">
        <f t="shared" si="2"/>
        <v>546</v>
      </c>
      <c r="C190" s="224">
        <v>1.44486088275322E-3</v>
      </c>
      <c r="D190" s="36"/>
      <c r="E190" s="36"/>
      <c r="F190" s="36"/>
      <c r="G190" s="36"/>
    </row>
    <row r="191" spans="1:7" ht="15" customHeight="1" x14ac:dyDescent="0.2">
      <c r="A191" s="36"/>
      <c r="B191" s="47">
        <f t="shared" si="2"/>
        <v>547</v>
      </c>
      <c r="C191" s="224">
        <v>1.43986136412777E-3</v>
      </c>
      <c r="D191" s="36"/>
      <c r="E191" s="36"/>
      <c r="F191" s="36"/>
      <c r="G191" s="36"/>
    </row>
    <row r="192" spans="1:7" ht="15" customHeight="1" x14ac:dyDescent="0.2">
      <c r="A192" s="36"/>
      <c r="B192" s="47">
        <f t="shared" si="2"/>
        <v>548</v>
      </c>
      <c r="C192" s="224">
        <v>1.43486184550233E-3</v>
      </c>
      <c r="D192" s="36"/>
      <c r="E192" s="36"/>
      <c r="F192" s="36"/>
      <c r="G192" s="36"/>
    </row>
    <row r="193" spans="1:7" ht="15" customHeight="1" x14ac:dyDescent="0.2">
      <c r="A193" s="36"/>
      <c r="B193" s="47">
        <f t="shared" si="2"/>
        <v>549</v>
      </c>
      <c r="C193" s="224">
        <v>1.42986232687688E-3</v>
      </c>
      <c r="D193" s="36"/>
      <c r="E193" s="36"/>
      <c r="F193" s="36"/>
      <c r="G193" s="36"/>
    </row>
    <row r="194" spans="1:7" ht="15" customHeight="1" x14ac:dyDescent="0.2">
      <c r="A194" s="36"/>
      <c r="B194" s="47">
        <f t="shared" si="2"/>
        <v>550</v>
      </c>
      <c r="C194" s="224">
        <v>1.42986232687688E-3</v>
      </c>
      <c r="D194" s="36"/>
      <c r="E194" s="36"/>
      <c r="F194" s="36"/>
      <c r="G194" s="36"/>
    </row>
    <row r="195" spans="1:7" ht="15" customHeight="1" x14ac:dyDescent="0.2">
      <c r="A195" s="36"/>
      <c r="B195" s="47">
        <f t="shared" si="2"/>
        <v>551</v>
      </c>
      <c r="C195" s="224">
        <v>1.42486280825144E-3</v>
      </c>
      <c r="D195" s="36"/>
      <c r="E195" s="36"/>
      <c r="F195" s="36"/>
      <c r="G195" s="36"/>
    </row>
    <row r="196" spans="1:7" ht="15" customHeight="1" x14ac:dyDescent="0.2">
      <c r="A196" s="36"/>
      <c r="B196" s="47">
        <f t="shared" si="2"/>
        <v>552</v>
      </c>
      <c r="C196" s="224">
        <v>1.42486280825144E-3</v>
      </c>
      <c r="D196" s="36"/>
      <c r="E196" s="36"/>
      <c r="F196" s="36"/>
      <c r="G196" s="36"/>
    </row>
    <row r="197" spans="1:7" ht="15" customHeight="1" x14ac:dyDescent="0.2">
      <c r="A197" s="36"/>
      <c r="B197" s="47">
        <f t="shared" si="2"/>
        <v>553</v>
      </c>
      <c r="C197" s="224">
        <v>1.419863289626E-3</v>
      </c>
      <c r="D197" s="36"/>
      <c r="E197" s="36"/>
      <c r="F197" s="36"/>
      <c r="G197" s="36"/>
    </row>
    <row r="198" spans="1:7" ht="15" customHeight="1" x14ac:dyDescent="0.2">
      <c r="A198" s="36"/>
      <c r="B198" s="47">
        <f t="shared" si="2"/>
        <v>554</v>
      </c>
      <c r="C198" s="224">
        <v>1.41486377100055E-3</v>
      </c>
      <c r="D198" s="36"/>
      <c r="E198" s="36"/>
      <c r="F198" s="36"/>
      <c r="G198" s="36"/>
    </row>
    <row r="199" spans="1:7" ht="15" customHeight="1" x14ac:dyDescent="0.2">
      <c r="A199" s="36"/>
      <c r="B199" s="47">
        <f t="shared" si="2"/>
        <v>555</v>
      </c>
      <c r="C199" s="224">
        <v>1.40486473374967E-3</v>
      </c>
      <c r="D199" s="36"/>
      <c r="E199" s="36"/>
      <c r="F199" s="36"/>
      <c r="G199" s="36"/>
    </row>
    <row r="200" spans="1:7" ht="15" customHeight="1" x14ac:dyDescent="0.2">
      <c r="A200" s="36"/>
      <c r="B200" s="47">
        <f t="shared" si="2"/>
        <v>556</v>
      </c>
      <c r="C200" s="224">
        <v>1.39486569649878E-3</v>
      </c>
      <c r="D200" s="36"/>
      <c r="E200" s="36"/>
      <c r="F200" s="36"/>
      <c r="G200" s="36"/>
    </row>
    <row r="201" spans="1:7" ht="15" customHeight="1" x14ac:dyDescent="0.2">
      <c r="A201" s="36"/>
      <c r="B201" s="47">
        <f t="shared" si="2"/>
        <v>557</v>
      </c>
      <c r="C201" s="224">
        <v>1.37986714062245E-3</v>
      </c>
      <c r="D201" s="36"/>
      <c r="E201" s="36"/>
      <c r="F201" s="36"/>
      <c r="G201" s="36"/>
    </row>
    <row r="202" spans="1:7" ht="15" customHeight="1" x14ac:dyDescent="0.2">
      <c r="A202" s="36"/>
      <c r="B202" s="47">
        <f t="shared" si="2"/>
        <v>558</v>
      </c>
      <c r="C202" s="224">
        <v>1.35986906612067E-3</v>
      </c>
      <c r="D202" s="36"/>
      <c r="E202" s="36"/>
      <c r="F202" s="36"/>
      <c r="G202" s="36"/>
    </row>
    <row r="203" spans="1:7" ht="15" customHeight="1" x14ac:dyDescent="0.2">
      <c r="A203" s="36"/>
      <c r="B203" s="47">
        <f t="shared" si="2"/>
        <v>559</v>
      </c>
      <c r="C203" s="224">
        <v>1.34487051024434E-3</v>
      </c>
      <c r="D203" s="36"/>
      <c r="E203" s="36"/>
      <c r="F203" s="36"/>
      <c r="G203" s="36"/>
    </row>
    <row r="204" spans="1:7" ht="15" customHeight="1" x14ac:dyDescent="0.2">
      <c r="A204" s="36"/>
      <c r="B204" s="47">
        <f t="shared" si="2"/>
        <v>560</v>
      </c>
      <c r="C204" s="224">
        <v>1.3398709916189E-3</v>
      </c>
      <c r="D204" s="36"/>
      <c r="E204" s="36"/>
      <c r="F204" s="36"/>
      <c r="G204" s="36"/>
    </row>
    <row r="205" spans="1:7" ht="15" customHeight="1" x14ac:dyDescent="0.2">
      <c r="A205" s="36"/>
      <c r="B205" s="47">
        <f t="shared" si="2"/>
        <v>561</v>
      </c>
      <c r="C205" s="224">
        <v>1.33487147299345E-3</v>
      </c>
      <c r="D205" s="36"/>
      <c r="E205" s="36"/>
      <c r="F205" s="36"/>
      <c r="G205" s="36"/>
    </row>
    <row r="206" spans="1:7" ht="15" customHeight="1" x14ac:dyDescent="0.2">
      <c r="A206" s="36"/>
      <c r="B206" s="47">
        <f t="shared" si="2"/>
        <v>562</v>
      </c>
      <c r="C206" s="224">
        <v>1.32487243574257E-3</v>
      </c>
      <c r="D206" s="36"/>
      <c r="E206" s="36"/>
      <c r="F206" s="36"/>
      <c r="G206" s="36"/>
    </row>
    <row r="207" spans="1:7" ht="15" customHeight="1" x14ac:dyDescent="0.2">
      <c r="A207" s="36"/>
      <c r="B207" s="47">
        <f t="shared" si="2"/>
        <v>563</v>
      </c>
      <c r="C207" s="224">
        <v>1.31487339849168E-3</v>
      </c>
      <c r="D207" s="36"/>
      <c r="E207" s="36"/>
      <c r="F207" s="36"/>
      <c r="G207" s="36"/>
    </row>
    <row r="208" spans="1:7" ht="15" customHeight="1" x14ac:dyDescent="0.2">
      <c r="A208" s="36"/>
      <c r="B208" s="47">
        <f t="shared" si="2"/>
        <v>564</v>
      </c>
      <c r="C208" s="224">
        <v>1.30987387986624E-3</v>
      </c>
      <c r="D208" s="36"/>
      <c r="E208" s="36"/>
      <c r="F208" s="36"/>
      <c r="G208" s="36"/>
    </row>
    <row r="209" spans="1:7" ht="15" customHeight="1" x14ac:dyDescent="0.2">
      <c r="A209" s="36"/>
      <c r="B209" s="47">
        <f t="shared" si="2"/>
        <v>565</v>
      </c>
      <c r="C209" s="224">
        <v>1.29987484261535E-3</v>
      </c>
      <c r="D209" s="36"/>
      <c r="E209" s="36"/>
      <c r="F209" s="36"/>
      <c r="G209" s="36"/>
    </row>
    <row r="210" spans="1:7" ht="15" customHeight="1" x14ac:dyDescent="0.2">
      <c r="A210" s="36"/>
      <c r="B210" s="47">
        <f t="shared" si="2"/>
        <v>566</v>
      </c>
      <c r="C210" s="224">
        <v>1.28987580536446E-3</v>
      </c>
      <c r="D210" s="36"/>
      <c r="E210" s="36"/>
      <c r="F210" s="36"/>
      <c r="G210" s="36"/>
    </row>
    <row r="211" spans="1:7" ht="15" customHeight="1" x14ac:dyDescent="0.2">
      <c r="A211" s="36"/>
      <c r="B211" s="47">
        <f t="shared" si="2"/>
        <v>567</v>
      </c>
      <c r="C211" s="224">
        <v>1.27487724948813E-3</v>
      </c>
      <c r="D211" s="36"/>
      <c r="E211" s="36"/>
      <c r="F211" s="36"/>
      <c r="G211" s="36"/>
    </row>
    <row r="212" spans="1:7" ht="15" customHeight="1" x14ac:dyDescent="0.2">
      <c r="A212" s="36"/>
      <c r="B212" s="47">
        <f t="shared" si="2"/>
        <v>568</v>
      </c>
      <c r="C212" s="224">
        <v>1.2598786936118E-3</v>
      </c>
      <c r="D212" s="36"/>
      <c r="E212" s="36"/>
      <c r="F212" s="36"/>
      <c r="G212" s="36"/>
    </row>
    <row r="213" spans="1:7" ht="15" customHeight="1" x14ac:dyDescent="0.2">
      <c r="A213" s="36"/>
      <c r="B213" s="47">
        <f t="shared" si="2"/>
        <v>569</v>
      </c>
      <c r="C213" s="224">
        <v>1.24987965636091E-3</v>
      </c>
      <c r="D213" s="36"/>
      <c r="E213" s="36"/>
      <c r="F213" s="36"/>
      <c r="G213" s="36"/>
    </row>
    <row r="214" spans="1:7" ht="15" customHeight="1" x14ac:dyDescent="0.2">
      <c r="A214" s="36"/>
      <c r="B214" s="47">
        <f t="shared" si="2"/>
        <v>570</v>
      </c>
      <c r="C214" s="224">
        <v>1.23988061911002E-3</v>
      </c>
      <c r="D214" s="36"/>
      <c r="E214" s="36"/>
      <c r="F214" s="36"/>
      <c r="G214" s="36"/>
    </row>
    <row r="215" spans="1:7" ht="15" customHeight="1" x14ac:dyDescent="0.2">
      <c r="A215" s="36"/>
      <c r="B215" s="47">
        <f t="shared" si="2"/>
        <v>571</v>
      </c>
      <c r="C215" s="224">
        <v>1.23488110048458E-3</v>
      </c>
      <c r="D215" s="36"/>
      <c r="E215" s="36"/>
      <c r="F215" s="36"/>
      <c r="G215" s="36"/>
    </row>
    <row r="216" spans="1:7" ht="15" customHeight="1" x14ac:dyDescent="0.2">
      <c r="A216" s="36"/>
      <c r="B216" s="47">
        <f t="shared" ref="B216:B279" si="3">IF(380+C$20*(ROW()-ROW(B$23)-1)&gt;780,"",380+C$20*(ROW()-ROW(B$23)-1))</f>
        <v>572</v>
      </c>
      <c r="C216" s="224">
        <v>1.22988158185914E-3</v>
      </c>
      <c r="D216" s="36"/>
      <c r="E216" s="36"/>
      <c r="F216" s="36"/>
      <c r="G216" s="36"/>
    </row>
    <row r="217" spans="1:7" ht="15" customHeight="1" x14ac:dyDescent="0.2">
      <c r="A217" s="36"/>
      <c r="B217" s="47">
        <f t="shared" si="3"/>
        <v>573</v>
      </c>
      <c r="C217" s="224">
        <v>1.22488206323369E-3</v>
      </c>
      <c r="D217" s="36"/>
      <c r="E217" s="36"/>
      <c r="F217" s="36"/>
      <c r="G217" s="36"/>
    </row>
    <row r="218" spans="1:7" ht="15" customHeight="1" x14ac:dyDescent="0.2">
      <c r="A218" s="36"/>
      <c r="B218" s="47">
        <f t="shared" si="3"/>
        <v>574</v>
      </c>
      <c r="C218" s="224">
        <v>1.22488206323369E-3</v>
      </c>
      <c r="D218" s="36"/>
      <c r="E218" s="36"/>
      <c r="F218" s="36"/>
      <c r="G218" s="36"/>
    </row>
    <row r="219" spans="1:7" ht="15" customHeight="1" x14ac:dyDescent="0.2">
      <c r="A219" s="36"/>
      <c r="B219" s="47">
        <f t="shared" si="3"/>
        <v>575</v>
      </c>
      <c r="C219" s="224">
        <v>1.21488302598281E-3</v>
      </c>
      <c r="D219" s="36"/>
      <c r="E219" s="36"/>
      <c r="F219" s="36"/>
      <c r="G219" s="36"/>
    </row>
    <row r="220" spans="1:7" ht="15" customHeight="1" x14ac:dyDescent="0.2">
      <c r="A220" s="36"/>
      <c r="B220" s="47">
        <f t="shared" si="3"/>
        <v>576</v>
      </c>
      <c r="C220" s="224">
        <v>1.20488398873192E-3</v>
      </c>
      <c r="D220" s="36"/>
      <c r="E220" s="36"/>
      <c r="F220" s="36"/>
      <c r="G220" s="36"/>
    </row>
    <row r="221" spans="1:7" ht="15" customHeight="1" x14ac:dyDescent="0.2">
      <c r="A221" s="36"/>
      <c r="B221" s="47">
        <f t="shared" si="3"/>
        <v>577</v>
      </c>
      <c r="C221" s="224">
        <v>1.19488495148103E-3</v>
      </c>
      <c r="D221" s="36"/>
      <c r="E221" s="36"/>
      <c r="F221" s="36"/>
      <c r="G221" s="36"/>
    </row>
    <row r="222" spans="1:7" ht="15" customHeight="1" x14ac:dyDescent="0.2">
      <c r="A222" s="36"/>
      <c r="B222" s="47">
        <f t="shared" si="3"/>
        <v>578</v>
      </c>
      <c r="C222" s="224">
        <v>1.18988543285559E-3</v>
      </c>
      <c r="D222" s="36"/>
      <c r="E222" s="36"/>
      <c r="F222" s="36"/>
      <c r="G222" s="36"/>
    </row>
    <row r="223" spans="1:7" ht="15" customHeight="1" x14ac:dyDescent="0.2">
      <c r="A223" s="36"/>
      <c r="B223" s="47">
        <f t="shared" si="3"/>
        <v>579</v>
      </c>
      <c r="C223" s="224">
        <v>1.19988447010648E-3</v>
      </c>
      <c r="D223" s="36"/>
      <c r="E223" s="36"/>
      <c r="F223" s="36"/>
      <c r="G223" s="36"/>
    </row>
    <row r="224" spans="1:7" ht="15" customHeight="1" x14ac:dyDescent="0.2">
      <c r="A224" s="36"/>
      <c r="B224" s="47">
        <f t="shared" si="3"/>
        <v>580</v>
      </c>
      <c r="C224" s="224">
        <v>1.21488302598281E-3</v>
      </c>
      <c r="D224" s="36"/>
      <c r="E224" s="36"/>
      <c r="F224" s="36"/>
      <c r="G224" s="36"/>
    </row>
    <row r="225" spans="1:7" ht="15" customHeight="1" x14ac:dyDescent="0.2">
      <c r="A225" s="36"/>
      <c r="B225" s="47">
        <f t="shared" si="3"/>
        <v>581</v>
      </c>
      <c r="C225" s="224">
        <v>1.22988158185914E-3</v>
      </c>
      <c r="D225" s="36"/>
      <c r="E225" s="36"/>
      <c r="F225" s="36"/>
      <c r="G225" s="36"/>
    </row>
    <row r="226" spans="1:7" ht="15" customHeight="1" x14ac:dyDescent="0.2">
      <c r="A226" s="36"/>
      <c r="B226" s="47">
        <f t="shared" si="3"/>
        <v>582</v>
      </c>
      <c r="C226" s="224">
        <v>1.23988061911002E-3</v>
      </c>
      <c r="D226" s="36"/>
      <c r="E226" s="36"/>
      <c r="F226" s="36"/>
      <c r="G226" s="36"/>
    </row>
    <row r="227" spans="1:7" ht="15" customHeight="1" x14ac:dyDescent="0.2">
      <c r="A227" s="36"/>
      <c r="B227" s="47">
        <f t="shared" si="3"/>
        <v>583</v>
      </c>
      <c r="C227" s="224">
        <v>1.24987965636091E-3</v>
      </c>
      <c r="D227" s="36"/>
      <c r="E227" s="36"/>
      <c r="F227" s="36"/>
      <c r="G227" s="36"/>
    </row>
    <row r="228" spans="1:7" ht="15" customHeight="1" x14ac:dyDescent="0.2">
      <c r="A228" s="36"/>
      <c r="B228" s="47">
        <f t="shared" si="3"/>
        <v>584</v>
      </c>
      <c r="C228" s="224">
        <v>1.24987965636091E-3</v>
      </c>
      <c r="D228" s="36"/>
      <c r="E228" s="36"/>
      <c r="F228" s="36"/>
      <c r="G228" s="36"/>
    </row>
    <row r="229" spans="1:7" ht="15" customHeight="1" x14ac:dyDescent="0.2">
      <c r="A229" s="36"/>
      <c r="B229" s="47">
        <f t="shared" si="3"/>
        <v>585</v>
      </c>
      <c r="C229" s="224">
        <v>1.23988061911002E-3</v>
      </c>
      <c r="D229" s="36"/>
      <c r="E229" s="36"/>
      <c r="F229" s="36"/>
      <c r="G229" s="36"/>
    </row>
    <row r="230" spans="1:7" ht="15" customHeight="1" x14ac:dyDescent="0.2">
      <c r="A230" s="36"/>
      <c r="B230" s="47">
        <f t="shared" si="3"/>
        <v>586</v>
      </c>
      <c r="C230" s="224">
        <v>1.22488206323369E-3</v>
      </c>
      <c r="D230" s="36"/>
      <c r="E230" s="36"/>
      <c r="F230" s="36"/>
      <c r="G230" s="36"/>
    </row>
    <row r="231" spans="1:7" ht="15" customHeight="1" x14ac:dyDescent="0.2">
      <c r="A231" s="36"/>
      <c r="B231" s="47">
        <f t="shared" si="3"/>
        <v>587</v>
      </c>
      <c r="C231" s="224">
        <v>1.19988447010648E-3</v>
      </c>
      <c r="D231" s="36"/>
      <c r="E231" s="36"/>
      <c r="F231" s="36"/>
      <c r="G231" s="36"/>
    </row>
    <row r="232" spans="1:7" ht="15" customHeight="1" x14ac:dyDescent="0.2">
      <c r="A232" s="36"/>
      <c r="B232" s="47">
        <f t="shared" si="3"/>
        <v>588</v>
      </c>
      <c r="C232" s="224">
        <v>1.17488687697926E-3</v>
      </c>
      <c r="D232" s="36"/>
      <c r="E232" s="36"/>
      <c r="F232" s="36"/>
      <c r="G232" s="36"/>
    </row>
    <row r="233" spans="1:7" ht="15" customHeight="1" x14ac:dyDescent="0.2">
      <c r="A233" s="36"/>
      <c r="B233" s="47">
        <f t="shared" si="3"/>
        <v>589</v>
      </c>
      <c r="C233" s="224">
        <v>1.15488880247748E-3</v>
      </c>
      <c r="D233" s="36"/>
      <c r="E233" s="36"/>
      <c r="F233" s="36"/>
      <c r="G233" s="36"/>
    </row>
    <row r="234" spans="1:7" ht="15" customHeight="1" x14ac:dyDescent="0.2">
      <c r="A234" s="36"/>
      <c r="B234" s="47">
        <f t="shared" si="3"/>
        <v>590</v>
      </c>
      <c r="C234" s="224">
        <v>1.1448897652266E-3</v>
      </c>
      <c r="D234" s="36"/>
      <c r="E234" s="36"/>
      <c r="F234" s="36"/>
      <c r="G234" s="36"/>
    </row>
    <row r="235" spans="1:7" ht="15" customHeight="1" x14ac:dyDescent="0.2">
      <c r="A235" s="36"/>
      <c r="B235" s="47">
        <f t="shared" si="3"/>
        <v>591</v>
      </c>
      <c r="C235" s="224">
        <v>1.1448897652266E-3</v>
      </c>
      <c r="D235" s="36"/>
      <c r="E235" s="36"/>
      <c r="F235" s="36"/>
      <c r="G235" s="36"/>
    </row>
    <row r="236" spans="1:7" ht="15" customHeight="1" x14ac:dyDescent="0.2">
      <c r="A236" s="36"/>
      <c r="B236" s="47">
        <f t="shared" si="3"/>
        <v>592</v>
      </c>
      <c r="C236" s="224">
        <v>1.15488880247748E-3</v>
      </c>
      <c r="D236" s="36"/>
      <c r="E236" s="36"/>
      <c r="F236" s="36"/>
      <c r="G236" s="36"/>
    </row>
    <row r="237" spans="1:7" ht="15" customHeight="1" x14ac:dyDescent="0.2">
      <c r="A237" s="36"/>
      <c r="B237" s="47">
        <f t="shared" si="3"/>
        <v>593</v>
      </c>
      <c r="C237" s="224">
        <v>1.15988832110293E-3</v>
      </c>
      <c r="D237" s="36"/>
      <c r="E237" s="36"/>
      <c r="F237" s="36"/>
      <c r="G237" s="36"/>
    </row>
    <row r="238" spans="1:7" ht="15" customHeight="1" x14ac:dyDescent="0.2">
      <c r="A238" s="36"/>
      <c r="B238" s="47">
        <f t="shared" si="3"/>
        <v>594</v>
      </c>
      <c r="C238" s="224">
        <v>1.15488880247748E-3</v>
      </c>
      <c r="D238" s="36"/>
      <c r="E238" s="36"/>
      <c r="F238" s="36"/>
      <c r="G238" s="36"/>
    </row>
    <row r="239" spans="1:7" ht="15" customHeight="1" x14ac:dyDescent="0.2">
      <c r="A239" s="36"/>
      <c r="B239" s="47">
        <f t="shared" si="3"/>
        <v>595</v>
      </c>
      <c r="C239" s="224">
        <v>1.14988928385204E-3</v>
      </c>
      <c r="D239" s="36"/>
      <c r="E239" s="36"/>
      <c r="F239" s="36"/>
      <c r="G239" s="36"/>
    </row>
    <row r="240" spans="1:7" ht="15" customHeight="1" x14ac:dyDescent="0.2">
      <c r="A240" s="36"/>
      <c r="B240" s="47">
        <f t="shared" si="3"/>
        <v>596</v>
      </c>
      <c r="C240" s="224">
        <v>1.14988928385204E-3</v>
      </c>
      <c r="D240" s="36"/>
      <c r="E240" s="36"/>
      <c r="F240" s="36"/>
      <c r="G240" s="36"/>
    </row>
    <row r="241" spans="1:7" ht="15" customHeight="1" x14ac:dyDescent="0.2">
      <c r="A241" s="36"/>
      <c r="B241" s="47">
        <f t="shared" si="3"/>
        <v>597</v>
      </c>
      <c r="C241" s="224">
        <v>1.1448897652266E-3</v>
      </c>
      <c r="D241" s="36"/>
      <c r="E241" s="36"/>
      <c r="F241" s="36"/>
      <c r="G241" s="36"/>
    </row>
    <row r="242" spans="1:7" ht="15" customHeight="1" x14ac:dyDescent="0.2">
      <c r="A242" s="36"/>
      <c r="B242" s="47">
        <f t="shared" si="3"/>
        <v>598</v>
      </c>
      <c r="C242" s="224">
        <v>1.13989024660115E-3</v>
      </c>
      <c r="D242" s="36"/>
      <c r="E242" s="36"/>
      <c r="F242" s="36"/>
      <c r="G242" s="36"/>
    </row>
    <row r="243" spans="1:7" ht="15" customHeight="1" x14ac:dyDescent="0.2">
      <c r="A243" s="36"/>
      <c r="B243" s="47">
        <f t="shared" si="3"/>
        <v>599</v>
      </c>
      <c r="C243" s="224">
        <v>1.13489072797571E-3</v>
      </c>
      <c r="D243" s="36"/>
      <c r="E243" s="36"/>
      <c r="F243" s="36"/>
      <c r="G243" s="36"/>
    </row>
    <row r="244" spans="1:7" ht="15" customHeight="1" x14ac:dyDescent="0.2">
      <c r="A244" s="36"/>
      <c r="B244" s="47">
        <f t="shared" si="3"/>
        <v>600</v>
      </c>
      <c r="C244" s="224">
        <v>1.13489072797571E-3</v>
      </c>
      <c r="D244" s="36"/>
      <c r="E244" s="36"/>
      <c r="F244" s="36"/>
      <c r="G244" s="36"/>
    </row>
    <row r="245" spans="1:7" ht="15" customHeight="1" x14ac:dyDescent="0.2">
      <c r="A245" s="36"/>
      <c r="B245" s="47">
        <f t="shared" si="3"/>
        <v>601</v>
      </c>
      <c r="C245" s="224">
        <v>1.1298912093502601E-3</v>
      </c>
      <c r="D245" s="36"/>
      <c r="E245" s="36"/>
      <c r="F245" s="36"/>
      <c r="G245" s="36"/>
    </row>
    <row r="246" spans="1:7" ht="15" customHeight="1" x14ac:dyDescent="0.2">
      <c r="A246" s="36"/>
      <c r="B246" s="47">
        <f t="shared" si="3"/>
        <v>602</v>
      </c>
      <c r="C246" s="224">
        <v>1.12489169072482E-3</v>
      </c>
      <c r="D246" s="36"/>
      <c r="E246" s="36"/>
      <c r="F246" s="36"/>
      <c r="G246" s="36"/>
    </row>
    <row r="247" spans="1:7" ht="15" customHeight="1" x14ac:dyDescent="0.2">
      <c r="A247" s="36"/>
      <c r="B247" s="47">
        <f t="shared" si="3"/>
        <v>603</v>
      </c>
      <c r="C247" s="224">
        <v>1.1298912093502601E-3</v>
      </c>
      <c r="D247" s="36"/>
      <c r="E247" s="36"/>
      <c r="F247" s="36"/>
      <c r="G247" s="36"/>
    </row>
    <row r="248" spans="1:7" ht="15" customHeight="1" x14ac:dyDescent="0.2">
      <c r="A248" s="36"/>
      <c r="B248" s="47">
        <f t="shared" si="3"/>
        <v>604</v>
      </c>
      <c r="C248" s="224">
        <v>1.13489072797571E-3</v>
      </c>
      <c r="D248" s="36"/>
      <c r="E248" s="36"/>
      <c r="F248" s="36"/>
      <c r="G248" s="36"/>
    </row>
    <row r="249" spans="1:7" ht="15" customHeight="1" x14ac:dyDescent="0.2">
      <c r="A249" s="36"/>
      <c r="B249" s="47">
        <f t="shared" si="3"/>
        <v>605</v>
      </c>
      <c r="C249" s="224">
        <v>1.13989024660115E-3</v>
      </c>
      <c r="D249" s="36"/>
      <c r="E249" s="36"/>
      <c r="F249" s="36"/>
      <c r="G249" s="36"/>
    </row>
    <row r="250" spans="1:7" ht="15" customHeight="1" x14ac:dyDescent="0.2">
      <c r="A250" s="36"/>
      <c r="B250" s="47">
        <f t="shared" si="3"/>
        <v>606</v>
      </c>
      <c r="C250" s="224">
        <v>1.13989024660115E-3</v>
      </c>
      <c r="D250" s="36"/>
      <c r="E250" s="36"/>
      <c r="F250" s="36"/>
      <c r="G250" s="36"/>
    </row>
    <row r="251" spans="1:7" ht="15" customHeight="1" x14ac:dyDescent="0.2">
      <c r="A251" s="36"/>
      <c r="B251" s="47">
        <f t="shared" si="3"/>
        <v>607</v>
      </c>
      <c r="C251" s="224">
        <v>1.13489072797571E-3</v>
      </c>
      <c r="D251" s="36"/>
      <c r="E251" s="36"/>
      <c r="F251" s="36"/>
      <c r="G251" s="36"/>
    </row>
    <row r="252" spans="1:7" ht="15" customHeight="1" x14ac:dyDescent="0.2">
      <c r="A252" s="36"/>
      <c r="B252" s="47">
        <f t="shared" si="3"/>
        <v>608</v>
      </c>
      <c r="C252" s="224">
        <v>1.1298912093502601E-3</v>
      </c>
      <c r="D252" s="36"/>
      <c r="E252" s="36"/>
      <c r="F252" s="36"/>
      <c r="G252" s="36"/>
    </row>
    <row r="253" spans="1:7" ht="15" customHeight="1" x14ac:dyDescent="0.2">
      <c r="A253" s="36"/>
      <c r="B253" s="47">
        <f t="shared" si="3"/>
        <v>609</v>
      </c>
      <c r="C253" s="224">
        <v>1.12489169072482E-3</v>
      </c>
      <c r="D253" s="36"/>
      <c r="E253" s="36"/>
      <c r="F253" s="36"/>
      <c r="G253" s="36"/>
    </row>
    <row r="254" spans="1:7" ht="15" customHeight="1" x14ac:dyDescent="0.2">
      <c r="A254" s="36"/>
      <c r="B254" s="47">
        <f t="shared" si="3"/>
        <v>610</v>
      </c>
      <c r="C254" s="224">
        <v>1.1148926534739301E-3</v>
      </c>
      <c r="D254" s="36"/>
      <c r="E254" s="36"/>
      <c r="F254" s="36"/>
      <c r="G254" s="36"/>
    </row>
    <row r="255" spans="1:7" ht="15" customHeight="1" x14ac:dyDescent="0.2">
      <c r="A255" s="36"/>
      <c r="B255" s="47">
        <f t="shared" si="3"/>
        <v>611</v>
      </c>
      <c r="C255" s="224">
        <v>1.10989313484849E-3</v>
      </c>
      <c r="D255" s="36"/>
      <c r="E255" s="36"/>
      <c r="F255" s="36"/>
      <c r="G255" s="36"/>
    </row>
    <row r="256" spans="1:7" ht="15" customHeight="1" x14ac:dyDescent="0.2">
      <c r="A256" s="36"/>
      <c r="B256" s="47">
        <f t="shared" si="3"/>
        <v>612</v>
      </c>
      <c r="C256" s="224">
        <v>1.10489361622305E-3</v>
      </c>
      <c r="D256" s="36"/>
      <c r="E256" s="36"/>
      <c r="F256" s="36"/>
      <c r="G256" s="36"/>
    </row>
    <row r="257" spans="1:7" ht="15" customHeight="1" x14ac:dyDescent="0.2">
      <c r="A257" s="36"/>
      <c r="B257" s="47">
        <f t="shared" si="3"/>
        <v>613</v>
      </c>
      <c r="C257" s="224">
        <v>1.0998940975976001E-3</v>
      </c>
      <c r="D257" s="36"/>
      <c r="E257" s="36"/>
      <c r="F257" s="36"/>
      <c r="G257" s="36"/>
    </row>
    <row r="258" spans="1:7" ht="15" customHeight="1" x14ac:dyDescent="0.2">
      <c r="A258" s="36"/>
      <c r="B258" s="47">
        <f t="shared" si="3"/>
        <v>614</v>
      </c>
      <c r="C258" s="224">
        <v>1.0998940975976001E-3</v>
      </c>
      <c r="D258" s="36"/>
      <c r="E258" s="36"/>
      <c r="F258" s="36"/>
      <c r="G258" s="36"/>
    </row>
    <row r="259" spans="1:7" ht="15" customHeight="1" x14ac:dyDescent="0.2">
      <c r="A259" s="36"/>
      <c r="B259" s="47">
        <f t="shared" si="3"/>
        <v>615</v>
      </c>
      <c r="C259" s="224">
        <v>1.09489457897216E-3</v>
      </c>
      <c r="D259" s="36"/>
      <c r="E259" s="36"/>
      <c r="F259" s="36"/>
      <c r="G259" s="36"/>
    </row>
    <row r="260" spans="1:7" ht="15" customHeight="1" x14ac:dyDescent="0.2">
      <c r="A260" s="36"/>
      <c r="B260" s="47">
        <f t="shared" si="3"/>
        <v>616</v>
      </c>
      <c r="C260" s="224">
        <v>1.08989506034672E-3</v>
      </c>
      <c r="D260" s="36"/>
      <c r="E260" s="36"/>
      <c r="F260" s="36"/>
      <c r="G260" s="36"/>
    </row>
    <row r="261" spans="1:7" ht="15" customHeight="1" x14ac:dyDescent="0.2">
      <c r="A261" s="36"/>
      <c r="B261" s="47">
        <f t="shared" si="3"/>
        <v>617</v>
      </c>
      <c r="C261" s="224">
        <v>1.08989506034672E-3</v>
      </c>
      <c r="D261" s="36"/>
      <c r="E261" s="36"/>
      <c r="F261" s="36"/>
      <c r="G261" s="36"/>
    </row>
    <row r="262" spans="1:7" ht="15" customHeight="1" x14ac:dyDescent="0.2">
      <c r="A262" s="36"/>
      <c r="B262" s="47">
        <f t="shared" si="3"/>
        <v>618</v>
      </c>
      <c r="C262" s="224">
        <v>1.09489457897216E-3</v>
      </c>
      <c r="D262" s="36"/>
      <c r="E262" s="36"/>
      <c r="F262" s="36"/>
      <c r="G262" s="36"/>
    </row>
    <row r="263" spans="1:7" ht="15" customHeight="1" x14ac:dyDescent="0.2">
      <c r="A263" s="36"/>
      <c r="B263" s="47">
        <f t="shared" si="3"/>
        <v>619</v>
      </c>
      <c r="C263" s="224">
        <v>1.0998940975976001E-3</v>
      </c>
      <c r="D263" s="36"/>
      <c r="E263" s="36"/>
      <c r="F263" s="36"/>
      <c r="G263" s="36"/>
    </row>
    <row r="264" spans="1:7" ht="15" customHeight="1" x14ac:dyDescent="0.2">
      <c r="A264" s="36"/>
      <c r="B264" s="47">
        <f t="shared" si="3"/>
        <v>620</v>
      </c>
      <c r="C264" s="224">
        <v>1.10489361622305E-3</v>
      </c>
      <c r="D264" s="36"/>
      <c r="E264" s="36"/>
      <c r="F264" s="36"/>
      <c r="G264" s="36"/>
    </row>
    <row r="265" spans="1:7" ht="15" customHeight="1" x14ac:dyDescent="0.2">
      <c r="A265" s="36"/>
      <c r="B265" s="47">
        <f t="shared" si="3"/>
        <v>621</v>
      </c>
      <c r="C265" s="224">
        <v>1.10489361622305E-3</v>
      </c>
      <c r="D265" s="36"/>
      <c r="E265" s="36"/>
      <c r="F265" s="36"/>
      <c r="G265" s="36"/>
    </row>
    <row r="266" spans="1:7" ht="15" customHeight="1" x14ac:dyDescent="0.2">
      <c r="A266" s="36"/>
      <c r="B266" s="47">
        <f t="shared" si="3"/>
        <v>622</v>
      </c>
      <c r="C266" s="224">
        <v>1.09489457897216E-3</v>
      </c>
      <c r="D266" s="36"/>
      <c r="E266" s="36"/>
      <c r="F266" s="36"/>
      <c r="G266" s="36"/>
    </row>
    <row r="267" spans="1:7" ht="15" customHeight="1" x14ac:dyDescent="0.2">
      <c r="A267" s="36"/>
      <c r="B267" s="47">
        <f t="shared" si="3"/>
        <v>623</v>
      </c>
      <c r="C267" s="224">
        <v>1.0848955417212701E-3</v>
      </c>
      <c r="D267" s="36"/>
      <c r="E267" s="36"/>
      <c r="F267" s="36"/>
      <c r="G267" s="36"/>
    </row>
    <row r="268" spans="1:7" ht="15" customHeight="1" x14ac:dyDescent="0.2">
      <c r="A268" s="36"/>
      <c r="B268" s="47">
        <f t="shared" si="3"/>
        <v>624</v>
      </c>
      <c r="C268" s="224">
        <v>1.0698969858449401E-3</v>
      </c>
      <c r="D268" s="36"/>
      <c r="E268" s="36"/>
      <c r="F268" s="36"/>
      <c r="G268" s="36"/>
    </row>
    <row r="269" spans="1:7" ht="15" customHeight="1" x14ac:dyDescent="0.2">
      <c r="A269" s="36"/>
      <c r="B269" s="47">
        <f t="shared" si="3"/>
        <v>625</v>
      </c>
      <c r="C269" s="224">
        <v>1.0598979485940501E-3</v>
      </c>
      <c r="D269" s="36"/>
      <c r="E269" s="36"/>
      <c r="F269" s="36"/>
      <c r="G269" s="36"/>
    </row>
    <row r="270" spans="1:7" ht="15" customHeight="1" x14ac:dyDescent="0.2">
      <c r="A270" s="36"/>
      <c r="B270" s="47">
        <f t="shared" si="3"/>
        <v>626</v>
      </c>
      <c r="C270" s="224">
        <v>1.0448993927177201E-3</v>
      </c>
      <c r="D270" s="36"/>
      <c r="E270" s="36"/>
      <c r="F270" s="36"/>
      <c r="G270" s="36"/>
    </row>
    <row r="271" spans="1:7" ht="15" customHeight="1" x14ac:dyDescent="0.2">
      <c r="A271" s="36"/>
      <c r="B271" s="47">
        <f t="shared" si="3"/>
        <v>627</v>
      </c>
      <c r="C271" s="224">
        <v>1.0349003554668301E-3</v>
      </c>
      <c r="D271" s="36"/>
      <c r="E271" s="36"/>
      <c r="F271" s="36"/>
      <c r="G271" s="36"/>
    </row>
    <row r="272" spans="1:7" ht="15" customHeight="1" x14ac:dyDescent="0.2">
      <c r="A272" s="36"/>
      <c r="B272" s="47">
        <f t="shared" si="3"/>
        <v>628</v>
      </c>
      <c r="C272" s="224">
        <v>1.0249013182159501E-3</v>
      </c>
      <c r="D272" s="36"/>
      <c r="E272" s="36"/>
      <c r="F272" s="36"/>
      <c r="G272" s="36"/>
    </row>
    <row r="273" spans="1:7" ht="15" customHeight="1" x14ac:dyDescent="0.2">
      <c r="A273" s="36"/>
      <c r="B273" s="47">
        <f t="shared" si="3"/>
        <v>629</v>
      </c>
      <c r="C273" s="224">
        <v>1.0149022809650601E-3</v>
      </c>
      <c r="D273" s="36"/>
      <c r="E273" s="36"/>
      <c r="F273" s="36"/>
      <c r="G273" s="36"/>
    </row>
    <row r="274" spans="1:7" ht="15" customHeight="1" x14ac:dyDescent="0.2">
      <c r="A274" s="36"/>
      <c r="B274" s="47">
        <f t="shared" si="3"/>
        <v>630</v>
      </c>
      <c r="C274" s="224">
        <v>1.0149022809650601E-3</v>
      </c>
      <c r="D274" s="36"/>
      <c r="E274" s="36"/>
      <c r="F274" s="36"/>
      <c r="G274" s="36"/>
    </row>
    <row r="275" spans="1:7" ht="15" customHeight="1" x14ac:dyDescent="0.2">
      <c r="A275" s="36"/>
      <c r="B275" s="47">
        <f t="shared" si="3"/>
        <v>631</v>
      </c>
      <c r="C275" s="224">
        <v>1.0199017995905001E-3</v>
      </c>
      <c r="D275" s="36"/>
      <c r="E275" s="36"/>
      <c r="F275" s="36"/>
      <c r="G275" s="36"/>
    </row>
    <row r="276" spans="1:7" ht="15" customHeight="1" x14ac:dyDescent="0.2">
      <c r="A276" s="36"/>
      <c r="B276" s="47">
        <f t="shared" si="3"/>
        <v>632</v>
      </c>
      <c r="C276" s="224">
        <v>1.0299008368413901E-3</v>
      </c>
      <c r="D276" s="36"/>
      <c r="E276" s="36"/>
      <c r="F276" s="36"/>
      <c r="G276" s="36"/>
    </row>
    <row r="277" spans="1:7" ht="15" customHeight="1" x14ac:dyDescent="0.2">
      <c r="A277" s="36"/>
      <c r="B277" s="47">
        <f t="shared" si="3"/>
        <v>633</v>
      </c>
      <c r="C277" s="224">
        <v>1.0398998740922801E-3</v>
      </c>
      <c r="D277" s="36"/>
      <c r="E277" s="36"/>
      <c r="F277" s="36"/>
      <c r="G277" s="36"/>
    </row>
    <row r="278" spans="1:7" ht="15" customHeight="1" x14ac:dyDescent="0.2">
      <c r="A278" s="36"/>
      <c r="B278" s="47">
        <f t="shared" si="3"/>
        <v>634</v>
      </c>
      <c r="C278" s="224">
        <v>1.04989891134317E-3</v>
      </c>
      <c r="D278" s="36"/>
      <c r="E278" s="36"/>
      <c r="F278" s="36"/>
      <c r="G278" s="36"/>
    </row>
    <row r="279" spans="1:7" ht="15" customHeight="1" x14ac:dyDescent="0.2">
      <c r="A279" s="36"/>
      <c r="B279" s="47">
        <f t="shared" si="3"/>
        <v>635</v>
      </c>
      <c r="C279" s="224">
        <v>1.0548984299686101E-3</v>
      </c>
      <c r="D279" s="36"/>
      <c r="E279" s="36"/>
      <c r="F279" s="36"/>
      <c r="G279" s="36"/>
    </row>
    <row r="280" spans="1:7" ht="15" customHeight="1" x14ac:dyDescent="0.2">
      <c r="A280" s="36"/>
      <c r="B280" s="47">
        <f t="shared" ref="B280:B343" si="4">IF(380+C$20*(ROW()-ROW(B$23)-1)&gt;780,"",380+C$20*(ROW()-ROW(B$23)-1))</f>
        <v>636</v>
      </c>
      <c r="C280" s="224">
        <v>1.0598979485940501E-3</v>
      </c>
      <c r="D280" s="36"/>
      <c r="E280" s="36"/>
      <c r="F280" s="36"/>
      <c r="G280" s="36"/>
    </row>
    <row r="281" spans="1:7" ht="15" customHeight="1" x14ac:dyDescent="0.2">
      <c r="A281" s="36"/>
      <c r="B281" s="47">
        <f t="shared" si="4"/>
        <v>637</v>
      </c>
      <c r="C281" s="224">
        <v>1.0648974672195E-3</v>
      </c>
      <c r="D281" s="36"/>
      <c r="E281" s="36"/>
      <c r="F281" s="36"/>
      <c r="G281" s="36"/>
    </row>
    <row r="282" spans="1:7" ht="15" customHeight="1" x14ac:dyDescent="0.2">
      <c r="A282" s="36"/>
      <c r="B282" s="47">
        <f t="shared" si="4"/>
        <v>638</v>
      </c>
      <c r="C282" s="224">
        <v>1.0698969858449401E-3</v>
      </c>
      <c r="D282" s="36"/>
      <c r="E282" s="36"/>
      <c r="F282" s="36"/>
      <c r="G282" s="36"/>
    </row>
    <row r="283" spans="1:7" ht="15" customHeight="1" x14ac:dyDescent="0.2">
      <c r="A283" s="36"/>
      <c r="B283" s="47">
        <f t="shared" si="4"/>
        <v>639</v>
      </c>
      <c r="C283" s="224">
        <v>1.0648974672195E-3</v>
      </c>
      <c r="D283" s="36"/>
      <c r="E283" s="36"/>
      <c r="F283" s="36"/>
      <c r="G283" s="36"/>
    </row>
    <row r="284" spans="1:7" ht="15" customHeight="1" x14ac:dyDescent="0.2">
      <c r="A284" s="36"/>
      <c r="B284" s="47">
        <f t="shared" si="4"/>
        <v>640</v>
      </c>
      <c r="C284" s="224">
        <v>1.0648974672195E-3</v>
      </c>
      <c r="D284" s="36"/>
      <c r="E284" s="36"/>
      <c r="F284" s="36"/>
      <c r="G284" s="36"/>
    </row>
    <row r="285" spans="1:7" ht="15" customHeight="1" x14ac:dyDescent="0.2">
      <c r="A285" s="36"/>
      <c r="B285" s="47">
        <f t="shared" si="4"/>
        <v>641</v>
      </c>
      <c r="C285" s="224">
        <v>1.0648974672195E-3</v>
      </c>
      <c r="D285" s="36"/>
      <c r="E285" s="36"/>
      <c r="F285" s="36"/>
      <c r="G285" s="36"/>
    </row>
    <row r="286" spans="1:7" ht="15" customHeight="1" x14ac:dyDescent="0.2">
      <c r="A286" s="36"/>
      <c r="B286" s="47">
        <f t="shared" si="4"/>
        <v>642</v>
      </c>
      <c r="C286" s="224">
        <v>1.0648974672195E-3</v>
      </c>
      <c r="D286" s="36"/>
      <c r="E286" s="36"/>
      <c r="F286" s="36"/>
      <c r="G286" s="36"/>
    </row>
    <row r="287" spans="1:7" ht="15" customHeight="1" x14ac:dyDescent="0.2">
      <c r="A287" s="36"/>
      <c r="B287" s="47">
        <f t="shared" si="4"/>
        <v>643</v>
      </c>
      <c r="C287" s="224">
        <v>1.0598979485940501E-3</v>
      </c>
      <c r="D287" s="36"/>
      <c r="E287" s="36"/>
      <c r="F287" s="36"/>
      <c r="G287" s="36"/>
    </row>
    <row r="288" spans="1:7" ht="15" customHeight="1" x14ac:dyDescent="0.2">
      <c r="A288" s="36"/>
      <c r="B288" s="47">
        <f t="shared" si="4"/>
        <v>644</v>
      </c>
      <c r="C288" s="224">
        <v>1.0598979485940501E-3</v>
      </c>
      <c r="D288" s="36"/>
      <c r="E288" s="36"/>
      <c r="F288" s="36"/>
      <c r="G288" s="36"/>
    </row>
    <row r="289" spans="1:7" ht="15" customHeight="1" x14ac:dyDescent="0.2">
      <c r="A289" s="36"/>
      <c r="B289" s="47">
        <f t="shared" si="4"/>
        <v>645</v>
      </c>
      <c r="C289" s="224">
        <v>1.0548984299686101E-3</v>
      </c>
      <c r="D289" s="36"/>
      <c r="E289" s="36"/>
      <c r="F289" s="36"/>
      <c r="G289" s="36"/>
    </row>
    <row r="290" spans="1:7" ht="15" customHeight="1" x14ac:dyDescent="0.2">
      <c r="A290" s="36"/>
      <c r="B290" s="47">
        <f t="shared" si="4"/>
        <v>646</v>
      </c>
      <c r="C290" s="224">
        <v>1.0448993927177201E-3</v>
      </c>
      <c r="D290" s="36"/>
      <c r="E290" s="36"/>
      <c r="F290" s="36"/>
      <c r="G290" s="36"/>
    </row>
    <row r="291" spans="1:7" ht="15" customHeight="1" x14ac:dyDescent="0.2">
      <c r="A291" s="36"/>
      <c r="B291" s="47">
        <f t="shared" si="4"/>
        <v>647</v>
      </c>
      <c r="C291" s="224">
        <v>1.0398998740922801E-3</v>
      </c>
      <c r="D291" s="36"/>
      <c r="E291" s="36"/>
      <c r="F291" s="36"/>
      <c r="G291" s="36"/>
    </row>
    <row r="292" spans="1:7" ht="15" customHeight="1" x14ac:dyDescent="0.2">
      <c r="A292" s="36"/>
      <c r="B292" s="47">
        <f t="shared" si="4"/>
        <v>648</v>
      </c>
      <c r="C292" s="224">
        <v>1.0299008368413901E-3</v>
      </c>
      <c r="D292" s="36"/>
      <c r="E292" s="36"/>
      <c r="F292" s="36"/>
      <c r="G292" s="36"/>
    </row>
    <row r="293" spans="1:7" ht="15" customHeight="1" x14ac:dyDescent="0.2">
      <c r="A293" s="36"/>
      <c r="B293" s="47">
        <f t="shared" si="4"/>
        <v>649</v>
      </c>
      <c r="C293" s="224">
        <v>1.0249013182159501E-3</v>
      </c>
      <c r="D293" s="36"/>
      <c r="E293" s="36"/>
      <c r="F293" s="36"/>
      <c r="G293" s="36"/>
    </row>
    <row r="294" spans="1:7" ht="15" customHeight="1" x14ac:dyDescent="0.2">
      <c r="A294" s="36"/>
      <c r="B294" s="47">
        <f t="shared" si="4"/>
        <v>650</v>
      </c>
      <c r="C294" s="224">
        <v>1.0249013182159501E-3</v>
      </c>
      <c r="D294" s="36"/>
      <c r="E294" s="36"/>
      <c r="F294" s="36"/>
      <c r="G294" s="36"/>
    </row>
    <row r="295" spans="1:7" ht="15" customHeight="1" x14ac:dyDescent="0.2">
      <c r="A295" s="36"/>
      <c r="B295" s="47">
        <f t="shared" si="4"/>
        <v>651</v>
      </c>
      <c r="C295" s="224">
        <v>1.0299008368413901E-3</v>
      </c>
      <c r="D295" s="36"/>
      <c r="E295" s="36"/>
      <c r="F295" s="36"/>
      <c r="G295" s="36"/>
    </row>
    <row r="296" spans="1:7" ht="15" customHeight="1" x14ac:dyDescent="0.2">
      <c r="A296" s="36"/>
      <c r="B296" s="47">
        <f t="shared" si="4"/>
        <v>652</v>
      </c>
      <c r="C296" s="224">
        <v>1.0299008368413901E-3</v>
      </c>
      <c r="D296" s="36"/>
      <c r="E296" s="36"/>
      <c r="F296" s="36"/>
      <c r="G296" s="36"/>
    </row>
    <row r="297" spans="1:7" ht="15" customHeight="1" x14ac:dyDescent="0.2">
      <c r="A297" s="36"/>
      <c r="B297" s="47">
        <f t="shared" si="4"/>
        <v>653</v>
      </c>
      <c r="C297" s="224">
        <v>1.0249013182159501E-3</v>
      </c>
      <c r="D297" s="36"/>
      <c r="E297" s="36"/>
      <c r="F297" s="36"/>
      <c r="G297" s="36"/>
    </row>
    <row r="298" spans="1:7" ht="15" customHeight="1" x14ac:dyDescent="0.2">
      <c r="A298" s="36"/>
      <c r="B298" s="47">
        <f t="shared" si="4"/>
        <v>654</v>
      </c>
      <c r="C298" s="224">
        <v>1.0049032437141701E-3</v>
      </c>
      <c r="D298" s="36"/>
      <c r="E298" s="36"/>
      <c r="F298" s="36"/>
      <c r="G298" s="36"/>
    </row>
    <row r="299" spans="1:7" ht="15" customHeight="1" x14ac:dyDescent="0.2">
      <c r="A299" s="36"/>
      <c r="B299" s="47">
        <f t="shared" si="4"/>
        <v>655</v>
      </c>
      <c r="C299" s="224">
        <v>9.7990565058695897E-4</v>
      </c>
      <c r="D299" s="36"/>
      <c r="E299" s="36"/>
      <c r="F299" s="36"/>
      <c r="G299" s="36"/>
    </row>
    <row r="300" spans="1:7" ht="15" customHeight="1" x14ac:dyDescent="0.2">
      <c r="A300" s="36"/>
      <c r="B300" s="47">
        <f t="shared" si="4"/>
        <v>656</v>
      </c>
      <c r="C300" s="224">
        <v>9.6990661333607104E-4</v>
      </c>
      <c r="D300" s="36"/>
      <c r="E300" s="36"/>
      <c r="F300" s="36"/>
      <c r="G300" s="36"/>
    </row>
    <row r="301" spans="1:7" ht="15" customHeight="1" x14ac:dyDescent="0.2">
      <c r="A301" s="36"/>
      <c r="B301" s="47">
        <f t="shared" si="4"/>
        <v>657</v>
      </c>
      <c r="C301" s="224">
        <v>9.7490613196151495E-4</v>
      </c>
      <c r="D301" s="36"/>
      <c r="E301" s="36"/>
      <c r="F301" s="36"/>
      <c r="G301" s="36"/>
    </row>
    <row r="302" spans="1:7" ht="15" customHeight="1" x14ac:dyDescent="0.2">
      <c r="A302" s="36"/>
      <c r="B302" s="47">
        <f t="shared" si="4"/>
        <v>658</v>
      </c>
      <c r="C302" s="224">
        <v>9.8990468783784593E-4</v>
      </c>
      <c r="D302" s="36"/>
      <c r="E302" s="36"/>
      <c r="F302" s="36"/>
      <c r="G302" s="36"/>
    </row>
    <row r="303" spans="1:7" ht="15" customHeight="1" x14ac:dyDescent="0.2">
      <c r="A303" s="36"/>
      <c r="B303" s="47">
        <f t="shared" si="4"/>
        <v>659</v>
      </c>
      <c r="C303" s="224">
        <v>1.0149022809650601E-3</v>
      </c>
      <c r="D303" s="36"/>
      <c r="E303" s="36"/>
      <c r="F303" s="36"/>
      <c r="G303" s="36"/>
    </row>
    <row r="304" spans="1:7" ht="15" customHeight="1" x14ac:dyDescent="0.2">
      <c r="A304" s="36"/>
      <c r="B304" s="47">
        <f t="shared" si="4"/>
        <v>660</v>
      </c>
      <c r="C304" s="224">
        <v>1.0349003554668301E-3</v>
      </c>
      <c r="D304" s="36"/>
      <c r="E304" s="36"/>
      <c r="F304" s="36"/>
      <c r="G304" s="36"/>
    </row>
    <row r="305" spans="1:7" ht="15" customHeight="1" x14ac:dyDescent="0.2">
      <c r="A305" s="36"/>
      <c r="B305" s="47">
        <f t="shared" si="4"/>
        <v>661</v>
      </c>
      <c r="C305" s="224">
        <v>1.0398998740922801E-3</v>
      </c>
      <c r="D305" s="36"/>
      <c r="E305" s="36"/>
      <c r="F305" s="36"/>
      <c r="G305" s="36"/>
    </row>
    <row r="306" spans="1:7" ht="15" customHeight="1" x14ac:dyDescent="0.2">
      <c r="A306" s="36"/>
      <c r="B306" s="47">
        <f t="shared" si="4"/>
        <v>662</v>
      </c>
      <c r="C306" s="224">
        <v>1.0448993927177201E-3</v>
      </c>
      <c r="D306" s="36"/>
      <c r="E306" s="36"/>
      <c r="F306" s="36"/>
      <c r="G306" s="36"/>
    </row>
    <row r="307" spans="1:7" ht="15" customHeight="1" x14ac:dyDescent="0.2">
      <c r="A307" s="36"/>
      <c r="B307" s="47">
        <f t="shared" si="4"/>
        <v>663</v>
      </c>
      <c r="C307" s="224">
        <v>1.0398998740922801E-3</v>
      </c>
      <c r="D307" s="36"/>
      <c r="E307" s="36"/>
      <c r="F307" s="36"/>
      <c r="G307" s="36"/>
    </row>
    <row r="308" spans="1:7" ht="15" customHeight="1" x14ac:dyDescent="0.2">
      <c r="A308" s="36"/>
      <c r="B308" s="47">
        <f t="shared" si="4"/>
        <v>664</v>
      </c>
      <c r="C308" s="224">
        <v>1.0398998740922801E-3</v>
      </c>
      <c r="D308" s="36"/>
      <c r="E308" s="36"/>
      <c r="F308" s="36"/>
      <c r="G308" s="36"/>
    </row>
    <row r="309" spans="1:7" ht="15" customHeight="1" x14ac:dyDescent="0.2">
      <c r="A309" s="36"/>
      <c r="B309" s="47">
        <f t="shared" si="4"/>
        <v>665</v>
      </c>
      <c r="C309" s="224">
        <v>1.0448993927177201E-3</v>
      </c>
      <c r="D309" s="36"/>
      <c r="E309" s="36"/>
      <c r="F309" s="36"/>
      <c r="G309" s="36"/>
    </row>
    <row r="310" spans="1:7" ht="15" customHeight="1" x14ac:dyDescent="0.2">
      <c r="A310" s="36"/>
      <c r="B310" s="47">
        <f t="shared" si="4"/>
        <v>666</v>
      </c>
      <c r="C310" s="224">
        <v>1.0448993927177201E-3</v>
      </c>
      <c r="D310" s="36"/>
      <c r="E310" s="36"/>
      <c r="F310" s="36"/>
      <c r="G310" s="36"/>
    </row>
    <row r="311" spans="1:7" ht="15" customHeight="1" x14ac:dyDescent="0.2">
      <c r="A311" s="36"/>
      <c r="B311" s="47">
        <f t="shared" si="4"/>
        <v>667</v>
      </c>
      <c r="C311" s="224">
        <v>1.04989891134317E-3</v>
      </c>
      <c r="D311" s="36"/>
      <c r="E311" s="36"/>
      <c r="F311" s="36"/>
      <c r="G311" s="36"/>
    </row>
    <row r="312" spans="1:7" ht="15" customHeight="1" x14ac:dyDescent="0.2">
      <c r="A312" s="36"/>
      <c r="B312" s="47">
        <f t="shared" si="4"/>
        <v>668</v>
      </c>
      <c r="C312" s="224">
        <v>1.0448993927177201E-3</v>
      </c>
      <c r="D312" s="36"/>
      <c r="E312" s="36"/>
      <c r="F312" s="36"/>
      <c r="G312" s="36"/>
    </row>
    <row r="313" spans="1:7" ht="15" customHeight="1" x14ac:dyDescent="0.2">
      <c r="A313" s="36"/>
      <c r="B313" s="47">
        <f t="shared" si="4"/>
        <v>669</v>
      </c>
      <c r="C313" s="224">
        <v>1.0349003554668301E-3</v>
      </c>
      <c r="D313" s="36"/>
      <c r="E313" s="36"/>
      <c r="F313" s="36"/>
      <c r="G313" s="36"/>
    </row>
    <row r="314" spans="1:7" ht="15" customHeight="1" x14ac:dyDescent="0.2">
      <c r="A314" s="36"/>
      <c r="B314" s="47">
        <f t="shared" si="4"/>
        <v>670</v>
      </c>
      <c r="C314" s="224">
        <v>1.0349003554668301E-3</v>
      </c>
      <c r="D314" s="36"/>
      <c r="E314" s="36"/>
      <c r="F314" s="36"/>
      <c r="G314" s="36"/>
    </row>
    <row r="315" spans="1:7" ht="15" customHeight="1" x14ac:dyDescent="0.2">
      <c r="A315" s="36"/>
      <c r="B315" s="47">
        <f t="shared" si="4"/>
        <v>671</v>
      </c>
      <c r="C315" s="224">
        <v>1.0299008368413901E-3</v>
      </c>
      <c r="D315" s="36"/>
      <c r="E315" s="36"/>
      <c r="F315" s="36"/>
      <c r="G315" s="36"/>
    </row>
    <row r="316" spans="1:7" ht="15" customHeight="1" x14ac:dyDescent="0.2">
      <c r="A316" s="36"/>
      <c r="B316" s="47">
        <f t="shared" si="4"/>
        <v>672</v>
      </c>
      <c r="C316" s="224">
        <v>1.0299008368413901E-3</v>
      </c>
      <c r="D316" s="36"/>
      <c r="E316" s="36"/>
      <c r="F316" s="36"/>
      <c r="G316" s="36"/>
    </row>
    <row r="317" spans="1:7" ht="15" customHeight="1" x14ac:dyDescent="0.2">
      <c r="A317" s="36"/>
      <c r="B317" s="47">
        <f t="shared" si="4"/>
        <v>673</v>
      </c>
      <c r="C317" s="224">
        <v>1.0299008368413901E-3</v>
      </c>
      <c r="D317" s="36"/>
      <c r="E317" s="36"/>
      <c r="F317" s="36"/>
      <c r="G317" s="36"/>
    </row>
    <row r="318" spans="1:7" ht="15" customHeight="1" x14ac:dyDescent="0.2">
      <c r="A318" s="36"/>
      <c r="B318" s="47">
        <f t="shared" si="4"/>
        <v>674</v>
      </c>
      <c r="C318" s="224">
        <v>1.0299008368413901E-3</v>
      </c>
      <c r="D318" s="36"/>
      <c r="E318" s="36"/>
      <c r="F318" s="36"/>
      <c r="G318" s="36"/>
    </row>
    <row r="319" spans="1:7" ht="15" customHeight="1" x14ac:dyDescent="0.2">
      <c r="A319" s="36"/>
      <c r="B319" s="47">
        <f t="shared" si="4"/>
        <v>675</v>
      </c>
      <c r="C319" s="224">
        <v>1.0249013182159501E-3</v>
      </c>
      <c r="D319" s="36"/>
      <c r="E319" s="36"/>
      <c r="F319" s="36"/>
      <c r="G319" s="36"/>
    </row>
    <row r="320" spans="1:7" ht="15" customHeight="1" x14ac:dyDescent="0.2">
      <c r="A320" s="36"/>
      <c r="B320" s="47">
        <f t="shared" si="4"/>
        <v>676</v>
      </c>
      <c r="C320" s="224">
        <v>1.0249013182159501E-3</v>
      </c>
      <c r="D320" s="36"/>
      <c r="E320" s="36"/>
      <c r="F320" s="36"/>
      <c r="G320" s="36"/>
    </row>
    <row r="321" spans="1:7" ht="15" customHeight="1" x14ac:dyDescent="0.2">
      <c r="A321" s="36"/>
      <c r="B321" s="47">
        <f t="shared" si="4"/>
        <v>677</v>
      </c>
      <c r="C321" s="224">
        <v>1.0249013182159501E-3</v>
      </c>
      <c r="D321" s="36"/>
      <c r="E321" s="36"/>
      <c r="F321" s="36"/>
      <c r="G321" s="36"/>
    </row>
    <row r="322" spans="1:7" ht="15" customHeight="1" x14ac:dyDescent="0.2">
      <c r="A322" s="36"/>
      <c r="B322" s="47">
        <f t="shared" si="4"/>
        <v>678</v>
      </c>
      <c r="C322" s="224">
        <v>1.0249013182159501E-3</v>
      </c>
      <c r="D322" s="36"/>
      <c r="E322" s="36"/>
      <c r="F322" s="36"/>
      <c r="G322" s="36"/>
    </row>
    <row r="323" spans="1:7" ht="15" customHeight="1" x14ac:dyDescent="0.2">
      <c r="A323" s="36"/>
      <c r="B323" s="47">
        <f t="shared" si="4"/>
        <v>679</v>
      </c>
      <c r="C323" s="224">
        <v>1.0249013182159501E-3</v>
      </c>
      <c r="D323" s="36"/>
      <c r="E323" s="36"/>
      <c r="F323" s="36"/>
      <c r="G323" s="36"/>
    </row>
    <row r="324" spans="1:7" ht="15" customHeight="1" x14ac:dyDescent="0.2">
      <c r="A324" s="36"/>
      <c r="B324" s="47">
        <f t="shared" si="4"/>
        <v>680</v>
      </c>
      <c r="C324" s="224">
        <v>1.0199017995905001E-3</v>
      </c>
      <c r="D324" s="36"/>
      <c r="E324" s="36"/>
      <c r="F324" s="36"/>
      <c r="G324" s="36"/>
    </row>
    <row r="325" spans="1:7" ht="15" customHeight="1" x14ac:dyDescent="0.2">
      <c r="A325" s="36"/>
      <c r="B325" s="47">
        <f t="shared" si="4"/>
        <v>681</v>
      </c>
      <c r="C325" s="224">
        <v>1.0199017995905001E-3</v>
      </c>
      <c r="D325" s="36"/>
      <c r="E325" s="36"/>
      <c r="F325" s="36"/>
      <c r="G325" s="36"/>
    </row>
    <row r="326" spans="1:7" ht="15" customHeight="1" x14ac:dyDescent="0.2">
      <c r="A326" s="36"/>
      <c r="B326" s="47">
        <f t="shared" si="4"/>
        <v>682</v>
      </c>
      <c r="C326" s="224">
        <v>1.0149022809650601E-3</v>
      </c>
      <c r="D326" s="36"/>
      <c r="E326" s="36"/>
      <c r="F326" s="36"/>
      <c r="G326" s="36"/>
    </row>
    <row r="327" spans="1:7" ht="15" customHeight="1" x14ac:dyDescent="0.2">
      <c r="A327" s="36"/>
      <c r="B327" s="47">
        <f t="shared" si="4"/>
        <v>683</v>
      </c>
      <c r="C327" s="224">
        <v>9.9990372508873397E-4</v>
      </c>
      <c r="D327" s="36"/>
      <c r="E327" s="36"/>
      <c r="F327" s="36"/>
      <c r="G327" s="36"/>
    </row>
    <row r="328" spans="1:7" ht="15" customHeight="1" x14ac:dyDescent="0.2">
      <c r="A328" s="36"/>
      <c r="B328" s="47">
        <f t="shared" si="4"/>
        <v>684</v>
      </c>
      <c r="C328" s="224">
        <v>9.7490613196151495E-4</v>
      </c>
      <c r="D328" s="36"/>
      <c r="E328" s="36"/>
      <c r="F328" s="36"/>
      <c r="G328" s="36"/>
    </row>
    <row r="329" spans="1:7" ht="15" customHeight="1" x14ac:dyDescent="0.2">
      <c r="A329" s="36"/>
      <c r="B329" s="47">
        <f t="shared" si="4"/>
        <v>685</v>
      </c>
      <c r="C329" s="224">
        <v>9.1991142708163496E-4</v>
      </c>
      <c r="D329" s="36"/>
      <c r="E329" s="36"/>
      <c r="F329" s="36"/>
      <c r="G329" s="36"/>
    </row>
    <row r="330" spans="1:7" ht="15" customHeight="1" x14ac:dyDescent="0.2">
      <c r="A330" s="36"/>
      <c r="B330" s="47">
        <f t="shared" si="4"/>
        <v>686</v>
      </c>
      <c r="C330" s="224">
        <v>8.5491768495086704E-4</v>
      </c>
      <c r="D330" s="36"/>
      <c r="E330" s="36"/>
      <c r="F330" s="36"/>
      <c r="G330" s="36"/>
    </row>
    <row r="331" spans="1:7" ht="15" customHeight="1" x14ac:dyDescent="0.2">
      <c r="A331" s="36"/>
      <c r="B331" s="47">
        <f t="shared" si="4"/>
        <v>687</v>
      </c>
      <c r="C331" s="224">
        <v>7.9492346144554302E-4</v>
      </c>
      <c r="D331" s="36"/>
      <c r="E331" s="36"/>
      <c r="F331" s="36"/>
      <c r="G331" s="36"/>
    </row>
    <row r="332" spans="1:7" ht="15" customHeight="1" x14ac:dyDescent="0.2">
      <c r="A332" s="36"/>
      <c r="B332" s="47">
        <f t="shared" si="4"/>
        <v>688</v>
      </c>
      <c r="C332" s="224">
        <v>7.5992683106743705E-4</v>
      </c>
      <c r="D332" s="36"/>
      <c r="E332" s="36"/>
      <c r="F332" s="36"/>
      <c r="G332" s="36"/>
    </row>
    <row r="333" spans="1:7" ht="15" customHeight="1" x14ac:dyDescent="0.2">
      <c r="A333" s="36"/>
      <c r="B333" s="47">
        <f t="shared" si="4"/>
        <v>689</v>
      </c>
      <c r="C333" s="224">
        <v>7.6992586831832401E-4</v>
      </c>
      <c r="D333" s="36"/>
      <c r="E333" s="36"/>
      <c r="F333" s="36"/>
      <c r="G333" s="36"/>
    </row>
    <row r="334" spans="1:7" ht="15" customHeight="1" x14ac:dyDescent="0.2">
      <c r="A334" s="36"/>
      <c r="B334" s="47">
        <f t="shared" si="4"/>
        <v>690</v>
      </c>
      <c r="C334" s="224">
        <v>8.09922017321874E-4</v>
      </c>
      <c r="D334" s="36"/>
      <c r="E334" s="36"/>
      <c r="F334" s="36"/>
      <c r="G334" s="36"/>
    </row>
    <row r="335" spans="1:7" ht="15" customHeight="1" x14ac:dyDescent="0.2">
      <c r="A335" s="36"/>
      <c r="B335" s="47">
        <f t="shared" si="4"/>
        <v>691</v>
      </c>
      <c r="C335" s="224">
        <v>8.4991816632542302E-4</v>
      </c>
      <c r="D335" s="36"/>
      <c r="E335" s="36"/>
      <c r="F335" s="36"/>
      <c r="G335" s="36"/>
    </row>
    <row r="336" spans="1:7" ht="15" customHeight="1" x14ac:dyDescent="0.2">
      <c r="A336" s="36"/>
      <c r="B336" s="47">
        <f t="shared" si="4"/>
        <v>692</v>
      </c>
      <c r="C336" s="224">
        <v>8.7491575945264203E-4</v>
      </c>
      <c r="D336" s="36"/>
      <c r="E336" s="36"/>
      <c r="F336" s="36"/>
      <c r="G336" s="36"/>
    </row>
    <row r="337" spans="1:7" ht="15" customHeight="1" x14ac:dyDescent="0.2">
      <c r="A337" s="36"/>
      <c r="B337" s="47">
        <f t="shared" si="4"/>
        <v>693</v>
      </c>
      <c r="C337" s="224">
        <v>8.9491383395441605E-4</v>
      </c>
      <c r="D337" s="36"/>
      <c r="E337" s="36"/>
      <c r="F337" s="36"/>
      <c r="G337" s="36"/>
    </row>
    <row r="338" spans="1:7" ht="15" customHeight="1" x14ac:dyDescent="0.2">
      <c r="A338" s="36"/>
      <c r="B338" s="47">
        <f t="shared" si="4"/>
        <v>694</v>
      </c>
      <c r="C338" s="224">
        <v>9.0991238983074703E-4</v>
      </c>
      <c r="D338" s="36"/>
      <c r="E338" s="36"/>
      <c r="F338" s="36"/>
      <c r="G338" s="36"/>
    </row>
    <row r="339" spans="1:7" ht="15" customHeight="1" x14ac:dyDescent="0.2">
      <c r="A339" s="36"/>
      <c r="B339" s="47">
        <f t="shared" si="4"/>
        <v>695</v>
      </c>
      <c r="C339" s="224">
        <v>9.1991142708163496E-4</v>
      </c>
      <c r="D339" s="36"/>
      <c r="E339" s="36"/>
      <c r="F339" s="36"/>
      <c r="G339" s="36"/>
    </row>
    <row r="340" spans="1:7" ht="15" customHeight="1" x14ac:dyDescent="0.2">
      <c r="A340" s="36"/>
      <c r="B340" s="47">
        <f t="shared" si="4"/>
        <v>696</v>
      </c>
      <c r="C340" s="224">
        <v>9.2991046433252202E-4</v>
      </c>
      <c r="D340" s="36"/>
      <c r="E340" s="36"/>
      <c r="F340" s="36"/>
      <c r="G340" s="36"/>
    </row>
    <row r="341" spans="1:7" ht="15" customHeight="1" x14ac:dyDescent="0.2">
      <c r="A341" s="36"/>
      <c r="B341" s="47">
        <f t="shared" si="4"/>
        <v>697</v>
      </c>
      <c r="C341" s="224">
        <v>9.3990950158340898E-4</v>
      </c>
      <c r="D341" s="36"/>
      <c r="E341" s="36"/>
      <c r="F341" s="36"/>
      <c r="G341" s="36"/>
    </row>
    <row r="342" spans="1:7" ht="15" customHeight="1" x14ac:dyDescent="0.2">
      <c r="A342" s="36"/>
      <c r="B342" s="47">
        <f t="shared" si="4"/>
        <v>698</v>
      </c>
      <c r="C342" s="224">
        <v>9.44909020208853E-4</v>
      </c>
      <c r="D342" s="36"/>
      <c r="E342" s="36"/>
      <c r="F342" s="36"/>
      <c r="G342" s="36"/>
    </row>
    <row r="343" spans="1:7" ht="15" customHeight="1" x14ac:dyDescent="0.2">
      <c r="A343" s="36"/>
      <c r="B343" s="47">
        <f t="shared" si="4"/>
        <v>699</v>
      </c>
      <c r="C343" s="224">
        <v>9.3990950158340898E-4</v>
      </c>
      <c r="D343" s="36"/>
      <c r="E343" s="36"/>
      <c r="F343" s="36"/>
      <c r="G343" s="36"/>
    </row>
    <row r="344" spans="1:7" ht="15" customHeight="1" x14ac:dyDescent="0.2">
      <c r="A344" s="36"/>
      <c r="B344" s="47">
        <f t="shared" ref="B344:B407" si="5">IF(380+C$20*(ROW()-ROW(B$23)-1)&gt;780,"",380+C$20*(ROW()-ROW(B$23)-1))</f>
        <v>700</v>
      </c>
      <c r="C344" s="224">
        <v>9.3490998295796496E-4</v>
      </c>
      <c r="D344" s="36"/>
      <c r="E344" s="36"/>
      <c r="F344" s="36"/>
      <c r="G344" s="36"/>
    </row>
    <row r="345" spans="1:7" ht="15" customHeight="1" x14ac:dyDescent="0.2">
      <c r="A345" s="36"/>
      <c r="B345" s="47">
        <f t="shared" si="5"/>
        <v>701</v>
      </c>
      <c r="C345" s="224">
        <v>9.2991046433252202E-4</v>
      </c>
      <c r="D345" s="36"/>
      <c r="E345" s="36"/>
      <c r="F345" s="36"/>
      <c r="G345" s="36"/>
    </row>
    <row r="346" spans="1:7" ht="15" customHeight="1" x14ac:dyDescent="0.2">
      <c r="A346" s="36"/>
      <c r="B346" s="47">
        <f t="shared" si="5"/>
        <v>702</v>
      </c>
      <c r="C346" s="224">
        <v>9.3490998295796496E-4</v>
      </c>
      <c r="D346" s="36"/>
      <c r="E346" s="36"/>
      <c r="F346" s="36"/>
      <c r="G346" s="36"/>
    </row>
    <row r="347" spans="1:7" ht="15" customHeight="1" x14ac:dyDescent="0.2">
      <c r="A347" s="36"/>
      <c r="B347" s="47">
        <f t="shared" si="5"/>
        <v>703</v>
      </c>
      <c r="C347" s="224">
        <v>9.44909020208853E-4</v>
      </c>
      <c r="D347" s="36"/>
      <c r="E347" s="36"/>
      <c r="F347" s="36"/>
      <c r="G347" s="36"/>
    </row>
    <row r="348" spans="1:7" ht="15" customHeight="1" x14ac:dyDescent="0.2">
      <c r="A348" s="36"/>
      <c r="B348" s="47">
        <f t="shared" si="5"/>
        <v>704</v>
      </c>
      <c r="C348" s="224">
        <v>9.4990853883429604E-4</v>
      </c>
      <c r="D348" s="36"/>
      <c r="E348" s="36"/>
      <c r="F348" s="36"/>
      <c r="G348" s="36"/>
    </row>
    <row r="349" spans="1:7" ht="15" customHeight="1" x14ac:dyDescent="0.2">
      <c r="A349" s="36"/>
      <c r="B349" s="47">
        <f t="shared" si="5"/>
        <v>705</v>
      </c>
      <c r="C349" s="224">
        <v>9.5490805745973995E-4</v>
      </c>
      <c r="D349" s="36"/>
      <c r="E349" s="36"/>
      <c r="F349" s="36"/>
      <c r="G349" s="36"/>
    </row>
    <row r="350" spans="1:7" ht="15" customHeight="1" x14ac:dyDescent="0.2">
      <c r="A350" s="36"/>
      <c r="B350" s="47">
        <f t="shared" si="5"/>
        <v>706</v>
      </c>
      <c r="C350" s="224">
        <v>9.5990757608518397E-4</v>
      </c>
      <c r="D350" s="36"/>
      <c r="E350" s="36"/>
      <c r="F350" s="36"/>
      <c r="G350" s="36"/>
    </row>
    <row r="351" spans="1:7" ht="15" customHeight="1" x14ac:dyDescent="0.2">
      <c r="A351" s="36"/>
      <c r="B351" s="47">
        <f t="shared" si="5"/>
        <v>707</v>
      </c>
      <c r="C351" s="224">
        <v>9.6990661333607104E-4</v>
      </c>
      <c r="D351" s="36"/>
      <c r="E351" s="36"/>
      <c r="F351" s="36"/>
      <c r="G351" s="36"/>
    </row>
    <row r="352" spans="1:7" ht="15" customHeight="1" x14ac:dyDescent="0.2">
      <c r="A352" s="36"/>
      <c r="B352" s="47">
        <f t="shared" si="5"/>
        <v>708</v>
      </c>
      <c r="C352" s="224">
        <v>9.6990661333607104E-4</v>
      </c>
      <c r="D352" s="36"/>
      <c r="E352" s="36"/>
      <c r="F352" s="36"/>
      <c r="G352" s="36"/>
    </row>
    <row r="353" spans="1:7" ht="15" customHeight="1" x14ac:dyDescent="0.2">
      <c r="A353" s="36"/>
      <c r="B353" s="47">
        <f t="shared" si="5"/>
        <v>709</v>
      </c>
      <c r="C353" s="224">
        <v>9.6490709471062799E-4</v>
      </c>
      <c r="D353" s="36"/>
      <c r="E353" s="36"/>
      <c r="F353" s="36"/>
      <c r="G353" s="36"/>
    </row>
    <row r="354" spans="1:7" ht="15" customHeight="1" x14ac:dyDescent="0.2">
      <c r="A354" s="36"/>
      <c r="B354" s="47">
        <f t="shared" si="5"/>
        <v>710</v>
      </c>
      <c r="C354" s="224">
        <v>9.6490709471062799E-4</v>
      </c>
      <c r="D354" s="36"/>
      <c r="E354" s="36"/>
      <c r="F354" s="36"/>
      <c r="G354" s="36"/>
    </row>
    <row r="355" spans="1:7" ht="15" customHeight="1" x14ac:dyDescent="0.2">
      <c r="A355" s="36"/>
      <c r="B355" s="47">
        <f t="shared" si="5"/>
        <v>711</v>
      </c>
      <c r="C355" s="224">
        <v>9.6990661333607104E-4</v>
      </c>
      <c r="D355" s="36"/>
      <c r="E355" s="36"/>
      <c r="F355" s="36"/>
      <c r="G355" s="36"/>
    </row>
    <row r="356" spans="1:7" ht="15" customHeight="1" x14ac:dyDescent="0.2">
      <c r="A356" s="36"/>
      <c r="B356" s="47">
        <f t="shared" si="5"/>
        <v>712</v>
      </c>
      <c r="C356" s="224">
        <v>9.6490709471062799E-4</v>
      </c>
      <c r="D356" s="36"/>
      <c r="E356" s="36"/>
      <c r="F356" s="36"/>
      <c r="G356" s="36"/>
    </row>
    <row r="357" spans="1:7" ht="15" customHeight="1" x14ac:dyDescent="0.2">
      <c r="A357" s="36"/>
      <c r="B357" s="47">
        <f t="shared" si="5"/>
        <v>713</v>
      </c>
      <c r="C357" s="224">
        <v>9.5990757608518397E-4</v>
      </c>
      <c r="D357" s="36"/>
      <c r="E357" s="36"/>
      <c r="F357" s="36"/>
      <c r="G357" s="36"/>
    </row>
    <row r="358" spans="1:7" ht="15" customHeight="1" x14ac:dyDescent="0.2">
      <c r="A358" s="36"/>
      <c r="B358" s="47">
        <f t="shared" si="5"/>
        <v>714</v>
      </c>
      <c r="C358" s="224">
        <v>9.3990950158340898E-4</v>
      </c>
      <c r="D358" s="36"/>
      <c r="E358" s="36"/>
      <c r="F358" s="36"/>
      <c r="G358" s="36"/>
    </row>
    <row r="359" spans="1:7" ht="15" customHeight="1" x14ac:dyDescent="0.2">
      <c r="A359" s="36"/>
      <c r="B359" s="47">
        <f t="shared" si="5"/>
        <v>715</v>
      </c>
      <c r="C359" s="224">
        <v>9.0991238983074703E-4</v>
      </c>
      <c r="D359" s="36"/>
      <c r="E359" s="36"/>
      <c r="F359" s="36"/>
      <c r="G359" s="36"/>
    </row>
    <row r="360" spans="1:7" ht="15" customHeight="1" x14ac:dyDescent="0.2">
      <c r="A360" s="36"/>
      <c r="B360" s="47">
        <f t="shared" si="5"/>
        <v>716</v>
      </c>
      <c r="C360" s="224">
        <v>8.5491768495086704E-4</v>
      </c>
      <c r="D360" s="36"/>
      <c r="E360" s="36"/>
      <c r="F360" s="36"/>
      <c r="G360" s="36"/>
    </row>
    <row r="361" spans="1:7" ht="15" customHeight="1" x14ac:dyDescent="0.2">
      <c r="A361" s="36"/>
      <c r="B361" s="47">
        <f t="shared" si="5"/>
        <v>717</v>
      </c>
      <c r="C361" s="224">
        <v>7.9992298007098596E-4</v>
      </c>
      <c r="D361" s="36"/>
      <c r="E361" s="36"/>
      <c r="F361" s="36"/>
      <c r="G361" s="36"/>
    </row>
    <row r="362" spans="1:7" ht="15" customHeight="1" x14ac:dyDescent="0.2">
      <c r="A362" s="36"/>
      <c r="B362" s="47">
        <f t="shared" si="5"/>
        <v>718</v>
      </c>
      <c r="C362" s="224">
        <v>7.5992683106743705E-4</v>
      </c>
      <c r="D362" s="36"/>
      <c r="E362" s="36"/>
      <c r="F362" s="36"/>
      <c r="G362" s="36"/>
    </row>
    <row r="363" spans="1:7" ht="15" customHeight="1" x14ac:dyDescent="0.2">
      <c r="A363" s="36"/>
      <c r="B363" s="47">
        <f t="shared" si="5"/>
        <v>719</v>
      </c>
      <c r="C363" s="224">
        <v>7.4992779381654999E-4</v>
      </c>
      <c r="D363" s="36"/>
      <c r="E363" s="36"/>
      <c r="F363" s="36"/>
      <c r="G363" s="36"/>
    </row>
    <row r="364" spans="1:7" ht="15" customHeight="1" x14ac:dyDescent="0.2">
      <c r="A364" s="36"/>
      <c r="B364" s="47">
        <f t="shared" si="5"/>
        <v>720</v>
      </c>
      <c r="C364" s="224">
        <v>7.6992586831832401E-4</v>
      </c>
      <c r="D364" s="36"/>
      <c r="E364" s="36"/>
      <c r="F364" s="36"/>
      <c r="G364" s="36"/>
    </row>
    <row r="365" spans="1:7" ht="15" customHeight="1" x14ac:dyDescent="0.2">
      <c r="A365" s="36"/>
      <c r="B365" s="47">
        <f t="shared" si="5"/>
        <v>721</v>
      </c>
      <c r="C365" s="224">
        <v>7.9492346144554302E-4</v>
      </c>
      <c r="D365" s="36"/>
      <c r="E365" s="36"/>
      <c r="F365" s="36"/>
      <c r="G365" s="36"/>
    </row>
    <row r="366" spans="1:7" ht="15" customHeight="1" x14ac:dyDescent="0.2">
      <c r="A366" s="36"/>
      <c r="B366" s="47">
        <f t="shared" si="5"/>
        <v>722</v>
      </c>
      <c r="C366" s="224">
        <v>8.09922017321874E-4</v>
      </c>
      <c r="D366" s="36"/>
      <c r="E366" s="36"/>
      <c r="F366" s="36"/>
      <c r="G366" s="36"/>
    </row>
    <row r="367" spans="1:7" ht="15" customHeight="1" x14ac:dyDescent="0.2">
      <c r="A367" s="36"/>
      <c r="B367" s="47">
        <f t="shared" si="5"/>
        <v>723</v>
      </c>
      <c r="C367" s="224">
        <v>8.09922017321874E-4</v>
      </c>
      <c r="D367" s="36"/>
      <c r="E367" s="36"/>
      <c r="F367" s="36"/>
      <c r="G367" s="36"/>
    </row>
    <row r="368" spans="1:7" ht="15" customHeight="1" x14ac:dyDescent="0.2">
      <c r="A368" s="36"/>
      <c r="B368" s="47">
        <f t="shared" si="5"/>
        <v>724</v>
      </c>
      <c r="C368" s="224">
        <v>7.9492346144554302E-4</v>
      </c>
      <c r="D368" s="36"/>
      <c r="E368" s="36"/>
      <c r="F368" s="36"/>
      <c r="G368" s="36"/>
    </row>
    <row r="369" spans="1:7" ht="15" customHeight="1" x14ac:dyDescent="0.2">
      <c r="A369" s="36"/>
      <c r="B369" s="47">
        <f t="shared" si="5"/>
        <v>725</v>
      </c>
      <c r="C369" s="224">
        <v>7.8492442419465498E-4</v>
      </c>
      <c r="D369" s="36"/>
      <c r="E369" s="36"/>
      <c r="F369" s="36"/>
      <c r="G369" s="36"/>
    </row>
    <row r="370" spans="1:7" ht="15" customHeight="1" x14ac:dyDescent="0.2">
      <c r="A370" s="36"/>
      <c r="B370" s="47">
        <f t="shared" si="5"/>
        <v>726</v>
      </c>
      <c r="C370" s="224">
        <v>7.7992490556921205E-4</v>
      </c>
      <c r="D370" s="36"/>
      <c r="E370" s="36"/>
      <c r="F370" s="36"/>
      <c r="G370" s="36"/>
    </row>
    <row r="371" spans="1:7" ht="15" customHeight="1" x14ac:dyDescent="0.2">
      <c r="A371" s="36"/>
      <c r="B371" s="47">
        <f t="shared" si="5"/>
        <v>727</v>
      </c>
      <c r="C371" s="224">
        <v>7.8492442419465498E-4</v>
      </c>
      <c r="D371" s="36"/>
      <c r="E371" s="36"/>
      <c r="F371" s="36"/>
      <c r="G371" s="36"/>
    </row>
    <row r="372" spans="1:7" ht="15" customHeight="1" x14ac:dyDescent="0.2">
      <c r="A372" s="36"/>
      <c r="B372" s="47">
        <f t="shared" si="5"/>
        <v>728</v>
      </c>
      <c r="C372" s="224">
        <v>7.89923942820099E-4</v>
      </c>
      <c r="D372" s="36"/>
      <c r="E372" s="36"/>
      <c r="F372" s="36"/>
      <c r="G372" s="36"/>
    </row>
    <row r="373" spans="1:7" ht="15" customHeight="1" x14ac:dyDescent="0.2">
      <c r="A373" s="36"/>
      <c r="B373" s="47">
        <f t="shared" si="5"/>
        <v>729</v>
      </c>
      <c r="C373" s="224">
        <v>7.9492346144554302E-4</v>
      </c>
      <c r="D373" s="36"/>
      <c r="E373" s="36"/>
      <c r="F373" s="36"/>
      <c r="G373" s="36"/>
    </row>
    <row r="374" spans="1:7" ht="15" customHeight="1" x14ac:dyDescent="0.2">
      <c r="A374" s="36"/>
      <c r="B374" s="47">
        <f t="shared" si="5"/>
        <v>730</v>
      </c>
      <c r="C374" s="224">
        <v>8.09922017321874E-4</v>
      </c>
      <c r="D374" s="36"/>
      <c r="E374" s="36"/>
      <c r="F374" s="36"/>
      <c r="G374" s="36"/>
    </row>
    <row r="375" spans="1:7" ht="15" customHeight="1" x14ac:dyDescent="0.2">
      <c r="A375" s="36"/>
      <c r="B375" s="47">
        <f t="shared" si="5"/>
        <v>731</v>
      </c>
      <c r="C375" s="224">
        <v>8.3491961044909204E-4</v>
      </c>
      <c r="D375" s="36"/>
      <c r="E375" s="36"/>
      <c r="F375" s="36"/>
      <c r="G375" s="36"/>
    </row>
    <row r="376" spans="1:7" ht="15" customHeight="1" x14ac:dyDescent="0.2">
      <c r="A376" s="36"/>
      <c r="B376" s="47">
        <f t="shared" si="5"/>
        <v>732</v>
      </c>
      <c r="C376" s="224">
        <v>8.5991720357631095E-4</v>
      </c>
      <c r="D376" s="36"/>
      <c r="E376" s="36"/>
      <c r="F376" s="36"/>
      <c r="G376" s="36"/>
    </row>
    <row r="377" spans="1:7" ht="15" customHeight="1" x14ac:dyDescent="0.2">
      <c r="A377" s="36"/>
      <c r="B377" s="47">
        <f t="shared" si="5"/>
        <v>733</v>
      </c>
      <c r="C377" s="224">
        <v>8.8491479670352899E-4</v>
      </c>
      <c r="D377" s="36"/>
      <c r="E377" s="36"/>
      <c r="F377" s="36"/>
      <c r="G377" s="36"/>
    </row>
    <row r="378" spans="1:7" ht="15" customHeight="1" x14ac:dyDescent="0.2">
      <c r="A378" s="36"/>
      <c r="B378" s="47">
        <f t="shared" si="5"/>
        <v>734</v>
      </c>
      <c r="C378" s="224">
        <v>8.9991335257985996E-4</v>
      </c>
      <c r="D378" s="36"/>
      <c r="E378" s="36"/>
      <c r="F378" s="36"/>
      <c r="G378" s="36"/>
    </row>
    <row r="379" spans="1:7" ht="15" customHeight="1" x14ac:dyDescent="0.2">
      <c r="A379" s="36"/>
      <c r="B379" s="47">
        <f t="shared" si="5"/>
        <v>735</v>
      </c>
      <c r="C379" s="224">
        <v>9.0991238983074703E-4</v>
      </c>
      <c r="D379" s="36"/>
      <c r="E379" s="36"/>
      <c r="F379" s="36"/>
      <c r="G379" s="36"/>
    </row>
    <row r="380" spans="1:7" ht="15" customHeight="1" x14ac:dyDescent="0.2">
      <c r="A380" s="36"/>
      <c r="B380" s="47">
        <f t="shared" si="5"/>
        <v>736</v>
      </c>
      <c r="C380" s="224">
        <v>9.0991238983074703E-4</v>
      </c>
      <c r="D380" s="36"/>
      <c r="E380" s="36"/>
      <c r="F380" s="36"/>
      <c r="G380" s="36"/>
    </row>
    <row r="381" spans="1:7" ht="15" customHeight="1" x14ac:dyDescent="0.2">
      <c r="A381" s="36"/>
      <c r="B381" s="47">
        <f t="shared" si="5"/>
        <v>737</v>
      </c>
      <c r="C381" s="224">
        <v>9.1491190845619105E-4</v>
      </c>
      <c r="D381" s="36"/>
      <c r="E381" s="36"/>
      <c r="F381" s="36"/>
      <c r="G381" s="36"/>
    </row>
    <row r="382" spans="1:7" ht="15" customHeight="1" x14ac:dyDescent="0.2">
      <c r="A382" s="36"/>
      <c r="B382" s="47">
        <f t="shared" si="5"/>
        <v>738</v>
      </c>
      <c r="C382" s="224">
        <v>9.1491190845619105E-4</v>
      </c>
      <c r="D382" s="36"/>
      <c r="E382" s="36"/>
      <c r="F382" s="36"/>
      <c r="G382" s="36"/>
    </row>
    <row r="383" spans="1:7" ht="15" customHeight="1" x14ac:dyDescent="0.2">
      <c r="A383" s="36"/>
      <c r="B383" s="47">
        <f t="shared" si="5"/>
        <v>739</v>
      </c>
      <c r="C383" s="224">
        <v>9.1991142708163496E-4</v>
      </c>
      <c r="D383" s="36"/>
      <c r="E383" s="36"/>
      <c r="F383" s="36"/>
      <c r="G383" s="36"/>
    </row>
    <row r="384" spans="1:7" ht="15" customHeight="1" x14ac:dyDescent="0.2">
      <c r="A384" s="36"/>
      <c r="B384" s="47">
        <f t="shared" si="5"/>
        <v>740</v>
      </c>
      <c r="C384" s="224">
        <v>9.24910945707078E-4</v>
      </c>
      <c r="D384" s="36"/>
      <c r="E384" s="36"/>
      <c r="F384" s="36"/>
      <c r="G384" s="36"/>
    </row>
    <row r="385" spans="1:7" ht="15" customHeight="1" x14ac:dyDescent="0.2">
      <c r="A385" s="36"/>
      <c r="B385" s="47">
        <f t="shared" si="5"/>
        <v>741</v>
      </c>
      <c r="C385" s="224">
        <v>9.24910945707078E-4</v>
      </c>
      <c r="D385" s="36"/>
      <c r="E385" s="36"/>
      <c r="F385" s="36"/>
      <c r="G385" s="36"/>
    </row>
    <row r="386" spans="1:7" ht="15" customHeight="1" x14ac:dyDescent="0.2">
      <c r="A386" s="36"/>
      <c r="B386" s="47">
        <f t="shared" si="5"/>
        <v>742</v>
      </c>
      <c r="C386" s="224">
        <v>9.2991046433252202E-4</v>
      </c>
      <c r="D386" s="36"/>
      <c r="E386" s="36"/>
      <c r="F386" s="36"/>
      <c r="G386" s="36"/>
    </row>
    <row r="387" spans="1:7" ht="15" customHeight="1" x14ac:dyDescent="0.2">
      <c r="A387" s="36"/>
      <c r="B387" s="47">
        <f t="shared" si="5"/>
        <v>743</v>
      </c>
      <c r="C387" s="224">
        <v>9.3490998295796496E-4</v>
      </c>
      <c r="D387" s="36"/>
      <c r="E387" s="36"/>
      <c r="F387" s="36"/>
      <c r="G387" s="36"/>
    </row>
    <row r="388" spans="1:7" ht="15" customHeight="1" x14ac:dyDescent="0.2">
      <c r="A388" s="36"/>
      <c r="B388" s="47">
        <f t="shared" si="5"/>
        <v>744</v>
      </c>
      <c r="C388" s="224">
        <v>9.3990950158340898E-4</v>
      </c>
      <c r="D388" s="36"/>
      <c r="E388" s="36"/>
      <c r="F388" s="36"/>
      <c r="G388" s="36"/>
    </row>
    <row r="389" spans="1:7" ht="15" customHeight="1" x14ac:dyDescent="0.2">
      <c r="A389" s="36"/>
      <c r="B389" s="47">
        <f t="shared" si="5"/>
        <v>745</v>
      </c>
      <c r="C389" s="224">
        <v>9.3990950158340898E-4</v>
      </c>
      <c r="D389" s="36"/>
      <c r="E389" s="36"/>
      <c r="F389" s="36"/>
      <c r="G389" s="36"/>
    </row>
    <row r="390" spans="1:7" ht="15" customHeight="1" x14ac:dyDescent="0.2">
      <c r="A390" s="36"/>
      <c r="B390" s="47">
        <f t="shared" si="5"/>
        <v>746</v>
      </c>
      <c r="C390" s="224">
        <v>9.3490998295796496E-4</v>
      </c>
      <c r="D390" s="36"/>
      <c r="E390" s="36"/>
      <c r="F390" s="36"/>
      <c r="G390" s="36"/>
    </row>
    <row r="391" spans="1:7" ht="15" customHeight="1" x14ac:dyDescent="0.2">
      <c r="A391" s="36"/>
      <c r="B391" s="47">
        <f t="shared" si="5"/>
        <v>747</v>
      </c>
      <c r="C391" s="224">
        <v>9.3490998295796496E-4</v>
      </c>
      <c r="D391" s="36"/>
      <c r="E391" s="36"/>
      <c r="F391" s="36"/>
      <c r="G391" s="36"/>
    </row>
    <row r="392" spans="1:7" ht="15" customHeight="1" x14ac:dyDescent="0.2">
      <c r="A392" s="36"/>
      <c r="B392" s="47">
        <f t="shared" si="5"/>
        <v>748</v>
      </c>
      <c r="C392" s="224">
        <v>9.2991046433252202E-4</v>
      </c>
      <c r="D392" s="36"/>
      <c r="E392" s="36"/>
      <c r="F392" s="36"/>
      <c r="G392" s="36"/>
    </row>
    <row r="393" spans="1:7" ht="15" customHeight="1" x14ac:dyDescent="0.2">
      <c r="A393" s="36"/>
      <c r="B393" s="47">
        <f t="shared" si="5"/>
        <v>749</v>
      </c>
      <c r="C393" s="224">
        <v>9.24910945707078E-4</v>
      </c>
      <c r="D393" s="36"/>
      <c r="E393" s="36"/>
      <c r="F393" s="36"/>
      <c r="G393" s="36"/>
    </row>
    <row r="394" spans="1:7" ht="15" customHeight="1" x14ac:dyDescent="0.2">
      <c r="A394" s="36"/>
      <c r="B394" s="47">
        <f t="shared" si="5"/>
        <v>750</v>
      </c>
      <c r="C394" s="224">
        <v>9.24910945707078E-4</v>
      </c>
      <c r="D394" s="36"/>
      <c r="E394" s="36"/>
      <c r="F394" s="36"/>
      <c r="G394" s="36"/>
    </row>
    <row r="395" spans="1:7" ht="15" customHeight="1" x14ac:dyDescent="0.2">
      <c r="A395" s="36"/>
      <c r="B395" s="47">
        <f t="shared" si="5"/>
        <v>751</v>
      </c>
      <c r="C395" s="224">
        <v>9.24910945707078E-4</v>
      </c>
      <c r="D395" s="36"/>
      <c r="E395" s="36"/>
      <c r="F395" s="36"/>
      <c r="G395" s="36"/>
    </row>
    <row r="396" spans="1:7" ht="15" customHeight="1" x14ac:dyDescent="0.2">
      <c r="A396" s="36"/>
      <c r="B396" s="47">
        <f t="shared" si="5"/>
        <v>752</v>
      </c>
      <c r="C396" s="224">
        <v>9.24910945707078E-4</v>
      </c>
      <c r="D396" s="36"/>
      <c r="E396" s="36"/>
      <c r="F396" s="36"/>
      <c r="G396" s="36"/>
    </row>
    <row r="397" spans="1:7" ht="15" customHeight="1" x14ac:dyDescent="0.2">
      <c r="A397" s="36"/>
      <c r="B397" s="47">
        <f t="shared" si="5"/>
        <v>753</v>
      </c>
      <c r="C397" s="224">
        <v>9.2991046433252202E-4</v>
      </c>
      <c r="D397" s="36"/>
      <c r="E397" s="36"/>
      <c r="F397" s="36"/>
      <c r="G397" s="36"/>
    </row>
    <row r="398" spans="1:7" ht="15" customHeight="1" x14ac:dyDescent="0.2">
      <c r="A398" s="36"/>
      <c r="B398" s="47">
        <f t="shared" si="5"/>
        <v>754</v>
      </c>
      <c r="C398" s="224">
        <v>9.2991046433252202E-4</v>
      </c>
      <c r="D398" s="36"/>
      <c r="E398" s="36"/>
      <c r="F398" s="36"/>
      <c r="G398" s="36"/>
    </row>
    <row r="399" spans="1:7" ht="15" customHeight="1" x14ac:dyDescent="0.2">
      <c r="A399" s="36"/>
      <c r="B399" s="47">
        <f t="shared" si="5"/>
        <v>755</v>
      </c>
      <c r="C399" s="224">
        <v>9.3490998295796496E-4</v>
      </c>
      <c r="D399" s="36"/>
      <c r="E399" s="36"/>
      <c r="F399" s="36"/>
      <c r="G399" s="36"/>
    </row>
    <row r="400" spans="1:7" ht="15" customHeight="1" x14ac:dyDescent="0.2">
      <c r="A400" s="36"/>
      <c r="B400" s="47">
        <f t="shared" si="5"/>
        <v>756</v>
      </c>
      <c r="C400" s="224">
        <v>9.24910945707078E-4</v>
      </c>
      <c r="D400" s="36"/>
      <c r="E400" s="36"/>
      <c r="F400" s="36"/>
      <c r="G400" s="36"/>
    </row>
    <row r="401" spans="1:7" ht="15" customHeight="1" x14ac:dyDescent="0.2">
      <c r="A401" s="36"/>
      <c r="B401" s="47">
        <f t="shared" si="5"/>
        <v>757</v>
      </c>
      <c r="C401" s="224">
        <v>8.6491672220175399E-4</v>
      </c>
      <c r="D401" s="36"/>
      <c r="E401" s="36"/>
      <c r="F401" s="36"/>
      <c r="G401" s="36"/>
    </row>
    <row r="402" spans="1:7" ht="15" customHeight="1" x14ac:dyDescent="0.2">
      <c r="A402" s="36"/>
      <c r="B402" s="47">
        <f t="shared" si="5"/>
        <v>758</v>
      </c>
      <c r="C402" s="224">
        <v>7.4492827519110597E-4</v>
      </c>
      <c r="D402" s="36"/>
      <c r="E402" s="36"/>
      <c r="F402" s="36"/>
      <c r="G402" s="36"/>
    </row>
    <row r="403" spans="1:7" ht="15" customHeight="1" x14ac:dyDescent="0.2">
      <c r="A403" s="36"/>
      <c r="B403" s="47">
        <f t="shared" si="5"/>
        <v>759</v>
      </c>
      <c r="C403" s="224">
        <v>5.74944641926021E-4</v>
      </c>
      <c r="D403" s="36"/>
      <c r="E403" s="36"/>
      <c r="F403" s="36"/>
      <c r="G403" s="36"/>
    </row>
    <row r="404" spans="1:7" ht="15" customHeight="1" x14ac:dyDescent="0.2">
      <c r="A404" s="36"/>
      <c r="B404" s="47">
        <f t="shared" si="5"/>
        <v>760</v>
      </c>
      <c r="C404" s="224">
        <v>4.0696081611111401E-4</v>
      </c>
      <c r="D404" s="36"/>
      <c r="E404" s="36"/>
      <c r="F404" s="36"/>
      <c r="G404" s="36"/>
    </row>
    <row r="405" spans="1:7" ht="15" customHeight="1" x14ac:dyDescent="0.2">
      <c r="A405" s="36"/>
      <c r="B405" s="47">
        <f t="shared" si="5"/>
        <v>761</v>
      </c>
      <c r="C405" s="224">
        <v>3.00971021251708E-4</v>
      </c>
      <c r="D405" s="36"/>
      <c r="E405" s="36"/>
      <c r="F405" s="36"/>
      <c r="G405" s="36"/>
    </row>
    <row r="406" spans="1:7" ht="15" customHeight="1" x14ac:dyDescent="0.2">
      <c r="A406" s="36"/>
      <c r="B406" s="47">
        <f t="shared" si="5"/>
        <v>762</v>
      </c>
      <c r="C406" s="224">
        <v>2.6897410204886898E-4</v>
      </c>
      <c r="D406" s="36"/>
      <c r="E406" s="36"/>
      <c r="F406" s="36"/>
      <c r="G406" s="36"/>
    </row>
    <row r="407" spans="1:7" ht="15" customHeight="1" x14ac:dyDescent="0.2">
      <c r="A407" s="36"/>
      <c r="B407" s="47">
        <f t="shared" si="5"/>
        <v>763</v>
      </c>
      <c r="C407" s="224">
        <v>3.0247087683934099E-4</v>
      </c>
      <c r="D407" s="36"/>
      <c r="E407" s="36"/>
      <c r="F407" s="36"/>
      <c r="G407" s="36"/>
    </row>
    <row r="408" spans="1:7" ht="15" customHeight="1" x14ac:dyDescent="0.2">
      <c r="A408" s="36"/>
      <c r="B408" s="47">
        <f t="shared" ref="B408:B424" si="6">IF(380+C$20*(ROW()-ROW(B$23)-1)&gt;780,"",380+C$20*(ROW()-ROW(B$23)-1))</f>
        <v>764</v>
      </c>
      <c r="C408" s="224">
        <v>3.7496389690827499E-4</v>
      </c>
      <c r="D408" s="36"/>
      <c r="E408" s="36"/>
      <c r="F408" s="36"/>
      <c r="G408" s="36"/>
    </row>
    <row r="409" spans="1:7" ht="15" customHeight="1" x14ac:dyDescent="0.2">
      <c r="A409" s="36"/>
      <c r="B409" s="47">
        <f t="shared" si="6"/>
        <v>765</v>
      </c>
      <c r="C409" s="224">
        <v>4.70454702654249E-4</v>
      </c>
      <c r="D409" s="36"/>
      <c r="E409" s="36"/>
      <c r="F409" s="36"/>
      <c r="G409" s="36"/>
    </row>
    <row r="410" spans="1:7" ht="15" customHeight="1" x14ac:dyDescent="0.2">
      <c r="A410" s="36"/>
      <c r="B410" s="47">
        <f t="shared" si="6"/>
        <v>766</v>
      </c>
      <c r="C410" s="224">
        <v>5.8494367917690904E-4</v>
      </c>
      <c r="D410" s="36"/>
      <c r="E410" s="36"/>
      <c r="F410" s="36"/>
      <c r="G410" s="36"/>
    </row>
    <row r="411" spans="1:7" ht="15" customHeight="1" x14ac:dyDescent="0.2">
      <c r="A411" s="36"/>
      <c r="B411" s="47">
        <f t="shared" si="6"/>
        <v>767</v>
      </c>
      <c r="C411" s="224">
        <v>6.9493308893667E-4</v>
      </c>
      <c r="D411" s="36"/>
      <c r="E411" s="36"/>
      <c r="F411" s="36"/>
      <c r="G411" s="36"/>
    </row>
    <row r="412" spans="1:7" ht="15" customHeight="1" x14ac:dyDescent="0.2">
      <c r="A412" s="36"/>
      <c r="B412" s="47">
        <f t="shared" si="6"/>
        <v>768</v>
      </c>
      <c r="C412" s="224">
        <v>7.7492538694376803E-4</v>
      </c>
      <c r="D412" s="36"/>
      <c r="E412" s="36"/>
      <c r="F412" s="36"/>
      <c r="G412" s="36"/>
    </row>
    <row r="413" spans="1:7" ht="15" customHeight="1" x14ac:dyDescent="0.2">
      <c r="A413" s="36"/>
      <c r="B413" s="47">
        <f t="shared" si="6"/>
        <v>769</v>
      </c>
      <c r="C413" s="224">
        <v>8.2992009182364899E-4</v>
      </c>
      <c r="D413" s="36"/>
      <c r="E413" s="36"/>
      <c r="F413" s="36"/>
      <c r="G413" s="36"/>
    </row>
    <row r="414" spans="1:7" ht="15" customHeight="1" x14ac:dyDescent="0.2">
      <c r="A414" s="36"/>
      <c r="B414" s="47">
        <f t="shared" si="6"/>
        <v>770</v>
      </c>
      <c r="C414" s="224">
        <v>8.6491672220175399E-4</v>
      </c>
      <c r="D414" s="36"/>
      <c r="E414" s="36"/>
      <c r="F414" s="36"/>
      <c r="G414" s="36"/>
    </row>
    <row r="415" spans="1:7" ht="15" customHeight="1" x14ac:dyDescent="0.2">
      <c r="A415" s="36"/>
      <c r="B415" s="47">
        <f t="shared" si="6"/>
        <v>771</v>
      </c>
      <c r="C415" s="224">
        <v>8.8491479670352899E-4</v>
      </c>
      <c r="D415" s="36"/>
      <c r="E415" s="36"/>
      <c r="F415" s="36"/>
      <c r="G415" s="36"/>
    </row>
    <row r="416" spans="1:7" ht="15" customHeight="1" x14ac:dyDescent="0.2">
      <c r="A416" s="36"/>
      <c r="B416" s="47">
        <f t="shared" si="6"/>
        <v>772</v>
      </c>
      <c r="C416" s="224">
        <v>8.8491479670352899E-4</v>
      </c>
      <c r="D416" s="36"/>
      <c r="E416" s="36"/>
      <c r="F416" s="36"/>
      <c r="G416" s="36"/>
    </row>
    <row r="417" spans="1:7" ht="15" customHeight="1" x14ac:dyDescent="0.2">
      <c r="A417" s="36"/>
      <c r="B417" s="47">
        <f t="shared" si="6"/>
        <v>773</v>
      </c>
      <c r="C417" s="224">
        <v>8.8491479670352899E-4</v>
      </c>
      <c r="D417" s="36"/>
      <c r="E417" s="36"/>
      <c r="F417" s="36"/>
      <c r="G417" s="36"/>
    </row>
    <row r="418" spans="1:7" ht="15" customHeight="1" x14ac:dyDescent="0.2">
      <c r="A418" s="36"/>
      <c r="B418" s="47">
        <f t="shared" si="6"/>
        <v>774</v>
      </c>
      <c r="C418" s="224">
        <v>8.8991431532897203E-4</v>
      </c>
      <c r="D418" s="36"/>
      <c r="E418" s="36"/>
      <c r="F418" s="36"/>
      <c r="G418" s="36"/>
    </row>
    <row r="419" spans="1:7" ht="15" customHeight="1" x14ac:dyDescent="0.2">
      <c r="A419" s="36"/>
      <c r="B419" s="47">
        <f t="shared" si="6"/>
        <v>775</v>
      </c>
      <c r="C419" s="224">
        <v>8.8991431532897203E-4</v>
      </c>
      <c r="D419" s="36"/>
      <c r="E419" s="36"/>
      <c r="F419" s="36"/>
      <c r="G419" s="36"/>
    </row>
    <row r="420" spans="1:7" ht="15" customHeight="1" x14ac:dyDescent="0.2">
      <c r="A420" s="36"/>
      <c r="B420" s="47">
        <f t="shared" si="6"/>
        <v>776</v>
      </c>
      <c r="C420" s="224">
        <v>8.8491479670352899E-4</v>
      </c>
      <c r="D420" s="36"/>
      <c r="E420" s="36"/>
      <c r="F420" s="36"/>
      <c r="G420" s="36"/>
    </row>
    <row r="421" spans="1:7" ht="15" customHeight="1" x14ac:dyDescent="0.2">
      <c r="A421" s="36"/>
      <c r="B421" s="47">
        <f t="shared" si="6"/>
        <v>777</v>
      </c>
      <c r="C421" s="224">
        <v>8.8991431532897203E-4</v>
      </c>
      <c r="D421" s="36"/>
      <c r="E421" s="36"/>
      <c r="F421" s="36"/>
      <c r="G421" s="36"/>
    </row>
    <row r="422" spans="1:7" ht="15" customHeight="1" x14ac:dyDescent="0.2">
      <c r="A422" s="36"/>
      <c r="B422" s="47">
        <f t="shared" si="6"/>
        <v>778</v>
      </c>
      <c r="C422" s="224">
        <v>8.9491383395441605E-4</v>
      </c>
      <c r="D422" s="36"/>
      <c r="E422" s="36"/>
      <c r="F422" s="36"/>
      <c r="G422" s="36"/>
    </row>
    <row r="423" spans="1:7" ht="15" customHeight="1" x14ac:dyDescent="0.2">
      <c r="A423" s="36"/>
      <c r="B423" s="47">
        <f t="shared" si="6"/>
        <v>779</v>
      </c>
      <c r="C423" s="224">
        <v>8.9991335257985996E-4</v>
      </c>
      <c r="D423" s="36"/>
      <c r="E423" s="36"/>
      <c r="F423" s="36"/>
      <c r="G423" s="36"/>
    </row>
    <row r="424" spans="1:7" x14ac:dyDescent="0.2">
      <c r="A424" s="36"/>
      <c r="B424" s="47">
        <f t="shared" si="6"/>
        <v>780</v>
      </c>
      <c r="C424" s="224">
        <v>8.9991335257985996E-4</v>
      </c>
      <c r="D424" s="36"/>
      <c r="E424" s="36"/>
      <c r="F424" s="36"/>
      <c r="G424" s="36"/>
    </row>
    <row r="425" spans="1:7" x14ac:dyDescent="0.2">
      <c r="A425" s="36"/>
      <c r="B425" s="36"/>
      <c r="C425" s="36"/>
      <c r="D425" s="36"/>
      <c r="E425" s="36"/>
      <c r="F425" s="36"/>
      <c r="G425" s="36"/>
    </row>
  </sheetData>
  <sheetProtection password="CAB0" sheet="1" objects="1" scenarios="1"/>
  <mergeCells count="5">
    <mergeCell ref="E24:F24"/>
    <mergeCell ref="E30:F30"/>
    <mergeCell ref="B5:C5"/>
    <mergeCell ref="E28:F28"/>
    <mergeCell ref="E26:F26"/>
  </mergeCells>
  <conditionalFormatting sqref="E30:F30">
    <cfRule type="beginsWith" dxfId="25" priority="11" operator="beginsWith" text="ERROR:">
      <formula>LEFT(E30,LEN("ERROR:"))="ERROR:"</formula>
    </cfRule>
  </conditionalFormatting>
  <conditionalFormatting sqref="E28:F28">
    <cfRule type="beginsWith" dxfId="24" priority="8" operator="beginsWith" text="ERROR:">
      <formula>LEFT(E28,LEN("ERROR:"))="ERROR:"</formula>
    </cfRule>
  </conditionalFormatting>
  <conditionalFormatting sqref="E26:F26">
    <cfRule type="beginsWith" dxfId="23" priority="7" operator="beginsWith" text="ERROR:">
      <formula>LEFT(E26,LEN("ERROR:"))="ERROR:"</formula>
    </cfRule>
  </conditionalFormatting>
  <conditionalFormatting sqref="E24:F24">
    <cfRule type="beginsWith" dxfId="22" priority="6" operator="beginsWith" text="ERROR:">
      <formula>LEFT(E24,LEN("ERROR:"))="ERROR:"</formula>
    </cfRule>
  </conditionalFormatting>
  <dataValidations count="5">
    <dataValidation allowBlank="1" showErrorMessage="1" promptTitle="Input name of measurement" prompt="_x000a_Please enter a title for your (spectral) measurement, on which the calculations are going to be based." sqref="B5:C5" xr:uid="{00000000-0002-0000-0200-000000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3" xr:uid="{00000000-0002-0000-0200-000001000000}"/>
    <dataValidation type="list" allowBlank="1" showErrorMessage="1" promptTitle="Select resolution" prompt="_x000a_Select the wavelength interval for the spectral measurement data, i.e. bin width or resolution. Set to 1 if using a built in spectrum." sqref="C20" xr:uid="{00000000-0002-0000-0200-000002000000}">
      <formula1>"1,2,4,5"</formula1>
    </dataValidation>
    <dataValidation type="decimal" operator="greaterThanOrEqual"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7" xr:uid="{00000000-0002-0000-0200-000003000000}">
      <formula1>-1</formula1>
    </dataValidation>
    <dataValidation type="decimal" operator="lessThanOrEqual"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4:C424" xr:uid="{00000000-0002-0000-0200-000004000000}">
      <formula1>999999.999999</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4">
        <x14:dataValidation type="list" showErrorMessage="1" promptTitle="Select an option" prompt="_x000a_See Instructions. &quot;User&quot; is the default option for enterring your own user spectral data.  " xr:uid="{00000000-0002-0000-0200-000005000000}">
          <x14:formula1>
            <xm:f>Spectra!$B$23:$B$28</xm:f>
          </x14:formula1>
          <xm:sqref>C8</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200-000006000000}">
          <x14:formula1>
            <xm:f>Physics!$C$23:$C$35</xm:f>
          </x14:formula1>
          <xm:sqref>C12</xm:sqref>
        </x14:dataValidation>
        <x14:dataValidation type="list" allowBlank="1" showErrorMessage="1" promptTitle="Select SI are prefix, if any" prompt="_x000a_Leave blank or enter &quot;c&quot; or &quot;m&quot; for &quot;m-2&quot;, &quot;cm-2&quot; or &quot;mm-2&quot;, respectively." xr:uid="{00000000-0002-0000-0200-000007000000}">
          <x14:formula1>
            <xm:f>Physics!$C$16:$C$19</xm:f>
          </x14:formula1>
          <xm:sqref>C13</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200-000008000000}">
          <x14:formula1>
            <xm:f>Physics!$B$52:$B$57</xm:f>
          </x14:formula1>
          <xm:sqref>C11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G70"/>
  <sheetViews>
    <sheetView zoomScaleNormal="100" workbookViewId="0">
      <selection activeCell="B3" sqref="B3"/>
    </sheetView>
  </sheetViews>
  <sheetFormatPr baseColWidth="10" defaultColWidth="0" defaultRowHeight="15" zeroHeight="1" x14ac:dyDescent="0.2"/>
  <cols>
    <col min="1" max="1" width="5.6640625" style="1" customWidth="1"/>
    <col min="2" max="6" width="18.6640625" style="1" customWidth="1"/>
    <col min="7" max="7" width="5.6640625" style="1" customWidth="1"/>
    <col min="8" max="16384" width="9.1640625" style="1" hidden="1"/>
  </cols>
  <sheetData>
    <row r="1" spans="1:7" s="56" customFormat="1" ht="25" customHeight="1" x14ac:dyDescent="0.3">
      <c r="B1" s="140" t="str">
        <f>LEFT(Disclaimer!B1,Maintenance!I3)</f>
        <v>CIE S 026 α-opic Toolbox - v1.049a - 2020/11</v>
      </c>
      <c r="G1" s="60"/>
    </row>
    <row r="2" spans="1:7" s="56" customFormat="1" ht="15" customHeight="1" x14ac:dyDescent="0.2">
      <c r="C2" s="73"/>
      <c r="D2" s="80"/>
      <c r="F2" s="81"/>
      <c r="G2" s="60"/>
    </row>
    <row r="3" spans="1:7" ht="15" customHeight="1" x14ac:dyDescent="0.2">
      <c r="A3" s="56"/>
      <c r="B3" s="141" t="s">
        <v>79</v>
      </c>
      <c r="C3" s="143" t="s">
        <v>427</v>
      </c>
      <c r="D3" s="56"/>
      <c r="E3" s="56"/>
      <c r="F3" s="56"/>
      <c r="G3" s="60"/>
    </row>
    <row r="4" spans="1:7" ht="15" customHeight="1" x14ac:dyDescent="0.2">
      <c r="A4" s="56"/>
      <c r="B4" s="143"/>
      <c r="C4" s="143"/>
      <c r="D4" s="56"/>
      <c r="E4" s="56"/>
      <c r="F4" s="56"/>
      <c r="G4" s="60"/>
    </row>
    <row r="5" spans="1:7" ht="15" customHeight="1" thickBot="1" x14ac:dyDescent="0.25">
      <c r="A5" s="56"/>
      <c r="B5" s="56" t="s">
        <v>72</v>
      </c>
      <c r="C5" s="197" t="str">
        <f ca="1">IF(OR('Advanced Inputs'!J$11&lt;&gt;"CIE S 026",'Advanced Inputs'!J$15&lt;&gt;"D65"),"ERROR: For non-standard calcs, see Advanced tabs.","INPUTS "&amp;IF(LEFT(Inputs!E24,5)="ERROR",Inputs!E24,"Standard CIE S 026 calculations."))</f>
        <v>INPUTS Standard CIE S 026 calculations.</v>
      </c>
      <c r="D5" s="56"/>
      <c r="E5" s="56"/>
      <c r="F5" s="213" t="s">
        <v>325</v>
      </c>
      <c r="G5" s="60"/>
    </row>
    <row r="6" spans="1:7" ht="15" customHeight="1" thickBot="1" x14ac:dyDescent="0.25">
      <c r="A6" s="56"/>
      <c r="B6" s="195" t="str">
        <f>IF(Inputs!$B$5="","TEST",Inputs!$B$5)</f>
        <v>Enter a title for your data</v>
      </c>
      <c r="C6" s="196"/>
      <c r="D6" s="56"/>
      <c r="E6" s="56"/>
      <c r="F6" s="117">
        <f ca="1">IF(LEFT(C5,5)="ERROR","CHECK INPUTS",'Advanced Outputs'!$C$12)</f>
        <v>1</v>
      </c>
      <c r="G6" s="60"/>
    </row>
    <row r="7" spans="1:7" ht="15" customHeight="1" x14ac:dyDescent="0.2">
      <c r="A7" s="56"/>
      <c r="B7" s="143"/>
      <c r="C7" s="143"/>
      <c r="D7" s="56"/>
      <c r="E7" s="56"/>
      <c r="F7" s="56"/>
      <c r="G7" s="60"/>
    </row>
    <row r="8" spans="1:7" s="56" customFormat="1" ht="15" customHeight="1" x14ac:dyDescent="0.2">
      <c r="B8" s="79" t="str">
        <f>Physics!D47</f>
        <v>irradiance</v>
      </c>
      <c r="D8" s="80" t="str">
        <f>Physics!F47</f>
        <v>illuminance</v>
      </c>
      <c r="E8" s="186"/>
      <c r="F8" s="81" t="str">
        <f>Physics!B47</f>
        <v>photon irradiance</v>
      </c>
      <c r="G8" s="60"/>
    </row>
    <row r="9" spans="1:7" s="56" customFormat="1" ht="15" customHeight="1" x14ac:dyDescent="0.2">
      <c r="B9" s="79" t="str">
        <f>Physics!E47</f>
        <v>W.m-2</v>
      </c>
      <c r="D9" s="80" t="str">
        <f>Physics!G47</f>
        <v>lx</v>
      </c>
      <c r="F9" s="81" t="str">
        <f>"log Q/("&amp;Physics!C47&amp;")"</f>
        <v>log Q/(s-1.m-2)</v>
      </c>
      <c r="G9" s="60"/>
    </row>
    <row r="10" spans="1:7" s="56" customFormat="1" ht="15" customHeight="1" x14ac:dyDescent="0.2">
      <c r="B10" s="262" t="str">
        <f>"(unweighted) "&amp; $B$8 &amp;" = ∫ spectral "&amp; $B$8 &amp;" * dλ"</f>
        <v>(unweighted) irradiance = ∫ spectral irradiance * dλ</v>
      </c>
      <c r="C10" s="262"/>
      <c r="D10" s="262"/>
      <c r="E10" s="262"/>
      <c r="F10" s="262"/>
      <c r="G10" s="60"/>
    </row>
    <row r="11" spans="1:7" s="56" customFormat="1" ht="15" customHeight="1" x14ac:dyDescent="0.2">
      <c r="B11" s="263" t="str">
        <f>"(photopic) "&amp; $D$8 &amp;" =      * ∫ spectral "&amp; $B$8 &amp;" * V(λ) * dλ"</f>
        <v>(photopic) illuminance =      * ∫ spectral irradiance * V(λ) * dλ</v>
      </c>
      <c r="C11" s="263"/>
      <c r="D11" s="263"/>
      <c r="E11" s="263"/>
      <c r="F11" s="263"/>
      <c r="G11" s="60"/>
    </row>
    <row r="12" spans="1:7" s="56" customFormat="1" ht="15" customHeight="1" x14ac:dyDescent="0.2">
      <c r="B12" s="262" t="str">
        <f>"(unweighted) "&amp;$F$8&amp;" = ∫ spectral "&amp;$F$8&amp;" * dλ"</f>
        <v>(unweighted) photon irradiance = ∫ spectral photon irradiance * dλ</v>
      </c>
      <c r="C12" s="262"/>
      <c r="D12" s="262"/>
      <c r="E12" s="262"/>
      <c r="F12" s="262"/>
      <c r="G12" s="60"/>
    </row>
    <row r="13" spans="1:7" s="56" customFormat="1" ht="15" customHeight="1" x14ac:dyDescent="0.2">
      <c r="B13" s="86"/>
      <c r="C13" s="86"/>
      <c r="D13" s="86"/>
      <c r="E13" s="86"/>
      <c r="F13" s="86"/>
      <c r="G13" s="60"/>
    </row>
    <row r="14" spans="1:7" s="56" customFormat="1" ht="15" customHeight="1" thickBot="1" x14ac:dyDescent="0.25">
      <c r="B14" s="93" t="str">
        <f>B$8&amp;", "&amp;B$9</f>
        <v>irradiance, W.m-2</v>
      </c>
      <c r="D14" s="60" t="str">
        <f>D$8&amp;", "&amp;D$9</f>
        <v>illuminance, lx</v>
      </c>
      <c r="F14" s="78" t="str">
        <f>"log "&amp;F$8&amp;"/("&amp;Physics!C47&amp;")"</f>
        <v>log photon irradiance/(s-1.m-2)</v>
      </c>
      <c r="G14" s="60"/>
    </row>
    <row r="15" spans="1:7" ht="15" customHeight="1" thickBot="1" x14ac:dyDescent="0.25">
      <c r="A15" s="56"/>
      <c r="B15" s="193">
        <f ca="1">Calculations!$J$14*SUMPRODUCT(Calculations!$M$21:$M$421,Calculations!$K$21:$K$421)*$F$6</f>
        <v>0.52845411822802024</v>
      </c>
      <c r="C15" s="56"/>
      <c r="D15" s="193">
        <f ca="1">Calculations!$J$14*Physics!$F$12*SUMPRODUCT(Calculations!$M$21:$M$421,Calculations!$L$21:$L$421,Calculations!$K$21:$K$421)*$F$6</f>
        <v>100.00022779377528</v>
      </c>
      <c r="E15" s="56"/>
      <c r="F15" s="194">
        <f ca="1">LOG(Calculations!$J$14*SUMPRODUCT(Calculations!$S$21:$S$421,Calculations!$K$21:$K$421)*$F$6)</f>
        <v>18.164106439317639</v>
      </c>
      <c r="G15" s="60"/>
    </row>
    <row r="16" spans="1:7" s="56" customFormat="1" ht="15" customHeight="1" x14ac:dyDescent="0.2">
      <c r="A16" s="60"/>
      <c r="G16" s="60"/>
    </row>
    <row r="17" spans="1:7" s="56" customFormat="1" ht="15" customHeight="1" x14ac:dyDescent="0.2">
      <c r="B17" s="79" t="str">
        <f>$F$17&amp;", "&amp;$B$9</f>
        <v>α-opic irradiance, W.m-2</v>
      </c>
      <c r="F17" s="81" t="str">
        <f>"α-opic "&amp;B8</f>
        <v>α-opic irradiance</v>
      </c>
      <c r="G17" s="60"/>
    </row>
    <row r="18" spans="1:7" s="56" customFormat="1" ht="15" customHeight="1" x14ac:dyDescent="0.2">
      <c r="B18" s="262" t="str">
        <f>"α-opic "&amp; $B$8 &amp;" = ∫ spectral "&amp; $B$8 &amp;" * "&amp;"α-opic action spectrum * dλ"</f>
        <v>α-opic irradiance = ∫ spectral irradiance * α-opic action spectrum * dλ</v>
      </c>
      <c r="C18" s="262"/>
      <c r="D18" s="262"/>
      <c r="E18" s="262"/>
      <c r="F18" s="262"/>
      <c r="G18" s="60"/>
    </row>
    <row r="19" spans="1:7" s="56" customFormat="1" ht="15" customHeight="1" x14ac:dyDescent="0.2">
      <c r="B19" s="86"/>
      <c r="C19" s="86"/>
      <c r="D19" s="86"/>
      <c r="E19" s="86"/>
      <c r="F19" s="86"/>
      <c r="G19" s="60"/>
    </row>
    <row r="20" spans="1:7" s="56" customFormat="1" ht="15" customHeight="1" thickBot="1" x14ac:dyDescent="0.25">
      <c r="B20" s="95" t="str">
        <f ca="1">Photobiology!AA$18</f>
        <v>S-cone-opic</v>
      </c>
      <c r="C20" s="96" t="str">
        <f ca="1">Photobiology!AB$18</f>
        <v>M-cone-opic</v>
      </c>
      <c r="D20" s="97" t="str">
        <f ca="1">Photobiology!AC$18</f>
        <v>L-cone-opic</v>
      </c>
      <c r="E20" s="98" t="str">
        <f ca="1">Photobiology!AD$18</f>
        <v>Rhodopic</v>
      </c>
      <c r="F20" s="99" t="str">
        <f ca="1">Photobiology!AE$18</f>
        <v>Melanopic</v>
      </c>
      <c r="G20" s="60"/>
    </row>
    <row r="21" spans="1:7" ht="15" customHeight="1" thickBot="1" x14ac:dyDescent="0.25">
      <c r="A21" s="56"/>
      <c r="B21" s="198">
        <f ca="1">Calculations!$J$14*SUMPRODUCT(Calculations!$M$21:$M$421,Calculations!N$21:N$421,Calculations!$K$21:$K$421)*$F$6</f>
        <v>0.10805424485590021</v>
      </c>
      <c r="C21" s="199">
        <f ca="1">Calculations!$J$14*SUMPRODUCT(Calculations!$M$21:$M$421,Calculations!O$21:O$421,Calculations!$K$21:$K$421)*$F$6</f>
        <v>0.1533288901185923</v>
      </c>
      <c r="D21" s="200">
        <f ca="1">Calculations!$J$14*SUMPRODUCT(Calculations!$M$21:$M$421,Calculations!P$21:P$421,Calculations!$K$21:$K$421)*$F$6</f>
        <v>0.16358942951191865</v>
      </c>
      <c r="E21" s="201">
        <f ca="1">Calculations!$J$14*SUMPRODUCT(Calculations!$M$21:$M$421,Calculations!Q$21:Q$421,Calculations!$K$21:$K$421)*$F$6</f>
        <v>0.1665214788990291</v>
      </c>
      <c r="F21" s="202">
        <f ca="1">Calculations!$J$14*SUMPRODUCT(Calculations!$M$21:$M$421,Calculations!R$21:R$421,Calculations!$K$21:$K$421)*$F$6</f>
        <v>0.15755582073260388</v>
      </c>
      <c r="G21" s="60"/>
    </row>
    <row r="22" spans="1:7" s="56" customFormat="1" ht="15" customHeight="1" x14ac:dyDescent="0.2">
      <c r="G22" s="60"/>
    </row>
    <row r="23" spans="1:7" s="56" customFormat="1" ht="15" customHeight="1" x14ac:dyDescent="0.2">
      <c r="B23" s="79" t="str">
        <f>"α-opic efficacy of luminous radiation, mW.lm-1"</f>
        <v>α-opic efficacy of luminous radiation, mW.lm-1</v>
      </c>
      <c r="F23" s="81" t="str">
        <f>"α-opic ELR"</f>
        <v>α-opic ELR</v>
      </c>
      <c r="G23" s="60"/>
    </row>
    <row r="24" spans="1:7" s="56" customFormat="1" ht="15" customHeight="1" x14ac:dyDescent="0.2">
      <c r="B24" s="262" t="str">
        <f>"α-opic ELR = "&amp; $F$17 &amp;" / "&amp;$D$8</f>
        <v>α-opic ELR = α-opic irradiance / illuminance</v>
      </c>
      <c r="C24" s="262"/>
      <c r="D24" s="262"/>
      <c r="E24" s="262"/>
      <c r="F24" s="262"/>
      <c r="G24" s="60"/>
    </row>
    <row r="25" spans="1:7" s="56" customFormat="1" ht="15" customHeight="1" x14ac:dyDescent="0.2">
      <c r="B25" s="86"/>
      <c r="C25" s="86"/>
      <c r="D25" s="86"/>
      <c r="E25" s="86"/>
      <c r="F25" s="86"/>
      <c r="G25" s="60"/>
    </row>
    <row r="26" spans="1:7" s="56" customFormat="1" ht="15" customHeight="1" thickBot="1" x14ac:dyDescent="0.25">
      <c r="B26" s="95" t="str">
        <f ca="1">Photobiology!AA$18</f>
        <v>S-cone-opic</v>
      </c>
      <c r="C26" s="96" t="str">
        <f ca="1">Photobiology!AB$18</f>
        <v>M-cone-opic</v>
      </c>
      <c r="D26" s="97" t="str">
        <f ca="1">Photobiology!AC$18</f>
        <v>L-cone-opic</v>
      </c>
      <c r="E26" s="98" t="str">
        <f ca="1">Photobiology!AD$18</f>
        <v>Rhodopic</v>
      </c>
      <c r="F26" s="99" t="str">
        <f ca="1">Photobiology!AE$18</f>
        <v>Melanopic</v>
      </c>
      <c r="G26" s="60"/>
    </row>
    <row r="27" spans="1:7" ht="15" customHeight="1" thickBot="1" x14ac:dyDescent="0.25">
      <c r="A27" s="56"/>
      <c r="B27" s="203">
        <f ca="1">1000*(B21/$D15)</f>
        <v>1.0805399871561718</v>
      </c>
      <c r="C27" s="204">
        <f ca="1">1000*(C21/$D15)</f>
        <v>1.5332854084572052</v>
      </c>
      <c r="D27" s="205">
        <f ca="1">1000*(D21/$D15)</f>
        <v>1.6358905686623006</v>
      </c>
      <c r="E27" s="206">
        <f ca="1">1000*(E21/$D15)</f>
        <v>1.6652109957432975</v>
      </c>
      <c r="F27" s="207">
        <f ca="1">1000*(F21/$D15)</f>
        <v>1.5755546183106921</v>
      </c>
      <c r="G27" s="60"/>
    </row>
    <row r="28" spans="1:7" s="56" customFormat="1" ht="15" customHeight="1" x14ac:dyDescent="0.2">
      <c r="G28" s="60"/>
    </row>
    <row r="29" spans="1:7" s="56" customFormat="1" ht="15" customHeight="1" x14ac:dyDescent="0.2">
      <c r="B29" s="79" t="str">
        <f>"α-opic equivalent "&amp;IF('Advanced Inputs'!$J$15&lt;&gt;"UserRef",IF('Advanced Inputs'!$J$15="D65","daylight (D65)","(R†: illuminant "&amp;'Advanced Inputs'!$J$15&amp;")"),"(R†: UserRef)")&amp;" "&amp;D$8&amp;", "&amp;D9</f>
        <v>α-opic equivalent daylight (D65) illuminance, lx</v>
      </c>
      <c r="F29" s="81" t="str">
        <f>"α-opic E"&amp;IF('Advanced Inputs'!$J$15="D65","D","R†")&amp;UPPER(LEFT($D$8,1))</f>
        <v>α-opic EDI</v>
      </c>
      <c r="G29" s="60"/>
    </row>
    <row r="30" spans="1:7" s="56" customFormat="1" ht="15" customHeight="1" x14ac:dyDescent="0.2">
      <c r="B30" s="262" t="str">
        <f>"α-opic E"&amp;IF('Advanced Inputs'!$J$15="D65","D","R†")&amp;UPPER(LEFT($D$8,1))&amp;" = "&amp;"α-opic "&amp; $B$8 &amp;" / "&amp;"α-opic ELR for "&amp;IF('Advanced Inputs'!$J$15&lt;&gt;"UserRef",IF('Advanced Inputs'!$J$15="D65","daylight (D65)","(R†: illuminant "&amp;'Advanced Inputs'!$J$15&amp;")"),"(R†: UserRef)")</f>
        <v>α-opic EDI = α-opic irradiance / α-opic ELR for daylight (D65)</v>
      </c>
      <c r="C30" s="262"/>
      <c r="D30" s="262"/>
      <c r="E30" s="262"/>
      <c r="F30" s="262"/>
      <c r="G30" s="60"/>
    </row>
    <row r="31" spans="1:7" s="56" customFormat="1" ht="15" customHeight="1" x14ac:dyDescent="0.2">
      <c r="B31" s="86"/>
      <c r="C31" s="86"/>
      <c r="D31" s="86"/>
      <c r="E31" s="86"/>
      <c r="F31" s="86"/>
      <c r="G31" s="60"/>
    </row>
    <row r="32" spans="1:7" s="56" customFormat="1" ht="15" customHeight="1" thickBot="1" x14ac:dyDescent="0.25">
      <c r="B32" s="95" t="str">
        <f ca="1">Photobiology!AA$18</f>
        <v>S-cone-opic</v>
      </c>
      <c r="C32" s="96" t="str">
        <f ca="1">Photobiology!AB$18</f>
        <v>M-cone-opic</v>
      </c>
      <c r="D32" s="97" t="str">
        <f ca="1">Photobiology!AC$18</f>
        <v>L-cone-opic</v>
      </c>
      <c r="E32" s="98" t="str">
        <f ca="1">Photobiology!AD$18</f>
        <v>Rhodopic</v>
      </c>
      <c r="F32" s="99" t="str">
        <f ca="1">Photobiology!AE$18</f>
        <v>Melanopic</v>
      </c>
      <c r="G32" s="60"/>
    </row>
    <row r="33" spans="1:7" ht="15" customHeight="1" thickBot="1" x14ac:dyDescent="0.25">
      <c r="A33" s="56"/>
      <c r="B33" s="198">
        <f ca="1">1000*(B21/VLOOKUP(B$32,Photobiology!$C$10:$D$14,2,0))</f>
        <v>132.21046605985154</v>
      </c>
      <c r="C33" s="199">
        <f ca="1">1000*(C21/VLOOKUP(C$32,Photobiology!$C$10:$D$14,2,0))</f>
        <v>105.3208655664497</v>
      </c>
      <c r="D33" s="200">
        <f ca="1">1000*(D21/VLOOKUP(D$32,Photobiology!$C$10:$D$14,2,0))</f>
        <v>100.428908829284</v>
      </c>
      <c r="E33" s="201">
        <f ca="1">1000*(E21/VLOOKUP(E$32,Photobiology!$C$10:$D$14,2,0))</f>
        <v>114.86588130800649</v>
      </c>
      <c r="F33" s="202">
        <f ca="1">1000*(F21/VLOOKUP(F$32,Photobiology!$C$10:$D$14,2,0))</f>
        <v>118.80127721992459</v>
      </c>
      <c r="G33" s="60"/>
    </row>
    <row r="34" spans="1:7" s="56" customFormat="1" ht="15" customHeight="1" x14ac:dyDescent="0.2">
      <c r="G34" s="60"/>
    </row>
    <row r="35" spans="1:7" s="56" customFormat="1" ht="15" customHeight="1" x14ac:dyDescent="0.2">
      <c r="B35" s="79" t="str">
        <f>"log α-opic "&amp;$F$8&amp;", "&amp;$F$9&amp;", where"</f>
        <v>log α-opic photon irradiance, log Q/(s-1.m-2), where</v>
      </c>
      <c r="C35" s="73"/>
      <c r="D35" s="73"/>
      <c r="E35" s="73"/>
      <c r="F35" s="81" t="str">
        <f>"α-opic "&amp; $F$8</f>
        <v>α-opic photon irradiance</v>
      </c>
      <c r="G35" s="60"/>
    </row>
    <row r="36" spans="1:7" s="56" customFormat="1" ht="15" customHeight="1" x14ac:dyDescent="0.2">
      <c r="B36" s="262" t="str">
        <f>"α-opic "&amp; $F$8 &amp;" = ∫ spectral "&amp; $F$8 &amp;" * photon system "&amp;"α-opic action spectrum * dλ"</f>
        <v>α-opic photon irradiance = ∫ spectral photon irradiance * photon system α-opic action spectrum * dλ</v>
      </c>
      <c r="C36" s="262"/>
      <c r="D36" s="262"/>
      <c r="E36" s="262"/>
      <c r="F36" s="262"/>
      <c r="G36" s="60"/>
    </row>
    <row r="37" spans="1:7" s="56" customFormat="1" ht="15" customHeight="1" x14ac:dyDescent="0.2">
      <c r="B37" s="100"/>
      <c r="C37" s="100"/>
      <c r="D37" s="100"/>
      <c r="E37" s="100"/>
      <c r="F37" s="100"/>
      <c r="G37" s="60"/>
    </row>
    <row r="38" spans="1:7" s="56" customFormat="1" ht="15" customHeight="1" thickBot="1" x14ac:dyDescent="0.25">
      <c r="B38" s="95" t="str">
        <f ca="1">Photobiology!AA$18</f>
        <v>S-cone-opic</v>
      </c>
      <c r="C38" s="96" t="str">
        <f ca="1">Photobiology!AB$18</f>
        <v>M-cone-opic</v>
      </c>
      <c r="D38" s="97" t="str">
        <f ca="1">Photobiology!AC$18</f>
        <v>L-cone-opic</v>
      </c>
      <c r="E38" s="98" t="str">
        <f ca="1">Photobiology!AD$18</f>
        <v>Rhodopic</v>
      </c>
      <c r="F38" s="99" t="str">
        <f ca="1">Photobiology!AE$18</f>
        <v>Melanopic</v>
      </c>
      <c r="G38" s="60"/>
    </row>
    <row r="39" spans="1:7" ht="15" customHeight="1" thickBot="1" x14ac:dyDescent="0.25">
      <c r="A39" s="56"/>
      <c r="B39" s="208">
        <f ca="1">LOG(Calculations!$J$14*SUMPRODUCT(Calculations!$S$21:$S$421,Calculations!T$21:T$421,Calculations!$K$21:$K$421)*$F$6)</f>
        <v>17.38641220117502</v>
      </c>
      <c r="C39" s="209">
        <f ca="1">LOG(Calculations!$J$14*SUMPRODUCT(Calculations!$S$21:$S$421,Calculations!U$21:U$421,Calculations!$K$21:$K$421)*$F$6)</f>
        <v>17.620527114038481</v>
      </c>
      <c r="D39" s="210">
        <f ca="1">LOG(Calculations!$J$14*SUMPRODUCT(Calculations!$S$21:$S$421,Calculations!V$21:V$421,Calculations!$K$21:$K$421)*$F$6)</f>
        <v>17.669162528191325</v>
      </c>
      <c r="E39" s="211">
        <f ca="1">LOG(Calculations!$J$14*SUMPRODUCT(Calculations!$S$21:$S$421,Calculations!W$21:W$421,Calculations!$K$21:$K$421)*$F$6)</f>
        <v>17.627250490465116</v>
      </c>
      <c r="F39" s="212">
        <f ca="1">LOG(Calculations!$J$14*SUMPRODUCT(Calculations!$S$21:$S$421,Calculations!X$21:X$421,Calculations!$K$21:$K$421)*$F$6)</f>
        <v>17.588765104839268</v>
      </c>
      <c r="G39" s="60"/>
    </row>
    <row r="40" spans="1:7" s="56" customFormat="1" ht="15" customHeight="1" x14ac:dyDescent="0.2">
      <c r="D40" s="258"/>
      <c r="E40" s="258"/>
      <c r="F40" s="100"/>
      <c r="G40" s="60"/>
    </row>
    <row r="41" spans="1:7" s="56" customFormat="1" ht="15" customHeight="1" thickBot="1" x14ac:dyDescent="0.25">
      <c r="B41" s="82" t="str">
        <f>"α-opic "&amp;$F$8&amp;" in standard notation"</f>
        <v>α-opic photon irradiance in standard notation</v>
      </c>
      <c r="F41" s="78" t="str">
        <f>F$8&amp;", "&amp;Physics!C47</f>
        <v>photon irradiance, s-1.m-2</v>
      </c>
      <c r="G41" s="60"/>
    </row>
    <row r="42" spans="1:7" ht="15" customHeight="1" thickBot="1" x14ac:dyDescent="0.25">
      <c r="A42" s="56"/>
      <c r="B42" s="262" t="str">
        <f ca="1">"e.g. "&amp;TEXT(F44,FIXED(0,3)&amp;"E+00")&amp;" = 10^"&amp;TEXT(LOG(F44),FIXED(0,3))&amp;", with rounding to 3 decimal places"</f>
        <v>e.g. 3,879E+17 = 10^17,589, with rounding to 3 decimal places</v>
      </c>
      <c r="C42" s="262"/>
      <c r="D42" s="262"/>
      <c r="E42" s="266"/>
      <c r="F42" s="238">
        <f ca="1">10^F15</f>
        <v>1.4591718384401884E+18</v>
      </c>
      <c r="G42" s="60"/>
    </row>
    <row r="43" spans="1:7" s="56" customFormat="1" ht="15" customHeight="1" thickBot="1" x14ac:dyDescent="0.25">
      <c r="B43" s="79" t="str">
        <f>"α-opic "&amp;$F$8&amp;", "&amp;Physics!C47</f>
        <v>α-opic photon irradiance, s-1.m-2</v>
      </c>
      <c r="C43" s="73"/>
      <c r="D43" s="73"/>
      <c r="E43" s="73"/>
      <c r="F43" s="81"/>
      <c r="G43" s="60"/>
    </row>
    <row r="44" spans="1:7" ht="15" customHeight="1" thickBot="1" x14ac:dyDescent="0.25">
      <c r="A44" s="56"/>
      <c r="B44" s="239">
        <f ca="1">10^B39</f>
        <v>2.4345135785492589E+17</v>
      </c>
      <c r="C44" s="240">
        <f t="shared" ref="C44:F44" ca="1" si="0">10^C39</f>
        <v>4.1737565540777491E+17</v>
      </c>
      <c r="D44" s="241">
        <f t="shared" ca="1" si="0"/>
        <v>4.6683405326539366E+17</v>
      </c>
      <c r="E44" s="242">
        <f t="shared" ca="1" si="0"/>
        <v>4.2388738346031814E+17</v>
      </c>
      <c r="F44" s="243">
        <f t="shared" ca="1" si="0"/>
        <v>3.8794048538149171E+17</v>
      </c>
      <c r="G44" s="60"/>
    </row>
    <row r="45" spans="1:7" s="56" customFormat="1" ht="15" customHeight="1" x14ac:dyDescent="0.2">
      <c r="F45" s="257"/>
      <c r="G45" s="60"/>
    </row>
    <row r="46" spans="1:7" s="56" customFormat="1" ht="15" hidden="1" customHeight="1" x14ac:dyDescent="0.2">
      <c r="G46" s="60"/>
    </row>
    <row r="47" spans="1:7" s="56" customFormat="1" ht="7.5" hidden="1" customHeight="1" x14ac:dyDescent="0.2">
      <c r="G47" s="60"/>
    </row>
    <row r="48" spans="1:7" s="56" customFormat="1" ht="15" hidden="1" customHeight="1" x14ac:dyDescent="0.2">
      <c r="G48" s="60"/>
    </row>
    <row r="49" spans="1:7" s="56" customFormat="1" ht="15" hidden="1" customHeight="1" x14ac:dyDescent="0.2">
      <c r="G49" s="60"/>
    </row>
    <row r="50" spans="1:7" s="56" customFormat="1" ht="15" hidden="1" customHeight="1" x14ac:dyDescent="0.2">
      <c r="G50" s="60"/>
    </row>
    <row r="51" spans="1:7" s="56" customFormat="1" ht="15" hidden="1" customHeight="1" x14ac:dyDescent="0.2">
      <c r="G51" s="60"/>
    </row>
    <row r="52" spans="1:7" s="56" customFormat="1" ht="7.5" hidden="1" customHeight="1" x14ac:dyDescent="0.2">
      <c r="B52" s="265"/>
      <c r="C52" s="265"/>
      <c r="D52" s="265"/>
      <c r="E52" s="265"/>
      <c r="F52" s="265"/>
    </row>
    <row r="53" spans="1:7" s="56" customFormat="1" ht="15" hidden="1" customHeight="1" x14ac:dyDescent="0.2">
      <c r="F53" s="81" t="str">
        <f>"Age-adjusted "&amp;$F$17</f>
        <v>Age-adjusted α-opic irradiance</v>
      </c>
    </row>
    <row r="54" spans="1:7" s="56" customFormat="1" ht="15" hidden="1" customHeight="1" x14ac:dyDescent="0.2">
      <c r="B54" s="264"/>
      <c r="C54" s="264"/>
      <c r="D54" s="264"/>
      <c r="E54" s="264"/>
      <c r="F54" s="264"/>
      <c r="G54" s="60"/>
    </row>
    <row r="55" spans="1:7" s="56" customFormat="1" hidden="1" x14ac:dyDescent="0.2">
      <c r="B55" s="100"/>
      <c r="C55" s="100"/>
      <c r="D55" s="100"/>
      <c r="E55" s="100"/>
      <c r="F55" s="100"/>
      <c r="G55" s="60"/>
    </row>
    <row r="56" spans="1:7" s="56" customFormat="1" hidden="1" x14ac:dyDescent="0.2">
      <c r="B56" s="95" t="s">
        <v>302</v>
      </c>
      <c r="C56" s="96" t="s">
        <v>303</v>
      </c>
      <c r="D56" s="97" t="s">
        <v>304</v>
      </c>
      <c r="E56" s="98" t="s">
        <v>76</v>
      </c>
      <c r="F56" s="99" t="s">
        <v>77</v>
      </c>
    </row>
    <row r="57" spans="1:7" ht="16" hidden="1" thickBot="1" x14ac:dyDescent="0.25">
      <c r="A57" s="90"/>
      <c r="B57" s="10" t="e">
        <f ca="1">Calculations!$J$14*SUMPRODUCT(Transmittance!$E$21:$E$421,Calculations!$M$21:$M$421,Calculations!N$21:N$421,Calculations!$K$21:$K$421)*#REF!</f>
        <v>#REF!</v>
      </c>
      <c r="C57" s="11" t="e">
        <f ca="1">Calculations!$J$14*SUMPRODUCT(Transmittance!$E$21:$E$421,Calculations!$M$21:$M$421,Calculations!O$21:O$421,Calculations!$K$21:$K$421)*#REF!</f>
        <v>#REF!</v>
      </c>
      <c r="D57" s="12" t="e">
        <f ca="1">Calculations!$J$14*SUMPRODUCT(Transmittance!$E$21:$E$421,Calculations!$M$21:$M$421,Calculations!P$21:P$421,Calculations!$K$21:$K$421)*#REF!</f>
        <v>#REF!</v>
      </c>
      <c r="E57" s="13" t="e">
        <f ca="1">Calculations!$J$14*SUMPRODUCT(Transmittance!$E$21:$E$421,Calculations!$M$21:$M$421,Calculations!Q$21:Q$421,Calculations!$K$21:$K$421)*#REF!</f>
        <v>#REF!</v>
      </c>
      <c r="F57" s="14" t="e">
        <f ca="1">Calculations!$J$14*SUMPRODUCT(Transmittance!$E$21:$E$421,Calculations!$M$21:$M$421,Calculations!R$21:R$421,Calculations!$K$21:$K$421)*#REF!</f>
        <v>#REF!</v>
      </c>
      <c r="G57" s="56"/>
    </row>
    <row r="58" spans="1:7" s="56" customFormat="1" hidden="1" x14ac:dyDescent="0.2">
      <c r="A58" s="90"/>
    </row>
    <row r="59" spans="1:7" s="56" customFormat="1" hidden="1" x14ac:dyDescent="0.2">
      <c r="A59" s="90"/>
      <c r="F59" s="81" t="str">
        <f>"Age-adjusted "&amp;$F$29</f>
        <v>Age-adjusted α-opic EDI</v>
      </c>
    </row>
    <row r="60" spans="1:7" s="56" customFormat="1" ht="15" hidden="1" customHeight="1" x14ac:dyDescent="0.2">
      <c r="A60" s="90"/>
      <c r="B60" s="264"/>
      <c r="C60" s="264"/>
      <c r="D60" s="264"/>
      <c r="E60" s="264"/>
      <c r="F60" s="264"/>
      <c r="G60" s="60"/>
    </row>
    <row r="61" spans="1:7" s="56" customFormat="1" hidden="1" x14ac:dyDescent="0.2">
      <c r="A61" s="90"/>
      <c r="B61" s="86"/>
      <c r="C61" s="86"/>
      <c r="D61" s="86"/>
      <c r="E61" s="86"/>
      <c r="F61" s="86"/>
      <c r="G61" s="60"/>
    </row>
    <row r="62" spans="1:7" s="56" customFormat="1" hidden="1" x14ac:dyDescent="0.2">
      <c r="A62" s="90"/>
      <c r="B62" s="95" t="s">
        <v>302</v>
      </c>
      <c r="C62" s="96" t="s">
        <v>303</v>
      </c>
      <c r="D62" s="97" t="s">
        <v>304</v>
      </c>
      <c r="E62" s="98" t="s">
        <v>76</v>
      </c>
      <c r="F62" s="99" t="s">
        <v>77</v>
      </c>
    </row>
    <row r="63" spans="1:7" ht="16" hidden="1" thickBot="1" x14ac:dyDescent="0.25">
      <c r="A63" s="90"/>
      <c r="B63" s="31" t="e">
        <f ca="1">1000*(B57/#REF!)*(#REF!/#REF!)</f>
        <v>#REF!</v>
      </c>
      <c r="C63" s="32" t="e">
        <f ca="1">1000*(C57/#REF!)*(#REF!/#REF!)</f>
        <v>#REF!</v>
      </c>
      <c r="D63" s="33" t="e">
        <f ca="1">1000*(D57/#REF!)*(#REF!/#REF!)</f>
        <v>#REF!</v>
      </c>
      <c r="E63" s="34" t="e">
        <f ca="1">1000*(E57/#REF!)*(#REF!/#REF!)</f>
        <v>#REF!</v>
      </c>
      <c r="F63" s="35" t="e">
        <f ca="1">1000*(F57/#REF!)*(#REF!/#REF!)</f>
        <v>#REF!</v>
      </c>
      <c r="G63" s="56"/>
    </row>
    <row r="64" spans="1:7" s="56" customFormat="1" hidden="1" x14ac:dyDescent="0.2">
      <c r="A64" s="90"/>
      <c r="B64" s="90"/>
      <c r="C64" s="90"/>
      <c r="D64" s="90"/>
      <c r="E64" s="90"/>
      <c r="F64" s="90"/>
      <c r="G64" s="90"/>
    </row>
    <row r="65" spans="1:7" s="56" customFormat="1" hidden="1" x14ac:dyDescent="0.2">
      <c r="F65" s="81" t="str">
        <f>"Age-adjusted "&amp;$F$35</f>
        <v>Age-adjusted α-opic photon irradiance</v>
      </c>
    </row>
    <row r="66" spans="1:7" s="56" customFormat="1" ht="15" hidden="1" customHeight="1" x14ac:dyDescent="0.2">
      <c r="B66" s="264"/>
      <c r="C66" s="264"/>
      <c r="D66" s="264"/>
      <c r="E66" s="264"/>
      <c r="F66" s="264"/>
      <c r="G66" s="60"/>
    </row>
    <row r="67" spans="1:7" s="56" customFormat="1" hidden="1" x14ac:dyDescent="0.2">
      <c r="B67" s="102"/>
      <c r="C67" s="102"/>
      <c r="D67" s="102"/>
      <c r="E67" s="102"/>
      <c r="F67" s="102"/>
      <c r="G67" s="60"/>
    </row>
    <row r="68" spans="1:7" s="56" customFormat="1" hidden="1" x14ac:dyDescent="0.2">
      <c r="B68" s="95" t="s">
        <v>302</v>
      </c>
      <c r="C68" s="96" t="s">
        <v>303</v>
      </c>
      <c r="D68" s="97" t="s">
        <v>304</v>
      </c>
      <c r="E68" s="98" t="s">
        <v>76</v>
      </c>
      <c r="F68" s="99" t="s">
        <v>77</v>
      </c>
    </row>
    <row r="69" spans="1:7" ht="16" hidden="1" thickBot="1" x14ac:dyDescent="0.25">
      <c r="A69" s="56"/>
      <c r="B69" s="155" t="e">
        <f ca="1">LOG(Calculations!$J$14*SUMPRODUCT(Transmittance!$E$21:$E$421,Calculations!$S$21:$S$421,Calculations!T$21:T$421,Calculations!$K$21:$K$421)*#REF!)</f>
        <v>#REF!</v>
      </c>
      <c r="C69" s="156" t="e">
        <f ca="1">LOG(Calculations!$J$14*SUMPRODUCT(Transmittance!$E$21:$E$421,Calculations!$S$21:$S$421,Calculations!U$21:U$421,Calculations!$K$21:$K$421)*#REF!)</f>
        <v>#REF!</v>
      </c>
      <c r="D69" s="157" t="e">
        <f ca="1">LOG(Calculations!$J$14*SUMPRODUCT(Transmittance!$E$21:$E$421,Calculations!$S$21:$S$421,Calculations!V$21:V$421,Calculations!$K$21:$K$421)*#REF!)</f>
        <v>#REF!</v>
      </c>
      <c r="E69" s="158" t="e">
        <f ca="1">LOG(Calculations!$J$14*SUMPRODUCT(Transmittance!$E$21:$E$421,Calculations!$S$21:$S$421,Calculations!W$21:W$421,Calculations!$K$21:$K$421)*#REF!)</f>
        <v>#REF!</v>
      </c>
      <c r="F69" s="159" t="e">
        <f ca="1">LOG(Calculations!$J$14*SUMPRODUCT(Transmittance!$E$21:$E$421,Calculations!$S$21:$S$421,Calculations!X$21:X$421,Calculations!$K$21:$K$421)*#REF!)</f>
        <v>#REF!</v>
      </c>
      <c r="G69" s="56"/>
    </row>
    <row r="70" spans="1:7" s="56" customFormat="1" hidden="1" x14ac:dyDescent="0.2"/>
  </sheetData>
  <sheetProtection password="CAB0" sheet="1" objects="1" scenarios="1"/>
  <mergeCells count="12">
    <mergeCell ref="B66:F66"/>
    <mergeCell ref="B60:F60"/>
    <mergeCell ref="B54:F54"/>
    <mergeCell ref="B52:F52"/>
    <mergeCell ref="B36:F36"/>
    <mergeCell ref="B42:E42"/>
    <mergeCell ref="B10:F10"/>
    <mergeCell ref="B11:F11"/>
    <mergeCell ref="B12:F12"/>
    <mergeCell ref="B18:F18"/>
    <mergeCell ref="B30:F30"/>
    <mergeCell ref="B24:F24"/>
  </mergeCells>
  <conditionalFormatting sqref="C5">
    <cfRule type="notContainsText" dxfId="21" priority="2" operator="notContains" text="Standard CIE S 026 calculations.">
      <formula>ISERROR(SEARCH("Standard CIE S 026 calculations.",C5))</formula>
    </cfRule>
  </conditionalFormatting>
  <conditionalFormatting sqref="F6">
    <cfRule type="containsText" dxfId="20" priority="1" operator="containsText" text="CHECK INPUTS">
      <formula>NOT(ISERROR(SEARCH("CHECK INPUTS",F6)))</formula>
    </cfRule>
  </conditionalFormatting>
  <dataValidations count="1">
    <dataValidation allowBlank="1" showErrorMessage="1" promptTitle="Ouputs" prompt="_x000a_You can choose your preferred SI quantity prefix and area prefix (if applicable) in cells F10:F11, H10:H11 and J11._x000a_" sqref="B3" xr:uid="{00000000-0002-0000-0300-000000000000}"/>
  </dataValidations>
  <pageMargins left="0.7" right="0.7" top="0.75" bottom="0.75" header="0.3" footer="0.3"/>
  <pageSetup paperSize="9" scale="83"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7" tint="-0.249977111117893"/>
  </sheetPr>
  <dimension ref="A1:CC421"/>
  <sheetViews>
    <sheetView workbookViewId="0">
      <selection activeCell="B3" sqref="B3"/>
    </sheetView>
  </sheetViews>
  <sheetFormatPr baseColWidth="10" defaultColWidth="0" defaultRowHeight="15" zeroHeight="1" x14ac:dyDescent="0.2"/>
  <cols>
    <col min="1" max="1" width="5.6640625" style="73" customWidth="1"/>
    <col min="2" max="5" width="15.6640625" style="73" customWidth="1"/>
    <col min="6" max="6" width="5.6640625" style="73" customWidth="1"/>
    <col min="7" max="7" width="5.6640625" style="73" hidden="1" customWidth="1"/>
    <col min="8" max="72" width="8.6640625" style="73" hidden="1" customWidth="1"/>
    <col min="73" max="73" width="5.6640625" style="73" hidden="1" customWidth="1"/>
    <col min="74" max="16384" width="8.6640625" style="73" hidden="1"/>
  </cols>
  <sheetData>
    <row r="1" spans="2:81" ht="25" customHeight="1" x14ac:dyDescent="0.3">
      <c r="B1" s="72" t="str">
        <f>LEFT(Disclaimer!B1,Maintenance!I3)</f>
        <v>CIE S 026 α-opic Toolbox - v1.049a - 2020/11</v>
      </c>
      <c r="BU1" s="73" t="s">
        <v>166</v>
      </c>
    </row>
    <row r="2" spans="2:81" ht="15" customHeight="1" x14ac:dyDescent="0.3">
      <c r="B2" s="162"/>
      <c r="BU2" s="73" t="s">
        <v>166</v>
      </c>
    </row>
    <row r="3" spans="2:81" x14ac:dyDescent="0.2">
      <c r="B3" s="145" t="s">
        <v>169</v>
      </c>
      <c r="C3" s="146" t="s">
        <v>234</v>
      </c>
    </row>
    <row r="4" spans="2:81" ht="15" customHeight="1" x14ac:dyDescent="0.2">
      <c r="C4" s="146" t="s">
        <v>235</v>
      </c>
    </row>
    <row r="5" spans="2:81" ht="15" customHeight="1" x14ac:dyDescent="0.2">
      <c r="AT5" s="163"/>
      <c r="BA5" s="164"/>
      <c r="BB5" s="164"/>
      <c r="BC5" s="165"/>
      <c r="BD5" s="166"/>
      <c r="BE5" s="166"/>
      <c r="BF5" s="166"/>
    </row>
    <row r="6" spans="2:81" ht="15" hidden="1" customHeight="1" x14ac:dyDescent="0.2">
      <c r="K6" s="73" t="s">
        <v>199</v>
      </c>
      <c r="AT6" s="163"/>
      <c r="BA6" s="164"/>
      <c r="BB6" s="164"/>
      <c r="BC6" s="165"/>
      <c r="BD6" s="166"/>
      <c r="BE6" s="166"/>
      <c r="BF6" s="166"/>
    </row>
    <row r="7" spans="2:81" ht="15" hidden="1" customHeight="1" x14ac:dyDescent="0.2">
      <c r="AT7" s="163"/>
      <c r="BA7" s="164"/>
      <c r="BB7" s="164"/>
      <c r="BC7" s="165"/>
      <c r="BD7" s="166"/>
      <c r="BE7" s="166"/>
      <c r="BF7" s="166"/>
    </row>
    <row r="8" spans="2:81" ht="15" hidden="1" customHeight="1" x14ac:dyDescent="0.2">
      <c r="K8" s="73" t="s">
        <v>290</v>
      </c>
      <c r="AT8" s="163"/>
      <c r="BA8" s="164"/>
      <c r="BB8" s="164"/>
      <c r="BC8" s="165"/>
      <c r="BD8" s="166"/>
      <c r="BE8" s="166"/>
      <c r="BF8" s="166"/>
    </row>
    <row r="9" spans="2:81" ht="15" hidden="1" customHeight="1" x14ac:dyDescent="0.2">
      <c r="AT9" s="163"/>
      <c r="BA9" s="164"/>
      <c r="BB9" s="164"/>
      <c r="BC9" s="165"/>
      <c r="BD9" s="166"/>
      <c r="BE9" s="166"/>
      <c r="BF9" s="166"/>
    </row>
    <row r="10" spans="2:81" ht="15" hidden="1" customHeight="1" x14ac:dyDescent="0.2">
      <c r="AT10" s="163"/>
      <c r="BA10" s="164"/>
      <c r="BB10" s="164"/>
      <c r="BC10" s="165"/>
      <c r="BD10" s="166"/>
      <c r="BE10" s="166"/>
      <c r="BF10" s="166"/>
    </row>
    <row r="11" spans="2:81" ht="15" hidden="1" customHeight="1" x14ac:dyDescent="0.2">
      <c r="AT11" s="163"/>
      <c r="BA11" s="164"/>
      <c r="BB11" s="164"/>
      <c r="BC11" s="165"/>
      <c r="BD11" s="166"/>
      <c r="BE11" s="166"/>
      <c r="BF11" s="166"/>
    </row>
    <row r="12" spans="2:81" ht="15" hidden="1" customHeight="1" x14ac:dyDescent="0.2">
      <c r="AT12" s="163"/>
      <c r="BA12" s="164"/>
      <c r="BB12" s="164"/>
      <c r="BC12" s="165"/>
      <c r="BD12" s="166"/>
      <c r="BE12" s="166"/>
      <c r="BF12" s="166"/>
    </row>
    <row r="13" spans="2:81" ht="15" hidden="1" customHeight="1" x14ac:dyDescent="0.2">
      <c r="AT13" s="163"/>
      <c r="BA13" s="164"/>
      <c r="BB13" s="164"/>
      <c r="BC13" s="165"/>
      <c r="BD13" s="166"/>
      <c r="BE13" s="166"/>
      <c r="BF13" s="166"/>
    </row>
    <row r="14" spans="2:81" ht="15" hidden="1" customHeight="1" x14ac:dyDescent="0.2">
      <c r="AT14" s="163"/>
      <c r="BA14" s="164"/>
      <c r="BB14" s="164"/>
      <c r="BC14" s="165"/>
      <c r="BD14" s="166"/>
      <c r="BE14" s="166"/>
      <c r="BF14" s="166"/>
    </row>
    <row r="15" spans="2:81" ht="15" hidden="1" customHeight="1" x14ac:dyDescent="0.2">
      <c r="H15" s="73" t="s">
        <v>219</v>
      </c>
      <c r="I15" s="73">
        <v>1</v>
      </c>
      <c r="J15" s="73">
        <v>1</v>
      </c>
      <c r="K15" s="73">
        <v>1</v>
      </c>
      <c r="L15" s="73">
        <v>1</v>
      </c>
      <c r="M15" s="73">
        <v>1</v>
      </c>
      <c r="N15" s="73">
        <v>1</v>
      </c>
      <c r="O15" s="73">
        <v>1</v>
      </c>
      <c r="P15" s="73">
        <v>1</v>
      </c>
      <c r="Q15" s="73">
        <v>1</v>
      </c>
      <c r="R15" s="73">
        <v>1</v>
      </c>
      <c r="S15" s="73">
        <v>1</v>
      </c>
      <c r="T15" s="73">
        <v>1</v>
      </c>
      <c r="W15" s="73">
        <v>1</v>
      </c>
      <c r="X15" s="73">
        <v>1</v>
      </c>
      <c r="Y15" s="73">
        <v>1</v>
      </c>
      <c r="Z15" s="73">
        <v>1</v>
      </c>
      <c r="AA15" s="73">
        <v>1</v>
      </c>
      <c r="AB15" s="73">
        <v>1</v>
      </c>
      <c r="AC15" s="73">
        <v>1</v>
      </c>
      <c r="AD15" s="73">
        <v>1</v>
      </c>
      <c r="AG15" s="73">
        <v>1</v>
      </c>
      <c r="AH15" s="73">
        <v>1</v>
      </c>
      <c r="AI15" s="73">
        <v>1</v>
      </c>
      <c r="AJ15" s="73">
        <v>1</v>
      </c>
      <c r="AK15" s="73">
        <v>1</v>
      </c>
      <c r="AL15" s="73">
        <v>1</v>
      </c>
      <c r="AM15" s="73">
        <v>1</v>
      </c>
      <c r="AP15" s="73">
        <v>1</v>
      </c>
      <c r="AQ15" s="73">
        <v>1</v>
      </c>
      <c r="AR15" s="73">
        <v>1</v>
      </c>
      <c r="AS15" s="73">
        <v>1</v>
      </c>
      <c r="AT15" s="73">
        <v>1</v>
      </c>
      <c r="AU15" s="73">
        <v>1</v>
      </c>
      <c r="AV15" s="73">
        <v>1</v>
      </c>
      <c r="AW15" s="73">
        <v>1</v>
      </c>
      <c r="AX15" s="73">
        <v>1</v>
      </c>
      <c r="BA15" s="164">
        <v>5</v>
      </c>
      <c r="BB15" s="164">
        <v>5</v>
      </c>
      <c r="BC15" s="164">
        <v>5</v>
      </c>
      <c r="BD15" s="164">
        <v>5</v>
      </c>
      <c r="BE15" s="164">
        <v>5</v>
      </c>
      <c r="BF15" s="164">
        <v>5</v>
      </c>
      <c r="BG15" s="164">
        <v>5</v>
      </c>
      <c r="BJ15" s="164">
        <v>5</v>
      </c>
      <c r="BK15" s="164">
        <v>5</v>
      </c>
      <c r="BL15" s="164">
        <v>5</v>
      </c>
      <c r="BM15" s="164">
        <v>5</v>
      </c>
      <c r="BN15" s="164">
        <v>5</v>
      </c>
      <c r="BQ15" s="73">
        <f>BP22-BP21</f>
        <v>1</v>
      </c>
      <c r="BT15" s="73">
        <f>BS22-BS21</f>
        <v>1</v>
      </c>
      <c r="BW15" s="73">
        <v>1</v>
      </c>
      <c r="BX15" s="73">
        <v>1</v>
      </c>
      <c r="BY15" s="73">
        <v>1</v>
      </c>
      <c r="BZ15" s="73">
        <v>1</v>
      </c>
      <c r="CA15" s="73">
        <v>1</v>
      </c>
      <c r="CB15" s="73">
        <v>1</v>
      </c>
      <c r="CC15" s="73">
        <v>1</v>
      </c>
    </row>
    <row r="16" spans="2:81" ht="15" hidden="1" customHeight="1" x14ac:dyDescent="0.2">
      <c r="AT16" s="163"/>
      <c r="BA16" s="164"/>
      <c r="BB16" s="164"/>
      <c r="BC16" s="165"/>
      <c r="BD16" s="166"/>
      <c r="BE16" s="166"/>
      <c r="BF16" s="166"/>
    </row>
    <row r="17" spans="2:81" ht="15" hidden="1" customHeight="1" x14ac:dyDescent="0.2">
      <c r="H17" s="73" t="s">
        <v>107</v>
      </c>
      <c r="V17" s="73" t="s">
        <v>108</v>
      </c>
      <c r="AE17" s="73" t="s">
        <v>166</v>
      </c>
      <c r="AF17" s="73" t="s">
        <v>109</v>
      </c>
      <c r="AN17" s="73" t="s">
        <v>166</v>
      </c>
      <c r="AO17" s="73" t="s">
        <v>140</v>
      </c>
      <c r="AT17" s="163"/>
      <c r="AZ17" s="73" t="s">
        <v>253</v>
      </c>
      <c r="BA17" s="163"/>
      <c r="BB17" s="163"/>
      <c r="BC17" s="163"/>
      <c r="BD17" s="163"/>
      <c r="BE17" s="163"/>
      <c r="BF17" s="163"/>
      <c r="BI17" s="73" t="s">
        <v>155</v>
      </c>
      <c r="BO17" s="73" t="s">
        <v>166</v>
      </c>
      <c r="BP17" s="73" t="s">
        <v>174</v>
      </c>
      <c r="BW17" s="73" t="s">
        <v>463</v>
      </c>
      <c r="BX17" s="73" t="s">
        <v>463</v>
      </c>
    </row>
    <row r="18" spans="2:81" ht="15" hidden="1" customHeight="1" x14ac:dyDescent="0.2">
      <c r="H18" s="73" t="s">
        <v>110</v>
      </c>
      <c r="V18" s="73" t="s">
        <v>111</v>
      </c>
      <c r="AF18" s="73" t="s">
        <v>112</v>
      </c>
      <c r="AO18" s="73" t="s">
        <v>141</v>
      </c>
      <c r="AT18" s="163"/>
      <c r="AY18" s="73" t="s">
        <v>166</v>
      </c>
      <c r="AZ18" s="73" t="s">
        <v>164</v>
      </c>
      <c r="BA18" s="164"/>
      <c r="BB18" s="164"/>
      <c r="BC18" s="165"/>
      <c r="BD18" s="166"/>
      <c r="BE18" s="166"/>
      <c r="BF18" s="166"/>
      <c r="BI18" s="73" t="s">
        <v>156</v>
      </c>
      <c r="BO18" s="73" t="s">
        <v>166</v>
      </c>
    </row>
    <row r="19" spans="2:81" ht="15" hidden="1" customHeight="1" x14ac:dyDescent="0.2">
      <c r="AT19" s="163"/>
      <c r="BA19" s="164"/>
      <c r="BB19" s="164"/>
      <c r="BC19" s="165"/>
      <c r="BD19" s="166"/>
      <c r="BE19" s="166"/>
      <c r="BF19" s="166"/>
    </row>
    <row r="20" spans="2:81" ht="15" hidden="1" customHeight="1" x14ac:dyDescent="0.2">
      <c r="B20" s="73" t="s">
        <v>296</v>
      </c>
      <c r="H20" s="167" t="s">
        <v>254</v>
      </c>
      <c r="I20" s="165" t="s">
        <v>113</v>
      </c>
      <c r="J20" s="165" t="s">
        <v>114</v>
      </c>
      <c r="K20" s="165" t="s">
        <v>115</v>
      </c>
      <c r="L20" s="165" t="s">
        <v>116</v>
      </c>
      <c r="M20" s="165" t="s">
        <v>117</v>
      </c>
      <c r="N20" s="165" t="s">
        <v>118</v>
      </c>
      <c r="O20" s="165" t="s">
        <v>119</v>
      </c>
      <c r="P20" s="165" t="s">
        <v>120</v>
      </c>
      <c r="Q20" s="165" t="s">
        <v>121</v>
      </c>
      <c r="R20" s="165" t="s">
        <v>122</v>
      </c>
      <c r="S20" s="165" t="s">
        <v>123</v>
      </c>
      <c r="T20" s="165" t="s">
        <v>124</v>
      </c>
      <c r="V20" s="167" t="s">
        <v>254</v>
      </c>
      <c r="W20" s="166" t="s">
        <v>125</v>
      </c>
      <c r="X20" s="166" t="s">
        <v>126</v>
      </c>
      <c r="Y20" s="166" t="s">
        <v>127</v>
      </c>
      <c r="Z20" s="166" t="s">
        <v>128</v>
      </c>
      <c r="AA20" s="166" t="s">
        <v>129</v>
      </c>
      <c r="AB20" s="166" t="s">
        <v>130</v>
      </c>
      <c r="AC20" s="166" t="s">
        <v>131</v>
      </c>
      <c r="AD20" s="166" t="s">
        <v>132</v>
      </c>
      <c r="AF20" s="167" t="s">
        <v>254</v>
      </c>
      <c r="AG20" s="166" t="s">
        <v>133</v>
      </c>
      <c r="AH20" s="166" t="s">
        <v>134</v>
      </c>
      <c r="AI20" s="166" t="s">
        <v>135</v>
      </c>
      <c r="AJ20" s="166" t="s">
        <v>136</v>
      </c>
      <c r="AK20" s="166" t="s">
        <v>137</v>
      </c>
      <c r="AL20" s="166" t="s">
        <v>138</v>
      </c>
      <c r="AM20" s="166" t="s">
        <v>139</v>
      </c>
      <c r="AO20" s="167" t="s">
        <v>254</v>
      </c>
      <c r="AP20" s="166" t="s">
        <v>142</v>
      </c>
      <c r="AQ20" s="166" t="s">
        <v>143</v>
      </c>
      <c r="AR20" s="166" t="s">
        <v>144</v>
      </c>
      <c r="AS20" s="166" t="s">
        <v>145</v>
      </c>
      <c r="AT20" s="166" t="s">
        <v>146</v>
      </c>
      <c r="AU20" s="166" t="s">
        <v>147</v>
      </c>
      <c r="AV20" s="166" t="s">
        <v>148</v>
      </c>
      <c r="AW20" s="166" t="s">
        <v>149</v>
      </c>
      <c r="AX20" s="166" t="s">
        <v>150</v>
      </c>
      <c r="AZ20" s="167" t="s">
        <v>254</v>
      </c>
      <c r="BA20" s="165" t="s">
        <v>458</v>
      </c>
      <c r="BB20" s="165" t="s">
        <v>236</v>
      </c>
      <c r="BC20" s="165" t="s">
        <v>151</v>
      </c>
      <c r="BD20" s="166" t="s">
        <v>152</v>
      </c>
      <c r="BE20" s="166" t="s">
        <v>153</v>
      </c>
      <c r="BF20" s="166" t="s">
        <v>154</v>
      </c>
      <c r="BG20" s="166" t="s">
        <v>459</v>
      </c>
      <c r="BH20" s="166"/>
      <c r="BI20" s="167" t="s">
        <v>254</v>
      </c>
      <c r="BJ20" s="166" t="s">
        <v>157</v>
      </c>
      <c r="BK20" s="166" t="s">
        <v>158</v>
      </c>
      <c r="BL20" s="166" t="s">
        <v>159</v>
      </c>
      <c r="BM20" s="166" t="s">
        <v>160</v>
      </c>
      <c r="BN20" s="166" t="s">
        <v>161</v>
      </c>
      <c r="BO20" s="166"/>
      <c r="BP20" s="167" t="s">
        <v>254</v>
      </c>
      <c r="BQ20" s="166" t="s">
        <v>210</v>
      </c>
      <c r="BR20" s="166"/>
      <c r="BS20" s="167" t="s">
        <v>254</v>
      </c>
      <c r="BT20" s="73" t="s">
        <v>216</v>
      </c>
      <c r="BV20" s="167" t="s">
        <v>254</v>
      </c>
      <c r="BW20" s="73" t="s">
        <v>163</v>
      </c>
      <c r="BX20" s="74" t="s">
        <v>162</v>
      </c>
      <c r="BY20" s="165" t="s">
        <v>151</v>
      </c>
      <c r="BZ20" s="166" t="s">
        <v>152</v>
      </c>
      <c r="CA20" s="166" t="s">
        <v>153</v>
      </c>
      <c r="CB20" s="166" t="s">
        <v>154</v>
      </c>
      <c r="CC20" s="73" t="s">
        <v>23</v>
      </c>
    </row>
    <row r="21" spans="2:81" hidden="1" x14ac:dyDescent="0.2">
      <c r="H21" s="73">
        <v>380</v>
      </c>
      <c r="I21" s="168"/>
      <c r="J21" s="168"/>
      <c r="K21" s="168"/>
      <c r="L21" s="168"/>
      <c r="M21" s="168"/>
      <c r="N21" s="168"/>
      <c r="O21" s="168"/>
      <c r="P21" s="168"/>
      <c r="Q21" s="168"/>
      <c r="R21" s="168"/>
      <c r="S21" s="168">
        <v>0.91</v>
      </c>
      <c r="T21" s="168"/>
      <c r="V21" s="73">
        <v>380</v>
      </c>
      <c r="W21" s="168"/>
      <c r="X21" s="168"/>
      <c r="Y21" s="168"/>
      <c r="Z21" s="168"/>
      <c r="AA21" s="168"/>
      <c r="AB21" s="168"/>
      <c r="AC21" s="168"/>
      <c r="AD21" s="168"/>
      <c r="AF21" s="73">
        <v>380</v>
      </c>
      <c r="AG21" s="168"/>
      <c r="AH21" s="168"/>
      <c r="AI21" s="168"/>
      <c r="AJ21" s="168"/>
      <c r="AK21" s="168"/>
      <c r="AL21" s="168"/>
      <c r="AM21" s="168"/>
      <c r="AO21" s="74">
        <v>380</v>
      </c>
      <c r="AP21" s="169"/>
      <c r="AQ21" s="169"/>
      <c r="AR21" s="169">
        <v>1.9185778434512783E-3</v>
      </c>
      <c r="AS21" s="169"/>
      <c r="AT21" s="169"/>
      <c r="AU21" s="169"/>
      <c r="AV21" s="169"/>
      <c r="AW21" s="169"/>
      <c r="AX21" s="169"/>
      <c r="AZ21" s="165">
        <v>380</v>
      </c>
      <c r="BA21" s="170">
        <v>9.7950999999999997</v>
      </c>
      <c r="BB21" s="171">
        <v>49.975499999999997</v>
      </c>
      <c r="BC21" s="172"/>
      <c r="BD21" s="173"/>
      <c r="BE21" s="173"/>
      <c r="BF21" s="173"/>
      <c r="BG21" s="173">
        <v>1</v>
      </c>
      <c r="BH21" s="173"/>
      <c r="BI21" s="166">
        <v>380</v>
      </c>
      <c r="BJ21" s="174"/>
      <c r="BK21" s="174"/>
      <c r="BL21" s="174"/>
      <c r="BM21" s="174"/>
      <c r="BN21" s="174"/>
      <c r="BO21" s="174"/>
      <c r="BP21" s="175">
        <f>Inputs!B24</f>
        <v>380</v>
      </c>
      <c r="BQ21" s="175">
        <f>IF(LEFT(Inputs!$C$11,6)="photon",10^Inputs!C24,Inputs!C24)</f>
        <v>1.19488495148103E-3</v>
      </c>
      <c r="BR21" s="175"/>
      <c r="BS21" s="175">
        <f>'Advanced Inputs'!I26</f>
        <v>380</v>
      </c>
      <c r="BT21" s="175">
        <f>IF('Advanced Inputs'!J$19="Photon system",10^'Advanced Inputs'!J26,'Advanced Inputs'!J26)</f>
        <v>0</v>
      </c>
      <c r="BV21" s="175">
        <v>380</v>
      </c>
      <c r="BW21" s="73">
        <v>9.7950999999999997</v>
      </c>
      <c r="BX21" s="73">
        <v>49.975499999999997</v>
      </c>
      <c r="CC21" s="73">
        <v>1</v>
      </c>
    </row>
    <row r="22" spans="2:81" hidden="1" x14ac:dyDescent="0.2">
      <c r="B22" s="73" t="s">
        <v>197</v>
      </c>
      <c r="C22" s="73" t="s">
        <v>198</v>
      </c>
      <c r="H22" s="73">
        <v>381</v>
      </c>
      <c r="I22" s="168"/>
      <c r="J22" s="168"/>
      <c r="K22" s="168"/>
      <c r="L22" s="168"/>
      <c r="M22" s="168"/>
      <c r="N22" s="168"/>
      <c r="O22" s="168"/>
      <c r="P22" s="168"/>
      <c r="Q22" s="168"/>
      <c r="R22" s="168"/>
      <c r="S22" s="168">
        <v>0.85400000000000009</v>
      </c>
      <c r="T22" s="168"/>
      <c r="V22" s="73">
        <v>381</v>
      </c>
      <c r="W22" s="168"/>
      <c r="X22" s="168"/>
      <c r="Y22" s="168"/>
      <c r="Z22" s="168"/>
      <c r="AA22" s="168"/>
      <c r="AB22" s="168"/>
      <c r="AC22" s="168"/>
      <c r="AD22" s="168"/>
      <c r="AF22" s="73">
        <v>381</v>
      </c>
      <c r="AG22" s="168"/>
      <c r="AH22" s="168"/>
      <c r="AI22" s="168"/>
      <c r="AJ22" s="168"/>
      <c r="AK22" s="168"/>
      <c r="AL22" s="168"/>
      <c r="AM22" s="168"/>
      <c r="AO22" s="74">
        <v>381</v>
      </c>
      <c r="AP22" s="169"/>
      <c r="AQ22" s="169"/>
      <c r="AR22" s="169">
        <v>2.2562858283595726E-3</v>
      </c>
      <c r="AS22" s="169"/>
      <c r="AT22" s="169"/>
      <c r="AU22" s="169"/>
      <c r="AV22" s="169"/>
      <c r="AW22" s="169"/>
      <c r="AX22" s="169"/>
      <c r="AZ22" s="165">
        <v>385</v>
      </c>
      <c r="BA22" s="171">
        <v>10.8996</v>
      </c>
      <c r="BB22" s="171">
        <v>52.311799999999998</v>
      </c>
      <c r="BC22" s="172"/>
      <c r="BD22" s="173"/>
      <c r="BE22" s="173"/>
      <c r="BF22" s="173"/>
      <c r="BG22" s="173">
        <v>1</v>
      </c>
      <c r="BH22" s="173"/>
      <c r="BI22" s="166">
        <v>385</v>
      </c>
      <c r="BJ22" s="174"/>
      <c r="BK22" s="174"/>
      <c r="BL22" s="174"/>
      <c r="BM22" s="174"/>
      <c r="BN22" s="174"/>
      <c r="BO22" s="174"/>
      <c r="BP22" s="175">
        <f>Inputs!B25</f>
        <v>381</v>
      </c>
      <c r="BQ22" s="175">
        <f>IF(LEFT(Inputs!$C$11,6)="photon",10^Inputs!C25,Inputs!C25)</f>
        <v>1.0998940975976001E-3</v>
      </c>
      <c r="BR22" s="175"/>
      <c r="BS22" s="175">
        <f>'Advanced Inputs'!I27</f>
        <v>381</v>
      </c>
      <c r="BT22" s="175">
        <f>IF('Advanced Inputs'!J$19="Photon system",10^'Advanced Inputs'!J27,'Advanced Inputs'!J27)</f>
        <v>0</v>
      </c>
      <c r="BV22" s="175">
        <v>381</v>
      </c>
      <c r="BW22" s="73">
        <v>10.009600000000001</v>
      </c>
      <c r="BX22" s="73">
        <v>50.442799999999998</v>
      </c>
      <c r="CC22" s="73">
        <v>1</v>
      </c>
    </row>
    <row r="23" spans="2:81" hidden="1" x14ac:dyDescent="0.2">
      <c r="B23" s="182" t="s">
        <v>210</v>
      </c>
      <c r="C23" s="182" t="s">
        <v>210</v>
      </c>
      <c r="H23" s="73">
        <v>382</v>
      </c>
      <c r="I23" s="168"/>
      <c r="J23" s="168"/>
      <c r="K23" s="168"/>
      <c r="L23" s="168"/>
      <c r="M23" s="168"/>
      <c r="N23" s="168"/>
      <c r="O23" s="168"/>
      <c r="P23" s="168"/>
      <c r="Q23" s="168"/>
      <c r="R23" s="168"/>
      <c r="S23" s="168">
        <v>0.79653333333333332</v>
      </c>
      <c r="T23" s="168"/>
      <c r="V23" s="73">
        <v>382</v>
      </c>
      <c r="W23" s="168"/>
      <c r="X23" s="168"/>
      <c r="Y23" s="168"/>
      <c r="Z23" s="168"/>
      <c r="AA23" s="168"/>
      <c r="AB23" s="168"/>
      <c r="AC23" s="168"/>
      <c r="AD23" s="168"/>
      <c r="AF23" s="73">
        <v>382</v>
      </c>
      <c r="AG23" s="168"/>
      <c r="AH23" s="168"/>
      <c r="AI23" s="168"/>
      <c r="AJ23" s="168"/>
      <c r="AK23" s="168"/>
      <c r="AL23" s="168"/>
      <c r="AM23" s="168"/>
      <c r="AO23" s="74">
        <v>382</v>
      </c>
      <c r="AP23" s="169"/>
      <c r="AQ23" s="169"/>
      <c r="AR23" s="169">
        <v>2.6534370497121856E-3</v>
      </c>
      <c r="AS23" s="169"/>
      <c r="AT23" s="169"/>
      <c r="AU23" s="169"/>
      <c r="AV23" s="169"/>
      <c r="AW23" s="169"/>
      <c r="AX23" s="169"/>
      <c r="AZ23" s="165">
        <v>390</v>
      </c>
      <c r="BA23" s="171">
        <v>12.0853</v>
      </c>
      <c r="BB23" s="171">
        <v>54.648200000000003</v>
      </c>
      <c r="BC23" s="172"/>
      <c r="BD23" s="173"/>
      <c r="BE23" s="173"/>
      <c r="BF23" s="173"/>
      <c r="BG23" s="173">
        <v>1</v>
      </c>
      <c r="BH23" s="173"/>
      <c r="BI23" s="166">
        <v>390</v>
      </c>
      <c r="BJ23" s="174"/>
      <c r="BK23" s="174"/>
      <c r="BL23" s="174"/>
      <c r="BM23" s="174"/>
      <c r="BN23" s="174"/>
      <c r="BO23" s="174"/>
      <c r="BP23" s="175">
        <f>Inputs!B26</f>
        <v>382</v>
      </c>
      <c r="BQ23" s="175">
        <f>IF(LEFT(Inputs!$C$11,6)="photon",10^Inputs!C26,Inputs!C26)</f>
        <v>1.0099027623396201E-3</v>
      </c>
      <c r="BR23" s="175"/>
      <c r="BS23" s="175">
        <f>'Advanced Inputs'!I28</f>
        <v>382</v>
      </c>
      <c r="BT23" s="175">
        <f>IF('Advanced Inputs'!J$19="Photon system",10^'Advanced Inputs'!J28,'Advanced Inputs'!J28)</f>
        <v>0</v>
      </c>
      <c r="BV23" s="175">
        <v>382</v>
      </c>
      <c r="BW23" s="73">
        <v>10.2273</v>
      </c>
      <c r="BX23" s="73">
        <v>50.91</v>
      </c>
      <c r="CC23" s="73">
        <v>1</v>
      </c>
    </row>
    <row r="24" spans="2:81" hidden="1" x14ac:dyDescent="0.2">
      <c r="B24" s="181" t="s">
        <v>163</v>
      </c>
      <c r="C24" s="181" t="s">
        <v>163</v>
      </c>
      <c r="H24" s="73">
        <v>383</v>
      </c>
      <c r="I24" s="168"/>
      <c r="J24" s="168"/>
      <c r="K24" s="168"/>
      <c r="L24" s="168"/>
      <c r="M24" s="168"/>
      <c r="N24" s="168"/>
      <c r="O24" s="168"/>
      <c r="P24" s="168"/>
      <c r="Q24" s="168"/>
      <c r="R24" s="168"/>
      <c r="S24" s="168">
        <v>0.73906666666666665</v>
      </c>
      <c r="T24" s="168"/>
      <c r="V24" s="73">
        <v>383</v>
      </c>
      <c r="W24" s="168"/>
      <c r="X24" s="168"/>
      <c r="Y24" s="168"/>
      <c r="Z24" s="168"/>
      <c r="AA24" s="168"/>
      <c r="AB24" s="168"/>
      <c r="AC24" s="168"/>
      <c r="AD24" s="168"/>
      <c r="AF24" s="73">
        <v>383</v>
      </c>
      <c r="AG24" s="168"/>
      <c r="AH24" s="168"/>
      <c r="AI24" s="168"/>
      <c r="AJ24" s="168"/>
      <c r="AK24" s="168"/>
      <c r="AL24" s="168"/>
      <c r="AM24" s="168"/>
      <c r="AO24" s="74">
        <v>383</v>
      </c>
      <c r="AP24" s="169"/>
      <c r="AQ24" s="169"/>
      <c r="AR24" s="169">
        <v>3.1204946430646585E-3</v>
      </c>
      <c r="AS24" s="169"/>
      <c r="AT24" s="169"/>
      <c r="AU24" s="169"/>
      <c r="AV24" s="169"/>
      <c r="AW24" s="169"/>
      <c r="AX24" s="169"/>
      <c r="AZ24" s="165">
        <v>395</v>
      </c>
      <c r="BA24" s="171">
        <v>13.3543</v>
      </c>
      <c r="BB24" s="171">
        <v>68.701499999999996</v>
      </c>
      <c r="BC24" s="172"/>
      <c r="BD24" s="173"/>
      <c r="BE24" s="173"/>
      <c r="BF24" s="173"/>
      <c r="BG24" s="173">
        <v>1</v>
      </c>
      <c r="BH24" s="173"/>
      <c r="BI24" s="166">
        <v>395</v>
      </c>
      <c r="BJ24" s="174"/>
      <c r="BK24" s="174"/>
      <c r="BL24" s="174"/>
      <c r="BM24" s="174"/>
      <c r="BN24" s="174"/>
      <c r="BO24" s="174"/>
      <c r="BP24" s="175">
        <f>Inputs!B27</f>
        <v>383</v>
      </c>
      <c r="BQ24" s="175">
        <f>IF(LEFT(Inputs!$C$11,6)="photon",10^Inputs!C27,Inputs!C27)</f>
        <v>9.6990661333607104E-4</v>
      </c>
      <c r="BR24" s="175"/>
      <c r="BS24" s="175">
        <f>'Advanced Inputs'!I29</f>
        <v>383</v>
      </c>
      <c r="BT24" s="175">
        <f>IF('Advanced Inputs'!J$19="Photon system",10^'Advanced Inputs'!J29,'Advanced Inputs'!J29)</f>
        <v>0</v>
      </c>
      <c r="BV24" s="175">
        <v>383</v>
      </c>
      <c r="BW24" s="73">
        <v>10.4481</v>
      </c>
      <c r="BX24" s="73">
        <v>51.377299999999998</v>
      </c>
      <c r="CC24" s="73">
        <v>1</v>
      </c>
    </row>
    <row r="25" spans="2:81" hidden="1" x14ac:dyDescent="0.2">
      <c r="B25" s="181" t="s">
        <v>162</v>
      </c>
      <c r="C25" s="181" t="s">
        <v>151</v>
      </c>
      <c r="H25" s="73">
        <v>384</v>
      </c>
      <c r="I25" s="168"/>
      <c r="J25" s="168"/>
      <c r="K25" s="168"/>
      <c r="L25" s="168"/>
      <c r="M25" s="168"/>
      <c r="N25" s="168"/>
      <c r="O25" s="168"/>
      <c r="P25" s="168"/>
      <c r="Q25" s="168"/>
      <c r="R25" s="168"/>
      <c r="S25" s="168">
        <v>0.68306666666666671</v>
      </c>
      <c r="T25" s="168"/>
      <c r="V25" s="73">
        <v>384</v>
      </c>
      <c r="W25" s="168"/>
      <c r="X25" s="168"/>
      <c r="Y25" s="168"/>
      <c r="Z25" s="168"/>
      <c r="AA25" s="168"/>
      <c r="AB25" s="168"/>
      <c r="AC25" s="168"/>
      <c r="AD25" s="168"/>
      <c r="AF25" s="73">
        <v>384</v>
      </c>
      <c r="AG25" s="168"/>
      <c r="AH25" s="168"/>
      <c r="AI25" s="168"/>
      <c r="AJ25" s="168"/>
      <c r="AK25" s="168"/>
      <c r="AL25" s="168"/>
      <c r="AM25" s="168"/>
      <c r="AO25" s="74">
        <v>384</v>
      </c>
      <c r="AP25" s="169"/>
      <c r="AQ25" s="169"/>
      <c r="AR25" s="169">
        <v>3.6697634382129502E-3</v>
      </c>
      <c r="AS25" s="169"/>
      <c r="AT25" s="169"/>
      <c r="AU25" s="169"/>
      <c r="AV25" s="169"/>
      <c r="AW25" s="169"/>
      <c r="AX25" s="169"/>
      <c r="AZ25" s="165">
        <v>400</v>
      </c>
      <c r="BA25" s="171">
        <v>14.708</v>
      </c>
      <c r="BB25" s="171">
        <v>82.754900000000006</v>
      </c>
      <c r="BC25" s="172"/>
      <c r="BD25" s="173"/>
      <c r="BE25" s="173"/>
      <c r="BF25" s="173"/>
      <c r="BG25" s="173">
        <v>1</v>
      </c>
      <c r="BH25" s="173"/>
      <c r="BI25" s="166">
        <v>400</v>
      </c>
      <c r="BJ25" s="174"/>
      <c r="BK25" s="174"/>
      <c r="BL25" s="174"/>
      <c r="BM25" s="174"/>
      <c r="BN25" s="174"/>
      <c r="BO25" s="174"/>
      <c r="BP25" s="175">
        <f>Inputs!B28</f>
        <v>384</v>
      </c>
      <c r="BQ25" s="175">
        <f>IF(LEFT(Inputs!$C$11,6)="photon",10^Inputs!C28,Inputs!C28)</f>
        <v>9.7990565058695897E-4</v>
      </c>
      <c r="BR25" s="175"/>
      <c r="BS25" s="175">
        <f>'Advanced Inputs'!I30</f>
        <v>384</v>
      </c>
      <c r="BT25" s="175">
        <f>IF('Advanced Inputs'!J$19="Photon system",10^'Advanced Inputs'!J30,'Advanced Inputs'!J30)</f>
        <v>0</v>
      </c>
      <c r="BV25" s="175">
        <v>384</v>
      </c>
      <c r="BW25" s="73">
        <v>10.6722</v>
      </c>
      <c r="BX25" s="73">
        <v>51.8446</v>
      </c>
      <c r="CC25" s="73">
        <v>1</v>
      </c>
    </row>
    <row r="26" spans="2:81" hidden="1" x14ac:dyDescent="0.2">
      <c r="B26" s="181" t="s">
        <v>23</v>
      </c>
      <c r="C26" s="181" t="s">
        <v>152</v>
      </c>
      <c r="H26" s="73">
        <v>385</v>
      </c>
      <c r="I26" s="168"/>
      <c r="J26" s="168"/>
      <c r="K26" s="168"/>
      <c r="L26" s="168"/>
      <c r="M26" s="168"/>
      <c r="N26" s="168"/>
      <c r="O26" s="168"/>
      <c r="P26" s="168"/>
      <c r="Q26" s="168"/>
      <c r="R26" s="168"/>
      <c r="S26" s="168">
        <v>0.63</v>
      </c>
      <c r="T26" s="168"/>
      <c r="V26" s="73">
        <v>385</v>
      </c>
      <c r="W26" s="168"/>
      <c r="X26" s="168"/>
      <c r="Y26" s="168"/>
      <c r="Z26" s="168"/>
      <c r="AA26" s="168"/>
      <c r="AB26" s="168"/>
      <c r="AC26" s="168"/>
      <c r="AD26" s="168"/>
      <c r="AF26" s="73">
        <v>385</v>
      </c>
      <c r="AG26" s="168"/>
      <c r="AH26" s="168"/>
      <c r="AI26" s="168"/>
      <c r="AJ26" s="168"/>
      <c r="AK26" s="168"/>
      <c r="AL26" s="168"/>
      <c r="AM26" s="168"/>
      <c r="AO26" s="74">
        <v>385</v>
      </c>
      <c r="AP26" s="169"/>
      <c r="AQ26" s="169"/>
      <c r="AR26" s="169">
        <v>4.3157141234286111E-3</v>
      </c>
      <c r="AS26" s="169"/>
      <c r="AT26" s="169"/>
      <c r="AU26" s="169"/>
      <c r="AV26" s="169"/>
      <c r="AW26" s="169"/>
      <c r="AX26" s="169"/>
      <c r="AZ26" s="165">
        <v>405</v>
      </c>
      <c r="BA26" s="171">
        <v>16.148</v>
      </c>
      <c r="BB26" s="171">
        <v>87.120400000000004</v>
      </c>
      <c r="BC26" s="172"/>
      <c r="BD26" s="173"/>
      <c r="BE26" s="173"/>
      <c r="BF26" s="173"/>
      <c r="BG26" s="173">
        <v>1</v>
      </c>
      <c r="BH26" s="173"/>
      <c r="BI26" s="166">
        <v>405</v>
      </c>
      <c r="BJ26" s="174"/>
      <c r="BK26" s="174"/>
      <c r="BL26" s="174"/>
      <c r="BM26" s="174"/>
      <c r="BN26" s="174"/>
      <c r="BO26" s="174"/>
      <c r="BP26" s="175">
        <f>Inputs!B29</f>
        <v>385</v>
      </c>
      <c r="BQ26" s="175">
        <f>IF(LEFT(Inputs!$C$11,6)="photon",10^Inputs!C29,Inputs!C29)</f>
        <v>1.0149022809650601E-3</v>
      </c>
      <c r="BR26" s="175"/>
      <c r="BS26" s="175">
        <f>'Advanced Inputs'!I31</f>
        <v>385</v>
      </c>
      <c r="BT26" s="175">
        <f>IF('Advanced Inputs'!J$19="Photon system",10^'Advanced Inputs'!J31,'Advanced Inputs'!J31)</f>
        <v>0</v>
      </c>
      <c r="BV26" s="175">
        <v>385</v>
      </c>
      <c r="BW26" s="73">
        <v>10.8996</v>
      </c>
      <c r="BX26" s="73">
        <v>52.311799999999998</v>
      </c>
      <c r="CC26" s="73">
        <v>1</v>
      </c>
    </row>
    <row r="27" spans="2:81" hidden="1" x14ac:dyDescent="0.2">
      <c r="B27" s="181" t="s">
        <v>123</v>
      </c>
      <c r="C27" s="181" t="s">
        <v>153</v>
      </c>
      <c r="H27" s="73">
        <v>386</v>
      </c>
      <c r="I27" s="168"/>
      <c r="J27" s="168"/>
      <c r="K27" s="168"/>
      <c r="L27" s="168"/>
      <c r="M27" s="168"/>
      <c r="N27" s="168"/>
      <c r="O27" s="168"/>
      <c r="P27" s="168"/>
      <c r="Q27" s="168"/>
      <c r="R27" s="168"/>
      <c r="S27" s="168">
        <v>0.58816000000000002</v>
      </c>
      <c r="T27" s="168"/>
      <c r="V27" s="73">
        <v>386</v>
      </c>
      <c r="W27" s="168"/>
      <c r="X27" s="168"/>
      <c r="Y27" s="168"/>
      <c r="Z27" s="168"/>
      <c r="AA27" s="168"/>
      <c r="AB27" s="168"/>
      <c r="AC27" s="168"/>
      <c r="AD27" s="168"/>
      <c r="AF27" s="73">
        <v>386</v>
      </c>
      <c r="AG27" s="168"/>
      <c r="AH27" s="168"/>
      <c r="AI27" s="168"/>
      <c r="AJ27" s="168"/>
      <c r="AK27" s="168"/>
      <c r="AL27" s="168"/>
      <c r="AM27" s="168"/>
      <c r="AO27" s="74">
        <v>386</v>
      </c>
      <c r="AP27" s="169"/>
      <c r="AQ27" s="169"/>
      <c r="AR27" s="169">
        <v>5.075364464866017E-3</v>
      </c>
      <c r="AS27" s="169"/>
      <c r="AT27" s="169"/>
      <c r="AU27" s="169"/>
      <c r="AV27" s="169"/>
      <c r="AW27" s="169"/>
      <c r="AX27" s="169"/>
      <c r="AZ27" s="165">
        <v>410</v>
      </c>
      <c r="BA27" s="171">
        <v>17.6753</v>
      </c>
      <c r="BB27" s="171">
        <v>91.486000000000004</v>
      </c>
      <c r="BC27" s="172"/>
      <c r="BD27" s="173"/>
      <c r="BE27" s="173"/>
      <c r="BF27" s="173"/>
      <c r="BG27" s="173">
        <v>1</v>
      </c>
      <c r="BH27" s="173"/>
      <c r="BI27" s="166">
        <v>410</v>
      </c>
      <c r="BJ27" s="174"/>
      <c r="BK27" s="174"/>
      <c r="BL27" s="174"/>
      <c r="BM27" s="174"/>
      <c r="BN27" s="174"/>
      <c r="BO27" s="174"/>
      <c r="BP27" s="175">
        <f>Inputs!B30</f>
        <v>386</v>
      </c>
      <c r="BQ27" s="175">
        <f>IF(LEFT(Inputs!$C$11,6)="photon",10^Inputs!C30,Inputs!C30)</f>
        <v>1.0598979485940501E-3</v>
      </c>
      <c r="BR27" s="175"/>
      <c r="BS27" s="175">
        <f>'Advanced Inputs'!I32</f>
        <v>386</v>
      </c>
      <c r="BT27" s="175">
        <f>IF('Advanced Inputs'!J$19="Photon system",10^'Advanced Inputs'!J32,'Advanced Inputs'!J32)</f>
        <v>0</v>
      </c>
      <c r="BV27" s="175">
        <v>386</v>
      </c>
      <c r="BW27" s="73">
        <v>11.1302</v>
      </c>
      <c r="BX27" s="73">
        <v>52.7791</v>
      </c>
      <c r="CC27" s="73">
        <v>1</v>
      </c>
    </row>
    <row r="28" spans="2:81" hidden="1" x14ac:dyDescent="0.2">
      <c r="B28" s="181" t="s">
        <v>144</v>
      </c>
      <c r="C28" s="181" t="s">
        <v>162</v>
      </c>
      <c r="H28" s="73">
        <v>387</v>
      </c>
      <c r="I28" s="168"/>
      <c r="J28" s="168"/>
      <c r="K28" s="168"/>
      <c r="L28" s="168"/>
      <c r="M28" s="168"/>
      <c r="N28" s="168"/>
      <c r="O28" s="168"/>
      <c r="P28" s="168"/>
      <c r="Q28" s="168"/>
      <c r="R28" s="168"/>
      <c r="S28" s="168">
        <v>0.55048000000000008</v>
      </c>
      <c r="T28" s="168"/>
      <c r="V28" s="73">
        <v>387</v>
      </c>
      <c r="W28" s="168"/>
      <c r="X28" s="168"/>
      <c r="Y28" s="168"/>
      <c r="Z28" s="168"/>
      <c r="AA28" s="168"/>
      <c r="AB28" s="168"/>
      <c r="AC28" s="168"/>
      <c r="AD28" s="168"/>
      <c r="AF28" s="73">
        <v>387</v>
      </c>
      <c r="AG28" s="168"/>
      <c r="AH28" s="168"/>
      <c r="AI28" s="168"/>
      <c r="AJ28" s="168"/>
      <c r="AK28" s="168"/>
      <c r="AL28" s="168"/>
      <c r="AM28" s="168"/>
      <c r="AO28" s="74">
        <v>387</v>
      </c>
      <c r="AP28" s="169"/>
      <c r="AQ28" s="169"/>
      <c r="AR28" s="169">
        <v>5.968727622362475E-3</v>
      </c>
      <c r="AS28" s="169"/>
      <c r="AT28" s="169"/>
      <c r="AU28" s="169"/>
      <c r="AV28" s="169"/>
      <c r="AW28" s="169"/>
      <c r="AX28" s="169"/>
      <c r="AZ28" s="165">
        <v>415</v>
      </c>
      <c r="BA28" s="171">
        <v>19.290700000000001</v>
      </c>
      <c r="BB28" s="171">
        <v>92.4589</v>
      </c>
      <c r="BC28" s="172"/>
      <c r="BD28" s="173"/>
      <c r="BE28" s="173"/>
      <c r="BF28" s="173"/>
      <c r="BG28" s="173">
        <v>1</v>
      </c>
      <c r="BH28" s="173"/>
      <c r="BI28" s="166">
        <v>415</v>
      </c>
      <c r="BJ28" s="174"/>
      <c r="BK28" s="174"/>
      <c r="BL28" s="174"/>
      <c r="BM28" s="174"/>
      <c r="BN28" s="174"/>
      <c r="BO28" s="174"/>
      <c r="BP28" s="175">
        <f>Inputs!B31</f>
        <v>387</v>
      </c>
      <c r="BQ28" s="175">
        <f>IF(LEFT(Inputs!$C$11,6)="photon",10^Inputs!C31,Inputs!C31)</f>
        <v>1.1148926534739301E-3</v>
      </c>
      <c r="BR28" s="175"/>
      <c r="BS28" s="175">
        <f>'Advanced Inputs'!I33</f>
        <v>387</v>
      </c>
      <c r="BT28" s="175">
        <f>IF('Advanced Inputs'!J$19="Photon system",10^'Advanced Inputs'!J33,'Advanced Inputs'!J33)</f>
        <v>0</v>
      </c>
      <c r="BV28" s="175">
        <v>387</v>
      </c>
      <c r="BW28" s="73">
        <v>11.364000000000001</v>
      </c>
      <c r="BX28" s="73">
        <v>53.246400000000001</v>
      </c>
      <c r="CC28" s="73">
        <v>1</v>
      </c>
    </row>
    <row r="29" spans="2:81" hidden="1" x14ac:dyDescent="0.2">
      <c r="B29" s="182" t="s">
        <v>216</v>
      </c>
      <c r="C29" s="181" t="s">
        <v>154</v>
      </c>
      <c r="H29" s="73">
        <v>388</v>
      </c>
      <c r="I29" s="168"/>
      <c r="J29" s="168"/>
      <c r="K29" s="168"/>
      <c r="L29" s="168"/>
      <c r="M29" s="168"/>
      <c r="N29" s="168"/>
      <c r="O29" s="168"/>
      <c r="P29" s="168"/>
      <c r="Q29" s="168"/>
      <c r="R29" s="168"/>
      <c r="S29" s="168">
        <v>0.51671999999999996</v>
      </c>
      <c r="T29" s="168"/>
      <c r="V29" s="73">
        <v>388</v>
      </c>
      <c r="W29" s="168"/>
      <c r="X29" s="168"/>
      <c r="Y29" s="168"/>
      <c r="Z29" s="168"/>
      <c r="AA29" s="168"/>
      <c r="AB29" s="168"/>
      <c r="AC29" s="168"/>
      <c r="AD29" s="168"/>
      <c r="AF29" s="73">
        <v>388</v>
      </c>
      <c r="AG29" s="168"/>
      <c r="AH29" s="168"/>
      <c r="AI29" s="168"/>
      <c r="AJ29" s="168"/>
      <c r="AK29" s="168"/>
      <c r="AL29" s="168"/>
      <c r="AM29" s="168"/>
      <c r="AO29" s="74">
        <v>388</v>
      </c>
      <c r="AP29" s="169"/>
      <c r="AQ29" s="169"/>
      <c r="AR29" s="169">
        <v>7.0193393696804853E-3</v>
      </c>
      <c r="AS29" s="169"/>
      <c r="AT29" s="169"/>
      <c r="AU29" s="169"/>
      <c r="AV29" s="169"/>
      <c r="AW29" s="169"/>
      <c r="AX29" s="169"/>
      <c r="AZ29" s="165">
        <v>420</v>
      </c>
      <c r="BA29" s="171">
        <v>20.995000000000001</v>
      </c>
      <c r="BB29" s="171">
        <v>93.431799999999996</v>
      </c>
      <c r="BC29" s="172"/>
      <c r="BD29" s="173"/>
      <c r="BE29" s="173"/>
      <c r="BF29" s="173"/>
      <c r="BG29" s="173">
        <v>1</v>
      </c>
      <c r="BH29" s="173"/>
      <c r="BI29" s="166">
        <v>420</v>
      </c>
      <c r="BJ29" s="174"/>
      <c r="BK29" s="174"/>
      <c r="BL29" s="174"/>
      <c r="BM29" s="174"/>
      <c r="BN29" s="174"/>
      <c r="BO29" s="174"/>
      <c r="BP29" s="175">
        <f>Inputs!B32</f>
        <v>388</v>
      </c>
      <c r="BQ29" s="175">
        <f>IF(LEFT(Inputs!$C$11,6)="photon",10^Inputs!C32,Inputs!C32)</f>
        <v>1.15988832110293E-3</v>
      </c>
      <c r="BR29" s="175"/>
      <c r="BS29" s="175">
        <f>'Advanced Inputs'!I34</f>
        <v>388</v>
      </c>
      <c r="BT29" s="175">
        <f>IF('Advanced Inputs'!J$19="Photon system",10^'Advanced Inputs'!J34,'Advanced Inputs'!J34)</f>
        <v>0</v>
      </c>
      <c r="BV29" s="175">
        <v>388</v>
      </c>
      <c r="BW29" s="73">
        <v>11.6012</v>
      </c>
      <c r="BX29" s="73">
        <v>53.713700000000003</v>
      </c>
      <c r="CC29" s="73">
        <v>1</v>
      </c>
    </row>
    <row r="30" spans="2:81" ht="26" hidden="1" x14ac:dyDescent="0.3">
      <c r="B30" s="162"/>
      <c r="C30" s="181" t="s">
        <v>23</v>
      </c>
      <c r="H30" s="73">
        <v>389</v>
      </c>
      <c r="I30" s="168"/>
      <c r="J30" s="168"/>
      <c r="K30" s="168"/>
      <c r="L30" s="168"/>
      <c r="M30" s="168"/>
      <c r="N30" s="168"/>
      <c r="O30" s="168"/>
      <c r="P30" s="168"/>
      <c r="Q30" s="168"/>
      <c r="R30" s="168"/>
      <c r="S30" s="168">
        <v>0.48663999999999996</v>
      </c>
      <c r="T30" s="168"/>
      <c r="V30" s="73">
        <v>389</v>
      </c>
      <c r="W30" s="168"/>
      <c r="X30" s="168"/>
      <c r="Y30" s="168"/>
      <c r="Z30" s="168"/>
      <c r="AA30" s="168"/>
      <c r="AB30" s="168"/>
      <c r="AC30" s="168"/>
      <c r="AD30" s="168"/>
      <c r="AF30" s="73">
        <v>389</v>
      </c>
      <c r="AG30" s="168"/>
      <c r="AH30" s="168"/>
      <c r="AI30" s="168"/>
      <c r="AJ30" s="168"/>
      <c r="AK30" s="168"/>
      <c r="AL30" s="168"/>
      <c r="AM30" s="168"/>
      <c r="AO30" s="74">
        <v>389</v>
      </c>
      <c r="AP30" s="169"/>
      <c r="AQ30" s="169"/>
      <c r="AR30" s="169">
        <v>8.2548781048280891E-3</v>
      </c>
      <c r="AS30" s="169"/>
      <c r="AT30" s="169"/>
      <c r="AU30" s="169"/>
      <c r="AV30" s="169"/>
      <c r="AW30" s="169"/>
      <c r="AX30" s="169"/>
      <c r="AZ30" s="165">
        <v>425</v>
      </c>
      <c r="BA30" s="171">
        <v>22.7883</v>
      </c>
      <c r="BB30" s="171">
        <v>90.057000000000002</v>
      </c>
      <c r="BC30" s="172"/>
      <c r="BD30" s="173"/>
      <c r="BE30" s="173"/>
      <c r="BF30" s="173"/>
      <c r="BG30" s="173">
        <v>1</v>
      </c>
      <c r="BH30" s="173"/>
      <c r="BI30" s="166">
        <v>425</v>
      </c>
      <c r="BJ30" s="174"/>
      <c r="BK30" s="174"/>
      <c r="BL30" s="174"/>
      <c r="BM30" s="174"/>
      <c r="BN30" s="174"/>
      <c r="BO30" s="174"/>
      <c r="BP30" s="175">
        <f>Inputs!B33</f>
        <v>389</v>
      </c>
      <c r="BQ30" s="175">
        <f>IF(LEFT(Inputs!$C$11,6)="photon",10^Inputs!C33,Inputs!C33)</f>
        <v>1.19988447010648E-3</v>
      </c>
      <c r="BR30" s="175"/>
      <c r="BS30" s="175">
        <f>'Advanced Inputs'!I35</f>
        <v>389</v>
      </c>
      <c r="BT30" s="175">
        <f>IF('Advanced Inputs'!J$19="Photon system",10^'Advanced Inputs'!J35,'Advanced Inputs'!J35)</f>
        <v>0</v>
      </c>
      <c r="BV30" s="175">
        <v>389</v>
      </c>
      <c r="BW30" s="73">
        <v>11.8416</v>
      </c>
      <c r="BX30" s="73">
        <v>54.180900000000001</v>
      </c>
      <c r="CC30" s="73">
        <v>1</v>
      </c>
    </row>
    <row r="31" spans="2:81" ht="26" hidden="1" x14ac:dyDescent="0.3">
      <c r="B31" s="162"/>
      <c r="C31" s="181" t="s">
        <v>113</v>
      </c>
      <c r="H31" s="73">
        <v>390</v>
      </c>
      <c r="I31" s="168"/>
      <c r="J31" s="168"/>
      <c r="K31" s="168"/>
      <c r="L31" s="168"/>
      <c r="M31" s="168"/>
      <c r="N31" s="168"/>
      <c r="O31" s="168"/>
      <c r="P31" s="168"/>
      <c r="Q31" s="168"/>
      <c r="R31" s="168"/>
      <c r="S31" s="168">
        <v>0.46</v>
      </c>
      <c r="T31" s="168"/>
      <c r="V31" s="73">
        <v>390</v>
      </c>
      <c r="W31" s="168"/>
      <c r="X31" s="168"/>
      <c r="Y31" s="168"/>
      <c r="Z31" s="168"/>
      <c r="AA31" s="168"/>
      <c r="AB31" s="168"/>
      <c r="AC31" s="168"/>
      <c r="AD31" s="168"/>
      <c r="AF31" s="73">
        <v>390</v>
      </c>
      <c r="AG31" s="168"/>
      <c r="AH31" s="168"/>
      <c r="AI31" s="168"/>
      <c r="AJ31" s="168"/>
      <c r="AK31" s="168"/>
      <c r="AL31" s="168"/>
      <c r="AM31" s="168"/>
      <c r="AO31" s="74">
        <v>390</v>
      </c>
      <c r="AP31" s="169"/>
      <c r="AQ31" s="169"/>
      <c r="AR31" s="169">
        <v>9.7078939790395252E-3</v>
      </c>
      <c r="AS31" s="169"/>
      <c r="AT31" s="169"/>
      <c r="AU31" s="169"/>
      <c r="AV31" s="169"/>
      <c r="AW31" s="169"/>
      <c r="AX31" s="169"/>
      <c r="AZ31" s="165">
        <v>430</v>
      </c>
      <c r="BA31" s="171">
        <v>24.6709</v>
      </c>
      <c r="BB31" s="171">
        <v>86.682299999999998</v>
      </c>
      <c r="BC31" s="172"/>
      <c r="BD31" s="173"/>
      <c r="BE31" s="173"/>
      <c r="BF31" s="173"/>
      <c r="BG31" s="173">
        <v>1</v>
      </c>
      <c r="BH31" s="173"/>
      <c r="BI31" s="166">
        <v>430</v>
      </c>
      <c r="BJ31" s="174"/>
      <c r="BK31" s="174"/>
      <c r="BL31" s="174"/>
      <c r="BM31" s="174"/>
      <c r="BN31" s="174"/>
      <c r="BO31" s="174"/>
      <c r="BP31" s="175">
        <f>Inputs!B34</f>
        <v>390</v>
      </c>
      <c r="BQ31" s="175">
        <f>IF(LEFT(Inputs!$C$11,6)="photon",10^Inputs!C34,Inputs!C34)</f>
        <v>1.21488302598281E-3</v>
      </c>
      <c r="BR31" s="175"/>
      <c r="BS31" s="175">
        <f>'Advanced Inputs'!I36</f>
        <v>390</v>
      </c>
      <c r="BT31" s="175">
        <f>IF('Advanced Inputs'!J$19="Photon system",10^'Advanced Inputs'!J36,'Advanced Inputs'!J36)</f>
        <v>0</v>
      </c>
      <c r="BV31" s="175">
        <v>390</v>
      </c>
      <c r="BW31" s="73">
        <v>12.0853</v>
      </c>
      <c r="BX31" s="73">
        <v>54.648200000000003</v>
      </c>
      <c r="CC31" s="73">
        <v>1</v>
      </c>
    </row>
    <row r="32" spans="2:81" ht="26" hidden="1" x14ac:dyDescent="0.3">
      <c r="B32" s="162"/>
      <c r="C32" s="181" t="s">
        <v>114</v>
      </c>
      <c r="H32" s="73">
        <v>391</v>
      </c>
      <c r="I32" s="168"/>
      <c r="J32" s="168"/>
      <c r="K32" s="168"/>
      <c r="L32" s="168"/>
      <c r="M32" s="168"/>
      <c r="N32" s="168"/>
      <c r="O32" s="168"/>
      <c r="P32" s="168"/>
      <c r="Q32" s="168"/>
      <c r="R32" s="168"/>
      <c r="S32" s="168">
        <v>0.43052123456790126</v>
      </c>
      <c r="T32" s="168"/>
      <c r="V32" s="73">
        <v>391</v>
      </c>
      <c r="W32" s="168"/>
      <c r="X32" s="168"/>
      <c r="Y32" s="168"/>
      <c r="Z32" s="168"/>
      <c r="AA32" s="168"/>
      <c r="AB32" s="168"/>
      <c r="AC32" s="168"/>
      <c r="AD32" s="168"/>
      <c r="AF32" s="73">
        <v>391</v>
      </c>
      <c r="AG32" s="168"/>
      <c r="AH32" s="168"/>
      <c r="AI32" s="168"/>
      <c r="AJ32" s="168"/>
      <c r="AK32" s="168"/>
      <c r="AL32" s="168"/>
      <c r="AM32" s="168"/>
      <c r="AO32" s="74">
        <v>391</v>
      </c>
      <c r="AP32" s="169"/>
      <c r="AQ32" s="169"/>
      <c r="AR32" s="169">
        <v>1.1416666345497369E-2</v>
      </c>
      <c r="AS32" s="169"/>
      <c r="AT32" s="169"/>
      <c r="AU32" s="169"/>
      <c r="AV32" s="169"/>
      <c r="AW32" s="169"/>
      <c r="AX32" s="169"/>
      <c r="AZ32" s="165">
        <v>435</v>
      </c>
      <c r="BA32" s="171">
        <v>26.642499999999998</v>
      </c>
      <c r="BB32" s="171">
        <v>95.773600000000002</v>
      </c>
      <c r="BC32" s="172"/>
      <c r="BD32" s="173"/>
      <c r="BE32" s="173"/>
      <c r="BF32" s="173"/>
      <c r="BG32" s="173">
        <v>1</v>
      </c>
      <c r="BH32" s="173"/>
      <c r="BI32" s="166">
        <v>435</v>
      </c>
      <c r="BJ32" s="174"/>
      <c r="BK32" s="174"/>
      <c r="BL32" s="174"/>
      <c r="BM32" s="174"/>
      <c r="BN32" s="174"/>
      <c r="BO32" s="174"/>
      <c r="BP32" s="175">
        <f>Inputs!B35</f>
        <v>391</v>
      </c>
      <c r="BQ32" s="175">
        <f>IF(LEFT(Inputs!$C$11,6)="photon",10^Inputs!C35,Inputs!C35)</f>
        <v>1.19988447010648E-3</v>
      </c>
      <c r="BR32" s="175"/>
      <c r="BS32" s="175">
        <f>'Advanced Inputs'!I37</f>
        <v>391</v>
      </c>
      <c r="BT32" s="175">
        <f>IF('Advanced Inputs'!J$19="Photon system",10^'Advanced Inputs'!J37,'Advanced Inputs'!J37)</f>
        <v>0</v>
      </c>
      <c r="BV32" s="175">
        <v>391</v>
      </c>
      <c r="BW32" s="73">
        <v>12.3324</v>
      </c>
      <c r="BX32" s="73">
        <v>57.4589</v>
      </c>
      <c r="CC32" s="73">
        <v>1</v>
      </c>
    </row>
    <row r="33" spans="2:81" hidden="1" x14ac:dyDescent="0.2">
      <c r="C33" s="181" t="s">
        <v>115</v>
      </c>
      <c r="H33" s="73">
        <v>392</v>
      </c>
      <c r="I33" s="168"/>
      <c r="J33" s="168"/>
      <c r="K33" s="168"/>
      <c r="L33" s="168"/>
      <c r="M33" s="168"/>
      <c r="N33" s="168"/>
      <c r="O33" s="168"/>
      <c r="P33" s="168"/>
      <c r="Q33" s="168"/>
      <c r="R33" s="168"/>
      <c r="S33" s="168">
        <v>0.4055121604938271</v>
      </c>
      <c r="T33" s="168"/>
      <c r="V33" s="73">
        <v>392</v>
      </c>
      <c r="W33" s="168"/>
      <c r="X33" s="168"/>
      <c r="Y33" s="168"/>
      <c r="Z33" s="168"/>
      <c r="AA33" s="168"/>
      <c r="AB33" s="168"/>
      <c r="AC33" s="168"/>
      <c r="AD33" s="168"/>
      <c r="AF33" s="73">
        <v>392</v>
      </c>
      <c r="AG33" s="168"/>
      <c r="AH33" s="168"/>
      <c r="AI33" s="168"/>
      <c r="AJ33" s="168"/>
      <c r="AK33" s="168"/>
      <c r="AL33" s="168"/>
      <c r="AM33" s="168"/>
      <c r="AO33" s="74">
        <v>392</v>
      </c>
      <c r="AP33" s="169"/>
      <c r="AQ33" s="169"/>
      <c r="AR33" s="169">
        <v>1.3426212106351771E-2</v>
      </c>
      <c r="AS33" s="169"/>
      <c r="AT33" s="169"/>
      <c r="AU33" s="169"/>
      <c r="AV33" s="169"/>
      <c r="AW33" s="169"/>
      <c r="AX33" s="169"/>
      <c r="AZ33" s="165">
        <v>440</v>
      </c>
      <c r="BA33" s="171">
        <v>28.7027</v>
      </c>
      <c r="BB33" s="173">
        <v>104.86499999999999</v>
      </c>
      <c r="BC33" s="172"/>
      <c r="BD33" s="173"/>
      <c r="BE33" s="173"/>
      <c r="BF33" s="173"/>
      <c r="BG33" s="173">
        <v>1</v>
      </c>
      <c r="BH33" s="173"/>
      <c r="BI33" s="166">
        <v>440</v>
      </c>
      <c r="BJ33" s="174"/>
      <c r="BK33" s="174"/>
      <c r="BL33" s="174"/>
      <c r="BM33" s="174"/>
      <c r="BN33" s="174"/>
      <c r="BO33" s="174"/>
      <c r="BP33" s="175">
        <f>Inputs!B36</f>
        <v>392</v>
      </c>
      <c r="BQ33" s="175">
        <f>IF(LEFT(Inputs!$C$11,6)="photon",10^Inputs!C36,Inputs!C36)</f>
        <v>1.14988928385204E-3</v>
      </c>
      <c r="BR33" s="175"/>
      <c r="BS33" s="175">
        <f>'Advanced Inputs'!I38</f>
        <v>392</v>
      </c>
      <c r="BT33" s="175">
        <f>IF('Advanced Inputs'!J$19="Photon system",10^'Advanced Inputs'!J38,'Advanced Inputs'!J38)</f>
        <v>0</v>
      </c>
      <c r="BV33" s="175">
        <v>392</v>
      </c>
      <c r="BW33" s="73">
        <v>12.582800000000001</v>
      </c>
      <c r="BX33" s="73">
        <v>60.269500000000001</v>
      </c>
      <c r="CC33" s="73">
        <v>1</v>
      </c>
    </row>
    <row r="34" spans="2:81" ht="26" hidden="1" x14ac:dyDescent="0.3">
      <c r="B34" s="162"/>
      <c r="C34" s="181" t="s">
        <v>116</v>
      </c>
      <c r="H34" s="73">
        <v>393</v>
      </c>
      <c r="I34" s="168"/>
      <c r="J34" s="168"/>
      <c r="K34" s="168"/>
      <c r="L34" s="168"/>
      <c r="M34" s="168"/>
      <c r="N34" s="168"/>
      <c r="O34" s="168"/>
      <c r="P34" s="168"/>
      <c r="Q34" s="168"/>
      <c r="R34" s="168"/>
      <c r="S34" s="168">
        <v>0.38624246913580251</v>
      </c>
      <c r="T34" s="168"/>
      <c r="V34" s="73">
        <v>393</v>
      </c>
      <c r="W34" s="168"/>
      <c r="X34" s="168"/>
      <c r="Y34" s="168"/>
      <c r="Z34" s="168"/>
      <c r="AA34" s="168"/>
      <c r="AB34" s="168"/>
      <c r="AC34" s="168"/>
      <c r="AD34" s="168"/>
      <c r="AF34" s="73">
        <v>393</v>
      </c>
      <c r="AG34" s="168"/>
      <c r="AH34" s="168"/>
      <c r="AI34" s="168"/>
      <c r="AJ34" s="168"/>
      <c r="AK34" s="168"/>
      <c r="AL34" s="168"/>
      <c r="AM34" s="168"/>
      <c r="AO34" s="74">
        <v>393</v>
      </c>
      <c r="AP34" s="169"/>
      <c r="AQ34" s="169"/>
      <c r="AR34" s="169">
        <v>1.5789471507689917E-2</v>
      </c>
      <c r="AS34" s="169"/>
      <c r="AT34" s="169"/>
      <c r="AU34" s="169"/>
      <c r="AV34" s="169"/>
      <c r="AW34" s="169"/>
      <c r="AX34" s="169"/>
      <c r="AZ34" s="165">
        <v>445</v>
      </c>
      <c r="BA34" s="171">
        <v>30.8508</v>
      </c>
      <c r="BB34" s="173">
        <v>110.93600000000001</v>
      </c>
      <c r="BC34" s="172"/>
      <c r="BD34" s="173"/>
      <c r="BE34" s="173"/>
      <c r="BF34" s="173"/>
      <c r="BG34" s="173">
        <v>1</v>
      </c>
      <c r="BH34" s="173"/>
      <c r="BI34" s="166">
        <v>445</v>
      </c>
      <c r="BJ34" s="174"/>
      <c r="BK34" s="174"/>
      <c r="BL34" s="174"/>
      <c r="BM34" s="174"/>
      <c r="BN34" s="174"/>
      <c r="BO34" s="174"/>
      <c r="BP34" s="175">
        <f>Inputs!B37</f>
        <v>393</v>
      </c>
      <c r="BQ34" s="175">
        <f>IF(LEFT(Inputs!$C$11,6)="photon",10^Inputs!C37,Inputs!C37)</f>
        <v>1.0998940975976001E-3</v>
      </c>
      <c r="BR34" s="175"/>
      <c r="BS34" s="175">
        <f>'Advanced Inputs'!I39</f>
        <v>393</v>
      </c>
      <c r="BT34" s="175">
        <f>IF('Advanced Inputs'!J$19="Photon system",10^'Advanced Inputs'!J39,'Advanced Inputs'!J39)</f>
        <v>0</v>
      </c>
      <c r="BV34" s="175">
        <v>393</v>
      </c>
      <c r="BW34" s="73">
        <v>12.836600000000001</v>
      </c>
      <c r="BX34" s="73">
        <v>63.080199999999998</v>
      </c>
      <c r="CC34" s="73">
        <v>1</v>
      </c>
    </row>
    <row r="35" spans="2:81" ht="26" hidden="1" x14ac:dyDescent="0.3">
      <c r="B35" s="162"/>
      <c r="C35" s="181" t="s">
        <v>117</v>
      </c>
      <c r="H35" s="73">
        <v>394</v>
      </c>
      <c r="I35" s="168"/>
      <c r="J35" s="168"/>
      <c r="K35" s="168"/>
      <c r="L35" s="168"/>
      <c r="M35" s="168"/>
      <c r="N35" s="168"/>
      <c r="O35" s="168"/>
      <c r="P35" s="168"/>
      <c r="Q35" s="168"/>
      <c r="R35" s="168"/>
      <c r="S35" s="168">
        <v>0.37398185185185184</v>
      </c>
      <c r="T35" s="168"/>
      <c r="V35" s="73">
        <v>394</v>
      </c>
      <c r="W35" s="168"/>
      <c r="X35" s="168"/>
      <c r="Y35" s="168"/>
      <c r="Z35" s="168"/>
      <c r="AA35" s="168"/>
      <c r="AB35" s="168"/>
      <c r="AC35" s="168"/>
      <c r="AD35" s="168"/>
      <c r="AF35" s="73">
        <v>394</v>
      </c>
      <c r="AG35" s="168"/>
      <c r="AH35" s="168"/>
      <c r="AI35" s="168"/>
      <c r="AJ35" s="168"/>
      <c r="AK35" s="168"/>
      <c r="AL35" s="168"/>
      <c r="AM35" s="168"/>
      <c r="AO35" s="74">
        <v>394</v>
      </c>
      <c r="AP35" s="169"/>
      <c r="AQ35" s="169"/>
      <c r="AR35" s="169">
        <v>1.856870260098465E-2</v>
      </c>
      <c r="AS35" s="169"/>
      <c r="AT35" s="169"/>
      <c r="AU35" s="169"/>
      <c r="AV35" s="169"/>
      <c r="AW35" s="169"/>
      <c r="AX35" s="169"/>
      <c r="AZ35" s="165">
        <v>450</v>
      </c>
      <c r="BA35" s="171">
        <v>33.085900000000002</v>
      </c>
      <c r="BB35" s="173">
        <v>117.008</v>
      </c>
      <c r="BC35" s="172"/>
      <c r="BD35" s="173"/>
      <c r="BE35" s="173"/>
      <c r="BF35" s="173"/>
      <c r="BG35" s="173">
        <v>1</v>
      </c>
      <c r="BH35" s="173"/>
      <c r="BI35" s="166">
        <v>450</v>
      </c>
      <c r="BJ35" s="174"/>
      <c r="BK35" s="174"/>
      <c r="BL35" s="174"/>
      <c r="BM35" s="174"/>
      <c r="BN35" s="174"/>
      <c r="BO35" s="174"/>
      <c r="BP35" s="175">
        <f>Inputs!B38</f>
        <v>394</v>
      </c>
      <c r="BQ35" s="175">
        <f>IF(LEFT(Inputs!$C$11,6)="photon",10^Inputs!C38,Inputs!C38)</f>
        <v>1.0848955417212701E-3</v>
      </c>
      <c r="BR35" s="175"/>
      <c r="BS35" s="175">
        <f>'Advanced Inputs'!I40</f>
        <v>394</v>
      </c>
      <c r="BT35" s="175">
        <f>IF('Advanced Inputs'!J$19="Photon system",10^'Advanced Inputs'!J40,'Advanced Inputs'!J40)</f>
        <v>0</v>
      </c>
      <c r="BV35" s="175">
        <v>394</v>
      </c>
      <c r="BW35" s="73">
        <v>13.0938</v>
      </c>
      <c r="BX35" s="73">
        <v>65.890900000000002</v>
      </c>
      <c r="CC35" s="73">
        <v>1</v>
      </c>
    </row>
    <row r="36" spans="2:81" hidden="1" x14ac:dyDescent="0.2">
      <c r="C36" s="181" t="s">
        <v>118</v>
      </c>
      <c r="H36" s="73">
        <v>395</v>
      </c>
      <c r="I36" s="168"/>
      <c r="J36" s="168"/>
      <c r="K36" s="168"/>
      <c r="L36" s="168"/>
      <c r="M36" s="168"/>
      <c r="N36" s="168"/>
      <c r="O36" s="168"/>
      <c r="P36" s="168"/>
      <c r="Q36" s="168"/>
      <c r="R36" s="168"/>
      <c r="S36" s="168">
        <v>0.37</v>
      </c>
      <c r="T36" s="168"/>
      <c r="V36" s="73">
        <v>395</v>
      </c>
      <c r="W36" s="168"/>
      <c r="X36" s="168"/>
      <c r="Y36" s="168"/>
      <c r="Z36" s="168"/>
      <c r="AA36" s="168"/>
      <c r="AB36" s="168"/>
      <c r="AC36" s="168"/>
      <c r="AD36" s="168"/>
      <c r="AF36" s="73">
        <v>395</v>
      </c>
      <c r="AG36" s="168"/>
      <c r="AH36" s="168"/>
      <c r="AI36" s="168"/>
      <c r="AJ36" s="168"/>
      <c r="AK36" s="168"/>
      <c r="AL36" s="168"/>
      <c r="AM36" s="168"/>
      <c r="AO36" s="74">
        <v>395</v>
      </c>
      <c r="AP36" s="169"/>
      <c r="AQ36" s="169"/>
      <c r="AR36" s="169">
        <v>2.1837121078549047E-2</v>
      </c>
      <c r="AS36" s="169"/>
      <c r="AT36" s="169"/>
      <c r="AU36" s="169"/>
      <c r="AV36" s="169"/>
      <c r="AW36" s="169"/>
      <c r="AX36" s="169"/>
      <c r="AZ36" s="165">
        <v>455</v>
      </c>
      <c r="BA36" s="171">
        <v>35.406799999999997</v>
      </c>
      <c r="BB36" s="173">
        <v>117.41</v>
      </c>
      <c r="BC36" s="172"/>
      <c r="BD36" s="173"/>
      <c r="BE36" s="173"/>
      <c r="BF36" s="173"/>
      <c r="BG36" s="173">
        <v>1</v>
      </c>
      <c r="BH36" s="173"/>
      <c r="BI36" s="166">
        <v>455</v>
      </c>
      <c r="BJ36" s="174"/>
      <c r="BK36" s="174"/>
      <c r="BL36" s="174"/>
      <c r="BM36" s="174"/>
      <c r="BN36" s="174"/>
      <c r="BO36" s="174"/>
      <c r="BP36" s="175">
        <f>Inputs!B39</f>
        <v>395</v>
      </c>
      <c r="BQ36" s="175">
        <f>IF(LEFT(Inputs!$C$11,6)="photon",10^Inputs!C39,Inputs!C39)</f>
        <v>1.11989217209938E-3</v>
      </c>
      <c r="BR36" s="175"/>
      <c r="BS36" s="175">
        <f>'Advanced Inputs'!I41</f>
        <v>395</v>
      </c>
      <c r="BT36" s="175">
        <f>IF('Advanced Inputs'!J$19="Photon system",10^'Advanced Inputs'!J41,'Advanced Inputs'!J41)</f>
        <v>0</v>
      </c>
      <c r="BV36" s="175">
        <v>395</v>
      </c>
      <c r="BW36" s="73">
        <v>13.3543</v>
      </c>
      <c r="BX36" s="73">
        <v>68.701499999999996</v>
      </c>
      <c r="CC36" s="73">
        <v>1</v>
      </c>
    </row>
    <row r="37" spans="2:81" hidden="1" x14ac:dyDescent="0.2">
      <c r="C37" s="181" t="s">
        <v>119</v>
      </c>
      <c r="H37" s="73">
        <v>396</v>
      </c>
      <c r="I37" s="168"/>
      <c r="J37" s="168"/>
      <c r="K37" s="168"/>
      <c r="L37" s="168"/>
      <c r="M37" s="168"/>
      <c r="N37" s="168"/>
      <c r="O37" s="168"/>
      <c r="P37" s="168"/>
      <c r="Q37" s="168"/>
      <c r="R37" s="168"/>
      <c r="S37" s="168">
        <v>0.38391030864197534</v>
      </c>
      <c r="T37" s="168"/>
      <c r="V37" s="73">
        <v>396</v>
      </c>
      <c r="W37" s="168"/>
      <c r="X37" s="168"/>
      <c r="Y37" s="168"/>
      <c r="Z37" s="168"/>
      <c r="AA37" s="168"/>
      <c r="AB37" s="168"/>
      <c r="AC37" s="168"/>
      <c r="AD37" s="168"/>
      <c r="AF37" s="73">
        <v>396</v>
      </c>
      <c r="AG37" s="168"/>
      <c r="AH37" s="168"/>
      <c r="AI37" s="168"/>
      <c r="AJ37" s="168"/>
      <c r="AK37" s="168"/>
      <c r="AL37" s="168"/>
      <c r="AM37" s="168"/>
      <c r="AO37" s="74">
        <v>396</v>
      </c>
      <c r="AP37" s="169"/>
      <c r="AQ37" s="169"/>
      <c r="AR37" s="169">
        <v>2.5680828643372563E-2</v>
      </c>
      <c r="AS37" s="169"/>
      <c r="AT37" s="169"/>
      <c r="AU37" s="169"/>
      <c r="AV37" s="169"/>
      <c r="AW37" s="169"/>
      <c r="AX37" s="169"/>
      <c r="AZ37" s="165">
        <v>460</v>
      </c>
      <c r="BA37" s="171">
        <v>37.812100000000001</v>
      </c>
      <c r="BB37" s="173">
        <v>117.812</v>
      </c>
      <c r="BC37" s="172"/>
      <c r="BD37" s="173"/>
      <c r="BE37" s="173"/>
      <c r="BF37" s="173"/>
      <c r="BG37" s="173">
        <v>1</v>
      </c>
      <c r="BH37" s="173"/>
      <c r="BI37" s="166">
        <v>460</v>
      </c>
      <c r="BJ37" s="174"/>
      <c r="BK37" s="174"/>
      <c r="BL37" s="174"/>
      <c r="BM37" s="174"/>
      <c r="BN37" s="174"/>
      <c r="BO37" s="174"/>
      <c r="BP37" s="175">
        <f>Inputs!B40</f>
        <v>396</v>
      </c>
      <c r="BQ37" s="175">
        <f>IF(LEFT(Inputs!$C$11,6)="photon",10^Inputs!C40,Inputs!C40)</f>
        <v>1.20988350735736E-3</v>
      </c>
      <c r="BR37" s="175"/>
      <c r="BS37" s="175">
        <f>'Advanced Inputs'!I42</f>
        <v>396</v>
      </c>
      <c r="BT37" s="175">
        <f>IF('Advanced Inputs'!J$19="Photon system",10^'Advanced Inputs'!J42,'Advanced Inputs'!J42)</f>
        <v>0</v>
      </c>
      <c r="BV37" s="175">
        <v>396</v>
      </c>
      <c r="BW37" s="73">
        <v>13.6182</v>
      </c>
      <c r="BX37" s="73">
        <v>71.512200000000007</v>
      </c>
      <c r="CC37" s="73">
        <v>1</v>
      </c>
    </row>
    <row r="38" spans="2:81" hidden="1" x14ac:dyDescent="0.2">
      <c r="C38" s="181" t="s">
        <v>120</v>
      </c>
      <c r="H38" s="73">
        <v>397</v>
      </c>
      <c r="I38" s="168"/>
      <c r="J38" s="168"/>
      <c r="K38" s="168"/>
      <c r="L38" s="168"/>
      <c r="M38" s="168"/>
      <c r="N38" s="168"/>
      <c r="O38" s="168"/>
      <c r="P38" s="168"/>
      <c r="Q38" s="168"/>
      <c r="R38" s="168"/>
      <c r="S38" s="168">
        <v>0.40655283950617283</v>
      </c>
      <c r="T38" s="168"/>
      <c r="V38" s="73">
        <v>397</v>
      </c>
      <c r="W38" s="168"/>
      <c r="X38" s="168"/>
      <c r="Y38" s="168"/>
      <c r="Z38" s="168"/>
      <c r="AA38" s="168"/>
      <c r="AB38" s="168"/>
      <c r="AC38" s="168"/>
      <c r="AD38" s="168"/>
      <c r="AF38" s="73">
        <v>397</v>
      </c>
      <c r="AG38" s="168"/>
      <c r="AH38" s="168"/>
      <c r="AI38" s="168"/>
      <c r="AJ38" s="168"/>
      <c r="AK38" s="168"/>
      <c r="AL38" s="168"/>
      <c r="AM38" s="168"/>
      <c r="AO38" s="74">
        <v>397</v>
      </c>
      <c r="AP38" s="169"/>
      <c r="AQ38" s="169"/>
      <c r="AR38" s="169">
        <v>3.020108065916171E-2</v>
      </c>
      <c r="AS38" s="169"/>
      <c r="AT38" s="169"/>
      <c r="AU38" s="169"/>
      <c r="AV38" s="169"/>
      <c r="AW38" s="169"/>
      <c r="AX38" s="169"/>
      <c r="AZ38" s="165">
        <v>465</v>
      </c>
      <c r="BA38" s="171">
        <v>40.300199999999997</v>
      </c>
      <c r="BB38" s="173">
        <v>116.336</v>
      </c>
      <c r="BC38" s="172"/>
      <c r="BD38" s="173"/>
      <c r="BE38" s="173"/>
      <c r="BF38" s="173"/>
      <c r="BG38" s="173">
        <v>1</v>
      </c>
      <c r="BH38" s="173"/>
      <c r="BI38" s="166">
        <v>465</v>
      </c>
      <c r="BJ38" s="174"/>
      <c r="BK38" s="174"/>
      <c r="BL38" s="174"/>
      <c r="BM38" s="174"/>
      <c r="BN38" s="174"/>
      <c r="BO38" s="174"/>
      <c r="BP38" s="175">
        <f>Inputs!B41</f>
        <v>397</v>
      </c>
      <c r="BQ38" s="175">
        <f>IF(LEFT(Inputs!$C$11,6)="photon",10^Inputs!C41,Inputs!C41)</f>
        <v>1.34987002886979E-3</v>
      </c>
      <c r="BR38" s="175"/>
      <c r="BS38" s="175">
        <f>'Advanced Inputs'!I43</f>
        <v>397</v>
      </c>
      <c r="BT38" s="175">
        <f>IF('Advanced Inputs'!J$19="Photon system",10^'Advanced Inputs'!J43,'Advanced Inputs'!J43)</f>
        <v>0</v>
      </c>
      <c r="BV38" s="175">
        <v>397</v>
      </c>
      <c r="BW38" s="73">
        <v>13.8855</v>
      </c>
      <c r="BX38" s="73">
        <v>74.322900000000004</v>
      </c>
      <c r="CC38" s="73">
        <v>1</v>
      </c>
    </row>
    <row r="39" spans="2:81" hidden="1" x14ac:dyDescent="0.2">
      <c r="C39" s="181" t="s">
        <v>121</v>
      </c>
      <c r="H39" s="73">
        <v>398</v>
      </c>
      <c r="I39" s="168"/>
      <c r="J39" s="168"/>
      <c r="K39" s="168"/>
      <c r="L39" s="168"/>
      <c r="M39" s="168"/>
      <c r="N39" s="168"/>
      <c r="O39" s="168"/>
      <c r="P39" s="168"/>
      <c r="Q39" s="168"/>
      <c r="R39" s="168"/>
      <c r="S39" s="168">
        <v>0.43711135802469137</v>
      </c>
      <c r="T39" s="168"/>
      <c r="V39" s="73">
        <v>398</v>
      </c>
      <c r="W39" s="168"/>
      <c r="X39" s="168"/>
      <c r="Y39" s="168"/>
      <c r="Z39" s="168"/>
      <c r="AA39" s="168"/>
      <c r="AB39" s="168"/>
      <c r="AC39" s="168"/>
      <c r="AD39" s="168"/>
      <c r="AF39" s="73">
        <v>398</v>
      </c>
      <c r="AG39" s="168"/>
      <c r="AH39" s="168"/>
      <c r="AI39" s="168"/>
      <c r="AJ39" s="168"/>
      <c r="AK39" s="168"/>
      <c r="AL39" s="168"/>
      <c r="AM39" s="168"/>
      <c r="AO39" s="74">
        <v>398</v>
      </c>
      <c r="AP39" s="169"/>
      <c r="AQ39" s="169"/>
      <c r="AR39" s="169">
        <v>3.5516952742600388E-2</v>
      </c>
      <c r="AS39" s="169"/>
      <c r="AT39" s="169"/>
      <c r="AU39" s="169"/>
      <c r="AV39" s="169"/>
      <c r="AW39" s="169"/>
      <c r="AX39" s="169"/>
      <c r="AZ39" s="165">
        <v>470</v>
      </c>
      <c r="BA39" s="171">
        <v>42.869300000000003</v>
      </c>
      <c r="BB39" s="173">
        <v>114.861</v>
      </c>
      <c r="BC39" s="172"/>
      <c r="BD39" s="173"/>
      <c r="BE39" s="173"/>
      <c r="BF39" s="173"/>
      <c r="BG39" s="173">
        <v>1</v>
      </c>
      <c r="BH39" s="173"/>
      <c r="BI39" s="166">
        <v>470</v>
      </c>
      <c r="BJ39" s="174"/>
      <c r="BK39" s="174"/>
      <c r="BL39" s="174"/>
      <c r="BM39" s="174"/>
      <c r="BN39" s="174"/>
      <c r="BO39" s="174"/>
      <c r="BP39" s="175">
        <f>Inputs!B42</f>
        <v>398</v>
      </c>
      <c r="BQ39" s="175">
        <f>IF(LEFT(Inputs!$C$11,6)="photon",10^Inputs!C42,Inputs!C42)</f>
        <v>1.4998555876331E-3</v>
      </c>
      <c r="BR39" s="175"/>
      <c r="BS39" s="175">
        <f>'Advanced Inputs'!I44</f>
        <v>398</v>
      </c>
      <c r="BT39" s="175">
        <f>IF('Advanced Inputs'!J$19="Photon system",10^'Advanced Inputs'!J44,'Advanced Inputs'!J44)</f>
        <v>0</v>
      </c>
      <c r="BV39" s="175">
        <v>398</v>
      </c>
      <c r="BW39" s="73">
        <v>14.1563</v>
      </c>
      <c r="BX39" s="73">
        <v>77.133600000000001</v>
      </c>
      <c r="CC39" s="73">
        <v>1</v>
      </c>
    </row>
    <row r="40" spans="2:81" hidden="1" x14ac:dyDescent="0.2">
      <c r="C40" s="181" t="s">
        <v>122</v>
      </c>
      <c r="H40" s="73">
        <v>399</v>
      </c>
      <c r="I40" s="168"/>
      <c r="J40" s="168"/>
      <c r="K40" s="168"/>
      <c r="L40" s="168"/>
      <c r="M40" s="168"/>
      <c r="N40" s="168"/>
      <c r="O40" s="168"/>
      <c r="P40" s="168"/>
      <c r="Q40" s="168"/>
      <c r="R40" s="168"/>
      <c r="S40" s="168">
        <v>0.4747696296296296</v>
      </c>
      <c r="T40" s="168"/>
      <c r="V40" s="73">
        <v>399</v>
      </c>
      <c r="W40" s="168"/>
      <c r="X40" s="168"/>
      <c r="Y40" s="168"/>
      <c r="Z40" s="168"/>
      <c r="AA40" s="168"/>
      <c r="AB40" s="168"/>
      <c r="AC40" s="168"/>
      <c r="AD40" s="168"/>
      <c r="AF40" s="73">
        <v>399</v>
      </c>
      <c r="AG40" s="168"/>
      <c r="AH40" s="168"/>
      <c r="AI40" s="168"/>
      <c r="AJ40" s="168"/>
      <c r="AK40" s="168"/>
      <c r="AL40" s="168"/>
      <c r="AM40" s="168"/>
      <c r="AO40" s="74">
        <v>399</v>
      </c>
      <c r="AP40" s="169"/>
      <c r="AQ40" s="169"/>
      <c r="AR40" s="169">
        <v>4.1768476439276364E-2</v>
      </c>
      <c r="AS40" s="169"/>
      <c r="AT40" s="169"/>
      <c r="AU40" s="169"/>
      <c r="AV40" s="169"/>
      <c r="AW40" s="169"/>
      <c r="AX40" s="169"/>
      <c r="AZ40" s="165">
        <v>475</v>
      </c>
      <c r="BA40" s="171">
        <v>45.517400000000002</v>
      </c>
      <c r="BB40" s="173">
        <v>115.392</v>
      </c>
      <c r="BC40" s="172"/>
      <c r="BD40" s="173"/>
      <c r="BE40" s="173"/>
      <c r="BF40" s="173"/>
      <c r="BG40" s="173">
        <v>1</v>
      </c>
      <c r="BH40" s="173"/>
      <c r="BI40" s="166">
        <v>475</v>
      </c>
      <c r="BJ40" s="174"/>
      <c r="BK40" s="174"/>
      <c r="BL40" s="174"/>
      <c r="BM40" s="174"/>
      <c r="BN40" s="174"/>
      <c r="BO40" s="174"/>
      <c r="BP40" s="175">
        <f>Inputs!B43</f>
        <v>399</v>
      </c>
      <c r="BQ40" s="175">
        <f>IF(LEFT(Inputs!$C$11,6)="photon",10^Inputs!C43,Inputs!C43)</f>
        <v>1.6498411463964099E-3</v>
      </c>
      <c r="BR40" s="175"/>
      <c r="BS40" s="175">
        <f>'Advanced Inputs'!I45</f>
        <v>399</v>
      </c>
      <c r="BT40" s="175">
        <f>IF('Advanced Inputs'!J$19="Photon system",10^'Advanced Inputs'!J45,'Advanced Inputs'!J45)</f>
        <v>0</v>
      </c>
      <c r="BV40" s="175">
        <v>399</v>
      </c>
      <c r="BW40" s="73">
        <v>14.430400000000001</v>
      </c>
      <c r="BX40" s="73">
        <v>79.944199999999995</v>
      </c>
      <c r="CC40" s="73">
        <v>1</v>
      </c>
    </row>
    <row r="41" spans="2:81" hidden="1" x14ac:dyDescent="0.2">
      <c r="C41" s="181" t="s">
        <v>123</v>
      </c>
      <c r="H41" s="73">
        <v>400</v>
      </c>
      <c r="I41" s="168"/>
      <c r="J41" s="168"/>
      <c r="K41" s="168"/>
      <c r="L41" s="168"/>
      <c r="M41" s="168"/>
      <c r="N41" s="168"/>
      <c r="O41" s="168"/>
      <c r="P41" s="168"/>
      <c r="Q41" s="168"/>
      <c r="R41" s="168"/>
      <c r="S41" s="168">
        <v>0.51871141975366675</v>
      </c>
      <c r="T41" s="168"/>
      <c r="V41" s="73">
        <v>400</v>
      </c>
      <c r="W41" s="168"/>
      <c r="X41" s="168"/>
      <c r="Y41" s="168"/>
      <c r="Z41" s="168"/>
      <c r="AA41" s="168"/>
      <c r="AB41" s="168"/>
      <c r="AC41" s="168"/>
      <c r="AD41" s="168"/>
      <c r="AF41" s="73">
        <v>400</v>
      </c>
      <c r="AG41" s="168"/>
      <c r="AH41" s="168"/>
      <c r="AI41" s="168"/>
      <c r="AJ41" s="168"/>
      <c r="AK41" s="168"/>
      <c r="AL41" s="168"/>
      <c r="AM41" s="168"/>
      <c r="AO41" s="74">
        <v>400</v>
      </c>
      <c r="AP41" s="169"/>
      <c r="AQ41" s="169"/>
      <c r="AR41" s="169">
        <v>4.9120326440241051E-2</v>
      </c>
      <c r="AS41" s="169"/>
      <c r="AT41" s="169"/>
      <c r="AU41" s="169"/>
      <c r="AV41" s="169"/>
      <c r="AW41" s="169"/>
      <c r="AX41" s="169"/>
      <c r="AZ41" s="165">
        <v>480</v>
      </c>
      <c r="BA41" s="171">
        <v>48.2423</v>
      </c>
      <c r="BB41" s="173">
        <v>115.923</v>
      </c>
      <c r="BC41" s="172"/>
      <c r="BD41" s="173"/>
      <c r="BE41" s="173"/>
      <c r="BF41" s="173"/>
      <c r="BG41" s="173">
        <v>1</v>
      </c>
      <c r="BH41" s="173"/>
      <c r="BI41" s="166">
        <v>480</v>
      </c>
      <c r="BJ41" s="174"/>
      <c r="BK41" s="174"/>
      <c r="BL41" s="174"/>
      <c r="BM41" s="174"/>
      <c r="BN41" s="174"/>
      <c r="BO41" s="174"/>
      <c r="BP41" s="175">
        <f>Inputs!B44</f>
        <v>400</v>
      </c>
      <c r="BQ41" s="175">
        <f>IF(LEFT(Inputs!$C$11,6)="photon",10^Inputs!C44,Inputs!C44)</f>
        <v>1.7948271865342699E-3</v>
      </c>
      <c r="BR41" s="175"/>
      <c r="BS41" s="175">
        <f>'Advanced Inputs'!I46</f>
        <v>400</v>
      </c>
      <c r="BT41" s="175">
        <f>IF('Advanced Inputs'!J$19="Photon system",10^'Advanced Inputs'!J46,'Advanced Inputs'!J46)</f>
        <v>0</v>
      </c>
      <c r="BV41" s="175">
        <v>400</v>
      </c>
      <c r="BW41" s="73">
        <v>14.708</v>
      </c>
      <c r="BX41" s="73">
        <v>82.754900000000006</v>
      </c>
      <c r="CC41" s="73">
        <v>1</v>
      </c>
    </row>
    <row r="42" spans="2:81" hidden="1" x14ac:dyDescent="0.2">
      <c r="C42" s="181" t="s">
        <v>124</v>
      </c>
      <c r="H42" s="73">
        <v>401</v>
      </c>
      <c r="I42" s="168"/>
      <c r="J42" s="168"/>
      <c r="K42" s="168"/>
      <c r="L42" s="168"/>
      <c r="M42" s="168"/>
      <c r="N42" s="168"/>
      <c r="O42" s="168"/>
      <c r="P42" s="168"/>
      <c r="Q42" s="168"/>
      <c r="R42" s="168"/>
      <c r="S42" s="168">
        <v>0.56481523407529399</v>
      </c>
      <c r="T42" s="168"/>
      <c r="V42" s="73">
        <v>401</v>
      </c>
      <c r="W42" s="168"/>
      <c r="X42" s="168"/>
      <c r="Y42" s="168"/>
      <c r="Z42" s="168"/>
      <c r="AA42" s="168"/>
      <c r="AB42" s="168"/>
      <c r="AC42" s="168"/>
      <c r="AD42" s="168"/>
      <c r="AF42" s="73">
        <v>401</v>
      </c>
      <c r="AG42" s="168"/>
      <c r="AH42" s="168"/>
      <c r="AI42" s="168"/>
      <c r="AJ42" s="168"/>
      <c r="AK42" s="168"/>
      <c r="AL42" s="168"/>
      <c r="AM42" s="168"/>
      <c r="AO42" s="74">
        <v>401</v>
      </c>
      <c r="AP42" s="169"/>
      <c r="AQ42" s="169"/>
      <c r="AR42" s="169">
        <v>5.7766156267666548E-2</v>
      </c>
      <c r="AS42" s="169"/>
      <c r="AT42" s="169"/>
      <c r="AU42" s="169"/>
      <c r="AV42" s="169"/>
      <c r="AW42" s="169"/>
      <c r="AX42" s="169"/>
      <c r="AZ42" s="165">
        <v>485</v>
      </c>
      <c r="BA42" s="171">
        <v>51.041800000000002</v>
      </c>
      <c r="BB42" s="173">
        <v>112.367</v>
      </c>
      <c r="BC42" s="172"/>
      <c r="BD42" s="173"/>
      <c r="BE42" s="173"/>
      <c r="BF42" s="173"/>
      <c r="BG42" s="173">
        <v>1</v>
      </c>
      <c r="BH42" s="173"/>
      <c r="BI42" s="166">
        <v>485</v>
      </c>
      <c r="BJ42" s="174"/>
      <c r="BK42" s="174"/>
      <c r="BL42" s="174"/>
      <c r="BM42" s="174"/>
      <c r="BN42" s="174"/>
      <c r="BO42" s="174"/>
      <c r="BP42" s="175">
        <f>Inputs!B45</f>
        <v>401</v>
      </c>
      <c r="BQ42" s="175">
        <f>IF(LEFT(Inputs!$C$11,6)="photon",10^Inputs!C45,Inputs!C45)</f>
        <v>1.9048165962940299E-3</v>
      </c>
      <c r="BR42" s="175"/>
      <c r="BS42" s="175">
        <f>'Advanced Inputs'!I47</f>
        <v>401</v>
      </c>
      <c r="BT42" s="175">
        <f>IF('Advanced Inputs'!J$19="Photon system",10^'Advanced Inputs'!J47,'Advanced Inputs'!J47)</f>
        <v>0</v>
      </c>
      <c r="BV42" s="175">
        <v>401</v>
      </c>
      <c r="BW42" s="73">
        <v>14.989100000000001</v>
      </c>
      <c r="BX42" s="73">
        <v>83.628</v>
      </c>
      <c r="CC42" s="73">
        <v>1</v>
      </c>
    </row>
    <row r="43" spans="2:81" hidden="1" x14ac:dyDescent="0.2">
      <c r="C43" s="181" t="s">
        <v>125</v>
      </c>
      <c r="H43" s="73">
        <v>402</v>
      </c>
      <c r="I43" s="168"/>
      <c r="J43" s="168"/>
      <c r="K43" s="168"/>
      <c r="L43" s="168"/>
      <c r="M43" s="168"/>
      <c r="N43" s="168"/>
      <c r="O43" s="168"/>
      <c r="P43" s="168"/>
      <c r="Q43" s="168"/>
      <c r="R43" s="168"/>
      <c r="S43" s="168">
        <v>0.61814361032788345</v>
      </c>
      <c r="T43" s="168"/>
      <c r="V43" s="73">
        <v>402</v>
      </c>
      <c r="W43" s="168"/>
      <c r="X43" s="168"/>
      <c r="Y43" s="168"/>
      <c r="Z43" s="168"/>
      <c r="AA43" s="168"/>
      <c r="AB43" s="168"/>
      <c r="AC43" s="168"/>
      <c r="AD43" s="168"/>
      <c r="AF43" s="73">
        <v>402</v>
      </c>
      <c r="AG43" s="168"/>
      <c r="AH43" s="168"/>
      <c r="AI43" s="168"/>
      <c r="AJ43" s="168"/>
      <c r="AK43" s="168"/>
      <c r="AL43" s="168"/>
      <c r="AM43" s="168"/>
      <c r="AO43" s="74">
        <v>402</v>
      </c>
      <c r="AP43" s="169"/>
      <c r="AQ43" s="169"/>
      <c r="AR43" s="169">
        <v>6.7933696360507889E-2</v>
      </c>
      <c r="AS43" s="169"/>
      <c r="AT43" s="169"/>
      <c r="AU43" s="169"/>
      <c r="AV43" s="169"/>
      <c r="AW43" s="169"/>
      <c r="AX43" s="169"/>
      <c r="AZ43" s="165">
        <v>490</v>
      </c>
      <c r="BA43" s="171">
        <v>53.913200000000003</v>
      </c>
      <c r="BB43" s="173">
        <v>108.81100000000001</v>
      </c>
      <c r="BC43" s="172"/>
      <c r="BD43" s="173"/>
      <c r="BE43" s="173"/>
      <c r="BF43" s="173"/>
      <c r="BG43" s="173">
        <v>1</v>
      </c>
      <c r="BH43" s="173"/>
      <c r="BI43" s="166">
        <v>490</v>
      </c>
      <c r="BJ43" s="174"/>
      <c r="BK43" s="174"/>
      <c r="BL43" s="174"/>
      <c r="BM43" s="174"/>
      <c r="BN43" s="174"/>
      <c r="BO43" s="174"/>
      <c r="BP43" s="175">
        <f>Inputs!B46</f>
        <v>402</v>
      </c>
      <c r="BQ43" s="175">
        <f>IF(LEFT(Inputs!$C$11,6)="photon",10^Inputs!C46,Inputs!C46)</f>
        <v>1.9498122639230299E-3</v>
      </c>
      <c r="BR43" s="175"/>
      <c r="BS43" s="175">
        <f>'Advanced Inputs'!I48</f>
        <v>402</v>
      </c>
      <c r="BT43" s="175">
        <f>IF('Advanced Inputs'!J$19="Photon system",10^'Advanced Inputs'!J48,'Advanced Inputs'!J48)</f>
        <v>0</v>
      </c>
      <c r="BV43" s="175">
        <v>402</v>
      </c>
      <c r="BW43" s="73">
        <v>15.2736</v>
      </c>
      <c r="BX43" s="73">
        <v>84.501099999999994</v>
      </c>
      <c r="CC43" s="73">
        <v>1</v>
      </c>
    </row>
    <row r="44" spans="2:81" hidden="1" x14ac:dyDescent="0.2">
      <c r="C44" s="181" t="s">
        <v>126</v>
      </c>
      <c r="H44" s="73">
        <v>403</v>
      </c>
      <c r="I44" s="168"/>
      <c r="J44" s="168"/>
      <c r="K44" s="168"/>
      <c r="L44" s="168"/>
      <c r="M44" s="168"/>
      <c r="N44" s="168"/>
      <c r="O44" s="168"/>
      <c r="P44" s="168"/>
      <c r="Q44" s="168"/>
      <c r="R44" s="168"/>
      <c r="S44" s="168">
        <v>1.388913503246763</v>
      </c>
      <c r="T44" s="168"/>
      <c r="V44" s="73">
        <v>403</v>
      </c>
      <c r="W44" s="168"/>
      <c r="X44" s="168"/>
      <c r="Y44" s="168"/>
      <c r="Z44" s="168"/>
      <c r="AA44" s="168"/>
      <c r="AB44" s="168"/>
      <c r="AC44" s="168"/>
      <c r="AD44" s="168"/>
      <c r="AF44" s="73">
        <v>403</v>
      </c>
      <c r="AG44" s="168"/>
      <c r="AH44" s="168"/>
      <c r="AI44" s="168"/>
      <c r="AJ44" s="168"/>
      <c r="AK44" s="168"/>
      <c r="AL44" s="168"/>
      <c r="AM44" s="168"/>
      <c r="AO44" s="74">
        <v>403</v>
      </c>
      <c r="AP44" s="169"/>
      <c r="AQ44" s="169"/>
      <c r="AR44" s="169">
        <v>7.9890748463789629E-2</v>
      </c>
      <c r="AS44" s="169"/>
      <c r="AT44" s="169"/>
      <c r="AU44" s="169"/>
      <c r="AV44" s="169"/>
      <c r="AW44" s="169"/>
      <c r="AX44" s="169"/>
      <c r="AZ44" s="165">
        <v>495</v>
      </c>
      <c r="BA44" s="171">
        <v>56.853900000000003</v>
      </c>
      <c r="BB44" s="173">
        <v>109.08199999999999</v>
      </c>
      <c r="BC44" s="172"/>
      <c r="BD44" s="173"/>
      <c r="BE44" s="173"/>
      <c r="BF44" s="173"/>
      <c r="BG44" s="173">
        <v>1</v>
      </c>
      <c r="BH44" s="173"/>
      <c r="BI44" s="166">
        <v>495</v>
      </c>
      <c r="BJ44" s="174"/>
      <c r="BK44" s="174"/>
      <c r="BL44" s="174"/>
      <c r="BM44" s="174"/>
      <c r="BN44" s="174"/>
      <c r="BO44" s="174"/>
      <c r="BP44" s="175">
        <f>Inputs!B47</f>
        <v>403</v>
      </c>
      <c r="BQ44" s="175">
        <f>IF(LEFT(Inputs!$C$11,6)="photon",10^Inputs!C47,Inputs!C47)</f>
        <v>1.9348137080466999E-3</v>
      </c>
      <c r="BR44" s="175"/>
      <c r="BS44" s="175">
        <f>'Advanced Inputs'!I49</f>
        <v>403</v>
      </c>
      <c r="BT44" s="175">
        <f>IF('Advanced Inputs'!J$19="Photon system",10^'Advanced Inputs'!J49,'Advanced Inputs'!J49)</f>
        <v>0</v>
      </c>
      <c r="BV44" s="175">
        <v>403</v>
      </c>
      <c r="BW44" s="73">
        <v>15.5616</v>
      </c>
      <c r="BX44" s="73">
        <v>85.374200000000002</v>
      </c>
      <c r="CC44" s="73">
        <v>1</v>
      </c>
    </row>
    <row r="45" spans="2:81" hidden="1" x14ac:dyDescent="0.2">
      <c r="C45" s="181" t="s">
        <v>127</v>
      </c>
      <c r="H45" s="73">
        <v>404</v>
      </c>
      <c r="I45" s="168"/>
      <c r="J45" s="168"/>
      <c r="K45" s="168"/>
      <c r="L45" s="168"/>
      <c r="M45" s="168"/>
      <c r="N45" s="168"/>
      <c r="O45" s="168"/>
      <c r="P45" s="168"/>
      <c r="Q45" s="168"/>
      <c r="R45" s="168"/>
      <c r="S45" s="168">
        <v>17.664054065249751</v>
      </c>
      <c r="T45" s="168"/>
      <c r="V45" s="73">
        <v>404</v>
      </c>
      <c r="W45" s="168"/>
      <c r="X45" s="168"/>
      <c r="Y45" s="168"/>
      <c r="Z45" s="168"/>
      <c r="AA45" s="168"/>
      <c r="AB45" s="168"/>
      <c r="AC45" s="168"/>
      <c r="AD45" s="168"/>
      <c r="AF45" s="73">
        <v>404</v>
      </c>
      <c r="AG45" s="168"/>
      <c r="AH45" s="168"/>
      <c r="AI45" s="168"/>
      <c r="AJ45" s="168"/>
      <c r="AK45" s="168"/>
      <c r="AL45" s="168"/>
      <c r="AM45" s="168"/>
      <c r="AO45" s="74">
        <v>404</v>
      </c>
      <c r="AP45" s="169"/>
      <c r="AQ45" s="169"/>
      <c r="AR45" s="169">
        <v>9.3952233682215891E-2</v>
      </c>
      <c r="AS45" s="169"/>
      <c r="AT45" s="169"/>
      <c r="AU45" s="169"/>
      <c r="AV45" s="169"/>
      <c r="AW45" s="169"/>
      <c r="AX45" s="169"/>
      <c r="AZ45" s="165">
        <v>500</v>
      </c>
      <c r="BA45" s="171">
        <v>59.8611</v>
      </c>
      <c r="BB45" s="173">
        <v>109.354</v>
      </c>
      <c r="BC45" s="172"/>
      <c r="BD45" s="173"/>
      <c r="BE45" s="173"/>
      <c r="BF45" s="173"/>
      <c r="BG45" s="173">
        <v>1</v>
      </c>
      <c r="BH45" s="173"/>
      <c r="BI45" s="166">
        <v>500</v>
      </c>
      <c r="BJ45" s="174"/>
      <c r="BK45" s="174"/>
      <c r="BL45" s="174"/>
      <c r="BM45" s="174"/>
      <c r="BN45" s="174"/>
      <c r="BO45" s="174"/>
      <c r="BP45" s="175">
        <f>Inputs!B48</f>
        <v>404</v>
      </c>
      <c r="BQ45" s="175">
        <f>IF(LEFT(Inputs!$C$11,6)="photon",10^Inputs!C48,Inputs!C48)</f>
        <v>1.9248146707958099E-3</v>
      </c>
      <c r="BR45" s="175"/>
      <c r="BS45" s="175">
        <f>'Advanced Inputs'!I50</f>
        <v>404</v>
      </c>
      <c r="BT45" s="175">
        <f>IF('Advanced Inputs'!J$19="Photon system",10^'Advanced Inputs'!J50,'Advanced Inputs'!J50)</f>
        <v>0</v>
      </c>
      <c r="BV45" s="175">
        <v>404</v>
      </c>
      <c r="BW45" s="73">
        <v>15.853</v>
      </c>
      <c r="BX45" s="73">
        <v>86.247299999999996</v>
      </c>
      <c r="CC45" s="73">
        <v>1</v>
      </c>
    </row>
    <row r="46" spans="2:81" hidden="1" x14ac:dyDescent="0.2">
      <c r="C46" s="181" t="s">
        <v>128</v>
      </c>
      <c r="H46" s="73">
        <v>405</v>
      </c>
      <c r="I46" s="168"/>
      <c r="J46" s="168"/>
      <c r="K46" s="168"/>
      <c r="L46" s="168"/>
      <c r="M46" s="168"/>
      <c r="N46" s="168"/>
      <c r="O46" s="168"/>
      <c r="P46" s="168"/>
      <c r="Q46" s="168"/>
      <c r="R46" s="168"/>
      <c r="S46" s="168">
        <v>38.48792157255145</v>
      </c>
      <c r="T46" s="168"/>
      <c r="V46" s="73">
        <v>405</v>
      </c>
      <c r="W46" s="168"/>
      <c r="X46" s="168"/>
      <c r="Y46" s="168"/>
      <c r="Z46" s="168"/>
      <c r="AA46" s="168"/>
      <c r="AB46" s="168"/>
      <c r="AC46" s="168"/>
      <c r="AD46" s="168"/>
      <c r="AF46" s="73">
        <v>405</v>
      </c>
      <c r="AG46" s="168"/>
      <c r="AH46" s="168"/>
      <c r="AI46" s="168"/>
      <c r="AJ46" s="168"/>
      <c r="AK46" s="168"/>
      <c r="AL46" s="168"/>
      <c r="AM46" s="168"/>
      <c r="AO46" s="74">
        <v>405</v>
      </c>
      <c r="AP46" s="169"/>
      <c r="AQ46" s="169"/>
      <c r="AR46" s="169">
        <v>0.11048847910175066</v>
      </c>
      <c r="AS46" s="169"/>
      <c r="AT46" s="169"/>
      <c r="AU46" s="169"/>
      <c r="AV46" s="169"/>
      <c r="AW46" s="169"/>
      <c r="AX46" s="169"/>
      <c r="AZ46" s="165">
        <v>505</v>
      </c>
      <c r="BA46" s="171">
        <v>62.932000000000002</v>
      </c>
      <c r="BB46" s="173">
        <v>108.578</v>
      </c>
      <c r="BC46" s="172"/>
      <c r="BD46" s="173"/>
      <c r="BE46" s="173"/>
      <c r="BF46" s="173"/>
      <c r="BG46" s="173">
        <v>1</v>
      </c>
      <c r="BH46" s="173"/>
      <c r="BI46" s="166">
        <v>505</v>
      </c>
      <c r="BJ46" s="174"/>
      <c r="BK46" s="174"/>
      <c r="BL46" s="174"/>
      <c r="BM46" s="174"/>
      <c r="BN46" s="174"/>
      <c r="BO46" s="174"/>
      <c r="BP46" s="175">
        <f>Inputs!B49</f>
        <v>405</v>
      </c>
      <c r="BQ46" s="175">
        <f>IF(LEFT(Inputs!$C$11,6)="photon",10^Inputs!C49,Inputs!C49)</f>
        <v>1.8798190031668099E-3</v>
      </c>
      <c r="BR46" s="175"/>
      <c r="BS46" s="175">
        <f>'Advanced Inputs'!I51</f>
        <v>405</v>
      </c>
      <c r="BT46" s="175">
        <f>IF('Advanced Inputs'!J$19="Photon system",10^'Advanced Inputs'!J51,'Advanced Inputs'!J51)</f>
        <v>0</v>
      </c>
      <c r="BV46" s="175">
        <v>405</v>
      </c>
      <c r="BW46" s="73">
        <v>16.148</v>
      </c>
      <c r="BX46" s="73">
        <v>87.120400000000004</v>
      </c>
      <c r="CC46" s="73">
        <v>1</v>
      </c>
    </row>
    <row r="47" spans="2:81" hidden="1" x14ac:dyDescent="0.2">
      <c r="C47" s="181" t="s">
        <v>129</v>
      </c>
      <c r="H47" s="73">
        <v>406</v>
      </c>
      <c r="I47" s="168"/>
      <c r="J47" s="168"/>
      <c r="K47" s="168"/>
      <c r="L47" s="168"/>
      <c r="M47" s="168"/>
      <c r="N47" s="168"/>
      <c r="O47" s="168"/>
      <c r="P47" s="168"/>
      <c r="Q47" s="168"/>
      <c r="R47" s="168"/>
      <c r="S47" s="168">
        <v>10.384847196498999</v>
      </c>
      <c r="T47" s="168"/>
      <c r="V47" s="73">
        <v>406</v>
      </c>
      <c r="W47" s="168"/>
      <c r="X47" s="168"/>
      <c r="Y47" s="168"/>
      <c r="Z47" s="168"/>
      <c r="AA47" s="168"/>
      <c r="AB47" s="168"/>
      <c r="AC47" s="168"/>
      <c r="AD47" s="168"/>
      <c r="AF47" s="73">
        <v>406</v>
      </c>
      <c r="AG47" s="168"/>
      <c r="AH47" s="168"/>
      <c r="AI47" s="168"/>
      <c r="AJ47" s="168"/>
      <c r="AK47" s="168"/>
      <c r="AL47" s="168"/>
      <c r="AM47" s="168"/>
      <c r="AO47" s="74">
        <v>406</v>
      </c>
      <c r="AP47" s="169"/>
      <c r="AQ47" s="169"/>
      <c r="AR47" s="169">
        <v>0.12993496021420817</v>
      </c>
      <c r="AS47" s="169"/>
      <c r="AT47" s="169"/>
      <c r="AU47" s="169"/>
      <c r="AV47" s="169"/>
      <c r="AW47" s="169"/>
      <c r="AX47" s="169"/>
      <c r="AZ47" s="165">
        <v>510</v>
      </c>
      <c r="BA47" s="171">
        <v>66.063500000000005</v>
      </c>
      <c r="BB47" s="173">
        <v>107.80200000000001</v>
      </c>
      <c r="BC47" s="172"/>
      <c r="BD47" s="173"/>
      <c r="BE47" s="173"/>
      <c r="BF47" s="173"/>
      <c r="BG47" s="173">
        <v>1</v>
      </c>
      <c r="BH47" s="173"/>
      <c r="BI47" s="166">
        <v>510</v>
      </c>
      <c r="BJ47" s="174"/>
      <c r="BK47" s="174"/>
      <c r="BL47" s="174"/>
      <c r="BM47" s="174"/>
      <c r="BN47" s="174"/>
      <c r="BO47" s="174"/>
      <c r="BP47" s="175">
        <f>Inputs!B50</f>
        <v>406</v>
      </c>
      <c r="BQ47" s="175">
        <f>IF(LEFT(Inputs!$C$11,6)="photon",10^Inputs!C50,Inputs!C50)</f>
        <v>1.8398228541632699E-3</v>
      </c>
      <c r="BR47" s="175"/>
      <c r="BS47" s="175">
        <f>'Advanced Inputs'!I52</f>
        <v>406</v>
      </c>
      <c r="BT47" s="175">
        <f>IF('Advanced Inputs'!J$19="Photon system",10^'Advanced Inputs'!J52,'Advanced Inputs'!J52)</f>
        <v>0</v>
      </c>
      <c r="BV47" s="175">
        <v>406</v>
      </c>
      <c r="BW47" s="73">
        <v>16.446400000000001</v>
      </c>
      <c r="BX47" s="73">
        <v>87.993600000000001</v>
      </c>
      <c r="CC47" s="73">
        <v>1</v>
      </c>
    </row>
    <row r="48" spans="2:81" hidden="1" x14ac:dyDescent="0.2">
      <c r="C48" s="181" t="s">
        <v>130</v>
      </c>
      <c r="H48" s="73">
        <v>407</v>
      </c>
      <c r="I48" s="168"/>
      <c r="J48" s="168"/>
      <c r="K48" s="168"/>
      <c r="L48" s="168"/>
      <c r="M48" s="168"/>
      <c r="N48" s="168"/>
      <c r="O48" s="168"/>
      <c r="P48" s="168"/>
      <c r="Q48" s="168"/>
      <c r="R48" s="168"/>
      <c r="S48" s="168">
        <v>1.1575802617046191</v>
      </c>
      <c r="T48" s="168"/>
      <c r="V48" s="73">
        <v>407</v>
      </c>
      <c r="W48" s="168"/>
      <c r="X48" s="168"/>
      <c r="Y48" s="168"/>
      <c r="Z48" s="168"/>
      <c r="AA48" s="168"/>
      <c r="AB48" s="168"/>
      <c r="AC48" s="168"/>
      <c r="AD48" s="168"/>
      <c r="AF48" s="73">
        <v>407</v>
      </c>
      <c r="AG48" s="168"/>
      <c r="AH48" s="168"/>
      <c r="AI48" s="168"/>
      <c r="AJ48" s="168"/>
      <c r="AK48" s="168"/>
      <c r="AL48" s="168"/>
      <c r="AM48" s="168"/>
      <c r="AO48" s="74">
        <v>407</v>
      </c>
      <c r="AP48" s="169"/>
      <c r="AQ48" s="169"/>
      <c r="AR48" s="169">
        <v>0.15280375431992474</v>
      </c>
      <c r="AS48" s="169"/>
      <c r="AT48" s="169"/>
      <c r="AU48" s="169"/>
      <c r="AV48" s="169"/>
      <c r="AW48" s="169"/>
      <c r="AX48" s="169"/>
      <c r="AZ48" s="165">
        <v>515</v>
      </c>
      <c r="BA48" s="171">
        <v>69.252499999999998</v>
      </c>
      <c r="BB48" s="173">
        <v>106.29600000000001</v>
      </c>
      <c r="BC48" s="172"/>
      <c r="BD48" s="173"/>
      <c r="BE48" s="173"/>
      <c r="BF48" s="173"/>
      <c r="BG48" s="173">
        <v>1</v>
      </c>
      <c r="BH48" s="173"/>
      <c r="BI48" s="166">
        <v>515</v>
      </c>
      <c r="BJ48" s="174"/>
      <c r="BK48" s="174"/>
      <c r="BL48" s="174"/>
      <c r="BM48" s="174"/>
      <c r="BN48" s="174"/>
      <c r="BO48" s="174"/>
      <c r="BP48" s="175">
        <f>Inputs!B51</f>
        <v>407</v>
      </c>
      <c r="BQ48" s="175">
        <f>IF(LEFT(Inputs!$C$11,6)="photon",10^Inputs!C51,Inputs!C51)</f>
        <v>1.8398228541632699E-3</v>
      </c>
      <c r="BR48" s="175"/>
      <c r="BS48" s="175">
        <f>'Advanced Inputs'!I53</f>
        <v>407</v>
      </c>
      <c r="BT48" s="175">
        <f>IF('Advanced Inputs'!J$19="Photon system",10^'Advanced Inputs'!J53,'Advanced Inputs'!J53)</f>
        <v>0</v>
      </c>
      <c r="BV48" s="175">
        <v>407</v>
      </c>
      <c r="BW48" s="73">
        <v>16.7484</v>
      </c>
      <c r="BX48" s="73">
        <v>88.866699999999994</v>
      </c>
      <c r="CC48" s="73">
        <v>1</v>
      </c>
    </row>
    <row r="49" spans="3:81" hidden="1" x14ac:dyDescent="0.2">
      <c r="C49" s="181" t="s">
        <v>131</v>
      </c>
      <c r="H49" s="73">
        <v>408</v>
      </c>
      <c r="I49" s="168"/>
      <c r="J49" s="168"/>
      <c r="K49" s="168"/>
      <c r="L49" s="168"/>
      <c r="M49" s="168"/>
      <c r="N49" s="168"/>
      <c r="O49" s="168"/>
      <c r="P49" s="168"/>
      <c r="Q49" s="168"/>
      <c r="R49" s="168"/>
      <c r="S49" s="168">
        <v>1.0416931242919538</v>
      </c>
      <c r="T49" s="168"/>
      <c r="V49" s="73">
        <v>408</v>
      </c>
      <c r="W49" s="168"/>
      <c r="X49" s="168"/>
      <c r="Y49" s="168"/>
      <c r="Z49" s="168"/>
      <c r="AA49" s="168"/>
      <c r="AB49" s="168"/>
      <c r="AC49" s="168"/>
      <c r="AD49" s="168"/>
      <c r="AF49" s="73">
        <v>408</v>
      </c>
      <c r="AG49" s="168"/>
      <c r="AH49" s="168"/>
      <c r="AI49" s="168"/>
      <c r="AJ49" s="168"/>
      <c r="AK49" s="168"/>
      <c r="AL49" s="168"/>
      <c r="AM49" s="168"/>
      <c r="AO49" s="74">
        <v>408</v>
      </c>
      <c r="AP49" s="169"/>
      <c r="AQ49" s="169"/>
      <c r="AR49" s="169">
        <v>0.17969700458792431</v>
      </c>
      <c r="AS49" s="169"/>
      <c r="AT49" s="169"/>
      <c r="AU49" s="169"/>
      <c r="AV49" s="169"/>
      <c r="AW49" s="169"/>
      <c r="AX49" s="169"/>
      <c r="AZ49" s="165">
        <v>520</v>
      </c>
      <c r="BA49" s="171">
        <v>72.495900000000006</v>
      </c>
      <c r="BB49" s="173">
        <v>104.79</v>
      </c>
      <c r="BC49" s="172"/>
      <c r="BD49" s="173"/>
      <c r="BE49" s="173"/>
      <c r="BF49" s="173"/>
      <c r="BG49" s="173">
        <v>1</v>
      </c>
      <c r="BH49" s="173"/>
      <c r="BI49" s="166">
        <v>520</v>
      </c>
      <c r="BJ49" s="174"/>
      <c r="BK49" s="174"/>
      <c r="BL49" s="174"/>
      <c r="BM49" s="174"/>
      <c r="BN49" s="174"/>
      <c r="BO49" s="174"/>
      <c r="BP49" s="175">
        <f>Inputs!B52</f>
        <v>408</v>
      </c>
      <c r="BQ49" s="175">
        <f>IF(LEFT(Inputs!$C$11,6)="photon",10^Inputs!C52,Inputs!C52)</f>
        <v>1.8648204472904799E-3</v>
      </c>
      <c r="BR49" s="175"/>
      <c r="BS49" s="175">
        <f>'Advanced Inputs'!I54</f>
        <v>408</v>
      </c>
      <c r="BT49" s="175">
        <f>IF('Advanced Inputs'!J$19="Photon system",10^'Advanced Inputs'!J54,'Advanced Inputs'!J54)</f>
        <v>0</v>
      </c>
      <c r="BV49" s="175">
        <v>408</v>
      </c>
      <c r="BW49" s="73">
        <v>17.053799999999999</v>
      </c>
      <c r="BX49" s="73">
        <v>89.739800000000002</v>
      </c>
      <c r="CC49" s="73">
        <v>1</v>
      </c>
    </row>
    <row r="50" spans="3:81" hidden="1" x14ac:dyDescent="0.2">
      <c r="C50" s="181" t="s">
        <v>132</v>
      </c>
      <c r="H50" s="73">
        <v>409</v>
      </c>
      <c r="I50" s="168"/>
      <c r="J50" s="168"/>
      <c r="K50" s="168"/>
      <c r="L50" s="168"/>
      <c r="M50" s="168"/>
      <c r="N50" s="168"/>
      <c r="O50" s="168"/>
      <c r="P50" s="168"/>
      <c r="Q50" s="168"/>
      <c r="R50" s="168"/>
      <c r="S50" s="168">
        <v>1.1316812436120325</v>
      </c>
      <c r="T50" s="168"/>
      <c r="V50" s="73">
        <v>409</v>
      </c>
      <c r="W50" s="168"/>
      <c r="X50" s="168"/>
      <c r="Y50" s="168"/>
      <c r="Z50" s="168"/>
      <c r="AA50" s="168"/>
      <c r="AB50" s="168"/>
      <c r="AC50" s="168"/>
      <c r="AD50" s="168"/>
      <c r="AF50" s="73">
        <v>409</v>
      </c>
      <c r="AG50" s="168"/>
      <c r="AH50" s="168"/>
      <c r="AI50" s="168"/>
      <c r="AJ50" s="168"/>
      <c r="AK50" s="168"/>
      <c r="AL50" s="168"/>
      <c r="AM50" s="168"/>
      <c r="AO50" s="74">
        <v>409</v>
      </c>
      <c r="AP50" s="169"/>
      <c r="AQ50" s="169"/>
      <c r="AR50" s="169">
        <v>0.21132274663347189</v>
      </c>
      <c r="AS50" s="169"/>
      <c r="AT50" s="169"/>
      <c r="AU50" s="169"/>
      <c r="AV50" s="169"/>
      <c r="AW50" s="169"/>
      <c r="AX50" s="169"/>
      <c r="AZ50" s="165">
        <v>525</v>
      </c>
      <c r="BA50" s="171">
        <v>75.790300000000002</v>
      </c>
      <c r="BB50" s="173">
        <v>106.239</v>
      </c>
      <c r="BC50" s="172"/>
      <c r="BD50" s="173"/>
      <c r="BE50" s="173"/>
      <c r="BF50" s="173"/>
      <c r="BG50" s="173">
        <v>1</v>
      </c>
      <c r="BH50" s="173"/>
      <c r="BI50" s="166">
        <v>525</v>
      </c>
      <c r="BJ50" s="174"/>
      <c r="BK50" s="174"/>
      <c r="BL50" s="174"/>
      <c r="BM50" s="174"/>
      <c r="BN50" s="174"/>
      <c r="BO50" s="174"/>
      <c r="BP50" s="175">
        <f>Inputs!B53</f>
        <v>409</v>
      </c>
      <c r="BQ50" s="175">
        <f>IF(LEFT(Inputs!$C$11,6)="photon",10^Inputs!C53,Inputs!C53)</f>
        <v>1.8948175590431499E-3</v>
      </c>
      <c r="BR50" s="175"/>
      <c r="BS50" s="175">
        <f>'Advanced Inputs'!I55</f>
        <v>409</v>
      </c>
      <c r="BT50" s="175">
        <f>IF('Advanced Inputs'!J$19="Photon system",10^'Advanced Inputs'!J55,'Advanced Inputs'!J55)</f>
        <v>0</v>
      </c>
      <c r="BV50" s="175">
        <v>409</v>
      </c>
      <c r="BW50" s="73">
        <v>17.3628</v>
      </c>
      <c r="BX50" s="73">
        <v>90.612899999999996</v>
      </c>
      <c r="CC50" s="73">
        <v>1</v>
      </c>
    </row>
    <row r="51" spans="3:81" hidden="1" x14ac:dyDescent="0.2">
      <c r="C51" s="181" t="s">
        <v>133</v>
      </c>
      <c r="H51" s="73">
        <v>410</v>
      </c>
      <c r="I51" s="168"/>
      <c r="J51" s="168"/>
      <c r="K51" s="168"/>
      <c r="L51" s="168"/>
      <c r="M51" s="168"/>
      <c r="N51" s="168"/>
      <c r="O51" s="168"/>
      <c r="P51" s="168"/>
      <c r="Q51" s="168"/>
      <c r="R51" s="168"/>
      <c r="S51" s="168">
        <v>1.2274459876543338</v>
      </c>
      <c r="T51" s="168"/>
      <c r="V51" s="73">
        <v>410</v>
      </c>
      <c r="W51" s="168"/>
      <c r="X51" s="168"/>
      <c r="Y51" s="168"/>
      <c r="Z51" s="168"/>
      <c r="AA51" s="168"/>
      <c r="AB51" s="168"/>
      <c r="AC51" s="168"/>
      <c r="AD51" s="168"/>
      <c r="AF51" s="73">
        <v>410</v>
      </c>
      <c r="AG51" s="168"/>
      <c r="AH51" s="168"/>
      <c r="AI51" s="168"/>
      <c r="AJ51" s="168"/>
      <c r="AK51" s="168"/>
      <c r="AL51" s="168"/>
      <c r="AM51" s="168"/>
      <c r="AO51" s="74">
        <v>410</v>
      </c>
      <c r="AP51" s="169"/>
      <c r="AQ51" s="169"/>
      <c r="AR51" s="169">
        <v>0.24851351062070123</v>
      </c>
      <c r="AS51" s="169"/>
      <c r="AT51" s="169"/>
      <c r="AU51" s="169"/>
      <c r="AV51" s="169"/>
      <c r="AW51" s="169"/>
      <c r="AX51" s="169"/>
      <c r="AZ51" s="165">
        <v>530</v>
      </c>
      <c r="BA51" s="171">
        <v>79.132599999999996</v>
      </c>
      <c r="BB51" s="173">
        <v>107.68899999999999</v>
      </c>
      <c r="BC51" s="172"/>
      <c r="BD51" s="173"/>
      <c r="BE51" s="173"/>
      <c r="BF51" s="173"/>
      <c r="BG51" s="173">
        <v>1</v>
      </c>
      <c r="BH51" s="173"/>
      <c r="BI51" s="166">
        <v>530</v>
      </c>
      <c r="BJ51" s="174"/>
      <c r="BK51" s="174"/>
      <c r="BL51" s="174"/>
      <c r="BM51" s="174"/>
      <c r="BN51" s="174"/>
      <c r="BO51" s="174"/>
      <c r="BP51" s="175">
        <f>Inputs!B54</f>
        <v>410</v>
      </c>
      <c r="BQ51" s="175">
        <f>IF(LEFT(Inputs!$C$11,6)="photon",10^Inputs!C54,Inputs!C54)</f>
        <v>1.9148156335449199E-3</v>
      </c>
      <c r="BR51" s="175"/>
      <c r="BS51" s="175">
        <f>'Advanced Inputs'!I56</f>
        <v>410</v>
      </c>
      <c r="BT51" s="175">
        <f>IF('Advanced Inputs'!J$19="Photon system",10^'Advanced Inputs'!J56,'Advanced Inputs'!J56)</f>
        <v>0</v>
      </c>
      <c r="BV51" s="175">
        <v>410</v>
      </c>
      <c r="BW51" s="73">
        <v>17.6753</v>
      </c>
      <c r="BX51" s="73">
        <v>91.486000000000004</v>
      </c>
      <c r="CC51" s="73">
        <v>1</v>
      </c>
    </row>
    <row r="52" spans="3:81" hidden="1" x14ac:dyDescent="0.2">
      <c r="C52" s="181" t="s">
        <v>134</v>
      </c>
      <c r="H52" s="73">
        <v>411</v>
      </c>
      <c r="I52" s="168"/>
      <c r="J52" s="168"/>
      <c r="K52" s="168"/>
      <c r="L52" s="168"/>
      <c r="M52" s="168"/>
      <c r="N52" s="168"/>
      <c r="O52" s="168"/>
      <c r="P52" s="168"/>
      <c r="Q52" s="168"/>
      <c r="R52" s="168"/>
      <c r="S52" s="168">
        <v>1.3298362962962968</v>
      </c>
      <c r="T52" s="168"/>
      <c r="V52" s="73">
        <v>411</v>
      </c>
      <c r="W52" s="168"/>
      <c r="X52" s="168"/>
      <c r="Y52" s="168"/>
      <c r="Z52" s="168"/>
      <c r="AA52" s="168"/>
      <c r="AB52" s="168"/>
      <c r="AC52" s="168"/>
      <c r="AD52" s="168"/>
      <c r="AF52" s="73">
        <v>411</v>
      </c>
      <c r="AG52" s="168"/>
      <c r="AH52" s="168"/>
      <c r="AI52" s="168"/>
      <c r="AJ52" s="168"/>
      <c r="AK52" s="168"/>
      <c r="AL52" s="168"/>
      <c r="AM52" s="168"/>
      <c r="AO52" s="74">
        <v>411</v>
      </c>
      <c r="AP52" s="169"/>
      <c r="AQ52" s="169"/>
      <c r="AR52" s="169">
        <v>0.28861273956891831</v>
      </c>
      <c r="AS52" s="169"/>
      <c r="AT52" s="169"/>
      <c r="AU52" s="169"/>
      <c r="AV52" s="169"/>
      <c r="AW52" s="169"/>
      <c r="AX52" s="169"/>
      <c r="AZ52" s="165">
        <v>535</v>
      </c>
      <c r="BA52" s="171">
        <v>82.519300000000001</v>
      </c>
      <c r="BB52" s="173">
        <v>106.047</v>
      </c>
      <c r="BC52" s="172"/>
      <c r="BD52" s="173"/>
      <c r="BE52" s="173"/>
      <c r="BF52" s="173"/>
      <c r="BG52" s="173">
        <v>1</v>
      </c>
      <c r="BH52" s="173"/>
      <c r="BI52" s="166">
        <v>535</v>
      </c>
      <c r="BJ52" s="174"/>
      <c r="BK52" s="174"/>
      <c r="BL52" s="174"/>
      <c r="BM52" s="174"/>
      <c r="BN52" s="174"/>
      <c r="BO52" s="174"/>
      <c r="BP52" s="175">
        <f>Inputs!B55</f>
        <v>411</v>
      </c>
      <c r="BQ52" s="175">
        <f>IF(LEFT(Inputs!$C$11,6)="photon",10^Inputs!C55,Inputs!C55)</f>
        <v>1.9348137080466999E-3</v>
      </c>
      <c r="BR52" s="175"/>
      <c r="BS52" s="175">
        <f>'Advanced Inputs'!I57</f>
        <v>411</v>
      </c>
      <c r="BT52" s="175">
        <f>IF('Advanced Inputs'!J$19="Photon system",10^'Advanced Inputs'!J57,'Advanced Inputs'!J57)</f>
        <v>0</v>
      </c>
      <c r="BV52" s="175">
        <v>411</v>
      </c>
      <c r="BW52" s="73">
        <v>17.991299999999999</v>
      </c>
      <c r="BX52" s="73">
        <v>91.680599999999998</v>
      </c>
      <c r="CC52" s="73">
        <v>1</v>
      </c>
    </row>
    <row r="53" spans="3:81" hidden="1" x14ac:dyDescent="0.2">
      <c r="C53" s="181" t="s">
        <v>135</v>
      </c>
      <c r="H53" s="73">
        <v>412</v>
      </c>
      <c r="I53" s="168"/>
      <c r="J53" s="168"/>
      <c r="K53" s="168"/>
      <c r="L53" s="168"/>
      <c r="M53" s="168"/>
      <c r="N53" s="168"/>
      <c r="O53" s="168"/>
      <c r="P53" s="168"/>
      <c r="Q53" s="168"/>
      <c r="R53" s="168"/>
      <c r="S53" s="168">
        <v>1.4375409876543213</v>
      </c>
      <c r="T53" s="168"/>
      <c r="V53" s="73">
        <v>412</v>
      </c>
      <c r="W53" s="168"/>
      <c r="X53" s="168"/>
      <c r="Y53" s="168"/>
      <c r="Z53" s="168"/>
      <c r="AA53" s="168"/>
      <c r="AB53" s="168"/>
      <c r="AC53" s="168"/>
      <c r="AD53" s="168"/>
      <c r="AF53" s="73">
        <v>412</v>
      </c>
      <c r="AG53" s="168"/>
      <c r="AH53" s="168"/>
      <c r="AI53" s="168"/>
      <c r="AJ53" s="168"/>
      <c r="AK53" s="168"/>
      <c r="AL53" s="168"/>
      <c r="AM53" s="168"/>
      <c r="AO53" s="74">
        <v>412</v>
      </c>
      <c r="AP53" s="169"/>
      <c r="AQ53" s="169"/>
      <c r="AR53" s="169">
        <v>0.34086929241443781</v>
      </c>
      <c r="AS53" s="169"/>
      <c r="AT53" s="169"/>
      <c r="AU53" s="169"/>
      <c r="AV53" s="169"/>
      <c r="AW53" s="169"/>
      <c r="AX53" s="169"/>
      <c r="AZ53" s="165">
        <v>540</v>
      </c>
      <c r="BA53" s="171">
        <v>85.947000000000003</v>
      </c>
      <c r="BB53" s="173">
        <v>104.405</v>
      </c>
      <c r="BC53" s="172"/>
      <c r="BD53" s="173"/>
      <c r="BE53" s="173"/>
      <c r="BF53" s="173"/>
      <c r="BG53" s="173">
        <v>1</v>
      </c>
      <c r="BH53" s="173"/>
      <c r="BI53" s="166">
        <v>540</v>
      </c>
      <c r="BJ53" s="174"/>
      <c r="BK53" s="174"/>
      <c r="BL53" s="174"/>
      <c r="BM53" s="174"/>
      <c r="BN53" s="174"/>
      <c r="BO53" s="174"/>
      <c r="BP53" s="175">
        <f>Inputs!B56</f>
        <v>412</v>
      </c>
      <c r="BQ53" s="175">
        <f>IF(LEFT(Inputs!$C$11,6)="photon",10^Inputs!C56,Inputs!C56)</f>
        <v>1.9548117825484699E-3</v>
      </c>
      <c r="BR53" s="175"/>
      <c r="BS53" s="175">
        <f>'Advanced Inputs'!I58</f>
        <v>412</v>
      </c>
      <c r="BT53" s="175">
        <f>IF('Advanced Inputs'!J$19="Photon system",10^'Advanced Inputs'!J58,'Advanced Inputs'!J58)</f>
        <v>0</v>
      </c>
      <c r="BV53" s="175">
        <v>412</v>
      </c>
      <c r="BW53" s="73">
        <v>18.3108</v>
      </c>
      <c r="BX53" s="73">
        <v>91.875200000000007</v>
      </c>
      <c r="CC53" s="73">
        <v>1</v>
      </c>
    </row>
    <row r="54" spans="3:81" hidden="1" x14ac:dyDescent="0.2">
      <c r="C54" s="181" t="s">
        <v>136</v>
      </c>
      <c r="H54" s="73">
        <v>413</v>
      </c>
      <c r="I54" s="168"/>
      <c r="J54" s="168"/>
      <c r="K54" s="168"/>
      <c r="L54" s="168"/>
      <c r="M54" s="168"/>
      <c r="N54" s="168"/>
      <c r="O54" s="168"/>
      <c r="P54" s="168"/>
      <c r="Q54" s="168"/>
      <c r="R54" s="168"/>
      <c r="S54" s="168">
        <v>1.5503059259259262</v>
      </c>
      <c r="T54" s="168"/>
      <c r="V54" s="73">
        <v>413</v>
      </c>
      <c r="W54" s="168"/>
      <c r="X54" s="168"/>
      <c r="Y54" s="168"/>
      <c r="Z54" s="168"/>
      <c r="AA54" s="168"/>
      <c r="AB54" s="168"/>
      <c r="AC54" s="168"/>
      <c r="AD54" s="168"/>
      <c r="AF54" s="73">
        <v>413</v>
      </c>
      <c r="AG54" s="168"/>
      <c r="AH54" s="168"/>
      <c r="AI54" s="168"/>
      <c r="AJ54" s="168"/>
      <c r="AK54" s="168"/>
      <c r="AL54" s="168"/>
      <c r="AM54" s="168"/>
      <c r="AO54" s="74">
        <v>413</v>
      </c>
      <c r="AP54" s="169"/>
      <c r="AQ54" s="169"/>
      <c r="AR54" s="169">
        <v>0.40234982406862496</v>
      </c>
      <c r="AS54" s="169"/>
      <c r="AT54" s="169"/>
      <c r="AU54" s="169"/>
      <c r="AV54" s="169"/>
      <c r="AW54" s="169"/>
      <c r="AX54" s="169"/>
      <c r="AZ54" s="165">
        <v>545</v>
      </c>
      <c r="BA54" s="171">
        <v>89.412400000000005</v>
      </c>
      <c r="BB54" s="173">
        <v>104.22499999999999</v>
      </c>
      <c r="BC54" s="172"/>
      <c r="BD54" s="173"/>
      <c r="BE54" s="173"/>
      <c r="BF54" s="173"/>
      <c r="BG54" s="173">
        <v>1</v>
      </c>
      <c r="BH54" s="173"/>
      <c r="BI54" s="166">
        <v>545</v>
      </c>
      <c r="BJ54" s="174"/>
      <c r="BK54" s="174"/>
      <c r="BL54" s="174"/>
      <c r="BM54" s="174"/>
      <c r="BN54" s="174"/>
      <c r="BO54" s="174"/>
      <c r="BP54" s="175">
        <f>Inputs!B57</f>
        <v>413</v>
      </c>
      <c r="BQ54" s="175">
        <f>IF(LEFT(Inputs!$C$11,6)="photon",10^Inputs!C57,Inputs!C57)</f>
        <v>1.9748098570502399E-3</v>
      </c>
      <c r="BR54" s="175"/>
      <c r="BS54" s="175">
        <f>'Advanced Inputs'!I59</f>
        <v>413</v>
      </c>
      <c r="BT54" s="175">
        <f>IF('Advanced Inputs'!J$19="Photon system",10^'Advanced Inputs'!J59,'Advanced Inputs'!J59)</f>
        <v>0</v>
      </c>
      <c r="BV54" s="175">
        <v>413</v>
      </c>
      <c r="BW54" s="73">
        <v>18.633900000000001</v>
      </c>
      <c r="BX54" s="73">
        <v>92.069699999999997</v>
      </c>
      <c r="CC54" s="73">
        <v>1</v>
      </c>
    </row>
    <row r="55" spans="3:81" hidden="1" x14ac:dyDescent="0.2">
      <c r="C55" s="181" t="s">
        <v>137</v>
      </c>
      <c r="H55" s="73">
        <v>414</v>
      </c>
      <c r="I55" s="168"/>
      <c r="J55" s="168"/>
      <c r="K55" s="168"/>
      <c r="L55" s="168"/>
      <c r="M55" s="168"/>
      <c r="N55" s="168"/>
      <c r="O55" s="168"/>
      <c r="P55" s="168"/>
      <c r="Q55" s="168"/>
      <c r="R55" s="168"/>
      <c r="S55" s="168">
        <v>1.667876975308642</v>
      </c>
      <c r="T55" s="168"/>
      <c r="V55" s="73">
        <v>414</v>
      </c>
      <c r="W55" s="168"/>
      <c r="X55" s="168"/>
      <c r="Y55" s="168"/>
      <c r="Z55" s="168"/>
      <c r="AA55" s="168"/>
      <c r="AB55" s="168"/>
      <c r="AC55" s="168"/>
      <c r="AD55" s="168"/>
      <c r="AF55" s="73">
        <v>414</v>
      </c>
      <c r="AG55" s="168"/>
      <c r="AH55" s="168"/>
      <c r="AI55" s="168"/>
      <c r="AJ55" s="168"/>
      <c r="AK55" s="168"/>
      <c r="AL55" s="168"/>
      <c r="AM55" s="168"/>
      <c r="AO55" s="74">
        <v>414</v>
      </c>
      <c r="AP55" s="169"/>
      <c r="AQ55" s="169"/>
      <c r="AR55" s="169">
        <v>0.4744324272958233</v>
      </c>
      <c r="AS55" s="169"/>
      <c r="AT55" s="169"/>
      <c r="AU55" s="169"/>
      <c r="AV55" s="169"/>
      <c r="AW55" s="169"/>
      <c r="AX55" s="169"/>
      <c r="AZ55" s="165">
        <v>550</v>
      </c>
      <c r="BA55" s="171">
        <v>92.912000000000006</v>
      </c>
      <c r="BB55" s="173">
        <v>104.04600000000001</v>
      </c>
      <c r="BC55" s="172"/>
      <c r="BD55" s="173"/>
      <c r="BE55" s="173"/>
      <c r="BF55" s="173"/>
      <c r="BG55" s="173">
        <v>1</v>
      </c>
      <c r="BH55" s="173"/>
      <c r="BI55" s="166">
        <v>550</v>
      </c>
      <c r="BJ55" s="174"/>
      <c r="BK55" s="174"/>
      <c r="BL55" s="174"/>
      <c r="BM55" s="174"/>
      <c r="BN55" s="174"/>
      <c r="BO55" s="174"/>
      <c r="BP55" s="175">
        <f>Inputs!B58</f>
        <v>414</v>
      </c>
      <c r="BQ55" s="175">
        <f>IF(LEFT(Inputs!$C$11,6)="photon",10^Inputs!C58,Inputs!C58)</f>
        <v>1.9848088943011299E-3</v>
      </c>
      <c r="BR55" s="175"/>
      <c r="BS55" s="175">
        <f>'Advanced Inputs'!I60</f>
        <v>414</v>
      </c>
      <c r="BT55" s="175">
        <f>IF('Advanced Inputs'!J$19="Photon system",10^'Advanced Inputs'!J60,'Advanced Inputs'!J60)</f>
        <v>0</v>
      </c>
      <c r="BV55" s="175">
        <v>414</v>
      </c>
      <c r="BW55" s="73">
        <v>18.9605</v>
      </c>
      <c r="BX55" s="73">
        <v>92.264300000000006</v>
      </c>
      <c r="CC55" s="73">
        <v>1</v>
      </c>
    </row>
    <row r="56" spans="3:81" hidden="1" x14ac:dyDescent="0.2">
      <c r="C56" s="181" t="s">
        <v>138</v>
      </c>
      <c r="H56" s="73">
        <v>415</v>
      </c>
      <c r="I56" s="168"/>
      <c r="J56" s="168"/>
      <c r="K56" s="168"/>
      <c r="L56" s="168"/>
      <c r="M56" s="168"/>
      <c r="N56" s="168"/>
      <c r="O56" s="168"/>
      <c r="P56" s="168"/>
      <c r="Q56" s="168"/>
      <c r="R56" s="168"/>
      <c r="S56" s="168">
        <v>1.79</v>
      </c>
      <c r="T56" s="168"/>
      <c r="V56" s="73">
        <v>415</v>
      </c>
      <c r="W56" s="168"/>
      <c r="X56" s="168"/>
      <c r="Y56" s="168"/>
      <c r="Z56" s="168"/>
      <c r="AA56" s="168"/>
      <c r="AB56" s="168"/>
      <c r="AC56" s="168"/>
      <c r="AD56" s="168"/>
      <c r="AF56" s="73">
        <v>415</v>
      </c>
      <c r="AG56" s="168"/>
      <c r="AH56" s="168"/>
      <c r="AI56" s="168"/>
      <c r="AJ56" s="168"/>
      <c r="AK56" s="168"/>
      <c r="AL56" s="168"/>
      <c r="AM56" s="168"/>
      <c r="AO56" s="74">
        <v>415</v>
      </c>
      <c r="AP56" s="169"/>
      <c r="AQ56" s="169"/>
      <c r="AR56" s="169">
        <v>0.55837604800760721</v>
      </c>
      <c r="AS56" s="169"/>
      <c r="AT56" s="169"/>
      <c r="AU56" s="169"/>
      <c r="AV56" s="169"/>
      <c r="AW56" s="169"/>
      <c r="AX56" s="169"/>
      <c r="AZ56" s="165">
        <v>555</v>
      </c>
      <c r="BA56" s="171">
        <v>96.442300000000003</v>
      </c>
      <c r="BB56" s="173">
        <v>102.023</v>
      </c>
      <c r="BC56" s="172"/>
      <c r="BD56" s="173"/>
      <c r="BE56" s="173"/>
      <c r="BF56" s="173"/>
      <c r="BG56" s="173">
        <v>1</v>
      </c>
      <c r="BH56" s="173"/>
      <c r="BI56" s="166">
        <v>555</v>
      </c>
      <c r="BJ56" s="174"/>
      <c r="BK56" s="174"/>
      <c r="BL56" s="174"/>
      <c r="BM56" s="174"/>
      <c r="BN56" s="174"/>
      <c r="BO56" s="174"/>
      <c r="BP56" s="175">
        <f>Inputs!B59</f>
        <v>415</v>
      </c>
      <c r="BQ56" s="175">
        <f>IF(LEFT(Inputs!$C$11,6)="photon",10^Inputs!C59,Inputs!C59)</f>
        <v>1.9948079315520199E-3</v>
      </c>
      <c r="BR56" s="175"/>
      <c r="BS56" s="175">
        <f>'Advanced Inputs'!I61</f>
        <v>415</v>
      </c>
      <c r="BT56" s="175">
        <f>IF('Advanced Inputs'!J$19="Photon system",10^'Advanced Inputs'!J61,'Advanced Inputs'!J61)</f>
        <v>0</v>
      </c>
      <c r="BV56" s="175">
        <v>415</v>
      </c>
      <c r="BW56" s="73">
        <v>19.290700000000001</v>
      </c>
      <c r="BX56" s="73">
        <v>92.4589</v>
      </c>
      <c r="CC56" s="73">
        <v>1</v>
      </c>
    </row>
    <row r="57" spans="3:81" hidden="1" x14ac:dyDescent="0.2">
      <c r="C57" s="181" t="s">
        <v>139</v>
      </c>
      <c r="H57" s="73">
        <v>416</v>
      </c>
      <c r="I57" s="168"/>
      <c r="J57" s="168"/>
      <c r="K57" s="168"/>
      <c r="L57" s="168"/>
      <c r="M57" s="168"/>
      <c r="N57" s="168"/>
      <c r="O57" s="168"/>
      <c r="P57" s="168"/>
      <c r="Q57" s="168"/>
      <c r="R57" s="168"/>
      <c r="S57" s="168">
        <v>1.9124425925925923</v>
      </c>
      <c r="T57" s="168"/>
      <c r="V57" s="73">
        <v>416</v>
      </c>
      <c r="W57" s="168"/>
      <c r="X57" s="168"/>
      <c r="Y57" s="168"/>
      <c r="Z57" s="168"/>
      <c r="AA57" s="168"/>
      <c r="AB57" s="168"/>
      <c r="AC57" s="168"/>
      <c r="AD57" s="168"/>
      <c r="AF57" s="73">
        <v>416</v>
      </c>
      <c r="AG57" s="168"/>
      <c r="AH57" s="168"/>
      <c r="AI57" s="168"/>
      <c r="AJ57" s="168"/>
      <c r="AK57" s="168"/>
      <c r="AL57" s="168"/>
      <c r="AM57" s="168"/>
      <c r="AO57" s="74">
        <v>416</v>
      </c>
      <c r="AP57" s="169"/>
      <c r="AQ57" s="169"/>
      <c r="AR57" s="169">
        <v>0.65520156901246107</v>
      </c>
      <c r="AS57" s="169"/>
      <c r="AT57" s="169"/>
      <c r="AU57" s="169"/>
      <c r="AV57" s="169"/>
      <c r="AW57" s="169"/>
      <c r="AX57" s="169"/>
      <c r="AZ57" s="165">
        <v>560</v>
      </c>
      <c r="BA57" s="173">
        <v>100</v>
      </c>
      <c r="BB57" s="173">
        <v>100</v>
      </c>
      <c r="BC57" s="172"/>
      <c r="BD57" s="173"/>
      <c r="BE57" s="173"/>
      <c r="BF57" s="173"/>
      <c r="BG57" s="173">
        <v>1</v>
      </c>
      <c r="BH57" s="173"/>
      <c r="BI57" s="166">
        <v>560</v>
      </c>
      <c r="BJ57" s="174"/>
      <c r="BK57" s="174"/>
      <c r="BL57" s="174"/>
      <c r="BM57" s="174"/>
      <c r="BN57" s="174"/>
      <c r="BO57" s="174"/>
      <c r="BP57" s="175">
        <f>Inputs!B60</f>
        <v>416</v>
      </c>
      <c r="BQ57" s="175">
        <f>IF(LEFT(Inputs!$C$11,6)="photon",10^Inputs!C60,Inputs!C60)</f>
        <v>1.9998074501774601E-3</v>
      </c>
      <c r="BR57" s="175"/>
      <c r="BS57" s="175">
        <f>'Advanced Inputs'!I62</f>
        <v>416</v>
      </c>
      <c r="BT57" s="175">
        <f>IF('Advanced Inputs'!J$19="Photon system",10^'Advanced Inputs'!J62,'Advanced Inputs'!J62)</f>
        <v>0</v>
      </c>
      <c r="BV57" s="175">
        <v>416</v>
      </c>
      <c r="BW57" s="73">
        <v>19.624400000000001</v>
      </c>
      <c r="BX57" s="73">
        <v>92.653499999999994</v>
      </c>
      <c r="CC57" s="73">
        <v>1</v>
      </c>
    </row>
    <row r="58" spans="3:81" hidden="1" x14ac:dyDescent="0.2">
      <c r="C58" s="181" t="s">
        <v>157</v>
      </c>
      <c r="H58" s="73">
        <v>417</v>
      </c>
      <c r="I58" s="168"/>
      <c r="J58" s="168"/>
      <c r="K58" s="168"/>
      <c r="L58" s="168"/>
      <c r="M58" s="168"/>
      <c r="N58" s="168"/>
      <c r="O58" s="168"/>
      <c r="P58" s="168"/>
      <c r="Q58" s="168"/>
      <c r="R58" s="168"/>
      <c r="S58" s="168">
        <v>2.0399234567901234</v>
      </c>
      <c r="T58" s="168"/>
      <c r="V58" s="73">
        <v>417</v>
      </c>
      <c r="W58" s="168"/>
      <c r="X58" s="168"/>
      <c r="Y58" s="168"/>
      <c r="Z58" s="168"/>
      <c r="AA58" s="168"/>
      <c r="AB58" s="168"/>
      <c r="AC58" s="168"/>
      <c r="AD58" s="168"/>
      <c r="AF58" s="73">
        <v>417</v>
      </c>
      <c r="AG58" s="168"/>
      <c r="AH58" s="168"/>
      <c r="AI58" s="168"/>
      <c r="AJ58" s="168"/>
      <c r="AK58" s="168"/>
      <c r="AL58" s="168"/>
      <c r="AM58" s="168"/>
      <c r="AO58" s="74">
        <v>417</v>
      </c>
      <c r="AP58" s="169"/>
      <c r="AQ58" s="169"/>
      <c r="AR58" s="169">
        <v>0.76666801379132443</v>
      </c>
      <c r="AS58" s="169"/>
      <c r="AT58" s="169"/>
      <c r="AU58" s="169"/>
      <c r="AV58" s="169"/>
      <c r="AW58" s="169"/>
      <c r="AX58" s="169"/>
      <c r="AZ58" s="165">
        <v>565</v>
      </c>
      <c r="BA58" s="173">
        <v>103.58199999999999</v>
      </c>
      <c r="BB58" s="171">
        <v>98.167100000000005</v>
      </c>
      <c r="BC58" s="172"/>
      <c r="BD58" s="173"/>
      <c r="BE58" s="173"/>
      <c r="BF58" s="173"/>
      <c r="BG58" s="173">
        <v>1</v>
      </c>
      <c r="BH58" s="173"/>
      <c r="BI58" s="166">
        <v>565</v>
      </c>
      <c r="BJ58" s="174"/>
      <c r="BK58" s="174"/>
      <c r="BL58" s="174"/>
      <c r="BM58" s="174"/>
      <c r="BN58" s="174"/>
      <c r="BO58" s="174"/>
      <c r="BP58" s="175">
        <f>Inputs!B61</f>
        <v>417</v>
      </c>
      <c r="BQ58" s="175">
        <f>IF(LEFT(Inputs!$C$11,6)="photon",10^Inputs!C61,Inputs!C61)</f>
        <v>1.9598113011739101E-3</v>
      </c>
      <c r="BR58" s="175"/>
      <c r="BS58" s="175">
        <f>'Advanced Inputs'!I63</f>
        <v>417</v>
      </c>
      <c r="BT58" s="175">
        <f>IF('Advanced Inputs'!J$19="Photon system",10^'Advanced Inputs'!J63,'Advanced Inputs'!J63)</f>
        <v>0</v>
      </c>
      <c r="BV58" s="175">
        <v>417</v>
      </c>
      <c r="BW58" s="73">
        <v>19.9617</v>
      </c>
      <c r="BX58" s="73">
        <v>92.848100000000002</v>
      </c>
      <c r="CC58" s="73">
        <v>1</v>
      </c>
    </row>
    <row r="59" spans="3:81" hidden="1" x14ac:dyDescent="0.2">
      <c r="C59" s="181" t="s">
        <v>158</v>
      </c>
      <c r="H59" s="73">
        <v>418</v>
      </c>
      <c r="I59" s="168"/>
      <c r="J59" s="168"/>
      <c r="K59" s="168"/>
      <c r="L59" s="168"/>
      <c r="M59" s="168"/>
      <c r="N59" s="168"/>
      <c r="O59" s="168"/>
      <c r="P59" s="168"/>
      <c r="Q59" s="168"/>
      <c r="R59" s="168"/>
      <c r="S59" s="168">
        <v>2.1731830246913582</v>
      </c>
      <c r="T59" s="168"/>
      <c r="V59" s="73">
        <v>418</v>
      </c>
      <c r="W59" s="168"/>
      <c r="X59" s="168"/>
      <c r="Y59" s="168"/>
      <c r="Z59" s="168"/>
      <c r="AA59" s="168"/>
      <c r="AB59" s="168"/>
      <c r="AC59" s="168"/>
      <c r="AD59" s="168"/>
      <c r="AF59" s="73">
        <v>418</v>
      </c>
      <c r="AG59" s="168"/>
      <c r="AH59" s="168"/>
      <c r="AI59" s="168"/>
      <c r="AJ59" s="168"/>
      <c r="AK59" s="168"/>
      <c r="AL59" s="168"/>
      <c r="AM59" s="168"/>
      <c r="AO59" s="74">
        <v>418</v>
      </c>
      <c r="AP59" s="169"/>
      <c r="AQ59" s="169"/>
      <c r="AR59" s="169">
        <v>0.89398946016567848</v>
      </c>
      <c r="AS59" s="169"/>
      <c r="AT59" s="169"/>
      <c r="AU59" s="169"/>
      <c r="AV59" s="169"/>
      <c r="AW59" s="169"/>
      <c r="AX59" s="169"/>
      <c r="AZ59" s="165">
        <v>570</v>
      </c>
      <c r="BA59" s="173">
        <v>107.184</v>
      </c>
      <c r="BB59" s="171">
        <v>96.334199999999996</v>
      </c>
      <c r="BC59" s="172"/>
      <c r="BD59" s="173"/>
      <c r="BE59" s="173"/>
      <c r="BF59" s="173"/>
      <c r="BG59" s="173">
        <v>1</v>
      </c>
      <c r="BH59" s="173"/>
      <c r="BI59" s="166">
        <v>570</v>
      </c>
      <c r="BJ59" s="174"/>
      <c r="BK59" s="174"/>
      <c r="BL59" s="174"/>
      <c r="BM59" s="174"/>
      <c r="BN59" s="174"/>
      <c r="BO59" s="174"/>
      <c r="BP59" s="175">
        <f>Inputs!B62</f>
        <v>418</v>
      </c>
      <c r="BQ59" s="175">
        <f>IF(LEFT(Inputs!$C$11,6)="photon",10^Inputs!C62,Inputs!C62)</f>
        <v>1.9198151521703599E-3</v>
      </c>
      <c r="BR59" s="175"/>
      <c r="BS59" s="175">
        <f>'Advanced Inputs'!I64</f>
        <v>418</v>
      </c>
      <c r="BT59" s="175">
        <f>IF('Advanced Inputs'!J$19="Photon system",10^'Advanced Inputs'!J64,'Advanced Inputs'!J64)</f>
        <v>0</v>
      </c>
      <c r="BV59" s="175">
        <v>418</v>
      </c>
      <c r="BW59" s="73">
        <v>20.302600000000002</v>
      </c>
      <c r="BX59" s="73">
        <v>93.042599999999993</v>
      </c>
      <c r="CC59" s="73">
        <v>1</v>
      </c>
    </row>
    <row r="60" spans="3:81" hidden="1" x14ac:dyDescent="0.2">
      <c r="C60" s="181" t="s">
        <v>159</v>
      </c>
      <c r="H60" s="73">
        <v>419</v>
      </c>
      <c r="I60" s="168"/>
      <c r="J60" s="168"/>
      <c r="K60" s="168"/>
      <c r="L60" s="168"/>
      <c r="M60" s="168"/>
      <c r="N60" s="168"/>
      <c r="O60" s="168"/>
      <c r="P60" s="168"/>
      <c r="Q60" s="168"/>
      <c r="R60" s="168"/>
      <c r="S60" s="168">
        <v>2.3129617283950616</v>
      </c>
      <c r="T60" s="168"/>
      <c r="V60" s="73">
        <v>419</v>
      </c>
      <c r="W60" s="168"/>
      <c r="X60" s="168"/>
      <c r="Y60" s="168"/>
      <c r="Z60" s="168"/>
      <c r="AA60" s="168"/>
      <c r="AB60" s="168"/>
      <c r="AC60" s="168"/>
      <c r="AD60" s="168"/>
      <c r="AF60" s="73">
        <v>419</v>
      </c>
      <c r="AG60" s="168"/>
      <c r="AH60" s="168"/>
      <c r="AI60" s="168"/>
      <c r="AJ60" s="168"/>
      <c r="AK60" s="168"/>
      <c r="AL60" s="168"/>
      <c r="AM60" s="168"/>
      <c r="AO60" s="74">
        <v>419</v>
      </c>
      <c r="AP60" s="169"/>
      <c r="AQ60" s="169"/>
      <c r="AR60" s="169">
        <v>1.0389660453539935</v>
      </c>
      <c r="AS60" s="169"/>
      <c r="AT60" s="169"/>
      <c r="AU60" s="169"/>
      <c r="AV60" s="169"/>
      <c r="AW60" s="169"/>
      <c r="AX60" s="169"/>
      <c r="AZ60" s="165">
        <v>575</v>
      </c>
      <c r="BA60" s="173">
        <v>110.803</v>
      </c>
      <c r="BB60" s="171">
        <v>96.061099999999996</v>
      </c>
      <c r="BC60" s="172"/>
      <c r="BD60" s="173"/>
      <c r="BE60" s="173"/>
      <c r="BF60" s="173"/>
      <c r="BG60" s="173">
        <v>1</v>
      </c>
      <c r="BH60" s="173"/>
      <c r="BI60" s="166">
        <v>575</v>
      </c>
      <c r="BJ60" s="174"/>
      <c r="BK60" s="174"/>
      <c r="BL60" s="174"/>
      <c r="BM60" s="174"/>
      <c r="BN60" s="174"/>
      <c r="BO60" s="174"/>
      <c r="BP60" s="175">
        <f>Inputs!B63</f>
        <v>419</v>
      </c>
      <c r="BQ60" s="175">
        <f>IF(LEFT(Inputs!$C$11,6)="photon",10^Inputs!C63,Inputs!C63)</f>
        <v>1.9148156335449199E-3</v>
      </c>
      <c r="BR60" s="175"/>
      <c r="BS60" s="175">
        <f>'Advanced Inputs'!I65</f>
        <v>419</v>
      </c>
      <c r="BT60" s="175">
        <f>IF('Advanced Inputs'!J$19="Photon system",10^'Advanced Inputs'!J65,'Advanced Inputs'!J65)</f>
        <v>0</v>
      </c>
      <c r="BV60" s="175">
        <v>419</v>
      </c>
      <c r="BW60" s="73">
        <v>20.646999999999998</v>
      </c>
      <c r="BX60" s="73">
        <v>93.237200000000001</v>
      </c>
      <c r="CC60" s="73">
        <v>1</v>
      </c>
    </row>
    <row r="61" spans="3:81" hidden="1" x14ac:dyDescent="0.2">
      <c r="C61" s="181" t="s">
        <v>160</v>
      </c>
      <c r="H61" s="73">
        <v>420</v>
      </c>
      <c r="I61" s="168"/>
      <c r="J61" s="168"/>
      <c r="K61" s="168"/>
      <c r="L61" s="168"/>
      <c r="M61" s="168"/>
      <c r="N61" s="168"/>
      <c r="O61" s="168"/>
      <c r="P61" s="168"/>
      <c r="Q61" s="168"/>
      <c r="R61" s="168"/>
      <c r="S61" s="168">
        <v>2.46</v>
      </c>
      <c r="T61" s="168"/>
      <c r="V61" s="73">
        <v>420</v>
      </c>
      <c r="W61" s="168"/>
      <c r="X61" s="168"/>
      <c r="Y61" s="168"/>
      <c r="Z61" s="168"/>
      <c r="AA61" s="168"/>
      <c r="AB61" s="168"/>
      <c r="AC61" s="168"/>
      <c r="AD61" s="168"/>
      <c r="AF61" s="73">
        <v>420</v>
      </c>
      <c r="AG61" s="168"/>
      <c r="AH61" s="168"/>
      <c r="AI61" s="168"/>
      <c r="AJ61" s="168"/>
      <c r="AK61" s="168"/>
      <c r="AL61" s="168"/>
      <c r="AM61" s="168"/>
      <c r="AO61" s="74">
        <v>420</v>
      </c>
      <c r="AP61" s="169"/>
      <c r="AQ61" s="169"/>
      <c r="AR61" s="169">
        <v>1.2031122803115288</v>
      </c>
      <c r="AS61" s="169"/>
      <c r="AT61" s="169"/>
      <c r="AU61" s="169"/>
      <c r="AV61" s="169"/>
      <c r="AW61" s="169"/>
      <c r="AX61" s="169"/>
      <c r="AZ61" s="165">
        <v>580</v>
      </c>
      <c r="BA61" s="173">
        <v>114.43600000000001</v>
      </c>
      <c r="BB61" s="171">
        <v>95.787999999999997</v>
      </c>
      <c r="BC61" s="172"/>
      <c r="BD61" s="173"/>
      <c r="BE61" s="173"/>
      <c r="BF61" s="173"/>
      <c r="BG61" s="173">
        <v>1</v>
      </c>
      <c r="BH61" s="173"/>
      <c r="BI61" s="166">
        <v>580</v>
      </c>
      <c r="BJ61" s="174"/>
      <c r="BK61" s="174"/>
      <c r="BL61" s="174"/>
      <c r="BM61" s="174"/>
      <c r="BN61" s="174"/>
      <c r="BO61" s="174"/>
      <c r="BP61" s="175">
        <f>Inputs!B64</f>
        <v>420</v>
      </c>
      <c r="BQ61" s="175">
        <f>IF(LEFT(Inputs!$C$11,6)="photon",10^Inputs!C64,Inputs!C64)</f>
        <v>1.9198151521703599E-3</v>
      </c>
      <c r="BR61" s="175"/>
      <c r="BS61" s="175">
        <f>'Advanced Inputs'!I66</f>
        <v>420</v>
      </c>
      <c r="BT61" s="175">
        <f>IF('Advanced Inputs'!J$19="Photon system",10^'Advanced Inputs'!J66,'Advanced Inputs'!J66)</f>
        <v>0</v>
      </c>
      <c r="BV61" s="175">
        <v>420</v>
      </c>
      <c r="BW61" s="73">
        <v>20.995000000000001</v>
      </c>
      <c r="BX61" s="73">
        <v>93.431799999999996</v>
      </c>
      <c r="CC61" s="73">
        <v>1</v>
      </c>
    </row>
    <row r="62" spans="3:81" hidden="1" x14ac:dyDescent="0.2">
      <c r="C62" s="181" t="s">
        <v>161</v>
      </c>
      <c r="H62" s="73">
        <v>421</v>
      </c>
      <c r="I62" s="168"/>
      <c r="J62" s="168"/>
      <c r="K62" s="168"/>
      <c r="L62" s="168"/>
      <c r="M62" s="168"/>
      <c r="N62" s="168"/>
      <c r="O62" s="168"/>
      <c r="P62" s="168"/>
      <c r="Q62" s="168"/>
      <c r="R62" s="168"/>
      <c r="S62" s="168">
        <v>2.6151199999999997</v>
      </c>
      <c r="T62" s="168"/>
      <c r="V62" s="73">
        <v>421</v>
      </c>
      <c r="W62" s="168"/>
      <c r="X62" s="168"/>
      <c r="Y62" s="168"/>
      <c r="Z62" s="168"/>
      <c r="AA62" s="168"/>
      <c r="AB62" s="168"/>
      <c r="AC62" s="168"/>
      <c r="AD62" s="168"/>
      <c r="AF62" s="73">
        <v>421</v>
      </c>
      <c r="AG62" s="168"/>
      <c r="AH62" s="168"/>
      <c r="AI62" s="168"/>
      <c r="AJ62" s="168"/>
      <c r="AK62" s="168"/>
      <c r="AL62" s="168"/>
      <c r="AM62" s="168"/>
      <c r="AO62" s="74">
        <v>421</v>
      </c>
      <c r="AP62" s="169"/>
      <c r="AQ62" s="169"/>
      <c r="AR62" s="169">
        <v>1.3884634164086878</v>
      </c>
      <c r="AS62" s="169"/>
      <c r="AT62" s="169"/>
      <c r="AU62" s="169"/>
      <c r="AV62" s="169"/>
      <c r="AW62" s="169"/>
      <c r="AX62" s="169"/>
      <c r="AZ62" s="165">
        <v>585</v>
      </c>
      <c r="BA62" s="173">
        <v>118.08</v>
      </c>
      <c r="BB62" s="171">
        <v>92.236800000000002</v>
      </c>
      <c r="BC62" s="172"/>
      <c r="BD62" s="173"/>
      <c r="BE62" s="173"/>
      <c r="BF62" s="173"/>
      <c r="BG62" s="173">
        <v>1</v>
      </c>
      <c r="BH62" s="173"/>
      <c r="BI62" s="166">
        <v>585</v>
      </c>
      <c r="BJ62" s="174"/>
      <c r="BK62" s="174"/>
      <c r="BL62" s="174"/>
      <c r="BM62" s="174"/>
      <c r="BN62" s="174"/>
      <c r="BO62" s="174"/>
      <c r="BP62" s="175">
        <f>Inputs!B65</f>
        <v>421</v>
      </c>
      <c r="BQ62" s="175">
        <f>IF(LEFT(Inputs!$C$11,6)="photon",10^Inputs!C65,Inputs!C65)</f>
        <v>1.9198151521703599E-3</v>
      </c>
      <c r="BR62" s="175"/>
      <c r="BS62" s="175">
        <f>'Advanced Inputs'!I67</f>
        <v>421</v>
      </c>
      <c r="BT62" s="175">
        <f>IF('Advanced Inputs'!J$19="Photon system",10^'Advanced Inputs'!J67,'Advanced Inputs'!J67)</f>
        <v>0</v>
      </c>
      <c r="BV62" s="175">
        <v>421</v>
      </c>
      <c r="BW62" s="73">
        <v>21.346499999999999</v>
      </c>
      <c r="BX62" s="73">
        <v>92.756799999999998</v>
      </c>
      <c r="CC62" s="73">
        <v>1</v>
      </c>
    </row>
    <row r="63" spans="3:81" hidden="1" x14ac:dyDescent="0.2">
      <c r="C63" s="181" t="s">
        <v>142</v>
      </c>
      <c r="H63" s="73">
        <v>422</v>
      </c>
      <c r="I63" s="168"/>
      <c r="J63" s="168"/>
      <c r="K63" s="168"/>
      <c r="L63" s="168"/>
      <c r="M63" s="168"/>
      <c r="N63" s="168"/>
      <c r="O63" s="168"/>
      <c r="P63" s="168"/>
      <c r="Q63" s="168"/>
      <c r="R63" s="168"/>
      <c r="S63" s="168">
        <v>2.7789600000000001</v>
      </c>
      <c r="T63" s="168"/>
      <c r="V63" s="73">
        <v>422</v>
      </c>
      <c r="W63" s="168"/>
      <c r="X63" s="168"/>
      <c r="Y63" s="168"/>
      <c r="Z63" s="168"/>
      <c r="AA63" s="168"/>
      <c r="AB63" s="168"/>
      <c r="AC63" s="168"/>
      <c r="AD63" s="168"/>
      <c r="AF63" s="73">
        <v>422</v>
      </c>
      <c r="AG63" s="168"/>
      <c r="AH63" s="168"/>
      <c r="AI63" s="168"/>
      <c r="AJ63" s="168"/>
      <c r="AK63" s="168"/>
      <c r="AL63" s="168"/>
      <c r="AM63" s="168"/>
      <c r="AO63" s="74">
        <v>422</v>
      </c>
      <c r="AP63" s="169"/>
      <c r="AQ63" s="169"/>
      <c r="AR63" s="169">
        <v>1.596493276613878</v>
      </c>
      <c r="AS63" s="169"/>
      <c r="AT63" s="169"/>
      <c r="AU63" s="169"/>
      <c r="AV63" s="169"/>
      <c r="AW63" s="169"/>
      <c r="AX63" s="169"/>
      <c r="AZ63" s="165">
        <v>590</v>
      </c>
      <c r="BA63" s="173">
        <v>121.73099999999999</v>
      </c>
      <c r="BB63" s="171">
        <v>88.685599999999994</v>
      </c>
      <c r="BC63" s="172"/>
      <c r="BD63" s="173"/>
      <c r="BE63" s="173"/>
      <c r="BF63" s="173"/>
      <c r="BG63" s="173">
        <v>1</v>
      </c>
      <c r="BH63" s="173"/>
      <c r="BI63" s="166">
        <v>590</v>
      </c>
      <c r="BJ63" s="174"/>
      <c r="BK63" s="174"/>
      <c r="BL63" s="174"/>
      <c r="BM63" s="174"/>
      <c r="BN63" s="174"/>
      <c r="BO63" s="174"/>
      <c r="BP63" s="175">
        <f>Inputs!B66</f>
        <v>422</v>
      </c>
      <c r="BQ63" s="175">
        <f>IF(LEFT(Inputs!$C$11,6)="photon",10^Inputs!C66,Inputs!C66)</f>
        <v>1.9148156335449199E-3</v>
      </c>
      <c r="BR63" s="175"/>
      <c r="BS63" s="175">
        <f>'Advanced Inputs'!I68</f>
        <v>422</v>
      </c>
      <c r="BT63" s="175">
        <f>IF('Advanced Inputs'!J$19="Photon system",10^'Advanced Inputs'!J68,'Advanced Inputs'!J68)</f>
        <v>0</v>
      </c>
      <c r="BV63" s="175">
        <v>422</v>
      </c>
      <c r="BW63" s="73">
        <v>21.701599999999999</v>
      </c>
      <c r="BX63" s="73">
        <v>92.081900000000005</v>
      </c>
      <c r="CC63" s="73">
        <v>1</v>
      </c>
    </row>
    <row r="64" spans="3:81" hidden="1" x14ac:dyDescent="0.2">
      <c r="C64" s="181" t="s">
        <v>143</v>
      </c>
      <c r="H64" s="73">
        <v>423</v>
      </c>
      <c r="I64" s="168"/>
      <c r="J64" s="168"/>
      <c r="K64" s="168"/>
      <c r="L64" s="168"/>
      <c r="M64" s="168"/>
      <c r="N64" s="168"/>
      <c r="O64" s="168"/>
      <c r="P64" s="168"/>
      <c r="Q64" s="168"/>
      <c r="R64" s="168"/>
      <c r="S64" s="168">
        <v>2.9522400000000002</v>
      </c>
      <c r="T64" s="168"/>
      <c r="V64" s="73">
        <v>423</v>
      </c>
      <c r="W64" s="168"/>
      <c r="X64" s="168"/>
      <c r="Y64" s="168"/>
      <c r="Z64" s="168"/>
      <c r="AA64" s="168"/>
      <c r="AB64" s="168"/>
      <c r="AC64" s="168"/>
      <c r="AD64" s="168"/>
      <c r="AF64" s="73">
        <v>423</v>
      </c>
      <c r="AG64" s="168"/>
      <c r="AH64" s="168"/>
      <c r="AI64" s="168"/>
      <c r="AJ64" s="168"/>
      <c r="AK64" s="168"/>
      <c r="AL64" s="168"/>
      <c r="AM64" s="168"/>
      <c r="AO64" s="74">
        <v>423</v>
      </c>
      <c r="AP64" s="169"/>
      <c r="AQ64" s="169"/>
      <c r="AR64" s="169">
        <v>1.8290786408472794</v>
      </c>
      <c r="AS64" s="169"/>
      <c r="AT64" s="169"/>
      <c r="AU64" s="169"/>
      <c r="AV64" s="169"/>
      <c r="AW64" s="169"/>
      <c r="AX64" s="169"/>
      <c r="AZ64" s="165">
        <v>595</v>
      </c>
      <c r="BA64" s="173">
        <v>125.386</v>
      </c>
      <c r="BB64" s="171">
        <v>89.3459</v>
      </c>
      <c r="BC64" s="172"/>
      <c r="BD64" s="173"/>
      <c r="BE64" s="173"/>
      <c r="BF64" s="173"/>
      <c r="BG64" s="173">
        <v>1</v>
      </c>
      <c r="BH64" s="173"/>
      <c r="BI64" s="166">
        <v>595</v>
      </c>
      <c r="BJ64" s="174"/>
      <c r="BK64" s="174"/>
      <c r="BL64" s="174"/>
      <c r="BM64" s="174"/>
      <c r="BN64" s="174"/>
      <c r="BO64" s="174"/>
      <c r="BP64" s="175">
        <f>Inputs!B67</f>
        <v>423</v>
      </c>
      <c r="BQ64" s="175">
        <f>IF(LEFT(Inputs!$C$11,6)="photon",10^Inputs!C67,Inputs!C67)</f>
        <v>1.8998170776685899E-3</v>
      </c>
      <c r="BR64" s="175"/>
      <c r="BS64" s="175">
        <f>'Advanced Inputs'!I69</f>
        <v>423</v>
      </c>
      <c r="BT64" s="175">
        <f>IF('Advanced Inputs'!J$19="Photon system",10^'Advanced Inputs'!J69,'Advanced Inputs'!J69)</f>
        <v>0</v>
      </c>
      <c r="BV64" s="175">
        <v>423</v>
      </c>
      <c r="BW64" s="73">
        <v>22.060300000000002</v>
      </c>
      <c r="BX64" s="73">
        <v>91.406899999999993</v>
      </c>
      <c r="CC64" s="73">
        <v>1</v>
      </c>
    </row>
    <row r="65" spans="3:81" hidden="1" x14ac:dyDescent="0.2">
      <c r="C65" s="181" t="s">
        <v>144</v>
      </c>
      <c r="H65" s="73">
        <v>424</v>
      </c>
      <c r="I65" s="168"/>
      <c r="J65" s="168"/>
      <c r="K65" s="168"/>
      <c r="L65" s="168"/>
      <c r="M65" s="168"/>
      <c r="N65" s="168"/>
      <c r="O65" s="168"/>
      <c r="P65" s="168"/>
      <c r="Q65" s="168"/>
      <c r="R65" s="168"/>
      <c r="S65" s="168">
        <v>3.1356799999999998</v>
      </c>
      <c r="T65" s="168"/>
      <c r="V65" s="73">
        <v>424</v>
      </c>
      <c r="W65" s="168"/>
      <c r="X65" s="168"/>
      <c r="Y65" s="168"/>
      <c r="Z65" s="168"/>
      <c r="AA65" s="168"/>
      <c r="AB65" s="168"/>
      <c r="AC65" s="168"/>
      <c r="AD65" s="168"/>
      <c r="AF65" s="73">
        <v>424</v>
      </c>
      <c r="AG65" s="168"/>
      <c r="AH65" s="168"/>
      <c r="AI65" s="168"/>
      <c r="AJ65" s="168"/>
      <c r="AK65" s="168"/>
      <c r="AL65" s="168"/>
      <c r="AM65" s="168"/>
      <c r="AO65" s="74">
        <v>424</v>
      </c>
      <c r="AP65" s="169"/>
      <c r="AQ65" s="169"/>
      <c r="AR65" s="169">
        <v>2.0873567643554454</v>
      </c>
      <c r="AS65" s="169"/>
      <c r="AT65" s="169"/>
      <c r="AU65" s="169"/>
      <c r="AV65" s="169"/>
      <c r="AW65" s="169"/>
      <c r="AX65" s="169"/>
      <c r="AZ65" s="165">
        <v>600</v>
      </c>
      <c r="BA65" s="173">
        <v>129.04300000000001</v>
      </c>
      <c r="BB65" s="171">
        <v>90.006200000000007</v>
      </c>
      <c r="BC65" s="172"/>
      <c r="BD65" s="173"/>
      <c r="BE65" s="173"/>
      <c r="BF65" s="173"/>
      <c r="BG65" s="173">
        <v>1</v>
      </c>
      <c r="BH65" s="173"/>
      <c r="BI65" s="166">
        <v>600</v>
      </c>
      <c r="BJ65" s="174"/>
      <c r="BK65" s="174"/>
      <c r="BL65" s="174"/>
      <c r="BM65" s="174"/>
      <c r="BN65" s="174"/>
      <c r="BO65" s="174"/>
      <c r="BP65" s="175">
        <f>Inputs!B68</f>
        <v>424</v>
      </c>
      <c r="BQ65" s="175">
        <f>IF(LEFT(Inputs!$C$11,6)="photon",10^Inputs!C68,Inputs!C68)</f>
        <v>1.8798190031668099E-3</v>
      </c>
      <c r="BR65" s="175"/>
      <c r="BS65" s="175">
        <f>'Advanced Inputs'!I70</f>
        <v>424</v>
      </c>
      <c r="BT65" s="175">
        <f>IF('Advanced Inputs'!J$19="Photon system",10^'Advanced Inputs'!J70,'Advanced Inputs'!J70)</f>
        <v>0</v>
      </c>
      <c r="BV65" s="175">
        <v>424</v>
      </c>
      <c r="BW65" s="73">
        <v>22.422499999999999</v>
      </c>
      <c r="BX65" s="73">
        <v>90.731999999999999</v>
      </c>
      <c r="CC65" s="73">
        <v>1</v>
      </c>
    </row>
    <row r="66" spans="3:81" hidden="1" x14ac:dyDescent="0.2">
      <c r="C66" s="181" t="s">
        <v>145</v>
      </c>
      <c r="H66" s="73">
        <v>425</v>
      </c>
      <c r="I66" s="168"/>
      <c r="J66" s="168"/>
      <c r="K66" s="168"/>
      <c r="L66" s="168"/>
      <c r="M66" s="168"/>
      <c r="N66" s="168"/>
      <c r="O66" s="168"/>
      <c r="P66" s="168"/>
      <c r="Q66" s="168"/>
      <c r="R66" s="168"/>
      <c r="S66" s="168">
        <v>3.33</v>
      </c>
      <c r="T66" s="168"/>
      <c r="V66" s="73">
        <v>425</v>
      </c>
      <c r="W66" s="168"/>
      <c r="X66" s="168"/>
      <c r="Y66" s="168"/>
      <c r="Z66" s="168"/>
      <c r="AA66" s="168"/>
      <c r="AB66" s="168"/>
      <c r="AC66" s="168"/>
      <c r="AD66" s="168"/>
      <c r="AF66" s="73">
        <v>425</v>
      </c>
      <c r="AG66" s="168"/>
      <c r="AH66" s="168"/>
      <c r="AI66" s="168"/>
      <c r="AJ66" s="168"/>
      <c r="AK66" s="168"/>
      <c r="AL66" s="168"/>
      <c r="AM66" s="168"/>
      <c r="AO66" s="74">
        <v>425</v>
      </c>
      <c r="AP66" s="169"/>
      <c r="AQ66" s="169"/>
      <c r="AR66" s="169">
        <v>2.3726008674339232</v>
      </c>
      <c r="AS66" s="169"/>
      <c r="AT66" s="169"/>
      <c r="AU66" s="169"/>
      <c r="AV66" s="169"/>
      <c r="AW66" s="169"/>
      <c r="AX66" s="169"/>
      <c r="AZ66" s="165">
        <v>605</v>
      </c>
      <c r="BA66" s="173">
        <v>132.697</v>
      </c>
      <c r="BB66" s="171">
        <v>89.802599999999998</v>
      </c>
      <c r="BC66" s="172"/>
      <c r="BD66" s="173"/>
      <c r="BE66" s="173"/>
      <c r="BF66" s="173"/>
      <c r="BG66" s="173">
        <v>1</v>
      </c>
      <c r="BH66" s="173"/>
      <c r="BI66" s="166">
        <v>605</v>
      </c>
      <c r="BJ66" s="174"/>
      <c r="BK66" s="174"/>
      <c r="BL66" s="174"/>
      <c r="BM66" s="174"/>
      <c r="BN66" s="174"/>
      <c r="BO66" s="174"/>
      <c r="BP66" s="175">
        <f>Inputs!B69</f>
        <v>425</v>
      </c>
      <c r="BQ66" s="175">
        <f>IF(LEFT(Inputs!$C$11,6)="photon",10^Inputs!C69,Inputs!C69)</f>
        <v>1.8598209286650399E-3</v>
      </c>
      <c r="BR66" s="175"/>
      <c r="BS66" s="175">
        <f>'Advanced Inputs'!I71</f>
        <v>425</v>
      </c>
      <c r="BT66" s="175">
        <f>IF('Advanced Inputs'!J$19="Photon system",10^'Advanced Inputs'!J71,'Advanced Inputs'!J71)</f>
        <v>0</v>
      </c>
      <c r="BV66" s="175">
        <v>425</v>
      </c>
      <c r="BW66" s="73">
        <v>22.7883</v>
      </c>
      <c r="BX66" s="73">
        <v>90.057000000000002</v>
      </c>
      <c r="CC66" s="73">
        <v>1</v>
      </c>
    </row>
    <row r="67" spans="3:81" hidden="1" x14ac:dyDescent="0.2">
      <c r="C67" s="181" t="s">
        <v>146</v>
      </c>
      <c r="H67" s="73">
        <v>426</v>
      </c>
      <c r="I67" s="168"/>
      <c r="J67" s="168"/>
      <c r="K67" s="168"/>
      <c r="L67" s="168"/>
      <c r="M67" s="168"/>
      <c r="N67" s="168"/>
      <c r="O67" s="168"/>
      <c r="P67" s="168"/>
      <c r="Q67" s="168"/>
      <c r="R67" s="168"/>
      <c r="S67" s="168">
        <v>3.5542350617283951</v>
      </c>
      <c r="T67" s="168"/>
      <c r="V67" s="73">
        <v>426</v>
      </c>
      <c r="W67" s="168"/>
      <c r="X67" s="168"/>
      <c r="Y67" s="168"/>
      <c r="Z67" s="168"/>
      <c r="AA67" s="168"/>
      <c r="AB67" s="168"/>
      <c r="AC67" s="168"/>
      <c r="AD67" s="168"/>
      <c r="AF67" s="73">
        <v>426</v>
      </c>
      <c r="AG67" s="168"/>
      <c r="AH67" s="168"/>
      <c r="AI67" s="168"/>
      <c r="AJ67" s="168"/>
      <c r="AK67" s="168"/>
      <c r="AL67" s="168"/>
      <c r="AM67" s="168"/>
      <c r="AO67" s="74">
        <v>426</v>
      </c>
      <c r="AP67" s="169"/>
      <c r="AQ67" s="169"/>
      <c r="AR67" s="169">
        <v>2.6859336243819811</v>
      </c>
      <c r="AS67" s="169"/>
      <c r="AT67" s="169"/>
      <c r="AU67" s="169"/>
      <c r="AV67" s="169"/>
      <c r="AW67" s="169"/>
      <c r="AX67" s="169"/>
      <c r="AZ67" s="165">
        <v>610</v>
      </c>
      <c r="BA67" s="173">
        <v>136.346</v>
      </c>
      <c r="BB67" s="171">
        <v>89.599100000000007</v>
      </c>
      <c r="BC67" s="172"/>
      <c r="BD67" s="173"/>
      <c r="BE67" s="173"/>
      <c r="BF67" s="173"/>
      <c r="BG67" s="173">
        <v>1</v>
      </c>
      <c r="BH67" s="173"/>
      <c r="BI67" s="166">
        <v>610</v>
      </c>
      <c r="BJ67" s="174"/>
      <c r="BK67" s="174"/>
      <c r="BL67" s="174"/>
      <c r="BM67" s="174"/>
      <c r="BN67" s="174"/>
      <c r="BO67" s="174"/>
      <c r="BP67" s="175">
        <f>Inputs!B70</f>
        <v>426</v>
      </c>
      <c r="BQ67" s="175">
        <f>IF(LEFT(Inputs!$C$11,6)="photon",10^Inputs!C70,Inputs!C70)</f>
        <v>1.8248242982869299E-3</v>
      </c>
      <c r="BR67" s="175"/>
      <c r="BS67" s="175">
        <f>'Advanced Inputs'!I72</f>
        <v>426</v>
      </c>
      <c r="BT67" s="175">
        <f>IF('Advanced Inputs'!J$19="Photon system",10^'Advanced Inputs'!J72,'Advanced Inputs'!J72)</f>
        <v>0</v>
      </c>
      <c r="BV67" s="175">
        <v>426</v>
      </c>
      <c r="BW67" s="73">
        <v>23.157699999999998</v>
      </c>
      <c r="BX67" s="73">
        <v>89.382099999999994</v>
      </c>
      <c r="CC67" s="73">
        <v>1</v>
      </c>
    </row>
    <row r="68" spans="3:81" hidden="1" x14ac:dyDescent="0.2">
      <c r="C68" s="181" t="s">
        <v>147</v>
      </c>
      <c r="H68" s="73">
        <v>427</v>
      </c>
      <c r="I68" s="168"/>
      <c r="J68" s="168"/>
      <c r="K68" s="168"/>
      <c r="L68" s="168"/>
      <c r="M68" s="168"/>
      <c r="N68" s="168"/>
      <c r="O68" s="168"/>
      <c r="P68" s="168"/>
      <c r="Q68" s="168"/>
      <c r="R68" s="168"/>
      <c r="S68" s="168">
        <v>3.7862113580246919</v>
      </c>
      <c r="T68" s="168"/>
      <c r="V68" s="73">
        <v>427</v>
      </c>
      <c r="W68" s="168"/>
      <c r="X68" s="168"/>
      <c r="Y68" s="168"/>
      <c r="Z68" s="168"/>
      <c r="AA68" s="168"/>
      <c r="AB68" s="168"/>
      <c r="AC68" s="168"/>
      <c r="AD68" s="168"/>
      <c r="AF68" s="73">
        <v>427</v>
      </c>
      <c r="AG68" s="168"/>
      <c r="AH68" s="168"/>
      <c r="AI68" s="168"/>
      <c r="AJ68" s="168"/>
      <c r="AK68" s="168"/>
      <c r="AL68" s="168"/>
      <c r="AM68" s="168"/>
      <c r="AO68" s="74">
        <v>427</v>
      </c>
      <c r="AP68" s="169"/>
      <c r="AQ68" s="169"/>
      <c r="AR68" s="169">
        <v>3.0285703863199642</v>
      </c>
      <c r="AS68" s="169"/>
      <c r="AT68" s="169"/>
      <c r="AU68" s="169"/>
      <c r="AV68" s="169"/>
      <c r="AW68" s="169"/>
      <c r="AX68" s="169"/>
      <c r="AZ68" s="165">
        <v>615</v>
      </c>
      <c r="BA68" s="173">
        <v>139.988</v>
      </c>
      <c r="BB68" s="171">
        <v>88.648899999999998</v>
      </c>
      <c r="BC68" s="172"/>
      <c r="BD68" s="173"/>
      <c r="BE68" s="173"/>
      <c r="BF68" s="173"/>
      <c r="BG68" s="173">
        <v>1</v>
      </c>
      <c r="BH68" s="173"/>
      <c r="BI68" s="166">
        <v>615</v>
      </c>
      <c r="BJ68" s="174"/>
      <c r="BK68" s="174"/>
      <c r="BL68" s="174"/>
      <c r="BM68" s="174"/>
      <c r="BN68" s="174"/>
      <c r="BO68" s="174"/>
      <c r="BP68" s="175">
        <f>Inputs!B71</f>
        <v>427</v>
      </c>
      <c r="BQ68" s="175">
        <f>IF(LEFT(Inputs!$C$11,6)="photon",10^Inputs!C71,Inputs!C71)</f>
        <v>1.7798286306579399E-3</v>
      </c>
      <c r="BR68" s="175"/>
      <c r="BS68" s="175">
        <f>'Advanced Inputs'!I73</f>
        <v>427</v>
      </c>
      <c r="BT68" s="175">
        <f>IF('Advanced Inputs'!J$19="Photon system",10^'Advanced Inputs'!J73,'Advanced Inputs'!J73)</f>
        <v>0</v>
      </c>
      <c r="BV68" s="175">
        <v>427</v>
      </c>
      <c r="BW68" s="73">
        <v>23.5307</v>
      </c>
      <c r="BX68" s="73">
        <v>88.707099999999997</v>
      </c>
      <c r="CC68" s="73">
        <v>1</v>
      </c>
    </row>
    <row r="69" spans="3:81" hidden="1" x14ac:dyDescent="0.2">
      <c r="C69" s="181" t="s">
        <v>148</v>
      </c>
      <c r="H69" s="73">
        <v>428</v>
      </c>
      <c r="I69" s="168"/>
      <c r="J69" s="168"/>
      <c r="K69" s="168"/>
      <c r="L69" s="168"/>
      <c r="M69" s="168"/>
      <c r="N69" s="168"/>
      <c r="O69" s="168"/>
      <c r="P69" s="168"/>
      <c r="Q69" s="168"/>
      <c r="R69" s="168"/>
      <c r="S69" s="168">
        <v>4.0220701234567908</v>
      </c>
      <c r="T69" s="168"/>
      <c r="V69" s="73">
        <v>428</v>
      </c>
      <c r="W69" s="168"/>
      <c r="X69" s="168"/>
      <c r="Y69" s="168"/>
      <c r="Z69" s="168"/>
      <c r="AA69" s="168"/>
      <c r="AB69" s="168"/>
      <c r="AC69" s="168"/>
      <c r="AD69" s="168"/>
      <c r="AF69" s="73">
        <v>428</v>
      </c>
      <c r="AG69" s="168"/>
      <c r="AH69" s="168"/>
      <c r="AI69" s="168"/>
      <c r="AJ69" s="168"/>
      <c r="AK69" s="168"/>
      <c r="AL69" s="168"/>
      <c r="AM69" s="168"/>
      <c r="AO69" s="74">
        <v>428</v>
      </c>
      <c r="AP69" s="169"/>
      <c r="AQ69" s="169"/>
      <c r="AR69" s="169">
        <v>3.4012857301233632</v>
      </c>
      <c r="AS69" s="169"/>
      <c r="AT69" s="169"/>
      <c r="AU69" s="169"/>
      <c r="AV69" s="169"/>
      <c r="AW69" s="169"/>
      <c r="AX69" s="169"/>
      <c r="AZ69" s="165">
        <v>620</v>
      </c>
      <c r="BA69" s="173">
        <v>143.61799999999999</v>
      </c>
      <c r="BB69" s="171">
        <v>87.698700000000002</v>
      </c>
      <c r="BC69" s="172"/>
      <c r="BD69" s="173"/>
      <c r="BE69" s="173"/>
      <c r="BF69" s="173"/>
      <c r="BG69" s="173">
        <v>1</v>
      </c>
      <c r="BH69" s="173"/>
      <c r="BI69" s="166">
        <v>620</v>
      </c>
      <c r="BJ69" s="174"/>
      <c r="BK69" s="174"/>
      <c r="BL69" s="174"/>
      <c r="BM69" s="174"/>
      <c r="BN69" s="174"/>
      <c r="BO69" s="174"/>
      <c r="BP69" s="175">
        <f>Inputs!B72</f>
        <v>428</v>
      </c>
      <c r="BQ69" s="175">
        <f>IF(LEFT(Inputs!$C$11,6)="photon",10^Inputs!C72,Inputs!C72)</f>
        <v>1.7198344071526199E-3</v>
      </c>
      <c r="BR69" s="175"/>
      <c r="BS69" s="175">
        <f>'Advanced Inputs'!I74</f>
        <v>428</v>
      </c>
      <c r="BT69" s="175">
        <f>IF('Advanced Inputs'!J$19="Photon system",10^'Advanced Inputs'!J74,'Advanced Inputs'!J74)</f>
        <v>0</v>
      </c>
      <c r="BV69" s="175">
        <v>428</v>
      </c>
      <c r="BW69" s="73">
        <v>23.9072</v>
      </c>
      <c r="BX69" s="73">
        <v>88.032200000000003</v>
      </c>
      <c r="CC69" s="73">
        <v>1</v>
      </c>
    </row>
    <row r="70" spans="3:81" hidden="1" x14ac:dyDescent="0.2">
      <c r="C70" s="181" t="s">
        <v>149</v>
      </c>
      <c r="H70" s="73">
        <v>429</v>
      </c>
      <c r="I70" s="168"/>
      <c r="J70" s="168"/>
      <c r="K70" s="168"/>
      <c r="L70" s="168"/>
      <c r="M70" s="168"/>
      <c r="N70" s="168"/>
      <c r="O70" s="168"/>
      <c r="P70" s="168"/>
      <c r="Q70" s="168"/>
      <c r="R70" s="168"/>
      <c r="S70" s="168">
        <v>4.2579525925925923</v>
      </c>
      <c r="T70" s="168"/>
      <c r="V70" s="73">
        <v>429</v>
      </c>
      <c r="W70" s="168"/>
      <c r="X70" s="168"/>
      <c r="Y70" s="168"/>
      <c r="Z70" s="168"/>
      <c r="AA70" s="168"/>
      <c r="AB70" s="168"/>
      <c r="AC70" s="168"/>
      <c r="AD70" s="168"/>
      <c r="AF70" s="73">
        <v>429</v>
      </c>
      <c r="AG70" s="168"/>
      <c r="AH70" s="168"/>
      <c r="AI70" s="168"/>
      <c r="AJ70" s="168"/>
      <c r="AK70" s="168"/>
      <c r="AL70" s="168"/>
      <c r="AM70" s="168"/>
      <c r="AO70" s="74">
        <v>429</v>
      </c>
      <c r="AP70" s="169"/>
      <c r="AQ70" s="169"/>
      <c r="AR70" s="169">
        <v>3.8047754711600801</v>
      </c>
      <c r="AS70" s="169"/>
      <c r="AT70" s="169"/>
      <c r="AU70" s="169"/>
      <c r="AV70" s="169"/>
      <c r="AW70" s="169"/>
      <c r="AX70" s="169"/>
      <c r="AZ70" s="165">
        <v>625</v>
      </c>
      <c r="BA70" s="173">
        <v>147.23500000000001</v>
      </c>
      <c r="BB70" s="171">
        <v>85.493600000000001</v>
      </c>
      <c r="BC70" s="172"/>
      <c r="BD70" s="173"/>
      <c r="BE70" s="173"/>
      <c r="BF70" s="173"/>
      <c r="BG70" s="173">
        <v>1</v>
      </c>
      <c r="BH70" s="173"/>
      <c r="BI70" s="166">
        <v>625</v>
      </c>
      <c r="BJ70" s="174"/>
      <c r="BK70" s="174"/>
      <c r="BL70" s="174"/>
      <c r="BM70" s="174"/>
      <c r="BN70" s="174"/>
      <c r="BO70" s="174"/>
      <c r="BP70" s="175">
        <f>Inputs!B73</f>
        <v>429</v>
      </c>
      <c r="BQ70" s="175">
        <f>IF(LEFT(Inputs!$C$11,6)="photon",10^Inputs!C73,Inputs!C73)</f>
        <v>1.64484162777096E-3</v>
      </c>
      <c r="BR70" s="175"/>
      <c r="BS70" s="175">
        <f>'Advanced Inputs'!I75</f>
        <v>429</v>
      </c>
      <c r="BT70" s="175">
        <f>IF('Advanced Inputs'!J$19="Photon system",10^'Advanced Inputs'!J75,'Advanced Inputs'!J75)</f>
        <v>0</v>
      </c>
      <c r="BV70" s="175">
        <v>429</v>
      </c>
      <c r="BW70" s="73">
        <v>24.287299999999998</v>
      </c>
      <c r="BX70" s="73">
        <v>87.357200000000006</v>
      </c>
      <c r="CC70" s="73">
        <v>1</v>
      </c>
    </row>
    <row r="71" spans="3:81" hidden="1" x14ac:dyDescent="0.2">
      <c r="C71" s="181" t="s">
        <v>150</v>
      </c>
      <c r="H71" s="73">
        <v>430</v>
      </c>
      <c r="I71" s="168"/>
      <c r="J71" s="168"/>
      <c r="K71" s="168"/>
      <c r="L71" s="168"/>
      <c r="M71" s="168"/>
      <c r="N71" s="168"/>
      <c r="O71" s="168"/>
      <c r="P71" s="168"/>
      <c r="Q71" s="168"/>
      <c r="R71" s="168"/>
      <c r="S71" s="168">
        <v>4.49</v>
      </c>
      <c r="T71" s="168"/>
      <c r="V71" s="73">
        <v>430</v>
      </c>
      <c r="W71" s="168"/>
      <c r="X71" s="168"/>
      <c r="Y71" s="168"/>
      <c r="Z71" s="168"/>
      <c r="AA71" s="168"/>
      <c r="AB71" s="168"/>
      <c r="AC71" s="168"/>
      <c r="AD71" s="168"/>
      <c r="AF71" s="73">
        <v>430</v>
      </c>
      <c r="AG71" s="168"/>
      <c r="AH71" s="168"/>
      <c r="AI71" s="168"/>
      <c r="AJ71" s="168"/>
      <c r="AK71" s="168"/>
      <c r="AL71" s="168"/>
      <c r="AM71" s="168"/>
      <c r="AO71" s="74">
        <v>430</v>
      </c>
      <c r="AP71" s="169"/>
      <c r="AQ71" s="169"/>
      <c r="AR71" s="169">
        <v>4.2409462997016805</v>
      </c>
      <c r="AS71" s="169"/>
      <c r="AT71" s="169"/>
      <c r="AU71" s="169"/>
      <c r="AV71" s="169"/>
      <c r="AW71" s="169"/>
      <c r="AX71" s="169"/>
      <c r="AZ71" s="165">
        <v>630</v>
      </c>
      <c r="BA71" s="173">
        <v>150.83600000000001</v>
      </c>
      <c r="BB71" s="171">
        <v>83.288600000000002</v>
      </c>
      <c r="BC71" s="172"/>
      <c r="BD71" s="173"/>
      <c r="BE71" s="173"/>
      <c r="BF71" s="173"/>
      <c r="BG71" s="173">
        <v>1</v>
      </c>
      <c r="BH71" s="173"/>
      <c r="BI71" s="166">
        <v>630</v>
      </c>
      <c r="BJ71" s="174"/>
      <c r="BK71" s="174"/>
      <c r="BL71" s="174"/>
      <c r="BM71" s="174"/>
      <c r="BN71" s="174"/>
      <c r="BO71" s="174"/>
      <c r="BP71" s="175">
        <f>Inputs!B74</f>
        <v>430</v>
      </c>
      <c r="BQ71" s="175">
        <f>IF(LEFT(Inputs!$C$11,6)="photon",10^Inputs!C74,Inputs!C74)</f>
        <v>1.59484644151653E-3</v>
      </c>
      <c r="BR71" s="175"/>
      <c r="BS71" s="175">
        <f>'Advanced Inputs'!I76</f>
        <v>430</v>
      </c>
      <c r="BT71" s="175">
        <f>IF('Advanced Inputs'!J$19="Photon system",10^'Advanced Inputs'!J76,'Advanced Inputs'!J76)</f>
        <v>0</v>
      </c>
      <c r="BV71" s="175">
        <v>430</v>
      </c>
      <c r="BW71" s="73">
        <v>24.6709</v>
      </c>
      <c r="BX71" s="73">
        <v>86.682299999999998</v>
      </c>
      <c r="CC71" s="73">
        <v>1</v>
      </c>
    </row>
    <row r="72" spans="3:81" hidden="1" x14ac:dyDescent="0.2">
      <c r="C72" s="182" t="s">
        <v>216</v>
      </c>
      <c r="H72" s="73">
        <v>431</v>
      </c>
      <c r="I72" s="168"/>
      <c r="J72" s="168"/>
      <c r="K72" s="168"/>
      <c r="L72" s="168"/>
      <c r="M72" s="168"/>
      <c r="N72" s="168"/>
      <c r="O72" s="168"/>
      <c r="P72" s="168"/>
      <c r="Q72" s="168"/>
      <c r="R72" s="168"/>
      <c r="S72" s="168">
        <v>4.696520493827161</v>
      </c>
      <c r="T72" s="168"/>
      <c r="V72" s="73">
        <v>431</v>
      </c>
      <c r="W72" s="168"/>
      <c r="X72" s="168"/>
      <c r="Y72" s="168"/>
      <c r="Z72" s="168"/>
      <c r="AA72" s="168"/>
      <c r="AB72" s="168"/>
      <c r="AC72" s="168"/>
      <c r="AD72" s="168"/>
      <c r="AF72" s="73">
        <v>431</v>
      </c>
      <c r="AG72" s="168"/>
      <c r="AH72" s="168"/>
      <c r="AI72" s="168"/>
      <c r="AJ72" s="168"/>
      <c r="AK72" s="168"/>
      <c r="AL72" s="168"/>
      <c r="AM72" s="168"/>
      <c r="AO72" s="74">
        <v>431</v>
      </c>
      <c r="AP72" s="169"/>
      <c r="AQ72" s="169"/>
      <c r="AR72" s="169">
        <v>4.7188721922031069</v>
      </c>
      <c r="AS72" s="169"/>
      <c r="AT72" s="169"/>
      <c r="AU72" s="169"/>
      <c r="AV72" s="169"/>
      <c r="AW72" s="169"/>
      <c r="AX72" s="169"/>
      <c r="AZ72" s="165">
        <v>635</v>
      </c>
      <c r="BA72" s="173">
        <v>154.41800000000001</v>
      </c>
      <c r="BB72" s="171">
        <v>83.493899999999996</v>
      </c>
      <c r="BC72" s="172"/>
      <c r="BD72" s="173"/>
      <c r="BE72" s="173"/>
      <c r="BF72" s="173"/>
      <c r="BG72" s="173">
        <v>1</v>
      </c>
      <c r="BH72" s="173"/>
      <c r="BI72" s="166">
        <v>635</v>
      </c>
      <c r="BJ72" s="174"/>
      <c r="BK72" s="174"/>
      <c r="BL72" s="174"/>
      <c r="BM72" s="174"/>
      <c r="BN72" s="174"/>
      <c r="BO72" s="174"/>
      <c r="BP72" s="175">
        <f>Inputs!B75</f>
        <v>431</v>
      </c>
      <c r="BQ72" s="175">
        <f>IF(LEFT(Inputs!$C$11,6)="photon",10^Inputs!C75,Inputs!C75)</f>
        <v>1.6148445160183E-3</v>
      </c>
      <c r="BR72" s="175"/>
      <c r="BS72" s="175">
        <f>'Advanced Inputs'!I77</f>
        <v>431</v>
      </c>
      <c r="BT72" s="175">
        <f>IF('Advanced Inputs'!J$19="Photon system",10^'Advanced Inputs'!J77,'Advanced Inputs'!J77)</f>
        <v>0</v>
      </c>
      <c r="BV72" s="175">
        <v>431</v>
      </c>
      <c r="BW72" s="73">
        <v>25.0581</v>
      </c>
      <c r="BX72" s="73">
        <v>88.500600000000006</v>
      </c>
      <c r="CC72" s="73">
        <v>1</v>
      </c>
    </row>
    <row r="73" spans="3:81" hidden="1" x14ac:dyDescent="0.2">
      <c r="H73" s="73">
        <v>432</v>
      </c>
      <c r="I73" s="168"/>
      <c r="J73" s="168"/>
      <c r="K73" s="168"/>
      <c r="L73" s="168"/>
      <c r="M73" s="168"/>
      <c r="N73" s="168"/>
      <c r="O73" s="168"/>
      <c r="P73" s="168"/>
      <c r="Q73" s="168"/>
      <c r="R73" s="168"/>
      <c r="S73" s="168">
        <v>4.8959466666666671</v>
      </c>
      <c r="T73" s="168"/>
      <c r="V73" s="73">
        <v>432</v>
      </c>
      <c r="W73" s="168"/>
      <c r="X73" s="168"/>
      <c r="Y73" s="168"/>
      <c r="Z73" s="168"/>
      <c r="AA73" s="168"/>
      <c r="AB73" s="168"/>
      <c r="AC73" s="168"/>
      <c r="AD73" s="168"/>
      <c r="AF73" s="73">
        <v>432</v>
      </c>
      <c r="AG73" s="168"/>
      <c r="AH73" s="168"/>
      <c r="AI73" s="168"/>
      <c r="AJ73" s="168"/>
      <c r="AK73" s="168"/>
      <c r="AL73" s="168"/>
      <c r="AM73" s="168"/>
      <c r="AO73" s="74">
        <v>432</v>
      </c>
      <c r="AP73" s="169"/>
      <c r="AQ73" s="169"/>
      <c r="AR73" s="169">
        <v>5.2407402334517403</v>
      </c>
      <c r="AS73" s="169"/>
      <c r="AT73" s="169"/>
      <c r="AU73" s="169"/>
      <c r="AV73" s="169"/>
      <c r="AW73" s="169"/>
      <c r="AX73" s="169"/>
      <c r="AZ73" s="165">
        <v>640</v>
      </c>
      <c r="BA73" s="173">
        <v>157.97900000000001</v>
      </c>
      <c r="BB73" s="171">
        <v>83.699200000000005</v>
      </c>
      <c r="BC73" s="172"/>
      <c r="BD73" s="173"/>
      <c r="BE73" s="173"/>
      <c r="BF73" s="173"/>
      <c r="BG73" s="173">
        <v>1</v>
      </c>
      <c r="BH73" s="173"/>
      <c r="BI73" s="166">
        <v>640</v>
      </c>
      <c r="BJ73" s="174"/>
      <c r="BK73" s="174"/>
      <c r="BL73" s="174"/>
      <c r="BM73" s="174"/>
      <c r="BN73" s="174"/>
      <c r="BO73" s="174"/>
      <c r="BP73" s="175">
        <f>Inputs!B76</f>
        <v>432</v>
      </c>
      <c r="BQ73" s="175">
        <f>IF(LEFT(Inputs!$C$11,6)="photon",10^Inputs!C76,Inputs!C76)</f>
        <v>1.68483777677451E-3</v>
      </c>
      <c r="BR73" s="175"/>
      <c r="BS73" s="175">
        <f>'Advanced Inputs'!I78</f>
        <v>432</v>
      </c>
      <c r="BT73" s="175">
        <f>IF('Advanced Inputs'!J$19="Photon system",10^'Advanced Inputs'!J78,'Advanced Inputs'!J78)</f>
        <v>0</v>
      </c>
      <c r="BV73" s="175">
        <v>432</v>
      </c>
      <c r="BW73" s="73">
        <v>25.448899999999998</v>
      </c>
      <c r="BX73" s="73">
        <v>90.318799999999996</v>
      </c>
      <c r="CC73" s="73">
        <v>1</v>
      </c>
    </row>
    <row r="74" spans="3:81" hidden="1" x14ac:dyDescent="0.2">
      <c r="H74" s="73">
        <v>433</v>
      </c>
      <c r="I74" s="168"/>
      <c r="J74" s="168"/>
      <c r="K74" s="168"/>
      <c r="L74" s="168"/>
      <c r="M74" s="168"/>
      <c r="N74" s="168"/>
      <c r="O74" s="168"/>
      <c r="P74" s="168"/>
      <c r="Q74" s="168"/>
      <c r="R74" s="168"/>
      <c r="S74" s="168">
        <v>5.0888780246913576</v>
      </c>
      <c r="T74" s="168"/>
      <c r="V74" s="73">
        <v>433</v>
      </c>
      <c r="W74" s="168"/>
      <c r="X74" s="168"/>
      <c r="Y74" s="168"/>
      <c r="Z74" s="168"/>
      <c r="AA74" s="168"/>
      <c r="AB74" s="168"/>
      <c r="AC74" s="168"/>
      <c r="AD74" s="168"/>
      <c r="AF74" s="73">
        <v>433</v>
      </c>
      <c r="AG74" s="168"/>
      <c r="AH74" s="168"/>
      <c r="AI74" s="168"/>
      <c r="AJ74" s="168"/>
      <c r="AK74" s="168"/>
      <c r="AL74" s="168"/>
      <c r="AM74" s="168"/>
      <c r="AO74" s="74">
        <v>433</v>
      </c>
      <c r="AP74" s="169"/>
      <c r="AQ74" s="169"/>
      <c r="AR74" s="169">
        <v>5.8158132275815397</v>
      </c>
      <c r="AS74" s="169"/>
      <c r="AT74" s="169"/>
      <c r="AU74" s="169"/>
      <c r="AV74" s="169"/>
      <c r="AW74" s="169"/>
      <c r="AX74" s="169"/>
      <c r="AZ74" s="165">
        <v>645</v>
      </c>
      <c r="BA74" s="173">
        <v>161.51599999999999</v>
      </c>
      <c r="BB74" s="171">
        <v>81.863</v>
      </c>
      <c r="BC74" s="172"/>
      <c r="BD74" s="173"/>
      <c r="BE74" s="173"/>
      <c r="BF74" s="173"/>
      <c r="BG74" s="173">
        <v>1</v>
      </c>
      <c r="BH74" s="173"/>
      <c r="BI74" s="166">
        <v>645</v>
      </c>
      <c r="BJ74" s="174"/>
      <c r="BK74" s="174"/>
      <c r="BL74" s="174"/>
      <c r="BM74" s="174"/>
      <c r="BN74" s="174"/>
      <c r="BO74" s="174"/>
      <c r="BP74" s="175">
        <f>Inputs!B77</f>
        <v>433</v>
      </c>
      <c r="BQ74" s="175">
        <f>IF(LEFT(Inputs!$C$11,6)="photon",10^Inputs!C77,Inputs!C77)</f>
        <v>1.7648300747816099E-3</v>
      </c>
      <c r="BR74" s="175"/>
      <c r="BS74" s="175">
        <f>'Advanced Inputs'!I79</f>
        <v>433</v>
      </c>
      <c r="BT74" s="175">
        <f>IF('Advanced Inputs'!J$19="Photon system",10^'Advanced Inputs'!J79,'Advanced Inputs'!J79)</f>
        <v>0</v>
      </c>
      <c r="BV74" s="175">
        <v>433</v>
      </c>
      <c r="BW74" s="73">
        <v>25.8432</v>
      </c>
      <c r="BX74" s="73">
        <v>92.137100000000004</v>
      </c>
      <c r="CC74" s="73">
        <v>1</v>
      </c>
    </row>
    <row r="75" spans="3:81" hidden="1" x14ac:dyDescent="0.2">
      <c r="H75" s="73">
        <v>434</v>
      </c>
      <c r="I75" s="168"/>
      <c r="J75" s="168"/>
      <c r="K75" s="168"/>
      <c r="L75" s="168"/>
      <c r="M75" s="168"/>
      <c r="N75" s="168"/>
      <c r="O75" s="168"/>
      <c r="P75" s="168"/>
      <c r="Q75" s="168"/>
      <c r="R75" s="168"/>
      <c r="S75" s="168">
        <v>5.2759140740740742</v>
      </c>
      <c r="T75" s="168"/>
      <c r="V75" s="73">
        <v>434</v>
      </c>
      <c r="W75" s="168"/>
      <c r="X75" s="168"/>
      <c r="Y75" s="168"/>
      <c r="Z75" s="168"/>
      <c r="AA75" s="168"/>
      <c r="AB75" s="168"/>
      <c r="AC75" s="168"/>
      <c r="AD75" s="168"/>
      <c r="AF75" s="73">
        <v>434</v>
      </c>
      <c r="AG75" s="168"/>
      <c r="AH75" s="168"/>
      <c r="AI75" s="168"/>
      <c r="AJ75" s="168"/>
      <c r="AK75" s="168"/>
      <c r="AL75" s="168"/>
      <c r="AM75" s="168"/>
      <c r="AO75" s="74">
        <v>434</v>
      </c>
      <c r="AP75" s="169"/>
      <c r="AQ75" s="169"/>
      <c r="AR75" s="169">
        <v>6.4556128026692949</v>
      </c>
      <c r="AS75" s="169"/>
      <c r="AT75" s="169"/>
      <c r="AU75" s="169"/>
      <c r="AV75" s="169"/>
      <c r="AW75" s="169"/>
      <c r="AX75" s="169"/>
      <c r="AZ75" s="165">
        <v>650</v>
      </c>
      <c r="BA75" s="173">
        <v>165.02799999999999</v>
      </c>
      <c r="BB75" s="171">
        <v>80.026799999999994</v>
      </c>
      <c r="BC75" s="172"/>
      <c r="BD75" s="173"/>
      <c r="BE75" s="173"/>
      <c r="BF75" s="173"/>
      <c r="BG75" s="173">
        <v>1</v>
      </c>
      <c r="BH75" s="173"/>
      <c r="BI75" s="166">
        <v>650</v>
      </c>
      <c r="BJ75" s="174"/>
      <c r="BK75" s="174"/>
      <c r="BL75" s="174"/>
      <c r="BM75" s="174"/>
      <c r="BN75" s="174"/>
      <c r="BO75" s="174"/>
      <c r="BP75" s="175">
        <f>Inputs!B78</f>
        <v>434</v>
      </c>
      <c r="BQ75" s="175">
        <f>IF(LEFT(Inputs!$C$11,6)="photon",10^Inputs!C78,Inputs!C78)</f>
        <v>1.8298238169123799E-3</v>
      </c>
      <c r="BR75" s="175"/>
      <c r="BS75" s="175">
        <f>'Advanced Inputs'!I80</f>
        <v>434</v>
      </c>
      <c r="BT75" s="175">
        <f>IF('Advanced Inputs'!J$19="Photon system",10^'Advanced Inputs'!J80,'Advanced Inputs'!J80)</f>
        <v>0</v>
      </c>
      <c r="BV75" s="175">
        <v>434</v>
      </c>
      <c r="BW75" s="73">
        <v>26.241099999999999</v>
      </c>
      <c r="BX75" s="73">
        <v>93.955399999999997</v>
      </c>
      <c r="CC75" s="73">
        <v>1</v>
      </c>
    </row>
    <row r="76" spans="3:81" hidden="1" x14ac:dyDescent="0.2">
      <c r="H76" s="73">
        <v>435</v>
      </c>
      <c r="I76" s="168"/>
      <c r="J76" s="168"/>
      <c r="K76" s="168"/>
      <c r="L76" s="168"/>
      <c r="M76" s="168"/>
      <c r="N76" s="168"/>
      <c r="O76" s="168"/>
      <c r="P76" s="168"/>
      <c r="Q76" s="168"/>
      <c r="R76" s="168"/>
      <c r="S76" s="168">
        <v>31.388406282662999</v>
      </c>
      <c r="T76" s="168"/>
      <c r="V76" s="73">
        <v>435</v>
      </c>
      <c r="W76" s="168"/>
      <c r="X76" s="168"/>
      <c r="Y76" s="168"/>
      <c r="Z76" s="168"/>
      <c r="AA76" s="168"/>
      <c r="AB76" s="168"/>
      <c r="AC76" s="168"/>
      <c r="AD76" s="168"/>
      <c r="AF76" s="73">
        <v>435</v>
      </c>
      <c r="AG76" s="168"/>
      <c r="AH76" s="168"/>
      <c r="AI76" s="168"/>
      <c r="AJ76" s="168"/>
      <c r="AK76" s="168"/>
      <c r="AL76" s="168"/>
      <c r="AM76" s="168"/>
      <c r="AO76" s="74">
        <v>435</v>
      </c>
      <c r="AP76" s="169"/>
      <c r="AQ76" s="169"/>
      <c r="AR76" s="169">
        <v>7.1723493678668273</v>
      </c>
      <c r="AS76" s="169"/>
      <c r="AT76" s="169"/>
      <c r="AU76" s="169"/>
      <c r="AV76" s="169"/>
      <c r="AW76" s="169"/>
      <c r="AX76" s="169"/>
      <c r="AZ76" s="165">
        <v>655</v>
      </c>
      <c r="BA76" s="173">
        <v>168.51</v>
      </c>
      <c r="BB76" s="171">
        <v>80.120699999999999</v>
      </c>
      <c r="BC76" s="172"/>
      <c r="BD76" s="173"/>
      <c r="BE76" s="173"/>
      <c r="BF76" s="173"/>
      <c r="BG76" s="173">
        <v>1</v>
      </c>
      <c r="BH76" s="173"/>
      <c r="BI76" s="166">
        <v>655</v>
      </c>
      <c r="BJ76" s="174"/>
      <c r="BK76" s="174"/>
      <c r="BL76" s="174"/>
      <c r="BM76" s="174"/>
      <c r="BN76" s="174"/>
      <c r="BO76" s="174"/>
      <c r="BP76" s="175">
        <f>Inputs!B79</f>
        <v>435</v>
      </c>
      <c r="BQ76" s="175">
        <f>IF(LEFT(Inputs!$C$11,6)="photon",10^Inputs!C79,Inputs!C79)</f>
        <v>1.8698199659159299E-3</v>
      </c>
      <c r="BR76" s="175"/>
      <c r="BS76" s="175">
        <f>'Advanced Inputs'!I81</f>
        <v>435</v>
      </c>
      <c r="BT76" s="175">
        <f>IF('Advanced Inputs'!J$19="Photon system",10^'Advanced Inputs'!J81,'Advanced Inputs'!J81)</f>
        <v>0</v>
      </c>
      <c r="BV76" s="175">
        <v>435</v>
      </c>
      <c r="BW76" s="73">
        <v>26.642499999999998</v>
      </c>
      <c r="BX76" s="73">
        <v>95.773600000000002</v>
      </c>
      <c r="CC76" s="73">
        <v>1</v>
      </c>
    </row>
    <row r="77" spans="3:81" hidden="1" x14ac:dyDescent="0.2">
      <c r="H77" s="73">
        <v>436</v>
      </c>
      <c r="I77" s="168"/>
      <c r="J77" s="168"/>
      <c r="K77" s="168"/>
      <c r="L77" s="168"/>
      <c r="M77" s="168"/>
      <c r="N77" s="168"/>
      <c r="O77" s="168"/>
      <c r="P77" s="168"/>
      <c r="Q77" s="168"/>
      <c r="R77" s="168"/>
      <c r="S77" s="168">
        <v>150.85071649664172</v>
      </c>
      <c r="T77" s="168"/>
      <c r="V77" s="73">
        <v>436</v>
      </c>
      <c r="W77" s="168"/>
      <c r="X77" s="168"/>
      <c r="Y77" s="168"/>
      <c r="Z77" s="168"/>
      <c r="AA77" s="168"/>
      <c r="AB77" s="168"/>
      <c r="AC77" s="168"/>
      <c r="AD77" s="168"/>
      <c r="AF77" s="73">
        <v>436</v>
      </c>
      <c r="AG77" s="168"/>
      <c r="AH77" s="168"/>
      <c r="AI77" s="168"/>
      <c r="AJ77" s="168"/>
      <c r="AK77" s="168"/>
      <c r="AL77" s="168"/>
      <c r="AM77" s="168"/>
      <c r="AO77" s="74">
        <v>436</v>
      </c>
      <c r="AP77" s="169"/>
      <c r="AQ77" s="169"/>
      <c r="AR77" s="169">
        <v>7.9766945707038364</v>
      </c>
      <c r="AS77" s="169"/>
      <c r="AT77" s="169"/>
      <c r="AU77" s="169"/>
      <c r="AV77" s="169"/>
      <c r="AW77" s="169"/>
      <c r="AX77" s="169"/>
      <c r="AZ77" s="165">
        <v>660</v>
      </c>
      <c r="BA77" s="173">
        <v>171.96299999999999</v>
      </c>
      <c r="BB77" s="171">
        <v>80.214600000000004</v>
      </c>
      <c r="BC77" s="172"/>
      <c r="BD77" s="173"/>
      <c r="BE77" s="173"/>
      <c r="BF77" s="173"/>
      <c r="BG77" s="173">
        <v>1</v>
      </c>
      <c r="BH77" s="173"/>
      <c r="BI77" s="166">
        <v>660</v>
      </c>
      <c r="BJ77" s="174"/>
      <c r="BK77" s="174"/>
      <c r="BL77" s="174"/>
      <c r="BM77" s="174"/>
      <c r="BN77" s="174"/>
      <c r="BO77" s="174"/>
      <c r="BP77" s="175">
        <f>Inputs!B80</f>
        <v>436</v>
      </c>
      <c r="BQ77" s="175">
        <f>IF(LEFT(Inputs!$C$11,6)="photon",10^Inputs!C80,Inputs!C80)</f>
        <v>1.8748194845413699E-3</v>
      </c>
      <c r="BR77" s="175"/>
      <c r="BS77" s="175">
        <f>'Advanced Inputs'!I82</f>
        <v>436</v>
      </c>
      <c r="BT77" s="175">
        <f>IF('Advanced Inputs'!J$19="Photon system",10^'Advanced Inputs'!J82,'Advanced Inputs'!J82)</f>
        <v>0</v>
      </c>
      <c r="BV77" s="175">
        <v>436</v>
      </c>
      <c r="BW77" s="73">
        <v>27.047499999999999</v>
      </c>
      <c r="BX77" s="73">
        <v>97.591899999999995</v>
      </c>
      <c r="CC77" s="73">
        <v>1</v>
      </c>
    </row>
    <row r="78" spans="3:81" hidden="1" x14ac:dyDescent="0.2">
      <c r="H78" s="73">
        <v>437</v>
      </c>
      <c r="I78" s="168"/>
      <c r="J78" s="168"/>
      <c r="K78" s="168"/>
      <c r="L78" s="168"/>
      <c r="M78" s="168"/>
      <c r="N78" s="168"/>
      <c r="O78" s="168"/>
      <c r="P78" s="168"/>
      <c r="Q78" s="168"/>
      <c r="R78" s="168"/>
      <c r="S78" s="168">
        <v>5.8331368634345706</v>
      </c>
      <c r="T78" s="168"/>
      <c r="V78" s="73">
        <v>437</v>
      </c>
      <c r="W78" s="168"/>
      <c r="X78" s="168"/>
      <c r="Y78" s="168"/>
      <c r="Z78" s="168"/>
      <c r="AA78" s="168"/>
      <c r="AB78" s="168"/>
      <c r="AC78" s="168"/>
      <c r="AD78" s="168"/>
      <c r="AF78" s="73">
        <v>437</v>
      </c>
      <c r="AG78" s="168"/>
      <c r="AH78" s="168"/>
      <c r="AI78" s="168"/>
      <c r="AJ78" s="168"/>
      <c r="AK78" s="168"/>
      <c r="AL78" s="168"/>
      <c r="AM78" s="168"/>
      <c r="AO78" s="74">
        <v>437</v>
      </c>
      <c r="AP78" s="169"/>
      <c r="AQ78" s="169"/>
      <c r="AR78" s="169">
        <v>8.8756602361537951</v>
      </c>
      <c r="AS78" s="169"/>
      <c r="AT78" s="169"/>
      <c r="AU78" s="169"/>
      <c r="AV78" s="169"/>
      <c r="AW78" s="169"/>
      <c r="AX78" s="169"/>
      <c r="AZ78" s="165">
        <v>665</v>
      </c>
      <c r="BA78" s="173">
        <v>175.38300000000001</v>
      </c>
      <c r="BB78" s="171">
        <v>81.246200000000002</v>
      </c>
      <c r="BC78" s="172"/>
      <c r="BD78" s="173"/>
      <c r="BE78" s="173"/>
      <c r="BF78" s="173"/>
      <c r="BG78" s="173">
        <v>1</v>
      </c>
      <c r="BH78" s="173"/>
      <c r="BI78" s="166">
        <v>665</v>
      </c>
      <c r="BJ78" s="174"/>
      <c r="BK78" s="174"/>
      <c r="BL78" s="174"/>
      <c r="BM78" s="174"/>
      <c r="BN78" s="174"/>
      <c r="BO78" s="174"/>
      <c r="BP78" s="175">
        <f>Inputs!B81</f>
        <v>437</v>
      </c>
      <c r="BQ78" s="175">
        <f>IF(LEFT(Inputs!$C$11,6)="photon",10^Inputs!C81,Inputs!C81)</f>
        <v>1.8698199659159299E-3</v>
      </c>
      <c r="BR78" s="175"/>
      <c r="BS78" s="175">
        <f>'Advanced Inputs'!I83</f>
        <v>437</v>
      </c>
      <c r="BT78" s="175">
        <f>IF('Advanced Inputs'!J$19="Photon system",10^'Advanced Inputs'!J83,'Advanced Inputs'!J83)</f>
        <v>0</v>
      </c>
      <c r="BV78" s="175">
        <v>437</v>
      </c>
      <c r="BW78" s="73">
        <v>27.456</v>
      </c>
      <c r="BX78" s="73">
        <v>99.410200000000003</v>
      </c>
      <c r="CC78" s="73">
        <v>1</v>
      </c>
    </row>
    <row r="79" spans="3:81" hidden="1" x14ac:dyDescent="0.2">
      <c r="H79" s="73">
        <v>438</v>
      </c>
      <c r="I79" s="168"/>
      <c r="J79" s="168"/>
      <c r="K79" s="168"/>
      <c r="L79" s="168"/>
      <c r="M79" s="168"/>
      <c r="N79" s="168"/>
      <c r="O79" s="168"/>
      <c r="P79" s="168"/>
      <c r="Q79" s="168"/>
      <c r="R79" s="168"/>
      <c r="S79" s="168">
        <v>5.987698765432099</v>
      </c>
      <c r="T79" s="168"/>
      <c r="V79" s="73">
        <v>438</v>
      </c>
      <c r="W79" s="168"/>
      <c r="X79" s="168"/>
      <c r="Y79" s="168"/>
      <c r="Z79" s="168"/>
      <c r="AA79" s="168"/>
      <c r="AB79" s="168"/>
      <c r="AC79" s="168"/>
      <c r="AD79" s="168"/>
      <c r="AF79" s="73">
        <v>438</v>
      </c>
      <c r="AG79" s="168"/>
      <c r="AH79" s="168"/>
      <c r="AI79" s="168"/>
      <c r="AJ79" s="168"/>
      <c r="AK79" s="168"/>
      <c r="AL79" s="168"/>
      <c r="AM79" s="168"/>
      <c r="AO79" s="74">
        <v>438</v>
      </c>
      <c r="AP79" s="169"/>
      <c r="AQ79" s="169"/>
      <c r="AR79" s="169">
        <v>9.8705729592904738</v>
      </c>
      <c r="AS79" s="169"/>
      <c r="AT79" s="169"/>
      <c r="AU79" s="169"/>
      <c r="AV79" s="169"/>
      <c r="AW79" s="169"/>
      <c r="AX79" s="169"/>
      <c r="AZ79" s="165">
        <v>670</v>
      </c>
      <c r="BA79" s="173">
        <v>178.76900000000001</v>
      </c>
      <c r="BB79" s="171">
        <v>82.277799999999999</v>
      </c>
      <c r="BC79" s="172"/>
      <c r="BD79" s="173"/>
      <c r="BE79" s="173"/>
      <c r="BF79" s="173"/>
      <c r="BG79" s="173">
        <v>1</v>
      </c>
      <c r="BH79" s="173"/>
      <c r="BI79" s="166">
        <v>670</v>
      </c>
      <c r="BJ79" s="174"/>
      <c r="BK79" s="174"/>
      <c r="BL79" s="174"/>
      <c r="BM79" s="174"/>
      <c r="BN79" s="174"/>
      <c r="BO79" s="174"/>
      <c r="BP79" s="175">
        <f>Inputs!B82</f>
        <v>438</v>
      </c>
      <c r="BQ79" s="175">
        <f>IF(LEFT(Inputs!$C$11,6)="photon",10^Inputs!C82,Inputs!C82)</f>
        <v>1.8798190031668099E-3</v>
      </c>
      <c r="BR79" s="175"/>
      <c r="BS79" s="175">
        <f>'Advanced Inputs'!I84</f>
        <v>438</v>
      </c>
      <c r="BT79" s="175">
        <f>IF('Advanced Inputs'!J$19="Photon system",10^'Advanced Inputs'!J84,'Advanced Inputs'!J84)</f>
        <v>0</v>
      </c>
      <c r="BV79" s="175">
        <v>438</v>
      </c>
      <c r="BW79" s="73">
        <v>27.868099999999998</v>
      </c>
      <c r="BX79" s="73">
        <v>101.22799999999999</v>
      </c>
      <c r="CC79" s="73">
        <v>1</v>
      </c>
    </row>
    <row r="80" spans="3:81" hidden="1" x14ac:dyDescent="0.2">
      <c r="H80" s="73">
        <v>439</v>
      </c>
      <c r="I80" s="168"/>
      <c r="J80" s="168"/>
      <c r="K80" s="168"/>
      <c r="L80" s="168"/>
      <c r="M80" s="168"/>
      <c r="N80" s="168"/>
      <c r="O80" s="168"/>
      <c r="P80" s="168"/>
      <c r="Q80" s="168"/>
      <c r="R80" s="168"/>
      <c r="S80" s="168">
        <v>6.1516000000000011</v>
      </c>
      <c r="T80" s="168"/>
      <c r="V80" s="73">
        <v>439</v>
      </c>
      <c r="W80" s="168"/>
      <c r="X80" s="168"/>
      <c r="Y80" s="168"/>
      <c r="Z80" s="168"/>
      <c r="AA80" s="168"/>
      <c r="AB80" s="168"/>
      <c r="AC80" s="168"/>
      <c r="AD80" s="168"/>
      <c r="AF80" s="73">
        <v>439</v>
      </c>
      <c r="AG80" s="168"/>
      <c r="AH80" s="168"/>
      <c r="AI80" s="168"/>
      <c r="AJ80" s="168"/>
      <c r="AK80" s="168"/>
      <c r="AL80" s="168"/>
      <c r="AM80" s="168"/>
      <c r="AO80" s="74">
        <v>439</v>
      </c>
      <c r="AP80" s="169"/>
      <c r="AQ80" s="169"/>
      <c r="AR80" s="169">
        <v>10.9547603994695</v>
      </c>
      <c r="AS80" s="169"/>
      <c r="AT80" s="169"/>
      <c r="AU80" s="169"/>
      <c r="AV80" s="169"/>
      <c r="AW80" s="169"/>
      <c r="AX80" s="169"/>
      <c r="AZ80" s="165">
        <v>675</v>
      </c>
      <c r="BA80" s="173">
        <v>182.11799999999999</v>
      </c>
      <c r="BB80" s="171">
        <v>80.281000000000006</v>
      </c>
      <c r="BC80" s="172"/>
      <c r="BD80" s="173"/>
      <c r="BE80" s="173"/>
      <c r="BF80" s="173"/>
      <c r="BG80" s="173">
        <v>1</v>
      </c>
      <c r="BH80" s="173"/>
      <c r="BI80" s="166">
        <v>675</v>
      </c>
      <c r="BJ80" s="174"/>
      <c r="BK80" s="174"/>
      <c r="BL80" s="174"/>
      <c r="BM80" s="174"/>
      <c r="BN80" s="174"/>
      <c r="BO80" s="174"/>
      <c r="BP80" s="175">
        <f>Inputs!B83</f>
        <v>439</v>
      </c>
      <c r="BQ80" s="175">
        <f>IF(LEFT(Inputs!$C$11,6)="photon",10^Inputs!C83,Inputs!C83)</f>
        <v>1.8998170776685899E-3</v>
      </c>
      <c r="BR80" s="175"/>
      <c r="BS80" s="175">
        <f>'Advanced Inputs'!I85</f>
        <v>439</v>
      </c>
      <c r="BT80" s="175">
        <f>IF('Advanced Inputs'!J$19="Photon system",10^'Advanced Inputs'!J85,'Advanced Inputs'!J85)</f>
        <v>0</v>
      </c>
      <c r="BV80" s="175">
        <v>439</v>
      </c>
      <c r="BW80" s="73">
        <v>28.2836</v>
      </c>
      <c r="BX80" s="73">
        <v>103.047</v>
      </c>
      <c r="CC80" s="73">
        <v>1</v>
      </c>
    </row>
    <row r="81" spans="8:81" hidden="1" x14ac:dyDescent="0.2">
      <c r="H81" s="73">
        <v>440</v>
      </c>
      <c r="I81" s="168"/>
      <c r="J81" s="168"/>
      <c r="K81" s="168"/>
      <c r="L81" s="168"/>
      <c r="M81" s="168"/>
      <c r="N81" s="168"/>
      <c r="O81" s="168"/>
      <c r="P81" s="168"/>
      <c r="Q81" s="168"/>
      <c r="R81" s="168"/>
      <c r="S81" s="168">
        <v>6.3079012345679013</v>
      </c>
      <c r="T81" s="168"/>
      <c r="V81" s="73">
        <v>440</v>
      </c>
      <c r="W81" s="168"/>
      <c r="X81" s="168"/>
      <c r="Y81" s="168"/>
      <c r="Z81" s="168"/>
      <c r="AA81" s="168"/>
      <c r="AB81" s="168"/>
      <c r="AC81" s="168"/>
      <c r="AD81" s="168"/>
      <c r="AF81" s="73">
        <v>440</v>
      </c>
      <c r="AG81" s="168"/>
      <c r="AH81" s="168"/>
      <c r="AI81" s="168"/>
      <c r="AJ81" s="168"/>
      <c r="AK81" s="168"/>
      <c r="AL81" s="168"/>
      <c r="AM81" s="168"/>
      <c r="AO81" s="74">
        <v>440</v>
      </c>
      <c r="AP81" s="169"/>
      <c r="AQ81" s="169"/>
      <c r="AR81" s="169">
        <v>12.111482577910888</v>
      </c>
      <c r="AS81" s="169"/>
      <c r="AT81" s="169"/>
      <c r="AU81" s="169"/>
      <c r="AV81" s="169"/>
      <c r="AW81" s="169"/>
      <c r="AX81" s="169"/>
      <c r="AZ81" s="165">
        <v>680</v>
      </c>
      <c r="BA81" s="173">
        <v>185.429</v>
      </c>
      <c r="BB81" s="171">
        <v>78.284199999999998</v>
      </c>
      <c r="BC81" s="172"/>
      <c r="BD81" s="173"/>
      <c r="BE81" s="173"/>
      <c r="BF81" s="173"/>
      <c r="BG81" s="173">
        <v>1</v>
      </c>
      <c r="BH81" s="173"/>
      <c r="BI81" s="166">
        <v>680</v>
      </c>
      <c r="BJ81" s="174"/>
      <c r="BK81" s="174"/>
      <c r="BL81" s="174"/>
      <c r="BM81" s="174"/>
      <c r="BN81" s="174"/>
      <c r="BO81" s="174"/>
      <c r="BP81" s="175">
        <f>Inputs!B84</f>
        <v>440</v>
      </c>
      <c r="BQ81" s="175">
        <f>IF(LEFT(Inputs!$C$11,6)="photon",10^Inputs!C84,Inputs!C84)</f>
        <v>1.9398132266721399E-3</v>
      </c>
      <c r="BR81" s="175"/>
      <c r="BS81" s="175">
        <f>'Advanced Inputs'!I86</f>
        <v>440</v>
      </c>
      <c r="BT81" s="175">
        <f>IF('Advanced Inputs'!J$19="Photon system",10^'Advanced Inputs'!J86,'Advanced Inputs'!J86)</f>
        <v>0</v>
      </c>
      <c r="BV81" s="175">
        <v>440</v>
      </c>
      <c r="BW81" s="73">
        <v>28.7027</v>
      </c>
      <c r="BX81" s="73">
        <v>104.86499999999999</v>
      </c>
      <c r="CC81" s="73">
        <v>1</v>
      </c>
    </row>
    <row r="82" spans="8:81" hidden="1" x14ac:dyDescent="0.2">
      <c r="H82" s="73">
        <v>441</v>
      </c>
      <c r="I82" s="168"/>
      <c r="J82" s="168"/>
      <c r="K82" s="168"/>
      <c r="L82" s="168"/>
      <c r="M82" s="168"/>
      <c r="N82" s="168"/>
      <c r="O82" s="168"/>
      <c r="P82" s="168"/>
      <c r="Q82" s="168"/>
      <c r="R82" s="168"/>
      <c r="S82" s="168">
        <v>6.4591792592592592</v>
      </c>
      <c r="T82" s="168"/>
      <c r="V82" s="73">
        <v>441</v>
      </c>
      <c r="W82" s="168"/>
      <c r="X82" s="168"/>
      <c r="Y82" s="168"/>
      <c r="Z82" s="168"/>
      <c r="AA82" s="168"/>
      <c r="AB82" s="168"/>
      <c r="AC82" s="168"/>
      <c r="AD82" s="168"/>
      <c r="AF82" s="73">
        <v>441</v>
      </c>
      <c r="AG82" s="168"/>
      <c r="AH82" s="168"/>
      <c r="AI82" s="168"/>
      <c r="AJ82" s="168"/>
      <c r="AK82" s="168"/>
      <c r="AL82" s="168"/>
      <c r="AM82" s="168"/>
      <c r="AO82" s="74">
        <v>441</v>
      </c>
      <c r="AP82" s="169"/>
      <c r="AQ82" s="169"/>
      <c r="AR82" s="169">
        <v>13.313189157757307</v>
      </c>
      <c r="AS82" s="169"/>
      <c r="AT82" s="169"/>
      <c r="AU82" s="169"/>
      <c r="AV82" s="169"/>
      <c r="AW82" s="169"/>
      <c r="AX82" s="169"/>
      <c r="AZ82" s="165">
        <v>685</v>
      </c>
      <c r="BA82" s="173">
        <v>188.70099999999999</v>
      </c>
      <c r="BB82" s="171">
        <v>74.002700000000004</v>
      </c>
      <c r="BC82" s="172"/>
      <c r="BD82" s="173"/>
      <c r="BE82" s="173"/>
      <c r="BF82" s="173"/>
      <c r="BG82" s="173">
        <v>1</v>
      </c>
      <c r="BH82" s="173"/>
      <c r="BI82" s="166">
        <v>685</v>
      </c>
      <c r="BJ82" s="174"/>
      <c r="BK82" s="174"/>
      <c r="BL82" s="174"/>
      <c r="BM82" s="174"/>
      <c r="BN82" s="174"/>
      <c r="BO82" s="174"/>
      <c r="BP82" s="175">
        <f>Inputs!B85</f>
        <v>441</v>
      </c>
      <c r="BQ82" s="175">
        <f>IF(LEFT(Inputs!$C$11,6)="photon",10^Inputs!C85,Inputs!C85)</f>
        <v>1.9998074501774601E-3</v>
      </c>
      <c r="BR82" s="175"/>
      <c r="BS82" s="175">
        <f>'Advanced Inputs'!I87</f>
        <v>441</v>
      </c>
      <c r="BT82" s="175">
        <f>IF('Advanced Inputs'!J$19="Photon system",10^'Advanced Inputs'!J87,'Advanced Inputs'!J87)</f>
        <v>0</v>
      </c>
      <c r="BV82" s="175">
        <v>441</v>
      </c>
      <c r="BW82" s="73">
        <v>29.125299999999999</v>
      </c>
      <c r="BX82" s="73">
        <v>106.07899999999999</v>
      </c>
      <c r="CC82" s="73">
        <v>1</v>
      </c>
    </row>
    <row r="83" spans="8:81" hidden="1" x14ac:dyDescent="0.2">
      <c r="H83" s="73">
        <v>442</v>
      </c>
      <c r="I83" s="168"/>
      <c r="J83" s="168"/>
      <c r="K83" s="168"/>
      <c r="L83" s="168"/>
      <c r="M83" s="168"/>
      <c r="N83" s="168"/>
      <c r="O83" s="168"/>
      <c r="P83" s="168"/>
      <c r="Q83" s="168"/>
      <c r="R83" s="168"/>
      <c r="S83" s="168">
        <v>6.6005797530864196</v>
      </c>
      <c r="T83" s="168"/>
      <c r="V83" s="73">
        <v>442</v>
      </c>
      <c r="W83" s="168"/>
      <c r="X83" s="168"/>
      <c r="Y83" s="168"/>
      <c r="Z83" s="168"/>
      <c r="AA83" s="168"/>
      <c r="AB83" s="168"/>
      <c r="AC83" s="168"/>
      <c r="AD83" s="168"/>
      <c r="AF83" s="73">
        <v>442</v>
      </c>
      <c r="AG83" s="168"/>
      <c r="AH83" s="168"/>
      <c r="AI83" s="168"/>
      <c r="AJ83" s="168"/>
      <c r="AK83" s="168"/>
      <c r="AL83" s="168"/>
      <c r="AM83" s="168"/>
      <c r="AO83" s="74">
        <v>442</v>
      </c>
      <c r="AP83" s="169"/>
      <c r="AQ83" s="169"/>
      <c r="AR83" s="169">
        <v>14.522180265901451</v>
      </c>
      <c r="AS83" s="169"/>
      <c r="AT83" s="169"/>
      <c r="AU83" s="169"/>
      <c r="AV83" s="169"/>
      <c r="AW83" s="169"/>
      <c r="AX83" s="169"/>
      <c r="AZ83" s="165">
        <v>690</v>
      </c>
      <c r="BA83" s="173">
        <v>191.93100000000001</v>
      </c>
      <c r="BB83" s="171">
        <v>69.721299999999999</v>
      </c>
      <c r="BC83" s="172"/>
      <c r="BD83" s="173"/>
      <c r="BE83" s="173"/>
      <c r="BF83" s="173"/>
      <c r="BG83" s="173">
        <v>1</v>
      </c>
      <c r="BH83" s="173"/>
      <c r="BI83" s="166">
        <v>690</v>
      </c>
      <c r="BJ83" s="174"/>
      <c r="BK83" s="174"/>
      <c r="BL83" s="174"/>
      <c r="BM83" s="174"/>
      <c r="BN83" s="174"/>
      <c r="BO83" s="174"/>
      <c r="BP83" s="175">
        <f>Inputs!B86</f>
        <v>442</v>
      </c>
      <c r="BQ83" s="175">
        <f>IF(LEFT(Inputs!$C$11,6)="photon",10^Inputs!C86,Inputs!C86)</f>
        <v>2.0448031178064599E-3</v>
      </c>
      <c r="BR83" s="175"/>
      <c r="BS83" s="175">
        <f>'Advanced Inputs'!I88</f>
        <v>442</v>
      </c>
      <c r="BT83" s="175">
        <f>IF('Advanced Inputs'!J$19="Photon system",10^'Advanced Inputs'!J88,'Advanced Inputs'!J88)</f>
        <v>0</v>
      </c>
      <c r="BV83" s="175">
        <v>442</v>
      </c>
      <c r="BW83" s="73">
        <v>29.551500000000001</v>
      </c>
      <c r="BX83" s="73">
        <v>107.294</v>
      </c>
      <c r="CC83" s="73">
        <v>1</v>
      </c>
    </row>
    <row r="84" spans="8:81" hidden="1" x14ac:dyDescent="0.2">
      <c r="H84" s="73">
        <v>443</v>
      </c>
      <c r="I84" s="168"/>
      <c r="J84" s="168"/>
      <c r="K84" s="168"/>
      <c r="L84" s="168"/>
      <c r="M84" s="168"/>
      <c r="N84" s="168"/>
      <c r="O84" s="168"/>
      <c r="P84" s="168"/>
      <c r="Q84" s="168"/>
      <c r="R84" s="168"/>
      <c r="S84" s="168">
        <v>6.7305511111111116</v>
      </c>
      <c r="T84" s="168"/>
      <c r="V84" s="73">
        <v>443</v>
      </c>
      <c r="W84" s="168"/>
      <c r="X84" s="168"/>
      <c r="Y84" s="168"/>
      <c r="Z84" s="168"/>
      <c r="AA84" s="168"/>
      <c r="AB84" s="168"/>
      <c r="AC84" s="168"/>
      <c r="AD84" s="168"/>
      <c r="AF84" s="73">
        <v>443</v>
      </c>
      <c r="AG84" s="168"/>
      <c r="AH84" s="168"/>
      <c r="AI84" s="168"/>
      <c r="AJ84" s="168"/>
      <c r="AK84" s="168"/>
      <c r="AL84" s="168"/>
      <c r="AM84" s="168"/>
      <c r="AO84" s="74">
        <v>443</v>
      </c>
      <c r="AP84" s="169"/>
      <c r="AQ84" s="169"/>
      <c r="AR84" s="169">
        <v>15.692001859342129</v>
      </c>
      <c r="AS84" s="169"/>
      <c r="AT84" s="169"/>
      <c r="AU84" s="169"/>
      <c r="AV84" s="169"/>
      <c r="AW84" s="169"/>
      <c r="AX84" s="169"/>
      <c r="AZ84" s="165">
        <v>695</v>
      </c>
      <c r="BA84" s="173">
        <v>195.11799999999999</v>
      </c>
      <c r="BB84" s="171">
        <v>70.665199999999999</v>
      </c>
      <c r="BC84" s="172"/>
      <c r="BD84" s="173"/>
      <c r="BE84" s="173"/>
      <c r="BF84" s="173"/>
      <c r="BG84" s="173">
        <v>1</v>
      </c>
      <c r="BH84" s="173"/>
      <c r="BI84" s="166">
        <v>695</v>
      </c>
      <c r="BJ84" s="174"/>
      <c r="BK84" s="174"/>
      <c r="BL84" s="174"/>
      <c r="BM84" s="174"/>
      <c r="BN84" s="174"/>
      <c r="BO84" s="174"/>
      <c r="BP84" s="175">
        <f>Inputs!B87</f>
        <v>443</v>
      </c>
      <c r="BQ84" s="175">
        <f>IF(LEFT(Inputs!$C$11,6)="photon",10^Inputs!C87,Inputs!C87)</f>
        <v>2.0548021550573399E-3</v>
      </c>
      <c r="BR84" s="175"/>
      <c r="BS84" s="175">
        <f>'Advanced Inputs'!I89</f>
        <v>443</v>
      </c>
      <c r="BT84" s="175">
        <f>IF('Advanced Inputs'!J$19="Photon system",10^'Advanced Inputs'!J89,'Advanced Inputs'!J89)</f>
        <v>0</v>
      </c>
      <c r="BV84" s="175">
        <v>443</v>
      </c>
      <c r="BW84" s="73">
        <v>29.981100000000001</v>
      </c>
      <c r="BX84" s="73">
        <v>108.508</v>
      </c>
      <c r="CC84" s="73">
        <v>1</v>
      </c>
    </row>
    <row r="85" spans="8:81" hidden="1" x14ac:dyDescent="0.2">
      <c r="H85" s="73">
        <v>444</v>
      </c>
      <c r="I85" s="168"/>
      <c r="J85" s="168"/>
      <c r="K85" s="168"/>
      <c r="L85" s="168"/>
      <c r="M85" s="168"/>
      <c r="N85" s="168"/>
      <c r="O85" s="168"/>
      <c r="P85" s="168"/>
      <c r="Q85" s="168"/>
      <c r="R85" s="168"/>
      <c r="S85" s="168">
        <v>6.847541728395063</v>
      </c>
      <c r="T85" s="168"/>
      <c r="V85" s="73">
        <v>444</v>
      </c>
      <c r="W85" s="168"/>
      <c r="X85" s="168"/>
      <c r="Y85" s="168"/>
      <c r="Z85" s="168"/>
      <c r="AA85" s="168"/>
      <c r="AB85" s="168"/>
      <c r="AC85" s="168"/>
      <c r="AD85" s="168"/>
      <c r="AF85" s="73">
        <v>444</v>
      </c>
      <c r="AG85" s="168"/>
      <c r="AH85" s="168"/>
      <c r="AI85" s="168"/>
      <c r="AJ85" s="168"/>
      <c r="AK85" s="168"/>
      <c r="AL85" s="168"/>
      <c r="AM85" s="168"/>
      <c r="AO85" s="74">
        <v>444</v>
      </c>
      <c r="AP85" s="169"/>
      <c r="AQ85" s="169"/>
      <c r="AR85" s="169">
        <v>16.769939931965641</v>
      </c>
      <c r="AS85" s="169"/>
      <c r="AT85" s="169"/>
      <c r="AU85" s="169"/>
      <c r="AV85" s="169"/>
      <c r="AW85" s="169"/>
      <c r="AX85" s="169"/>
      <c r="AZ85" s="165">
        <v>700</v>
      </c>
      <c r="BA85" s="173">
        <v>198.261</v>
      </c>
      <c r="BB85" s="171">
        <v>71.609099999999998</v>
      </c>
      <c r="BC85" s="172"/>
      <c r="BD85" s="173"/>
      <c r="BE85" s="173"/>
      <c r="BF85" s="173"/>
      <c r="BG85" s="173">
        <v>1</v>
      </c>
      <c r="BH85" s="173"/>
      <c r="BI85" s="166">
        <v>700</v>
      </c>
      <c r="BJ85" s="174"/>
      <c r="BK85" s="174"/>
      <c r="BL85" s="174"/>
      <c r="BM85" s="174"/>
      <c r="BN85" s="174"/>
      <c r="BO85" s="174"/>
      <c r="BP85" s="175">
        <f>Inputs!B88</f>
        <v>444</v>
      </c>
      <c r="BQ85" s="175">
        <f>IF(LEFT(Inputs!$C$11,6)="photon",10^Inputs!C88,Inputs!C88)</f>
        <v>2.0348040805555699E-3</v>
      </c>
      <c r="BR85" s="175"/>
      <c r="BS85" s="175">
        <f>'Advanced Inputs'!I90</f>
        <v>444</v>
      </c>
      <c r="BT85" s="175">
        <f>IF('Advanced Inputs'!J$19="Photon system",10^'Advanced Inputs'!J90,'Advanced Inputs'!J90)</f>
        <v>0</v>
      </c>
      <c r="BV85" s="175">
        <v>444</v>
      </c>
      <c r="BW85" s="73">
        <v>30.414200000000001</v>
      </c>
      <c r="BX85" s="73">
        <v>109.72199999999999</v>
      </c>
      <c r="CC85" s="73">
        <v>1</v>
      </c>
    </row>
    <row r="86" spans="8:81" hidden="1" x14ac:dyDescent="0.2">
      <c r="H86" s="73">
        <v>445</v>
      </c>
      <c r="I86" s="168"/>
      <c r="J86" s="168"/>
      <c r="K86" s="168"/>
      <c r="L86" s="168"/>
      <c r="M86" s="168"/>
      <c r="N86" s="168"/>
      <c r="O86" s="168"/>
      <c r="P86" s="168"/>
      <c r="Q86" s="168"/>
      <c r="R86" s="168"/>
      <c r="S86" s="168">
        <v>6.95</v>
      </c>
      <c r="T86" s="168"/>
      <c r="V86" s="73">
        <v>445</v>
      </c>
      <c r="W86" s="168"/>
      <c r="X86" s="168"/>
      <c r="Y86" s="168"/>
      <c r="Z86" s="168"/>
      <c r="AA86" s="168"/>
      <c r="AB86" s="168"/>
      <c r="AC86" s="168"/>
      <c r="AD86" s="168"/>
      <c r="AF86" s="73">
        <v>445</v>
      </c>
      <c r="AG86" s="168"/>
      <c r="AH86" s="168"/>
      <c r="AI86" s="168"/>
      <c r="AJ86" s="168"/>
      <c r="AK86" s="168"/>
      <c r="AL86" s="168"/>
      <c r="AM86" s="168"/>
      <c r="AO86" s="74">
        <v>445</v>
      </c>
      <c r="AP86" s="169"/>
      <c r="AQ86" s="169"/>
      <c r="AR86" s="169">
        <v>17.701758436708943</v>
      </c>
      <c r="AS86" s="169"/>
      <c r="AT86" s="169"/>
      <c r="AU86" s="169"/>
      <c r="AV86" s="169"/>
      <c r="AW86" s="169"/>
      <c r="AX86" s="169"/>
      <c r="AZ86" s="165">
        <v>705</v>
      </c>
      <c r="BA86" s="173">
        <v>201.35900000000001</v>
      </c>
      <c r="BB86" s="171">
        <v>72.978999999999999</v>
      </c>
      <c r="BC86" s="172"/>
      <c r="BD86" s="173"/>
      <c r="BE86" s="173"/>
      <c r="BF86" s="173"/>
      <c r="BG86" s="173">
        <v>1</v>
      </c>
      <c r="BH86" s="173"/>
      <c r="BI86" s="166">
        <v>705</v>
      </c>
      <c r="BJ86" s="174"/>
      <c r="BK86" s="174"/>
      <c r="BL86" s="174"/>
      <c r="BM86" s="174"/>
      <c r="BN86" s="174"/>
      <c r="BO86" s="174"/>
      <c r="BP86" s="175">
        <f>Inputs!B89</f>
        <v>445</v>
      </c>
      <c r="BQ86" s="175">
        <f>IF(LEFT(Inputs!$C$11,6)="photon",10^Inputs!C89,Inputs!C89)</f>
        <v>2.0298045619301201E-3</v>
      </c>
      <c r="BR86" s="175"/>
      <c r="BS86" s="175">
        <f>'Advanced Inputs'!I91</f>
        <v>445</v>
      </c>
      <c r="BT86" s="175">
        <f>IF('Advanced Inputs'!J$19="Photon system",10^'Advanced Inputs'!J91,'Advanced Inputs'!J91)</f>
        <v>0</v>
      </c>
      <c r="BV86" s="175">
        <v>445</v>
      </c>
      <c r="BW86" s="73">
        <v>30.8508</v>
      </c>
      <c r="BX86" s="73">
        <v>110.93600000000001</v>
      </c>
      <c r="CC86" s="73">
        <v>1</v>
      </c>
    </row>
    <row r="87" spans="8:81" hidden="1" x14ac:dyDescent="0.2">
      <c r="H87" s="73">
        <v>446</v>
      </c>
      <c r="I87" s="168"/>
      <c r="J87" s="168"/>
      <c r="K87" s="168"/>
      <c r="L87" s="168"/>
      <c r="M87" s="168"/>
      <c r="N87" s="168"/>
      <c r="O87" s="168"/>
      <c r="P87" s="168"/>
      <c r="Q87" s="168"/>
      <c r="R87" s="168"/>
      <c r="S87" s="168">
        <v>7.0272207407407414</v>
      </c>
      <c r="T87" s="168"/>
      <c r="V87" s="73">
        <v>446</v>
      </c>
      <c r="W87" s="168"/>
      <c r="X87" s="168"/>
      <c r="Y87" s="168"/>
      <c r="Z87" s="168"/>
      <c r="AA87" s="168"/>
      <c r="AB87" s="168"/>
      <c r="AC87" s="168"/>
      <c r="AD87" s="168"/>
      <c r="AF87" s="73">
        <v>446</v>
      </c>
      <c r="AG87" s="168"/>
      <c r="AH87" s="168"/>
      <c r="AI87" s="168"/>
      <c r="AJ87" s="168"/>
      <c r="AK87" s="168"/>
      <c r="AL87" s="168"/>
      <c r="AM87" s="168"/>
      <c r="AO87" s="74">
        <v>446</v>
      </c>
      <c r="AP87" s="169"/>
      <c r="AQ87" s="169"/>
      <c r="AR87" s="169">
        <v>18.4381632478459</v>
      </c>
      <c r="AS87" s="169"/>
      <c r="AT87" s="169"/>
      <c r="AU87" s="169"/>
      <c r="AV87" s="169"/>
      <c r="AW87" s="169"/>
      <c r="AX87" s="169"/>
      <c r="AZ87" s="165">
        <v>710</v>
      </c>
      <c r="BA87" s="173">
        <v>204.40899999999999</v>
      </c>
      <c r="BB87" s="171">
        <v>74.349000000000004</v>
      </c>
      <c r="BC87" s="172"/>
      <c r="BD87" s="173"/>
      <c r="BE87" s="173"/>
      <c r="BF87" s="173"/>
      <c r="BG87" s="173">
        <v>1</v>
      </c>
      <c r="BH87" s="173"/>
      <c r="BI87" s="166">
        <v>710</v>
      </c>
      <c r="BJ87" s="174"/>
      <c r="BK87" s="174"/>
      <c r="BL87" s="174"/>
      <c r="BM87" s="174"/>
      <c r="BN87" s="174"/>
      <c r="BO87" s="174"/>
      <c r="BP87" s="175">
        <f>Inputs!B90</f>
        <v>446</v>
      </c>
      <c r="BQ87" s="175">
        <f>IF(LEFT(Inputs!$C$11,6)="photon",10^Inputs!C90,Inputs!C90)</f>
        <v>2.0398035991810101E-3</v>
      </c>
      <c r="BR87" s="175"/>
      <c r="BS87" s="175">
        <f>'Advanced Inputs'!I92</f>
        <v>446</v>
      </c>
      <c r="BT87" s="175">
        <f>IF('Advanced Inputs'!J$19="Photon system",10^'Advanced Inputs'!J92,'Advanced Inputs'!J92)</f>
        <v>0</v>
      </c>
      <c r="BV87" s="175">
        <v>446</v>
      </c>
      <c r="BW87" s="73">
        <v>31.290900000000001</v>
      </c>
      <c r="BX87" s="73">
        <v>112.151</v>
      </c>
      <c r="CC87" s="73">
        <v>1</v>
      </c>
    </row>
    <row r="88" spans="8:81" hidden="1" x14ac:dyDescent="0.2">
      <c r="H88" s="73">
        <v>447</v>
      </c>
      <c r="I88" s="168"/>
      <c r="J88" s="168"/>
      <c r="K88" s="168"/>
      <c r="L88" s="168"/>
      <c r="M88" s="168"/>
      <c r="N88" s="168"/>
      <c r="O88" s="168"/>
      <c r="P88" s="168"/>
      <c r="Q88" s="168"/>
      <c r="R88" s="168"/>
      <c r="S88" s="168">
        <v>7.0890943209876562</v>
      </c>
      <c r="T88" s="168"/>
      <c r="V88" s="73">
        <v>447</v>
      </c>
      <c r="W88" s="168"/>
      <c r="X88" s="168"/>
      <c r="Y88" s="168"/>
      <c r="Z88" s="168"/>
      <c r="AA88" s="168"/>
      <c r="AB88" s="168"/>
      <c r="AC88" s="168"/>
      <c r="AD88" s="168"/>
      <c r="AF88" s="73">
        <v>447</v>
      </c>
      <c r="AG88" s="168"/>
      <c r="AH88" s="168"/>
      <c r="AI88" s="168"/>
      <c r="AJ88" s="168"/>
      <c r="AK88" s="168"/>
      <c r="AL88" s="168"/>
      <c r="AM88" s="168"/>
      <c r="AO88" s="74">
        <v>447</v>
      </c>
      <c r="AP88" s="169"/>
      <c r="AQ88" s="169"/>
      <c r="AR88" s="169">
        <v>18.940417631588549</v>
      </c>
      <c r="AS88" s="169"/>
      <c r="AT88" s="169"/>
      <c r="AU88" s="169"/>
      <c r="AV88" s="169"/>
      <c r="AW88" s="169"/>
      <c r="AX88" s="169"/>
      <c r="AZ88" s="165">
        <v>715</v>
      </c>
      <c r="BA88" s="173">
        <v>207.411</v>
      </c>
      <c r="BB88" s="171">
        <v>67.976500000000001</v>
      </c>
      <c r="BC88" s="172"/>
      <c r="BD88" s="173"/>
      <c r="BE88" s="173"/>
      <c r="BF88" s="173"/>
      <c r="BG88" s="173">
        <v>1</v>
      </c>
      <c r="BH88" s="173"/>
      <c r="BI88" s="166">
        <v>715</v>
      </c>
      <c r="BJ88" s="174"/>
      <c r="BK88" s="174"/>
      <c r="BL88" s="174"/>
      <c r="BM88" s="174"/>
      <c r="BN88" s="174"/>
      <c r="BO88" s="174"/>
      <c r="BP88" s="175">
        <f>Inputs!B91</f>
        <v>447</v>
      </c>
      <c r="BQ88" s="175">
        <f>IF(LEFT(Inputs!$C$11,6)="photon",10^Inputs!C91,Inputs!C91)</f>
        <v>2.0548021550573399E-3</v>
      </c>
      <c r="BR88" s="175"/>
      <c r="BS88" s="175">
        <f>'Advanced Inputs'!I93</f>
        <v>447</v>
      </c>
      <c r="BT88" s="175">
        <f>IF('Advanced Inputs'!J$19="Photon system",10^'Advanced Inputs'!J93,'Advanced Inputs'!J93)</f>
        <v>0</v>
      </c>
      <c r="BV88" s="175">
        <v>447</v>
      </c>
      <c r="BW88" s="73">
        <v>31.734500000000001</v>
      </c>
      <c r="BX88" s="73">
        <v>113.36499999999999</v>
      </c>
      <c r="CC88" s="73">
        <v>1</v>
      </c>
    </row>
    <row r="89" spans="8:81" hidden="1" x14ac:dyDescent="0.2">
      <c r="H89" s="73">
        <v>448</v>
      </c>
      <c r="I89" s="168"/>
      <c r="J89" s="168"/>
      <c r="K89" s="168"/>
      <c r="L89" s="168"/>
      <c r="M89" s="168"/>
      <c r="N89" s="168"/>
      <c r="O89" s="168"/>
      <c r="P89" s="168"/>
      <c r="Q89" s="168"/>
      <c r="R89" s="168"/>
      <c r="S89" s="168">
        <v>7.1363575308641982</v>
      </c>
      <c r="T89" s="168"/>
      <c r="V89" s="73">
        <v>448</v>
      </c>
      <c r="W89" s="168"/>
      <c r="X89" s="168"/>
      <c r="Y89" s="168"/>
      <c r="Z89" s="168"/>
      <c r="AA89" s="168"/>
      <c r="AB89" s="168"/>
      <c r="AC89" s="168"/>
      <c r="AD89" s="168"/>
      <c r="AF89" s="73">
        <v>448</v>
      </c>
      <c r="AG89" s="168"/>
      <c r="AH89" s="168"/>
      <c r="AI89" s="168"/>
      <c r="AJ89" s="168"/>
      <c r="AK89" s="168"/>
      <c r="AL89" s="168"/>
      <c r="AM89" s="168"/>
      <c r="AO89" s="74">
        <v>448</v>
      </c>
      <c r="AP89" s="169"/>
      <c r="AQ89" s="169"/>
      <c r="AR89" s="169">
        <v>19.183352259283538</v>
      </c>
      <c r="AS89" s="169"/>
      <c r="AT89" s="169"/>
      <c r="AU89" s="169"/>
      <c r="AV89" s="169"/>
      <c r="AW89" s="169"/>
      <c r="AX89" s="169"/>
      <c r="AZ89" s="165">
        <v>720</v>
      </c>
      <c r="BA89" s="173">
        <v>210.36500000000001</v>
      </c>
      <c r="BB89" s="171">
        <v>61.603999999999999</v>
      </c>
      <c r="BC89" s="172"/>
      <c r="BD89" s="173"/>
      <c r="BE89" s="173"/>
      <c r="BF89" s="173"/>
      <c r="BG89" s="173">
        <v>1</v>
      </c>
      <c r="BH89" s="173"/>
      <c r="BI89" s="166">
        <v>720</v>
      </c>
      <c r="BJ89" s="174"/>
      <c r="BK89" s="174"/>
      <c r="BL89" s="174"/>
      <c r="BM89" s="174"/>
      <c r="BN89" s="174"/>
      <c r="BO89" s="174"/>
      <c r="BP89" s="175">
        <f>Inputs!B92</f>
        <v>448</v>
      </c>
      <c r="BQ89" s="175">
        <f>IF(LEFT(Inputs!$C$11,6)="photon",10^Inputs!C92,Inputs!C92)</f>
        <v>2.0847992668099999E-3</v>
      </c>
      <c r="BR89" s="175"/>
      <c r="BS89" s="175">
        <f>'Advanced Inputs'!I94</f>
        <v>448</v>
      </c>
      <c r="BT89" s="175">
        <f>IF('Advanced Inputs'!J$19="Photon system",10^'Advanced Inputs'!J94,'Advanced Inputs'!J94)</f>
        <v>0</v>
      </c>
      <c r="BV89" s="175">
        <v>448</v>
      </c>
      <c r="BW89" s="73">
        <v>32.1815</v>
      </c>
      <c r="BX89" s="73">
        <v>114.57899999999999</v>
      </c>
      <c r="CC89" s="73">
        <v>1</v>
      </c>
    </row>
    <row r="90" spans="8:81" hidden="1" x14ac:dyDescent="0.2">
      <c r="H90" s="73">
        <v>449</v>
      </c>
      <c r="I90" s="168"/>
      <c r="J90" s="168"/>
      <c r="K90" s="168"/>
      <c r="L90" s="168"/>
      <c r="M90" s="168"/>
      <c r="N90" s="168"/>
      <c r="O90" s="168"/>
      <c r="P90" s="168"/>
      <c r="Q90" s="168"/>
      <c r="R90" s="168"/>
      <c r="S90" s="168">
        <v>7.1697471604938272</v>
      </c>
      <c r="T90" s="168"/>
      <c r="V90" s="73">
        <v>449</v>
      </c>
      <c r="W90" s="168"/>
      <c r="X90" s="168"/>
      <c r="Y90" s="168"/>
      <c r="Z90" s="168"/>
      <c r="AA90" s="168"/>
      <c r="AB90" s="168"/>
      <c r="AC90" s="168"/>
      <c r="AD90" s="168"/>
      <c r="AF90" s="73">
        <v>449</v>
      </c>
      <c r="AG90" s="168"/>
      <c r="AH90" s="168"/>
      <c r="AI90" s="168"/>
      <c r="AJ90" s="168"/>
      <c r="AK90" s="168"/>
      <c r="AL90" s="168"/>
      <c r="AM90" s="168"/>
      <c r="AO90" s="74">
        <v>449</v>
      </c>
      <c r="AP90" s="169"/>
      <c r="AQ90" s="169"/>
      <c r="AR90" s="169">
        <v>19.156559456423171</v>
      </c>
      <c r="AS90" s="169"/>
      <c r="AT90" s="169"/>
      <c r="AU90" s="169"/>
      <c r="AV90" s="169"/>
      <c r="AW90" s="169"/>
      <c r="AX90" s="169"/>
      <c r="AZ90" s="165">
        <v>725</v>
      </c>
      <c r="BA90" s="173">
        <v>213.268</v>
      </c>
      <c r="BB90" s="171">
        <v>65.744799999999998</v>
      </c>
      <c r="BC90" s="172"/>
      <c r="BD90" s="173"/>
      <c r="BE90" s="173"/>
      <c r="BF90" s="173"/>
      <c r="BG90" s="173">
        <v>1</v>
      </c>
      <c r="BH90" s="173"/>
      <c r="BI90" s="166">
        <v>725</v>
      </c>
      <c r="BJ90" s="174"/>
      <c r="BK90" s="174"/>
      <c r="BL90" s="174"/>
      <c r="BM90" s="174"/>
      <c r="BN90" s="174"/>
      <c r="BO90" s="174"/>
      <c r="BP90" s="175">
        <f>Inputs!B93</f>
        <v>449</v>
      </c>
      <c r="BQ90" s="175">
        <f>IF(LEFT(Inputs!$C$11,6)="photon",10^Inputs!C93,Inputs!C93)</f>
        <v>2.1147963785626699E-3</v>
      </c>
      <c r="BR90" s="175"/>
      <c r="BS90" s="175">
        <f>'Advanced Inputs'!I95</f>
        <v>449</v>
      </c>
      <c r="BT90" s="175">
        <f>IF('Advanced Inputs'!J$19="Photon system",10^'Advanced Inputs'!J95,'Advanced Inputs'!J95)</f>
        <v>0</v>
      </c>
      <c r="BV90" s="175">
        <v>449</v>
      </c>
      <c r="BW90" s="73">
        <v>32.631999999999998</v>
      </c>
      <c r="BX90" s="73">
        <v>115.794</v>
      </c>
      <c r="CC90" s="73">
        <v>1</v>
      </c>
    </row>
    <row r="91" spans="8:81" hidden="1" x14ac:dyDescent="0.2">
      <c r="H91" s="73">
        <v>450</v>
      </c>
      <c r="I91" s="168"/>
      <c r="J91" s="168"/>
      <c r="K91" s="168"/>
      <c r="L91" s="168"/>
      <c r="M91" s="168"/>
      <c r="N91" s="168"/>
      <c r="O91" s="168"/>
      <c r="P91" s="168"/>
      <c r="Q91" s="168"/>
      <c r="R91" s="168"/>
      <c r="S91" s="168">
        <v>7.19</v>
      </c>
      <c r="T91" s="168"/>
      <c r="V91" s="73">
        <v>450</v>
      </c>
      <c r="W91" s="168"/>
      <c r="X91" s="168"/>
      <c r="Y91" s="168"/>
      <c r="Z91" s="168"/>
      <c r="AA91" s="168"/>
      <c r="AB91" s="168"/>
      <c r="AC91" s="168"/>
      <c r="AD91" s="168"/>
      <c r="AF91" s="73">
        <v>450</v>
      </c>
      <c r="AG91" s="168"/>
      <c r="AH91" s="168"/>
      <c r="AI91" s="168"/>
      <c r="AJ91" s="168"/>
      <c r="AK91" s="168"/>
      <c r="AL91" s="168"/>
      <c r="AM91" s="168"/>
      <c r="AO91" s="74">
        <v>450</v>
      </c>
      <c r="AP91" s="169"/>
      <c r="AQ91" s="169"/>
      <c r="AR91" s="169">
        <v>18.865121147440824</v>
      </c>
      <c r="AS91" s="169"/>
      <c r="AT91" s="169"/>
      <c r="AU91" s="169"/>
      <c r="AV91" s="169"/>
      <c r="AW91" s="169"/>
      <c r="AX91" s="169"/>
      <c r="AZ91" s="165">
        <v>730</v>
      </c>
      <c r="BA91" s="173">
        <v>216.12</v>
      </c>
      <c r="BB91" s="171">
        <v>69.885599999999997</v>
      </c>
      <c r="BC91" s="172"/>
      <c r="BD91" s="173"/>
      <c r="BE91" s="173"/>
      <c r="BF91" s="173"/>
      <c r="BG91" s="173">
        <v>1</v>
      </c>
      <c r="BH91" s="173"/>
      <c r="BI91" s="166">
        <v>730</v>
      </c>
      <c r="BJ91" s="174"/>
      <c r="BK91" s="174"/>
      <c r="BL91" s="174"/>
      <c r="BM91" s="174"/>
      <c r="BN91" s="174"/>
      <c r="BO91" s="174"/>
      <c r="BP91" s="175">
        <f>Inputs!B94</f>
        <v>450</v>
      </c>
      <c r="BQ91" s="175">
        <f>IF(LEFT(Inputs!$C$11,6)="photon",10^Inputs!C94,Inputs!C94)</f>
        <v>2.1447934903153299E-3</v>
      </c>
      <c r="BR91" s="175"/>
      <c r="BS91" s="175">
        <f>'Advanced Inputs'!I96</f>
        <v>450</v>
      </c>
      <c r="BT91" s="175">
        <f>IF('Advanced Inputs'!J$19="Photon system",10^'Advanced Inputs'!J96,'Advanced Inputs'!J96)</f>
        <v>0</v>
      </c>
      <c r="BV91" s="175">
        <v>450</v>
      </c>
      <c r="BW91" s="73">
        <v>33.085900000000002</v>
      </c>
      <c r="BX91" s="73">
        <v>117.008</v>
      </c>
      <c r="CC91" s="73">
        <v>1</v>
      </c>
    </row>
    <row r="92" spans="8:81" hidden="1" x14ac:dyDescent="0.2">
      <c r="H92" s="73">
        <v>451</v>
      </c>
      <c r="I92" s="168"/>
      <c r="J92" s="168"/>
      <c r="K92" s="168"/>
      <c r="L92" s="168"/>
      <c r="M92" s="168"/>
      <c r="N92" s="168"/>
      <c r="O92" s="168"/>
      <c r="P92" s="168"/>
      <c r="Q92" s="168"/>
      <c r="R92" s="168"/>
      <c r="S92" s="168">
        <v>7.2014399999999998</v>
      </c>
      <c r="T92" s="168"/>
      <c r="V92" s="73">
        <v>451</v>
      </c>
      <c r="W92" s="168"/>
      <c r="X92" s="168"/>
      <c r="Y92" s="168"/>
      <c r="Z92" s="168"/>
      <c r="AA92" s="168"/>
      <c r="AB92" s="168"/>
      <c r="AC92" s="168"/>
      <c r="AD92" s="168"/>
      <c r="AF92" s="73">
        <v>451</v>
      </c>
      <c r="AG92" s="168"/>
      <c r="AH92" s="168"/>
      <c r="AI92" s="168"/>
      <c r="AJ92" s="168"/>
      <c r="AK92" s="168"/>
      <c r="AL92" s="168"/>
      <c r="AM92" s="168"/>
      <c r="AO92" s="74">
        <v>451</v>
      </c>
      <c r="AP92" s="169"/>
      <c r="AQ92" s="169"/>
      <c r="AR92" s="169">
        <v>18.329662959495415</v>
      </c>
      <c r="AS92" s="169"/>
      <c r="AT92" s="169"/>
      <c r="AU92" s="169"/>
      <c r="AV92" s="169"/>
      <c r="AW92" s="169"/>
      <c r="AX92" s="169"/>
      <c r="AZ92" s="165">
        <v>735</v>
      </c>
      <c r="BA92" s="173">
        <v>218.92</v>
      </c>
      <c r="BB92" s="171">
        <v>72.4863</v>
      </c>
      <c r="BC92" s="172"/>
      <c r="BD92" s="173"/>
      <c r="BE92" s="173"/>
      <c r="BF92" s="173"/>
      <c r="BG92" s="173">
        <v>1</v>
      </c>
      <c r="BH92" s="173"/>
      <c r="BI92" s="166">
        <v>735</v>
      </c>
      <c r="BJ92" s="174"/>
      <c r="BK92" s="174"/>
      <c r="BL92" s="174"/>
      <c r="BM92" s="174"/>
      <c r="BN92" s="174"/>
      <c r="BO92" s="174"/>
      <c r="BP92" s="175">
        <f>Inputs!B95</f>
        <v>451</v>
      </c>
      <c r="BQ92" s="175">
        <f>IF(LEFT(Inputs!$C$11,6)="photon",10^Inputs!C95,Inputs!C95)</f>
        <v>2.1647915648170999E-3</v>
      </c>
      <c r="BR92" s="175"/>
      <c r="BS92" s="175">
        <f>'Advanced Inputs'!I97</f>
        <v>451</v>
      </c>
      <c r="BT92" s="175">
        <f>IF('Advanced Inputs'!J$19="Photon system",10^'Advanced Inputs'!J97,'Advanced Inputs'!J97)</f>
        <v>0</v>
      </c>
      <c r="BV92" s="175">
        <v>451</v>
      </c>
      <c r="BW92" s="73">
        <v>33.543199999999999</v>
      </c>
      <c r="BX92" s="73">
        <v>117.08799999999999</v>
      </c>
      <c r="CC92" s="73">
        <v>1</v>
      </c>
    </row>
    <row r="93" spans="8:81" hidden="1" x14ac:dyDescent="0.2">
      <c r="H93" s="73">
        <v>452</v>
      </c>
      <c r="I93" s="168"/>
      <c r="J93" s="168"/>
      <c r="K93" s="168"/>
      <c r="L93" s="168"/>
      <c r="M93" s="168"/>
      <c r="N93" s="168"/>
      <c r="O93" s="168"/>
      <c r="P93" s="168"/>
      <c r="Q93" s="168"/>
      <c r="R93" s="168"/>
      <c r="S93" s="168">
        <v>7.2003200000000014</v>
      </c>
      <c r="T93" s="168"/>
      <c r="V93" s="73">
        <v>452</v>
      </c>
      <c r="W93" s="168"/>
      <c r="X93" s="168"/>
      <c r="Y93" s="168"/>
      <c r="Z93" s="168"/>
      <c r="AA93" s="168"/>
      <c r="AB93" s="168"/>
      <c r="AC93" s="168"/>
      <c r="AD93" s="168"/>
      <c r="AF93" s="73">
        <v>452</v>
      </c>
      <c r="AG93" s="168"/>
      <c r="AH93" s="168"/>
      <c r="AI93" s="168"/>
      <c r="AJ93" s="168"/>
      <c r="AK93" s="168"/>
      <c r="AL93" s="168"/>
      <c r="AM93" s="168"/>
      <c r="AO93" s="74">
        <v>452</v>
      </c>
      <c r="AP93" s="169"/>
      <c r="AQ93" s="169"/>
      <c r="AR93" s="169">
        <v>17.584850699810957</v>
      </c>
      <c r="AS93" s="169"/>
      <c r="AT93" s="169"/>
      <c r="AU93" s="169"/>
      <c r="AV93" s="169"/>
      <c r="AW93" s="169"/>
      <c r="AX93" s="169"/>
      <c r="AZ93" s="165">
        <v>740</v>
      </c>
      <c r="BA93" s="173">
        <v>221.667</v>
      </c>
      <c r="BB93" s="171">
        <v>75.087000000000003</v>
      </c>
      <c r="BC93" s="172"/>
      <c r="BD93" s="173"/>
      <c r="BE93" s="173"/>
      <c r="BF93" s="173"/>
      <c r="BG93" s="173">
        <v>1</v>
      </c>
      <c r="BH93" s="173"/>
      <c r="BI93" s="166">
        <v>740</v>
      </c>
      <c r="BJ93" s="174"/>
      <c r="BK93" s="174"/>
      <c r="BL93" s="174"/>
      <c r="BM93" s="174"/>
      <c r="BN93" s="174"/>
      <c r="BO93" s="174"/>
      <c r="BP93" s="175">
        <f>Inputs!B96</f>
        <v>452</v>
      </c>
      <c r="BQ93" s="175">
        <f>IF(LEFT(Inputs!$C$11,6)="photon",10^Inputs!C96,Inputs!C96)</f>
        <v>2.1497930089407701E-3</v>
      </c>
      <c r="BR93" s="175"/>
      <c r="BS93" s="175">
        <f>'Advanced Inputs'!I98</f>
        <v>452</v>
      </c>
      <c r="BT93" s="175">
        <f>IF('Advanced Inputs'!J$19="Photon system",10^'Advanced Inputs'!J98,'Advanced Inputs'!J98)</f>
        <v>0</v>
      </c>
      <c r="BV93" s="175">
        <v>452</v>
      </c>
      <c r="BW93" s="73">
        <v>34.003999999999998</v>
      </c>
      <c r="BX93" s="73">
        <v>117.169</v>
      </c>
      <c r="CC93" s="73">
        <v>1</v>
      </c>
    </row>
    <row r="94" spans="8:81" hidden="1" x14ac:dyDescent="0.2">
      <c r="H94" s="73">
        <v>453</v>
      </c>
      <c r="I94" s="168"/>
      <c r="J94" s="168"/>
      <c r="K94" s="168"/>
      <c r="L94" s="168"/>
      <c r="M94" s="168"/>
      <c r="N94" s="168"/>
      <c r="O94" s="168"/>
      <c r="P94" s="168"/>
      <c r="Q94" s="168"/>
      <c r="R94" s="168"/>
      <c r="S94" s="168">
        <v>7.1864800000000004</v>
      </c>
      <c r="T94" s="168"/>
      <c r="V94" s="73">
        <v>453</v>
      </c>
      <c r="W94" s="168"/>
      <c r="X94" s="168"/>
      <c r="Y94" s="168"/>
      <c r="Z94" s="168"/>
      <c r="AA94" s="168"/>
      <c r="AB94" s="168"/>
      <c r="AC94" s="168"/>
      <c r="AD94" s="168"/>
      <c r="AF94" s="73">
        <v>453</v>
      </c>
      <c r="AG94" s="168"/>
      <c r="AH94" s="168"/>
      <c r="AI94" s="168"/>
      <c r="AJ94" s="168"/>
      <c r="AK94" s="168"/>
      <c r="AL94" s="168"/>
      <c r="AM94" s="168"/>
      <c r="AO94" s="74">
        <v>453</v>
      </c>
      <c r="AP94" s="169"/>
      <c r="AQ94" s="169"/>
      <c r="AR94" s="169">
        <v>16.676317938344177</v>
      </c>
      <c r="AS94" s="169"/>
      <c r="AT94" s="169"/>
      <c r="AU94" s="169"/>
      <c r="AV94" s="169"/>
      <c r="AW94" s="169"/>
      <c r="AX94" s="169"/>
      <c r="AZ94" s="165">
        <v>745</v>
      </c>
      <c r="BA94" s="173">
        <v>224.36099999999999</v>
      </c>
      <c r="BB94" s="171">
        <v>69.339799999999997</v>
      </c>
      <c r="BC94" s="172"/>
      <c r="BD94" s="173"/>
      <c r="BE94" s="173"/>
      <c r="BF94" s="173"/>
      <c r="BG94" s="173">
        <v>1</v>
      </c>
      <c r="BH94" s="173"/>
      <c r="BI94" s="166">
        <v>745</v>
      </c>
      <c r="BJ94" s="174"/>
      <c r="BK94" s="174"/>
      <c r="BL94" s="174"/>
      <c r="BM94" s="174"/>
      <c r="BN94" s="174"/>
      <c r="BO94" s="174"/>
      <c r="BP94" s="175">
        <f>Inputs!B97</f>
        <v>453</v>
      </c>
      <c r="BQ94" s="175">
        <f>IF(LEFT(Inputs!$C$11,6)="photon",10^Inputs!C97,Inputs!C97)</f>
        <v>2.1197958971881101E-3</v>
      </c>
      <c r="BR94" s="175"/>
      <c r="BS94" s="175">
        <f>'Advanced Inputs'!I99</f>
        <v>453</v>
      </c>
      <c r="BT94" s="175">
        <f>IF('Advanced Inputs'!J$19="Photon system",10^'Advanced Inputs'!J99,'Advanced Inputs'!J99)</f>
        <v>0</v>
      </c>
      <c r="BV94" s="175">
        <v>453</v>
      </c>
      <c r="BW94" s="73">
        <v>34.468200000000003</v>
      </c>
      <c r="BX94" s="73">
        <v>117.249</v>
      </c>
      <c r="CC94" s="73">
        <v>1</v>
      </c>
    </row>
    <row r="95" spans="8:81" hidden="1" x14ac:dyDescent="0.2">
      <c r="H95" s="73">
        <v>454</v>
      </c>
      <c r="I95" s="168"/>
      <c r="J95" s="168"/>
      <c r="K95" s="168"/>
      <c r="L95" s="168"/>
      <c r="M95" s="168"/>
      <c r="N95" s="168"/>
      <c r="O95" s="168"/>
      <c r="P95" s="168"/>
      <c r="Q95" s="168"/>
      <c r="R95" s="168"/>
      <c r="S95" s="168">
        <v>7.1597599999999995</v>
      </c>
      <c r="T95" s="168"/>
      <c r="V95" s="73">
        <v>454</v>
      </c>
      <c r="W95" s="168"/>
      <c r="X95" s="168"/>
      <c r="Y95" s="168"/>
      <c r="Z95" s="168"/>
      <c r="AA95" s="168"/>
      <c r="AB95" s="168"/>
      <c r="AC95" s="168"/>
      <c r="AD95" s="168"/>
      <c r="AF95" s="73">
        <v>454</v>
      </c>
      <c r="AG95" s="168"/>
      <c r="AH95" s="168"/>
      <c r="AI95" s="168"/>
      <c r="AJ95" s="168"/>
      <c r="AK95" s="168"/>
      <c r="AL95" s="168"/>
      <c r="AM95" s="168"/>
      <c r="AO95" s="74">
        <v>454</v>
      </c>
      <c r="AP95" s="169"/>
      <c r="AQ95" s="169"/>
      <c r="AR95" s="169">
        <v>15.656618335883589</v>
      </c>
      <c r="AS95" s="169"/>
      <c r="AT95" s="169"/>
      <c r="AU95" s="169"/>
      <c r="AV95" s="169"/>
      <c r="AW95" s="169"/>
      <c r="AX95" s="169"/>
      <c r="AZ95" s="165">
        <v>750</v>
      </c>
      <c r="BA95" s="173">
        <v>227</v>
      </c>
      <c r="BB95" s="171">
        <v>63.592700000000001</v>
      </c>
      <c r="BC95" s="172"/>
      <c r="BD95" s="173"/>
      <c r="BE95" s="173"/>
      <c r="BF95" s="173"/>
      <c r="BG95" s="173">
        <v>1</v>
      </c>
      <c r="BH95" s="173"/>
      <c r="BI95" s="166">
        <v>750</v>
      </c>
      <c r="BJ95" s="174"/>
      <c r="BK95" s="174"/>
      <c r="BL95" s="174"/>
      <c r="BM95" s="174"/>
      <c r="BN95" s="174"/>
      <c r="BO95" s="174"/>
      <c r="BP95" s="175">
        <f>Inputs!B98</f>
        <v>454</v>
      </c>
      <c r="BQ95" s="175">
        <f>IF(LEFT(Inputs!$C$11,6)="photon",10^Inputs!C98,Inputs!C98)</f>
        <v>2.0997978226863401E-3</v>
      </c>
      <c r="BR95" s="175"/>
      <c r="BS95" s="175">
        <f>'Advanced Inputs'!I100</f>
        <v>454</v>
      </c>
      <c r="BT95" s="175">
        <f>IF('Advanced Inputs'!J$19="Photon system",10^'Advanced Inputs'!J100,'Advanced Inputs'!J100)</f>
        <v>0</v>
      </c>
      <c r="BV95" s="175">
        <v>454</v>
      </c>
      <c r="BW95" s="73">
        <v>34.9358</v>
      </c>
      <c r="BX95" s="73">
        <v>117.33</v>
      </c>
      <c r="CC95" s="73">
        <v>1</v>
      </c>
    </row>
    <row r="96" spans="8:81" hidden="1" x14ac:dyDescent="0.2">
      <c r="H96" s="73">
        <v>455</v>
      </c>
      <c r="I96" s="168"/>
      <c r="J96" s="168"/>
      <c r="K96" s="168"/>
      <c r="L96" s="168"/>
      <c r="M96" s="168"/>
      <c r="N96" s="168"/>
      <c r="O96" s="168"/>
      <c r="P96" s="168"/>
      <c r="Q96" s="168"/>
      <c r="R96" s="168"/>
      <c r="S96" s="168">
        <v>7.12</v>
      </c>
      <c r="T96" s="168"/>
      <c r="V96" s="73">
        <v>455</v>
      </c>
      <c r="W96" s="168"/>
      <c r="X96" s="168"/>
      <c r="Y96" s="168"/>
      <c r="Z96" s="168"/>
      <c r="AA96" s="168"/>
      <c r="AB96" s="168"/>
      <c r="AC96" s="168"/>
      <c r="AD96" s="168"/>
      <c r="AF96" s="73">
        <v>455</v>
      </c>
      <c r="AG96" s="168"/>
      <c r="AH96" s="168"/>
      <c r="AI96" s="168"/>
      <c r="AJ96" s="168"/>
      <c r="AK96" s="168"/>
      <c r="AL96" s="168"/>
      <c r="AM96" s="168"/>
      <c r="AO96" s="74">
        <v>455</v>
      </c>
      <c r="AP96" s="169"/>
      <c r="AQ96" s="169"/>
      <c r="AR96" s="169">
        <v>14.580696592285349</v>
      </c>
      <c r="AS96" s="169"/>
      <c r="AT96" s="169"/>
      <c r="AU96" s="169"/>
      <c r="AV96" s="169"/>
      <c r="AW96" s="169"/>
      <c r="AX96" s="169"/>
      <c r="AZ96" s="165">
        <v>755</v>
      </c>
      <c r="BA96" s="173">
        <v>229.58500000000001</v>
      </c>
      <c r="BB96" s="171">
        <v>55.005400000000002</v>
      </c>
      <c r="BC96" s="172"/>
      <c r="BD96" s="173"/>
      <c r="BE96" s="173"/>
      <c r="BF96" s="173"/>
      <c r="BG96" s="173">
        <v>1</v>
      </c>
      <c r="BH96" s="173"/>
      <c r="BI96" s="166">
        <v>755</v>
      </c>
      <c r="BJ96" s="174"/>
      <c r="BK96" s="174"/>
      <c r="BL96" s="174"/>
      <c r="BM96" s="174"/>
      <c r="BN96" s="174"/>
      <c r="BO96" s="174"/>
      <c r="BP96" s="175">
        <f>Inputs!B99</f>
        <v>455</v>
      </c>
      <c r="BQ96" s="175">
        <f>IF(LEFT(Inputs!$C$11,6)="photon",10^Inputs!C99,Inputs!C99)</f>
        <v>2.1047973413117799E-3</v>
      </c>
      <c r="BR96" s="175"/>
      <c r="BS96" s="175">
        <f>'Advanced Inputs'!I101</f>
        <v>455</v>
      </c>
      <c r="BT96" s="175">
        <f>IF('Advanced Inputs'!J$19="Photon system",10^'Advanced Inputs'!J101,'Advanced Inputs'!J101)</f>
        <v>0</v>
      </c>
      <c r="BV96" s="175">
        <v>455</v>
      </c>
      <c r="BW96" s="73">
        <v>35.406799999999997</v>
      </c>
      <c r="BX96" s="73">
        <v>117.41</v>
      </c>
      <c r="CC96" s="73">
        <v>1</v>
      </c>
    </row>
    <row r="97" spans="8:81" hidden="1" x14ac:dyDescent="0.2">
      <c r="H97" s="73">
        <v>456</v>
      </c>
      <c r="I97" s="168"/>
      <c r="J97" s="168"/>
      <c r="K97" s="168"/>
      <c r="L97" s="168"/>
      <c r="M97" s="168"/>
      <c r="N97" s="168"/>
      <c r="O97" s="168"/>
      <c r="P97" s="168"/>
      <c r="Q97" s="168"/>
      <c r="R97" s="168"/>
      <c r="S97" s="168">
        <v>7.0619199999999998</v>
      </c>
      <c r="T97" s="168"/>
      <c r="V97" s="73">
        <v>456</v>
      </c>
      <c r="W97" s="168"/>
      <c r="X97" s="168"/>
      <c r="Y97" s="168"/>
      <c r="Z97" s="168"/>
      <c r="AA97" s="168"/>
      <c r="AB97" s="168"/>
      <c r="AC97" s="168"/>
      <c r="AD97" s="168"/>
      <c r="AF97" s="73">
        <v>456</v>
      </c>
      <c r="AG97" s="168"/>
      <c r="AH97" s="168"/>
      <c r="AI97" s="168"/>
      <c r="AJ97" s="168"/>
      <c r="AK97" s="168"/>
      <c r="AL97" s="168"/>
      <c r="AM97" s="168"/>
      <c r="AO97" s="74">
        <v>456</v>
      </c>
      <c r="AP97" s="169"/>
      <c r="AQ97" s="169"/>
      <c r="AR97" s="169">
        <v>13.501293779470787</v>
      </c>
      <c r="AS97" s="169"/>
      <c r="AT97" s="169"/>
      <c r="AU97" s="169"/>
      <c r="AV97" s="169"/>
      <c r="AW97" s="169"/>
      <c r="AX97" s="169"/>
      <c r="AZ97" s="165">
        <v>760</v>
      </c>
      <c r="BA97" s="173">
        <v>232.11500000000001</v>
      </c>
      <c r="BB97" s="171">
        <v>46.418199999999999</v>
      </c>
      <c r="BC97" s="172"/>
      <c r="BD97" s="173"/>
      <c r="BE97" s="173"/>
      <c r="BF97" s="173"/>
      <c r="BG97" s="173">
        <v>1</v>
      </c>
      <c r="BH97" s="173"/>
      <c r="BI97" s="166">
        <v>760</v>
      </c>
      <c r="BJ97" s="174"/>
      <c r="BK97" s="174"/>
      <c r="BL97" s="174"/>
      <c r="BM97" s="174"/>
      <c r="BN97" s="174"/>
      <c r="BO97" s="174"/>
      <c r="BP97" s="175">
        <f>Inputs!B100</f>
        <v>456</v>
      </c>
      <c r="BQ97" s="175">
        <f>IF(LEFT(Inputs!$C$11,6)="photon",10^Inputs!C100,Inputs!C100)</f>
        <v>2.1097968599372201E-3</v>
      </c>
      <c r="BR97" s="175"/>
      <c r="BS97" s="175">
        <f>'Advanced Inputs'!I102</f>
        <v>456</v>
      </c>
      <c r="BT97" s="175">
        <f>IF('Advanced Inputs'!J$19="Photon system",10^'Advanced Inputs'!J102,'Advanced Inputs'!J102)</f>
        <v>0</v>
      </c>
      <c r="BV97" s="175">
        <v>456</v>
      </c>
      <c r="BW97" s="73">
        <v>35.881100000000004</v>
      </c>
      <c r="BX97" s="73">
        <v>117.49</v>
      </c>
      <c r="CC97" s="73">
        <v>1</v>
      </c>
    </row>
    <row r="98" spans="8:81" hidden="1" x14ac:dyDescent="0.2">
      <c r="H98" s="73">
        <v>457</v>
      </c>
      <c r="I98" s="168"/>
      <c r="J98" s="168"/>
      <c r="K98" s="168"/>
      <c r="L98" s="168"/>
      <c r="M98" s="168"/>
      <c r="N98" s="168"/>
      <c r="O98" s="168"/>
      <c r="P98" s="168"/>
      <c r="Q98" s="168"/>
      <c r="R98" s="168"/>
      <c r="S98" s="168">
        <v>6.9917600000000002</v>
      </c>
      <c r="T98" s="168"/>
      <c r="V98" s="73">
        <v>457</v>
      </c>
      <c r="W98" s="168"/>
      <c r="X98" s="168"/>
      <c r="Y98" s="168"/>
      <c r="Z98" s="168"/>
      <c r="AA98" s="168"/>
      <c r="AB98" s="168"/>
      <c r="AC98" s="168"/>
      <c r="AD98" s="168"/>
      <c r="AF98" s="73">
        <v>457</v>
      </c>
      <c r="AG98" s="168"/>
      <c r="AH98" s="168"/>
      <c r="AI98" s="168"/>
      <c r="AJ98" s="168"/>
      <c r="AK98" s="168"/>
      <c r="AL98" s="168"/>
      <c r="AM98" s="168"/>
      <c r="AO98" s="74">
        <v>457</v>
      </c>
      <c r="AP98" s="169"/>
      <c r="AQ98" s="169"/>
      <c r="AR98" s="169">
        <v>12.464582888440869</v>
      </c>
      <c r="AS98" s="169"/>
      <c r="AT98" s="169"/>
      <c r="AU98" s="169"/>
      <c r="AV98" s="169"/>
      <c r="AW98" s="169"/>
      <c r="AX98" s="169"/>
      <c r="AZ98" s="165">
        <v>765</v>
      </c>
      <c r="BA98" s="173">
        <v>234.589</v>
      </c>
      <c r="BB98" s="171">
        <v>56.611800000000002</v>
      </c>
      <c r="BC98" s="172"/>
      <c r="BD98" s="173"/>
      <c r="BE98" s="173"/>
      <c r="BF98" s="173"/>
      <c r="BG98" s="173">
        <v>1</v>
      </c>
      <c r="BH98" s="173"/>
      <c r="BI98" s="166">
        <v>765</v>
      </c>
      <c r="BJ98" s="174"/>
      <c r="BK98" s="174"/>
      <c r="BL98" s="174"/>
      <c r="BM98" s="174"/>
      <c r="BN98" s="174"/>
      <c r="BO98" s="174"/>
      <c r="BP98" s="175">
        <f>Inputs!B101</f>
        <v>457</v>
      </c>
      <c r="BQ98" s="175">
        <f>IF(LEFT(Inputs!$C$11,6)="photon",10^Inputs!C101,Inputs!C101)</f>
        <v>2.1147963785626699E-3</v>
      </c>
      <c r="BR98" s="175"/>
      <c r="BS98" s="175">
        <f>'Advanced Inputs'!I103</f>
        <v>457</v>
      </c>
      <c r="BT98" s="175">
        <f>IF('Advanced Inputs'!J$19="Photon system",10^'Advanced Inputs'!J103,'Advanced Inputs'!J103)</f>
        <v>0</v>
      </c>
      <c r="BV98" s="175">
        <v>457</v>
      </c>
      <c r="BW98" s="73">
        <v>36.358800000000002</v>
      </c>
      <c r="BX98" s="73">
        <v>117.571</v>
      </c>
      <c r="CC98" s="73">
        <v>1</v>
      </c>
    </row>
    <row r="99" spans="8:81" hidden="1" x14ac:dyDescent="0.2">
      <c r="H99" s="73">
        <v>458</v>
      </c>
      <c r="I99" s="168"/>
      <c r="J99" s="168"/>
      <c r="K99" s="168"/>
      <c r="L99" s="168"/>
      <c r="M99" s="168"/>
      <c r="N99" s="168"/>
      <c r="O99" s="168"/>
      <c r="P99" s="168"/>
      <c r="Q99" s="168"/>
      <c r="R99" s="168"/>
      <c r="S99" s="168">
        <v>6.9106400000000008</v>
      </c>
      <c r="T99" s="168"/>
      <c r="V99" s="73">
        <v>458</v>
      </c>
      <c r="W99" s="168"/>
      <c r="X99" s="168"/>
      <c r="Y99" s="168"/>
      <c r="Z99" s="168"/>
      <c r="AA99" s="168"/>
      <c r="AB99" s="168"/>
      <c r="AC99" s="168"/>
      <c r="AD99" s="168"/>
      <c r="AF99" s="73">
        <v>458</v>
      </c>
      <c r="AG99" s="168"/>
      <c r="AH99" s="168"/>
      <c r="AI99" s="168"/>
      <c r="AJ99" s="168"/>
      <c r="AK99" s="168"/>
      <c r="AL99" s="168"/>
      <c r="AM99" s="168"/>
      <c r="AO99" s="74">
        <v>458</v>
      </c>
      <c r="AP99" s="169"/>
      <c r="AQ99" s="169"/>
      <c r="AR99" s="169">
        <v>11.506328144106368</v>
      </c>
      <c r="AS99" s="169"/>
      <c r="AT99" s="169"/>
      <c r="AU99" s="169"/>
      <c r="AV99" s="169"/>
      <c r="AW99" s="169"/>
      <c r="AX99" s="169"/>
      <c r="AZ99" s="165">
        <v>770</v>
      </c>
      <c r="BA99" s="173">
        <v>237.00800000000001</v>
      </c>
      <c r="BB99" s="171">
        <v>66.805400000000006</v>
      </c>
      <c r="BC99" s="172"/>
      <c r="BD99" s="173"/>
      <c r="BE99" s="173"/>
      <c r="BF99" s="173"/>
      <c r="BG99" s="173">
        <v>1</v>
      </c>
      <c r="BH99" s="173"/>
      <c r="BI99" s="166">
        <v>770</v>
      </c>
      <c r="BJ99" s="174"/>
      <c r="BK99" s="174"/>
      <c r="BL99" s="174"/>
      <c r="BM99" s="174"/>
      <c r="BN99" s="174"/>
      <c r="BO99" s="174"/>
      <c r="BP99" s="175">
        <f>Inputs!B102</f>
        <v>458</v>
      </c>
      <c r="BQ99" s="175">
        <f>IF(LEFT(Inputs!$C$11,6)="photon",10^Inputs!C102,Inputs!C102)</f>
        <v>2.1097968599372201E-3</v>
      </c>
      <c r="BR99" s="175"/>
      <c r="BS99" s="175">
        <f>'Advanced Inputs'!I104</f>
        <v>458</v>
      </c>
      <c r="BT99" s="175">
        <f>IF('Advanced Inputs'!J$19="Photon system",10^'Advanced Inputs'!J104,'Advanced Inputs'!J104)</f>
        <v>0</v>
      </c>
      <c r="BV99" s="175">
        <v>458</v>
      </c>
      <c r="BW99" s="73">
        <v>36.8399</v>
      </c>
      <c r="BX99" s="73">
        <v>117.651</v>
      </c>
      <c r="CC99" s="73">
        <v>1</v>
      </c>
    </row>
    <row r="100" spans="8:81" hidden="1" x14ac:dyDescent="0.2">
      <c r="H100" s="73">
        <v>459</v>
      </c>
      <c r="I100" s="168"/>
      <c r="J100" s="168"/>
      <c r="K100" s="168"/>
      <c r="L100" s="168"/>
      <c r="M100" s="168"/>
      <c r="N100" s="168"/>
      <c r="O100" s="168"/>
      <c r="P100" s="168"/>
      <c r="Q100" s="168"/>
      <c r="R100" s="168"/>
      <c r="S100" s="168">
        <v>6.8196799999999991</v>
      </c>
      <c r="T100" s="168"/>
      <c r="V100" s="73">
        <v>459</v>
      </c>
      <c r="W100" s="168"/>
      <c r="X100" s="168"/>
      <c r="Y100" s="168"/>
      <c r="Z100" s="168"/>
      <c r="AA100" s="168"/>
      <c r="AB100" s="168"/>
      <c r="AC100" s="168"/>
      <c r="AD100" s="168"/>
      <c r="AF100" s="73">
        <v>459</v>
      </c>
      <c r="AG100" s="168"/>
      <c r="AH100" s="168"/>
      <c r="AI100" s="168"/>
      <c r="AJ100" s="168"/>
      <c r="AK100" s="168"/>
      <c r="AL100" s="168"/>
      <c r="AM100" s="168"/>
      <c r="AO100" s="74">
        <v>459</v>
      </c>
      <c r="AP100" s="169"/>
      <c r="AQ100" s="169"/>
      <c r="AR100" s="169">
        <v>10.649421002641079</v>
      </c>
      <c r="AS100" s="169"/>
      <c r="AT100" s="169"/>
      <c r="AU100" s="169"/>
      <c r="AV100" s="169"/>
      <c r="AW100" s="169"/>
      <c r="AX100" s="169"/>
      <c r="AZ100" s="165">
        <v>775</v>
      </c>
      <c r="BA100" s="173">
        <v>239.37</v>
      </c>
      <c r="BB100" s="171">
        <v>65.094099999999997</v>
      </c>
      <c r="BC100" s="172"/>
      <c r="BD100" s="173"/>
      <c r="BE100" s="173"/>
      <c r="BF100" s="173"/>
      <c r="BG100" s="173">
        <v>1</v>
      </c>
      <c r="BH100" s="173"/>
      <c r="BI100" s="166">
        <v>775</v>
      </c>
      <c r="BJ100" s="174"/>
      <c r="BK100" s="174"/>
      <c r="BL100" s="174"/>
      <c r="BM100" s="174"/>
      <c r="BN100" s="174"/>
      <c r="BO100" s="174"/>
      <c r="BP100" s="175">
        <f>Inputs!B103</f>
        <v>459</v>
      </c>
      <c r="BQ100" s="175">
        <f>IF(LEFT(Inputs!$C$11,6)="photon",10^Inputs!C103,Inputs!C103)</f>
        <v>2.0997978226863401E-3</v>
      </c>
      <c r="BR100" s="175"/>
      <c r="BS100" s="175">
        <f>'Advanced Inputs'!I105</f>
        <v>459</v>
      </c>
      <c r="BT100" s="175">
        <f>IF('Advanced Inputs'!J$19="Photon system",10^'Advanced Inputs'!J105,'Advanced Inputs'!J105)</f>
        <v>0</v>
      </c>
      <c r="BV100" s="175">
        <v>459</v>
      </c>
      <c r="BW100" s="73">
        <v>37.324300000000001</v>
      </c>
      <c r="BX100" s="73">
        <v>117.732</v>
      </c>
      <c r="CC100" s="73">
        <v>1</v>
      </c>
    </row>
    <row r="101" spans="8:81" hidden="1" x14ac:dyDescent="0.2">
      <c r="H101" s="73">
        <v>460</v>
      </c>
      <c r="I101" s="168"/>
      <c r="J101" s="168"/>
      <c r="K101" s="168"/>
      <c r="L101" s="168"/>
      <c r="M101" s="168"/>
      <c r="N101" s="168"/>
      <c r="O101" s="168"/>
      <c r="P101" s="168"/>
      <c r="Q101" s="168"/>
      <c r="R101" s="168"/>
      <c r="S101" s="168">
        <v>6.72</v>
      </c>
      <c r="T101" s="168"/>
      <c r="V101" s="73">
        <v>460</v>
      </c>
      <c r="W101" s="168"/>
      <c r="X101" s="168"/>
      <c r="Y101" s="168"/>
      <c r="Z101" s="168"/>
      <c r="AA101" s="168"/>
      <c r="AB101" s="168"/>
      <c r="AC101" s="168"/>
      <c r="AD101" s="168"/>
      <c r="AF101" s="73">
        <v>460</v>
      </c>
      <c r="AG101" s="168"/>
      <c r="AH101" s="168"/>
      <c r="AI101" s="168"/>
      <c r="AJ101" s="168"/>
      <c r="AK101" s="168"/>
      <c r="AL101" s="168"/>
      <c r="AM101" s="168"/>
      <c r="AO101" s="74">
        <v>460</v>
      </c>
      <c r="AP101" s="169"/>
      <c r="AQ101" s="169"/>
      <c r="AR101" s="169">
        <v>9.9037197820246146</v>
      </c>
      <c r="AS101" s="169"/>
      <c r="AT101" s="169"/>
      <c r="AU101" s="169"/>
      <c r="AV101" s="169"/>
      <c r="AW101" s="169"/>
      <c r="AX101" s="169"/>
      <c r="AZ101" s="165">
        <v>780</v>
      </c>
      <c r="BA101" s="173">
        <v>241.67500000000001</v>
      </c>
      <c r="BB101" s="171">
        <v>63.382800000000003</v>
      </c>
      <c r="BC101" s="172"/>
      <c r="BD101" s="173"/>
      <c r="BE101" s="173"/>
      <c r="BF101" s="173"/>
      <c r="BG101" s="173">
        <v>1</v>
      </c>
      <c r="BH101" s="173"/>
      <c r="BI101" s="166">
        <v>780</v>
      </c>
      <c r="BJ101" s="174"/>
      <c r="BK101" s="174"/>
      <c r="BL101" s="174"/>
      <c r="BM101" s="174"/>
      <c r="BN101" s="174"/>
      <c r="BO101" s="174"/>
      <c r="BP101" s="175">
        <f>Inputs!B104</f>
        <v>460</v>
      </c>
      <c r="BQ101" s="175">
        <f>IF(LEFT(Inputs!$C$11,6)="photon",10^Inputs!C104,Inputs!C104)</f>
        <v>2.0947983040608899E-3</v>
      </c>
      <c r="BR101" s="175"/>
      <c r="BS101" s="175">
        <f>'Advanced Inputs'!I106</f>
        <v>460</v>
      </c>
      <c r="BT101" s="175">
        <f>IF('Advanced Inputs'!J$19="Photon system",10^'Advanced Inputs'!J106,'Advanced Inputs'!J106)</f>
        <v>0</v>
      </c>
      <c r="BV101" s="175">
        <v>460</v>
      </c>
      <c r="BW101" s="73">
        <v>37.812100000000001</v>
      </c>
      <c r="BX101" s="73">
        <v>117.812</v>
      </c>
      <c r="CC101" s="73">
        <v>1</v>
      </c>
    </row>
    <row r="102" spans="8:81" hidden="1" x14ac:dyDescent="0.2">
      <c r="H102" s="73">
        <v>461</v>
      </c>
      <c r="I102" s="168"/>
      <c r="J102" s="168"/>
      <c r="K102" s="168"/>
      <c r="L102" s="168"/>
      <c r="M102" s="168"/>
      <c r="N102" s="168"/>
      <c r="O102" s="168"/>
      <c r="P102" s="168"/>
      <c r="Q102" s="168"/>
      <c r="R102" s="168"/>
      <c r="S102" s="168">
        <v>6.6136799999999996</v>
      </c>
      <c r="T102" s="168"/>
      <c r="V102" s="73">
        <v>461</v>
      </c>
      <c r="W102" s="168"/>
      <c r="X102" s="168"/>
      <c r="Y102" s="168"/>
      <c r="Z102" s="168"/>
      <c r="AA102" s="168"/>
      <c r="AB102" s="168"/>
      <c r="AC102" s="168"/>
      <c r="AD102" s="168"/>
      <c r="AF102" s="73">
        <v>461</v>
      </c>
      <c r="AG102" s="168"/>
      <c r="AH102" s="168"/>
      <c r="AI102" s="168"/>
      <c r="AJ102" s="168"/>
      <c r="AK102" s="168"/>
      <c r="AL102" s="168"/>
      <c r="AM102" s="168"/>
      <c r="AO102" s="74">
        <v>461</v>
      </c>
      <c r="AP102" s="169"/>
      <c r="AQ102" s="169"/>
      <c r="AR102" s="169">
        <v>9.2677684186026799</v>
      </c>
      <c r="AS102" s="169"/>
      <c r="AT102" s="169"/>
      <c r="AU102" s="169"/>
      <c r="AV102" s="169"/>
      <c r="AW102" s="169"/>
      <c r="AX102" s="169"/>
      <c r="BH102" s="173"/>
      <c r="BP102" s="175">
        <f>Inputs!B105</f>
        <v>461</v>
      </c>
      <c r="BQ102" s="175">
        <f>IF(LEFT(Inputs!$C$11,6)="photon",10^Inputs!C105,Inputs!C105)</f>
        <v>2.0997978226863401E-3</v>
      </c>
      <c r="BR102" s="175"/>
      <c r="BS102" s="175">
        <f>'Advanced Inputs'!I107</f>
        <v>461</v>
      </c>
      <c r="BT102" s="175">
        <f>IF('Advanced Inputs'!J$19="Photon system",10^'Advanced Inputs'!J107,'Advanced Inputs'!J107)</f>
        <v>0</v>
      </c>
      <c r="BV102" s="175">
        <v>461</v>
      </c>
      <c r="BW102" s="73">
        <v>38.303100000000001</v>
      </c>
      <c r="BX102" s="73">
        <v>117.517</v>
      </c>
      <c r="CC102" s="73">
        <v>1</v>
      </c>
    </row>
    <row r="103" spans="8:81" hidden="1" x14ac:dyDescent="0.2">
      <c r="H103" s="73">
        <v>462</v>
      </c>
      <c r="I103" s="168"/>
      <c r="J103" s="168"/>
      <c r="K103" s="168"/>
      <c r="L103" s="168"/>
      <c r="M103" s="168"/>
      <c r="N103" s="168"/>
      <c r="O103" s="168"/>
      <c r="P103" s="168"/>
      <c r="Q103" s="168"/>
      <c r="R103" s="168"/>
      <c r="S103" s="168">
        <v>6.5006399999999998</v>
      </c>
      <c r="T103" s="168"/>
      <c r="V103" s="73">
        <v>462</v>
      </c>
      <c r="W103" s="168"/>
      <c r="X103" s="168"/>
      <c r="Y103" s="168"/>
      <c r="Z103" s="168"/>
      <c r="AA103" s="168"/>
      <c r="AB103" s="168"/>
      <c r="AC103" s="168"/>
      <c r="AD103" s="168"/>
      <c r="AF103" s="73">
        <v>462</v>
      </c>
      <c r="AG103" s="168"/>
      <c r="AH103" s="168"/>
      <c r="AI103" s="168"/>
      <c r="AJ103" s="168"/>
      <c r="AK103" s="168"/>
      <c r="AL103" s="168"/>
      <c r="AM103" s="168"/>
      <c r="AO103" s="74">
        <v>462</v>
      </c>
      <c r="AP103" s="169"/>
      <c r="AQ103" s="169"/>
      <c r="AR103" s="169">
        <v>8.7309511189430982</v>
      </c>
      <c r="AS103" s="169"/>
      <c r="AT103" s="169"/>
      <c r="AU103" s="169"/>
      <c r="AV103" s="169"/>
      <c r="AW103" s="169"/>
      <c r="AX103" s="169"/>
      <c r="BH103" s="173"/>
      <c r="BP103" s="175">
        <f>Inputs!B106</f>
        <v>462</v>
      </c>
      <c r="BQ103" s="175">
        <f>IF(LEFT(Inputs!$C$11,6)="photon",10^Inputs!C106,Inputs!C106)</f>
        <v>2.0897987854354501E-3</v>
      </c>
      <c r="BR103" s="175"/>
      <c r="BS103" s="175">
        <f>'Advanced Inputs'!I108</f>
        <v>462</v>
      </c>
      <c r="BT103" s="175">
        <f>IF('Advanced Inputs'!J$19="Photon system",10^'Advanced Inputs'!J108,'Advanced Inputs'!J108)</f>
        <v>0</v>
      </c>
      <c r="BV103" s="175">
        <v>462</v>
      </c>
      <c r="BW103" s="73">
        <v>38.797499999999999</v>
      </c>
      <c r="BX103" s="73">
        <v>117.22199999999999</v>
      </c>
      <c r="CC103" s="73">
        <v>1</v>
      </c>
    </row>
    <row r="104" spans="8:81" hidden="1" x14ac:dyDescent="0.2">
      <c r="H104" s="73">
        <v>463</v>
      </c>
      <c r="I104" s="168"/>
      <c r="J104" s="168"/>
      <c r="K104" s="168"/>
      <c r="L104" s="168"/>
      <c r="M104" s="168"/>
      <c r="N104" s="168"/>
      <c r="O104" s="168"/>
      <c r="P104" s="168"/>
      <c r="Q104" s="168"/>
      <c r="R104" s="168"/>
      <c r="S104" s="168">
        <v>6.3817599999999999</v>
      </c>
      <c r="T104" s="168"/>
      <c r="V104" s="73">
        <v>463</v>
      </c>
      <c r="W104" s="168"/>
      <c r="X104" s="168"/>
      <c r="Y104" s="168"/>
      <c r="Z104" s="168"/>
      <c r="AA104" s="168"/>
      <c r="AB104" s="168"/>
      <c r="AC104" s="168"/>
      <c r="AD104" s="168"/>
      <c r="AF104" s="73">
        <v>463</v>
      </c>
      <c r="AG104" s="168"/>
      <c r="AH104" s="168"/>
      <c r="AI104" s="168"/>
      <c r="AJ104" s="168"/>
      <c r="AK104" s="168"/>
      <c r="AL104" s="168"/>
      <c r="AM104" s="168"/>
      <c r="AO104" s="74">
        <v>463</v>
      </c>
      <c r="AP104" s="169"/>
      <c r="AQ104" s="169"/>
      <c r="AR104" s="169">
        <v>8.2757234732145193</v>
      </c>
      <c r="AS104" s="169"/>
      <c r="AT104" s="169"/>
      <c r="AU104" s="169"/>
      <c r="AV104" s="169"/>
      <c r="AW104" s="169"/>
      <c r="AX104" s="169"/>
      <c r="BH104" s="173"/>
      <c r="BP104" s="175">
        <f>Inputs!B107</f>
        <v>463</v>
      </c>
      <c r="BQ104" s="175">
        <f>IF(LEFT(Inputs!$C$11,6)="photon",10^Inputs!C107,Inputs!C107)</f>
        <v>2.0847992668099999E-3</v>
      </c>
      <c r="BR104" s="175"/>
      <c r="BS104" s="175">
        <f>'Advanced Inputs'!I109</f>
        <v>463</v>
      </c>
      <c r="BT104" s="175">
        <f>IF('Advanced Inputs'!J$19="Photon system",10^'Advanced Inputs'!J109,'Advanced Inputs'!J109)</f>
        <v>0</v>
      </c>
      <c r="BV104" s="175">
        <v>463</v>
      </c>
      <c r="BW104" s="73">
        <v>39.295099999999998</v>
      </c>
      <c r="BX104" s="73">
        <v>116.92700000000001</v>
      </c>
      <c r="CC104" s="73">
        <v>1</v>
      </c>
    </row>
    <row r="105" spans="8:81" hidden="1" x14ac:dyDescent="0.2">
      <c r="H105" s="73">
        <v>464</v>
      </c>
      <c r="I105" s="168"/>
      <c r="J105" s="168"/>
      <c r="K105" s="168"/>
      <c r="L105" s="168"/>
      <c r="M105" s="168"/>
      <c r="N105" s="168"/>
      <c r="O105" s="168"/>
      <c r="P105" s="168"/>
      <c r="Q105" s="168"/>
      <c r="R105" s="168"/>
      <c r="S105" s="168">
        <v>6.2579199999999995</v>
      </c>
      <c r="T105" s="168"/>
      <c r="V105" s="73">
        <v>464</v>
      </c>
      <c r="W105" s="168"/>
      <c r="X105" s="168"/>
      <c r="Y105" s="168"/>
      <c r="Z105" s="168"/>
      <c r="AA105" s="168"/>
      <c r="AB105" s="168"/>
      <c r="AC105" s="168"/>
      <c r="AD105" s="168"/>
      <c r="AF105" s="73">
        <v>464</v>
      </c>
      <c r="AG105" s="168"/>
      <c r="AH105" s="168"/>
      <c r="AI105" s="168"/>
      <c r="AJ105" s="168"/>
      <c r="AK105" s="168"/>
      <c r="AL105" s="168"/>
      <c r="AM105" s="168"/>
      <c r="AO105" s="74">
        <v>464</v>
      </c>
      <c r="AP105" s="169"/>
      <c r="AQ105" s="169"/>
      <c r="AR105" s="169">
        <v>7.8809287400739647</v>
      </c>
      <c r="AS105" s="169"/>
      <c r="AT105" s="169"/>
      <c r="AU105" s="169"/>
      <c r="AV105" s="169"/>
      <c r="AW105" s="169"/>
      <c r="AX105" s="169"/>
      <c r="BH105" s="173"/>
      <c r="BP105" s="175">
        <f>Inputs!B108</f>
        <v>464</v>
      </c>
      <c r="BQ105" s="175">
        <f>IF(LEFT(Inputs!$C$11,6)="photon",10^Inputs!C108,Inputs!C108)</f>
        <v>2.0648011923082299E-3</v>
      </c>
      <c r="BR105" s="175"/>
      <c r="BS105" s="175">
        <f>'Advanced Inputs'!I110</f>
        <v>464</v>
      </c>
      <c r="BT105" s="175">
        <f>IF('Advanced Inputs'!J$19="Photon system",10^'Advanced Inputs'!J110,'Advanced Inputs'!J110)</f>
        <v>0</v>
      </c>
      <c r="BV105" s="175">
        <v>464</v>
      </c>
      <c r="BW105" s="73">
        <v>39.795999999999999</v>
      </c>
      <c r="BX105" s="73">
        <v>116.63200000000001</v>
      </c>
      <c r="CC105" s="73">
        <v>1</v>
      </c>
    </row>
    <row r="106" spans="8:81" hidden="1" x14ac:dyDescent="0.2">
      <c r="H106" s="73">
        <v>465</v>
      </c>
      <c r="I106" s="168"/>
      <c r="J106" s="168"/>
      <c r="K106" s="168"/>
      <c r="L106" s="168"/>
      <c r="M106" s="168"/>
      <c r="N106" s="168"/>
      <c r="O106" s="168"/>
      <c r="P106" s="168"/>
      <c r="Q106" s="168"/>
      <c r="R106" s="168"/>
      <c r="S106" s="168">
        <v>6.13</v>
      </c>
      <c r="T106" s="168"/>
      <c r="V106" s="73">
        <v>465</v>
      </c>
      <c r="W106" s="168"/>
      <c r="X106" s="168"/>
      <c r="Y106" s="168"/>
      <c r="Z106" s="168"/>
      <c r="AA106" s="168"/>
      <c r="AB106" s="168"/>
      <c r="AC106" s="168"/>
      <c r="AD106" s="168"/>
      <c r="AF106" s="73">
        <v>465</v>
      </c>
      <c r="AG106" s="168"/>
      <c r="AH106" s="168"/>
      <c r="AI106" s="168"/>
      <c r="AJ106" s="168"/>
      <c r="AK106" s="168"/>
      <c r="AL106" s="168"/>
      <c r="AM106" s="168"/>
      <c r="AO106" s="74">
        <v>465</v>
      </c>
      <c r="AP106" s="169"/>
      <c r="AQ106" s="169"/>
      <c r="AR106" s="169">
        <v>7.5263222262724936</v>
      </c>
      <c r="AS106" s="169"/>
      <c r="AT106" s="169"/>
      <c r="AU106" s="169"/>
      <c r="AV106" s="169"/>
      <c r="AW106" s="169"/>
      <c r="AX106" s="169"/>
      <c r="BH106" s="173"/>
      <c r="BP106" s="175">
        <f>Inputs!B109</f>
        <v>465</v>
      </c>
      <c r="BQ106" s="175">
        <f>IF(LEFT(Inputs!$C$11,6)="photon",10^Inputs!C109,Inputs!C109)</f>
        <v>2.0498026364319001E-3</v>
      </c>
      <c r="BR106" s="175"/>
      <c r="BS106" s="175">
        <f>'Advanced Inputs'!I111</f>
        <v>465</v>
      </c>
      <c r="BT106" s="175">
        <f>IF('Advanced Inputs'!J$19="Photon system",10^'Advanced Inputs'!J111,'Advanced Inputs'!J111)</f>
        <v>0</v>
      </c>
      <c r="BV106" s="175">
        <v>465</v>
      </c>
      <c r="BW106" s="73">
        <v>40.300199999999997</v>
      </c>
      <c r="BX106" s="73">
        <v>116.336</v>
      </c>
      <c r="CC106" s="73">
        <v>1</v>
      </c>
    </row>
    <row r="107" spans="8:81" hidden="1" x14ac:dyDescent="0.2">
      <c r="H107" s="73">
        <v>466</v>
      </c>
      <c r="I107" s="168"/>
      <c r="J107" s="168"/>
      <c r="K107" s="168"/>
      <c r="L107" s="168"/>
      <c r="M107" s="168"/>
      <c r="N107" s="168"/>
      <c r="O107" s="168"/>
      <c r="P107" s="168"/>
      <c r="Q107" s="168"/>
      <c r="R107" s="168"/>
      <c r="S107" s="168">
        <v>5.9998399999999998</v>
      </c>
      <c r="T107" s="168"/>
      <c r="V107" s="73">
        <v>466</v>
      </c>
      <c r="W107" s="168"/>
      <c r="X107" s="168"/>
      <c r="Y107" s="168"/>
      <c r="Z107" s="168"/>
      <c r="AA107" s="168"/>
      <c r="AB107" s="168"/>
      <c r="AC107" s="168"/>
      <c r="AD107" s="168"/>
      <c r="AF107" s="73">
        <v>466</v>
      </c>
      <c r="AG107" s="168"/>
      <c r="AH107" s="168"/>
      <c r="AI107" s="168"/>
      <c r="AJ107" s="168"/>
      <c r="AK107" s="168"/>
      <c r="AL107" s="168"/>
      <c r="AM107" s="168"/>
      <c r="AO107" s="74">
        <v>466</v>
      </c>
      <c r="AP107" s="169"/>
      <c r="AQ107" s="169"/>
      <c r="AR107" s="169">
        <v>7.1965070860054752</v>
      </c>
      <c r="AS107" s="169"/>
      <c r="AT107" s="169"/>
      <c r="AU107" s="169"/>
      <c r="AV107" s="169"/>
      <c r="AW107" s="169"/>
      <c r="AX107" s="169"/>
      <c r="BH107" s="173"/>
      <c r="BP107" s="175">
        <f>Inputs!B110</f>
        <v>466</v>
      </c>
      <c r="BQ107" s="175">
        <f>IF(LEFT(Inputs!$C$11,6)="photon",10^Inputs!C110,Inputs!C110)</f>
        <v>2.0298045619301201E-3</v>
      </c>
      <c r="BR107" s="175"/>
      <c r="BS107" s="175">
        <f>'Advanced Inputs'!I112</f>
        <v>466</v>
      </c>
      <c r="BT107" s="175">
        <f>IF('Advanced Inputs'!J$19="Photon system",10^'Advanced Inputs'!J112,'Advanced Inputs'!J112)</f>
        <v>0</v>
      </c>
      <c r="BV107" s="175">
        <v>466</v>
      </c>
      <c r="BW107" s="73">
        <v>40.807600000000001</v>
      </c>
      <c r="BX107" s="73">
        <v>116.041</v>
      </c>
      <c r="CC107" s="73">
        <v>1</v>
      </c>
    </row>
    <row r="108" spans="8:81" hidden="1" x14ac:dyDescent="0.2">
      <c r="H108" s="73">
        <v>467</v>
      </c>
      <c r="I108" s="168"/>
      <c r="J108" s="168"/>
      <c r="K108" s="168"/>
      <c r="L108" s="168"/>
      <c r="M108" s="168"/>
      <c r="N108" s="168"/>
      <c r="O108" s="168"/>
      <c r="P108" s="168"/>
      <c r="Q108" s="168"/>
      <c r="R108" s="168"/>
      <c r="S108" s="168">
        <v>5.8671199999999999</v>
      </c>
      <c r="T108" s="168"/>
      <c r="V108" s="73">
        <v>467</v>
      </c>
      <c r="W108" s="168"/>
      <c r="X108" s="168"/>
      <c r="Y108" s="168"/>
      <c r="Z108" s="168"/>
      <c r="AA108" s="168"/>
      <c r="AB108" s="168"/>
      <c r="AC108" s="168"/>
      <c r="AD108" s="168"/>
      <c r="AF108" s="73">
        <v>467</v>
      </c>
      <c r="AG108" s="168"/>
      <c r="AH108" s="168"/>
      <c r="AI108" s="168"/>
      <c r="AJ108" s="168"/>
      <c r="AK108" s="168"/>
      <c r="AL108" s="168"/>
      <c r="AM108" s="168"/>
      <c r="AO108" s="74">
        <v>467</v>
      </c>
      <c r="AP108" s="169"/>
      <c r="AQ108" s="169"/>
      <c r="AR108" s="169">
        <v>6.8824616372743979</v>
      </c>
      <c r="AS108" s="169"/>
      <c r="AT108" s="169"/>
      <c r="AU108" s="169"/>
      <c r="AV108" s="169"/>
      <c r="AW108" s="169"/>
      <c r="AX108" s="169"/>
      <c r="BH108" s="173"/>
      <c r="BP108" s="175">
        <f>Inputs!B111</f>
        <v>467</v>
      </c>
      <c r="BQ108" s="175">
        <f>IF(LEFT(Inputs!$C$11,6)="photon",10^Inputs!C111,Inputs!C111)</f>
        <v>2.0098064874283501E-3</v>
      </c>
      <c r="BR108" s="175"/>
      <c r="BS108" s="175">
        <f>'Advanced Inputs'!I113</f>
        <v>467</v>
      </c>
      <c r="BT108" s="175">
        <f>IF('Advanced Inputs'!J$19="Photon system",10^'Advanced Inputs'!J113,'Advanced Inputs'!J113)</f>
        <v>0</v>
      </c>
      <c r="BV108" s="175">
        <v>467</v>
      </c>
      <c r="BW108" s="73">
        <v>41.318199999999997</v>
      </c>
      <c r="BX108" s="73">
        <v>115.746</v>
      </c>
      <c r="CC108" s="73">
        <v>1</v>
      </c>
    </row>
    <row r="109" spans="8:81" hidden="1" x14ac:dyDescent="0.2">
      <c r="H109" s="73">
        <v>468</v>
      </c>
      <c r="I109" s="168"/>
      <c r="J109" s="168"/>
      <c r="K109" s="168"/>
      <c r="L109" s="168"/>
      <c r="M109" s="168"/>
      <c r="N109" s="168"/>
      <c r="O109" s="168"/>
      <c r="P109" s="168"/>
      <c r="Q109" s="168"/>
      <c r="R109" s="168"/>
      <c r="S109" s="168">
        <v>5.7324799999999998</v>
      </c>
      <c r="T109" s="168"/>
      <c r="V109" s="73">
        <v>468</v>
      </c>
      <c r="W109" s="168"/>
      <c r="X109" s="168"/>
      <c r="Y109" s="168"/>
      <c r="Z109" s="168"/>
      <c r="AA109" s="168"/>
      <c r="AB109" s="168"/>
      <c r="AC109" s="168"/>
      <c r="AD109" s="168"/>
      <c r="AF109" s="73">
        <v>468</v>
      </c>
      <c r="AG109" s="168"/>
      <c r="AH109" s="168"/>
      <c r="AI109" s="168"/>
      <c r="AJ109" s="168"/>
      <c r="AK109" s="168"/>
      <c r="AL109" s="168"/>
      <c r="AM109" s="168"/>
      <c r="AO109" s="74">
        <v>468</v>
      </c>
      <c r="AP109" s="169"/>
      <c r="AQ109" s="169"/>
      <c r="AR109" s="169">
        <v>6.5807460439652861</v>
      </c>
      <c r="AS109" s="169"/>
      <c r="AT109" s="169"/>
      <c r="AU109" s="169"/>
      <c r="AV109" s="169"/>
      <c r="AW109" s="169"/>
      <c r="AX109" s="169"/>
      <c r="BH109" s="173"/>
      <c r="BP109" s="175">
        <f>Inputs!B112</f>
        <v>468</v>
      </c>
      <c r="BQ109" s="175">
        <f>IF(LEFT(Inputs!$C$11,6)="photon",10^Inputs!C112,Inputs!C112)</f>
        <v>1.9998074501774601E-3</v>
      </c>
      <c r="BR109" s="175"/>
      <c r="BS109" s="175">
        <f>'Advanced Inputs'!I114</f>
        <v>468</v>
      </c>
      <c r="BT109" s="175">
        <f>IF('Advanced Inputs'!J$19="Photon system",10^'Advanced Inputs'!J114,'Advanced Inputs'!J114)</f>
        <v>0</v>
      </c>
      <c r="BV109" s="175">
        <v>468</v>
      </c>
      <c r="BW109" s="73">
        <v>41.832000000000001</v>
      </c>
      <c r="BX109" s="73">
        <v>115.45099999999999</v>
      </c>
      <c r="CC109" s="73">
        <v>1</v>
      </c>
    </row>
    <row r="110" spans="8:81" hidden="1" x14ac:dyDescent="0.2">
      <c r="H110" s="73">
        <v>469</v>
      </c>
      <c r="I110" s="168"/>
      <c r="J110" s="168"/>
      <c r="K110" s="168"/>
      <c r="L110" s="168"/>
      <c r="M110" s="168"/>
      <c r="N110" s="168"/>
      <c r="O110" s="168"/>
      <c r="P110" s="168"/>
      <c r="Q110" s="168"/>
      <c r="R110" s="168"/>
      <c r="S110" s="168">
        <v>5.5965600000000002</v>
      </c>
      <c r="T110" s="168"/>
      <c r="V110" s="73">
        <v>469</v>
      </c>
      <c r="W110" s="168"/>
      <c r="X110" s="168"/>
      <c r="Y110" s="168"/>
      <c r="Z110" s="168"/>
      <c r="AA110" s="168"/>
      <c r="AB110" s="168"/>
      <c r="AC110" s="168"/>
      <c r="AD110" s="168"/>
      <c r="AF110" s="73">
        <v>469</v>
      </c>
      <c r="AG110" s="168"/>
      <c r="AH110" s="168"/>
      <c r="AI110" s="168"/>
      <c r="AJ110" s="168"/>
      <c r="AK110" s="168"/>
      <c r="AL110" s="168"/>
      <c r="AM110" s="168"/>
      <c r="AO110" s="74">
        <v>469</v>
      </c>
      <c r="AP110" s="169"/>
      <c r="AQ110" s="169"/>
      <c r="AR110" s="169">
        <v>6.2919326525692414</v>
      </c>
      <c r="AS110" s="169"/>
      <c r="AT110" s="169"/>
      <c r="AU110" s="169"/>
      <c r="AV110" s="169"/>
      <c r="AW110" s="169"/>
      <c r="AX110" s="169"/>
      <c r="BH110" s="173"/>
      <c r="BP110" s="175">
        <f>Inputs!B113</f>
        <v>469</v>
      </c>
      <c r="BQ110" s="175">
        <f>IF(LEFT(Inputs!$C$11,6)="photon",10^Inputs!C113,Inputs!C113)</f>
        <v>1.9998074501774601E-3</v>
      </c>
      <c r="BR110" s="175"/>
      <c r="BS110" s="175">
        <f>'Advanced Inputs'!I115</f>
        <v>469</v>
      </c>
      <c r="BT110" s="175">
        <f>IF('Advanced Inputs'!J$19="Photon system",10^'Advanced Inputs'!J115,'Advanced Inputs'!J115)</f>
        <v>0</v>
      </c>
      <c r="BV110" s="175">
        <v>469</v>
      </c>
      <c r="BW110" s="73">
        <v>42.3491</v>
      </c>
      <c r="BX110" s="73">
        <v>115.15600000000001</v>
      </c>
      <c r="CC110" s="73">
        <v>1</v>
      </c>
    </row>
    <row r="111" spans="8:81" hidden="1" x14ac:dyDescent="0.2">
      <c r="H111" s="73">
        <v>470</v>
      </c>
      <c r="I111" s="168"/>
      <c r="J111" s="168"/>
      <c r="K111" s="168"/>
      <c r="L111" s="168"/>
      <c r="M111" s="168"/>
      <c r="N111" s="168"/>
      <c r="O111" s="168"/>
      <c r="P111" s="168"/>
      <c r="Q111" s="168"/>
      <c r="R111" s="168"/>
      <c r="S111" s="168">
        <v>5.46</v>
      </c>
      <c r="T111" s="168"/>
      <c r="V111" s="73">
        <v>470</v>
      </c>
      <c r="W111" s="168"/>
      <c r="X111" s="168"/>
      <c r="Y111" s="168"/>
      <c r="Z111" s="168"/>
      <c r="AA111" s="168"/>
      <c r="AB111" s="168"/>
      <c r="AC111" s="168"/>
      <c r="AD111" s="168"/>
      <c r="AF111" s="73">
        <v>470</v>
      </c>
      <c r="AG111" s="168"/>
      <c r="AH111" s="168"/>
      <c r="AI111" s="168"/>
      <c r="AJ111" s="168"/>
      <c r="AK111" s="168"/>
      <c r="AL111" s="168"/>
      <c r="AM111" s="168"/>
      <c r="AO111" s="74">
        <v>470</v>
      </c>
      <c r="AP111" s="169"/>
      <c r="AQ111" s="169"/>
      <c r="AR111" s="169">
        <v>6.0194971225856815</v>
      </c>
      <c r="AS111" s="169"/>
      <c r="AT111" s="169"/>
      <c r="AU111" s="169"/>
      <c r="AV111" s="169"/>
      <c r="AW111" s="169"/>
      <c r="AX111" s="169"/>
      <c r="BH111" s="173"/>
      <c r="BP111" s="175">
        <f>Inputs!B114</f>
        <v>470</v>
      </c>
      <c r="BQ111" s="175">
        <f>IF(LEFT(Inputs!$C$11,6)="photon",10^Inputs!C114,Inputs!C114)</f>
        <v>1.9898084129265801E-3</v>
      </c>
      <c r="BR111" s="175"/>
      <c r="BS111" s="175">
        <f>'Advanced Inputs'!I116</f>
        <v>470</v>
      </c>
      <c r="BT111" s="175">
        <f>IF('Advanced Inputs'!J$19="Photon system",10^'Advanced Inputs'!J116,'Advanced Inputs'!J116)</f>
        <v>0</v>
      </c>
      <c r="BV111" s="175">
        <v>470</v>
      </c>
      <c r="BW111" s="73">
        <v>42.869300000000003</v>
      </c>
      <c r="BX111" s="73">
        <v>114.861</v>
      </c>
      <c r="CC111" s="73">
        <v>1</v>
      </c>
    </row>
    <row r="112" spans="8:81" hidden="1" x14ac:dyDescent="0.2">
      <c r="H112" s="73">
        <v>471</v>
      </c>
      <c r="I112" s="168"/>
      <c r="J112" s="168"/>
      <c r="K112" s="168"/>
      <c r="L112" s="168"/>
      <c r="M112" s="168"/>
      <c r="N112" s="168"/>
      <c r="O112" s="168"/>
      <c r="P112" s="168"/>
      <c r="Q112" s="168"/>
      <c r="R112" s="168"/>
      <c r="S112" s="168">
        <v>5.2767199999999992</v>
      </c>
      <c r="T112" s="168"/>
      <c r="V112" s="73">
        <v>471</v>
      </c>
      <c r="W112" s="168"/>
      <c r="X112" s="168"/>
      <c r="Y112" s="168"/>
      <c r="Z112" s="168"/>
      <c r="AA112" s="168"/>
      <c r="AB112" s="168"/>
      <c r="AC112" s="168"/>
      <c r="AD112" s="168"/>
      <c r="AF112" s="73">
        <v>471</v>
      </c>
      <c r="AG112" s="168"/>
      <c r="AH112" s="168"/>
      <c r="AI112" s="168"/>
      <c r="AJ112" s="168"/>
      <c r="AK112" s="168"/>
      <c r="AL112" s="168"/>
      <c r="AM112" s="168"/>
      <c r="AO112" s="74">
        <v>471</v>
      </c>
      <c r="AP112" s="169"/>
      <c r="AQ112" s="169"/>
      <c r="AR112" s="169">
        <v>5.7691382559800415</v>
      </c>
      <c r="AS112" s="169"/>
      <c r="AT112" s="169"/>
      <c r="AU112" s="169"/>
      <c r="AV112" s="169"/>
      <c r="AW112" s="169"/>
      <c r="AX112" s="169"/>
      <c r="BH112" s="173"/>
      <c r="BP112" s="175">
        <f>Inputs!B115</f>
        <v>471</v>
      </c>
      <c r="BQ112" s="175">
        <f>IF(LEFT(Inputs!$C$11,6)="photon",10^Inputs!C115,Inputs!C115)</f>
        <v>1.9748098570502399E-3</v>
      </c>
      <c r="BR112" s="175"/>
      <c r="BS112" s="175">
        <f>'Advanced Inputs'!I117</f>
        <v>471</v>
      </c>
      <c r="BT112" s="175">
        <f>IF('Advanced Inputs'!J$19="Photon system",10^'Advanced Inputs'!J117,'Advanced Inputs'!J117)</f>
        <v>0</v>
      </c>
      <c r="BV112" s="175">
        <v>471</v>
      </c>
      <c r="BW112" s="73">
        <v>43.392600000000002</v>
      </c>
      <c r="BX112" s="73">
        <v>114.967</v>
      </c>
      <c r="CC112" s="73">
        <v>1</v>
      </c>
    </row>
    <row r="113" spans="8:81" hidden="1" x14ac:dyDescent="0.2">
      <c r="H113" s="73">
        <v>472</v>
      </c>
      <c r="I113" s="168"/>
      <c r="J113" s="168"/>
      <c r="K113" s="168"/>
      <c r="L113" s="168"/>
      <c r="M113" s="168"/>
      <c r="N113" s="168"/>
      <c r="O113" s="168"/>
      <c r="P113" s="168"/>
      <c r="Q113" s="168"/>
      <c r="R113" s="168"/>
      <c r="S113" s="168">
        <v>5.105760000000001</v>
      </c>
      <c r="T113" s="168"/>
      <c r="V113" s="73">
        <v>472</v>
      </c>
      <c r="W113" s="168"/>
      <c r="X113" s="168"/>
      <c r="Y113" s="168"/>
      <c r="Z113" s="168"/>
      <c r="AA113" s="168"/>
      <c r="AB113" s="168"/>
      <c r="AC113" s="168"/>
      <c r="AD113" s="168"/>
      <c r="AF113" s="73">
        <v>472</v>
      </c>
      <c r="AG113" s="168"/>
      <c r="AH113" s="168"/>
      <c r="AI113" s="168"/>
      <c r="AJ113" s="168"/>
      <c r="AK113" s="168"/>
      <c r="AL113" s="168"/>
      <c r="AM113" s="168"/>
      <c r="AO113" s="74">
        <v>472</v>
      </c>
      <c r="AP113" s="169"/>
      <c r="AQ113" s="169"/>
      <c r="AR113" s="169">
        <v>5.5477770428073665</v>
      </c>
      <c r="AS113" s="169"/>
      <c r="AT113" s="169"/>
      <c r="AU113" s="169"/>
      <c r="AV113" s="169"/>
      <c r="AW113" s="169"/>
      <c r="AX113" s="169"/>
      <c r="BH113" s="173"/>
      <c r="BP113" s="175">
        <f>Inputs!B116</f>
        <v>472</v>
      </c>
      <c r="BQ113" s="175">
        <f>IF(LEFT(Inputs!$C$11,6)="photon",10^Inputs!C116,Inputs!C116)</f>
        <v>1.9648108197993599E-3</v>
      </c>
      <c r="BR113" s="175"/>
      <c r="BS113" s="175">
        <f>'Advanced Inputs'!I118</f>
        <v>472</v>
      </c>
      <c r="BT113" s="175">
        <f>IF('Advanced Inputs'!J$19="Photon system",10^'Advanced Inputs'!J118,'Advanced Inputs'!J118)</f>
        <v>0</v>
      </c>
      <c r="BV113" s="175">
        <v>472</v>
      </c>
      <c r="BW113" s="73">
        <v>43.919199999999996</v>
      </c>
      <c r="BX113" s="73">
        <v>115.07299999999999</v>
      </c>
      <c r="CC113" s="73">
        <v>1</v>
      </c>
    </row>
    <row r="114" spans="8:81" hidden="1" x14ac:dyDescent="0.2">
      <c r="H114" s="73">
        <v>473</v>
      </c>
      <c r="I114" s="168"/>
      <c r="J114" s="168"/>
      <c r="K114" s="168"/>
      <c r="L114" s="168"/>
      <c r="M114" s="168"/>
      <c r="N114" s="168"/>
      <c r="O114" s="168"/>
      <c r="P114" s="168"/>
      <c r="Q114" s="168"/>
      <c r="R114" s="168"/>
      <c r="S114" s="168">
        <v>4.9594400000000007</v>
      </c>
      <c r="T114" s="168"/>
      <c r="V114" s="73">
        <v>473</v>
      </c>
      <c r="W114" s="168"/>
      <c r="X114" s="168"/>
      <c r="Y114" s="168"/>
      <c r="Z114" s="168"/>
      <c r="AA114" s="168"/>
      <c r="AB114" s="168"/>
      <c r="AC114" s="168"/>
      <c r="AD114" s="168"/>
      <c r="AF114" s="73">
        <v>473</v>
      </c>
      <c r="AG114" s="168"/>
      <c r="AH114" s="168"/>
      <c r="AI114" s="168"/>
      <c r="AJ114" s="168"/>
      <c r="AK114" s="168"/>
      <c r="AL114" s="168"/>
      <c r="AM114" s="168"/>
      <c r="AO114" s="74">
        <v>473</v>
      </c>
      <c r="AP114" s="169"/>
      <c r="AQ114" s="169"/>
      <c r="AR114" s="169">
        <v>5.3619613756839302</v>
      </c>
      <c r="AS114" s="169"/>
      <c r="AT114" s="169"/>
      <c r="AU114" s="169"/>
      <c r="AV114" s="169"/>
      <c r="AW114" s="169"/>
      <c r="AX114" s="169"/>
      <c r="BH114" s="173"/>
      <c r="BP114" s="175">
        <f>Inputs!B117</f>
        <v>473</v>
      </c>
      <c r="BQ114" s="175">
        <f>IF(LEFT(Inputs!$C$11,6)="photon",10^Inputs!C117,Inputs!C117)</f>
        <v>1.9698103384248001E-3</v>
      </c>
      <c r="BR114" s="175"/>
      <c r="BS114" s="175">
        <f>'Advanced Inputs'!I119</f>
        <v>473</v>
      </c>
      <c r="BT114" s="175">
        <f>IF('Advanced Inputs'!J$19="Photon system",10^'Advanced Inputs'!J119,'Advanced Inputs'!J119)</f>
        <v>0</v>
      </c>
      <c r="BV114" s="175">
        <v>473</v>
      </c>
      <c r="BW114" s="73">
        <v>44.448799999999999</v>
      </c>
      <c r="BX114" s="73">
        <v>115.18</v>
      </c>
      <c r="CC114" s="73">
        <v>1</v>
      </c>
    </row>
    <row r="115" spans="8:81" hidden="1" x14ac:dyDescent="0.2">
      <c r="H115" s="73">
        <v>474</v>
      </c>
      <c r="I115" s="168"/>
      <c r="J115" s="168"/>
      <c r="K115" s="168"/>
      <c r="L115" s="168"/>
      <c r="M115" s="168"/>
      <c r="N115" s="168"/>
      <c r="O115" s="168"/>
      <c r="P115" s="168"/>
      <c r="Q115" s="168"/>
      <c r="R115" s="168"/>
      <c r="S115" s="168">
        <v>4.8500800000000002</v>
      </c>
      <c r="T115" s="168"/>
      <c r="V115" s="73">
        <v>474</v>
      </c>
      <c r="W115" s="168"/>
      <c r="X115" s="168"/>
      <c r="Y115" s="168"/>
      <c r="Z115" s="168"/>
      <c r="AA115" s="168"/>
      <c r="AB115" s="168"/>
      <c r="AC115" s="168"/>
      <c r="AD115" s="168"/>
      <c r="AF115" s="73">
        <v>474</v>
      </c>
      <c r="AG115" s="168"/>
      <c r="AH115" s="168"/>
      <c r="AI115" s="168"/>
      <c r="AJ115" s="168"/>
      <c r="AK115" s="168"/>
      <c r="AL115" s="168"/>
      <c r="AM115" s="168"/>
      <c r="AO115" s="74">
        <v>474</v>
      </c>
      <c r="AP115" s="169"/>
      <c r="AQ115" s="169"/>
      <c r="AR115" s="169">
        <v>5.2163155389590212</v>
      </c>
      <c r="AS115" s="169"/>
      <c r="AT115" s="169"/>
      <c r="AU115" s="169"/>
      <c r="AV115" s="169"/>
      <c r="AW115" s="169"/>
      <c r="AX115" s="169"/>
      <c r="BH115" s="173"/>
      <c r="BP115" s="175">
        <f>Inputs!B118</f>
        <v>474</v>
      </c>
      <c r="BQ115" s="175">
        <f>IF(LEFT(Inputs!$C$11,6)="photon",10^Inputs!C118,Inputs!C118)</f>
        <v>1.9748098570502399E-3</v>
      </c>
      <c r="BR115" s="175"/>
      <c r="BS115" s="175">
        <f>'Advanced Inputs'!I120</f>
        <v>474</v>
      </c>
      <c r="BT115" s="175">
        <f>IF('Advanced Inputs'!J$19="Photon system",10^'Advanced Inputs'!J120,'Advanced Inputs'!J120)</f>
        <v>0</v>
      </c>
      <c r="BV115" s="175">
        <v>474</v>
      </c>
      <c r="BW115" s="73">
        <v>44.9816</v>
      </c>
      <c r="BX115" s="73">
        <v>115.286</v>
      </c>
      <c r="CC115" s="73">
        <v>1</v>
      </c>
    </row>
    <row r="116" spans="8:81" hidden="1" x14ac:dyDescent="0.2">
      <c r="H116" s="73">
        <v>475</v>
      </c>
      <c r="I116" s="168"/>
      <c r="J116" s="168"/>
      <c r="K116" s="168"/>
      <c r="L116" s="168"/>
      <c r="M116" s="168"/>
      <c r="N116" s="168"/>
      <c r="O116" s="168"/>
      <c r="P116" s="168"/>
      <c r="Q116" s="168"/>
      <c r="R116" s="168"/>
      <c r="S116" s="168">
        <v>4.79</v>
      </c>
      <c r="T116" s="168"/>
      <c r="V116" s="73">
        <v>475</v>
      </c>
      <c r="W116" s="168"/>
      <c r="X116" s="168"/>
      <c r="Y116" s="168"/>
      <c r="Z116" s="168"/>
      <c r="AA116" s="168"/>
      <c r="AB116" s="168"/>
      <c r="AC116" s="168"/>
      <c r="AD116" s="168"/>
      <c r="AF116" s="73">
        <v>475</v>
      </c>
      <c r="AG116" s="168"/>
      <c r="AH116" s="168"/>
      <c r="AI116" s="168"/>
      <c r="AJ116" s="168"/>
      <c r="AK116" s="168"/>
      <c r="AL116" s="168"/>
      <c r="AM116" s="168"/>
      <c r="AO116" s="74">
        <v>475</v>
      </c>
      <c r="AP116" s="169"/>
      <c r="AQ116" s="169"/>
      <c r="AR116" s="169">
        <v>5.112864257841542</v>
      </c>
      <c r="AS116" s="169"/>
      <c r="AT116" s="169"/>
      <c r="AU116" s="169"/>
      <c r="AV116" s="169"/>
      <c r="AW116" s="169"/>
      <c r="AX116" s="169"/>
      <c r="BH116" s="173"/>
      <c r="BP116" s="175">
        <f>Inputs!B119</f>
        <v>475</v>
      </c>
      <c r="BQ116" s="175">
        <f>IF(LEFT(Inputs!$C$11,6)="photon",10^Inputs!C119,Inputs!C119)</f>
        <v>1.9798093756756901E-3</v>
      </c>
      <c r="BR116" s="175"/>
      <c r="BS116" s="175">
        <f>'Advanced Inputs'!I121</f>
        <v>475</v>
      </c>
      <c r="BT116" s="175">
        <f>IF('Advanced Inputs'!J$19="Photon system",10^'Advanced Inputs'!J121,'Advanced Inputs'!J121)</f>
        <v>0</v>
      </c>
      <c r="BV116" s="175">
        <v>475</v>
      </c>
      <c r="BW116" s="73">
        <v>45.517400000000002</v>
      </c>
      <c r="BX116" s="73">
        <v>115.392</v>
      </c>
      <c r="CC116" s="73">
        <v>1</v>
      </c>
    </row>
    <row r="117" spans="8:81" hidden="1" x14ac:dyDescent="0.2">
      <c r="H117" s="73">
        <v>476</v>
      </c>
      <c r="I117" s="168"/>
      <c r="J117" s="168"/>
      <c r="K117" s="168"/>
      <c r="L117" s="168"/>
      <c r="M117" s="168"/>
      <c r="N117" s="168"/>
      <c r="O117" s="168"/>
      <c r="P117" s="168"/>
      <c r="Q117" s="168"/>
      <c r="R117" s="168"/>
      <c r="S117" s="168">
        <v>4.6417600000000006</v>
      </c>
      <c r="T117" s="168"/>
      <c r="V117" s="73">
        <v>476</v>
      </c>
      <c r="W117" s="168"/>
      <c r="X117" s="168"/>
      <c r="Y117" s="168"/>
      <c r="Z117" s="168"/>
      <c r="AA117" s="168"/>
      <c r="AB117" s="168"/>
      <c r="AC117" s="168"/>
      <c r="AD117" s="168"/>
      <c r="AF117" s="73">
        <v>476</v>
      </c>
      <c r="AG117" s="168"/>
      <c r="AH117" s="168"/>
      <c r="AI117" s="168"/>
      <c r="AJ117" s="168"/>
      <c r="AK117" s="168"/>
      <c r="AL117" s="168"/>
      <c r="AM117" s="168"/>
      <c r="AO117" s="74">
        <v>476</v>
      </c>
      <c r="AP117" s="169"/>
      <c r="AQ117" s="169"/>
      <c r="AR117" s="169">
        <v>5.051326981219546</v>
      </c>
      <c r="AS117" s="169"/>
      <c r="AT117" s="169"/>
      <c r="AU117" s="169"/>
      <c r="AV117" s="169"/>
      <c r="AW117" s="169"/>
      <c r="AX117" s="169"/>
      <c r="BH117" s="173"/>
      <c r="BP117" s="175">
        <f>Inputs!B120</f>
        <v>476</v>
      </c>
      <c r="BQ117" s="175">
        <f>IF(LEFT(Inputs!$C$11,6)="photon",10^Inputs!C120,Inputs!C120)</f>
        <v>1.9698103384248001E-3</v>
      </c>
      <c r="BR117" s="175"/>
      <c r="BS117" s="175">
        <f>'Advanced Inputs'!I122</f>
        <v>476</v>
      </c>
      <c r="BT117" s="175">
        <f>IF('Advanced Inputs'!J$19="Photon system",10^'Advanced Inputs'!J122,'Advanced Inputs'!J122)</f>
        <v>0</v>
      </c>
      <c r="BV117" s="175">
        <v>476</v>
      </c>
      <c r="BW117" s="73">
        <v>46.0563</v>
      </c>
      <c r="BX117" s="73">
        <v>115.498</v>
      </c>
      <c r="CC117" s="73">
        <v>1</v>
      </c>
    </row>
    <row r="118" spans="8:81" hidden="1" x14ac:dyDescent="0.2">
      <c r="H118" s="73">
        <v>477</v>
      </c>
      <c r="I118" s="168"/>
      <c r="J118" s="168"/>
      <c r="K118" s="168"/>
      <c r="L118" s="168"/>
      <c r="M118" s="168"/>
      <c r="N118" s="168"/>
      <c r="O118" s="168"/>
      <c r="P118" s="168"/>
      <c r="Q118" s="168"/>
      <c r="R118" s="168"/>
      <c r="S118" s="168">
        <v>4.6048800000000005</v>
      </c>
      <c r="T118" s="168"/>
      <c r="V118" s="73">
        <v>477</v>
      </c>
      <c r="W118" s="168"/>
      <c r="X118" s="168"/>
      <c r="Y118" s="168"/>
      <c r="Z118" s="168"/>
      <c r="AA118" s="168"/>
      <c r="AB118" s="168"/>
      <c r="AC118" s="168"/>
      <c r="AD118" s="168"/>
      <c r="AF118" s="73">
        <v>477</v>
      </c>
      <c r="AG118" s="168"/>
      <c r="AH118" s="168"/>
      <c r="AI118" s="168"/>
      <c r="AJ118" s="168"/>
      <c r="AK118" s="168"/>
      <c r="AL118" s="168"/>
      <c r="AM118" s="168"/>
      <c r="AO118" s="74">
        <v>477</v>
      </c>
      <c r="AP118" s="169"/>
      <c r="AQ118" s="169"/>
      <c r="AR118" s="169">
        <v>5.0297104236992656</v>
      </c>
      <c r="AS118" s="169"/>
      <c r="AT118" s="169"/>
      <c r="AU118" s="169"/>
      <c r="AV118" s="169"/>
      <c r="AW118" s="169"/>
      <c r="AX118" s="169"/>
      <c r="BP118" s="175">
        <f>Inputs!B121</f>
        <v>477</v>
      </c>
      <c r="BQ118" s="175">
        <f>IF(LEFT(Inputs!$C$11,6)="photon",10^Inputs!C121,Inputs!C121)</f>
        <v>1.9698103384248001E-3</v>
      </c>
      <c r="BR118" s="175"/>
      <c r="BS118" s="175">
        <f>'Advanced Inputs'!I123</f>
        <v>477</v>
      </c>
      <c r="BT118" s="175">
        <f>IF('Advanced Inputs'!J$19="Photon system",10^'Advanced Inputs'!J123,'Advanced Inputs'!J123)</f>
        <v>0</v>
      </c>
      <c r="BV118" s="175">
        <v>477</v>
      </c>
      <c r="BW118" s="73">
        <v>46.598300000000002</v>
      </c>
      <c r="BX118" s="73">
        <v>115.604</v>
      </c>
      <c r="CC118" s="73">
        <v>1</v>
      </c>
    </row>
    <row r="119" spans="8:81" hidden="1" x14ac:dyDescent="0.2">
      <c r="H119" s="73">
        <v>478</v>
      </c>
      <c r="I119" s="168"/>
      <c r="J119" s="168"/>
      <c r="K119" s="168"/>
      <c r="L119" s="168"/>
      <c r="M119" s="168"/>
      <c r="N119" s="168"/>
      <c r="O119" s="168"/>
      <c r="P119" s="168"/>
      <c r="Q119" s="168"/>
      <c r="R119" s="168"/>
      <c r="S119" s="168">
        <v>4.7291200000000009</v>
      </c>
      <c r="T119" s="168"/>
      <c r="V119" s="73">
        <v>478</v>
      </c>
      <c r="W119" s="168"/>
      <c r="X119" s="168"/>
      <c r="Y119" s="168"/>
      <c r="Z119" s="168"/>
      <c r="AA119" s="168"/>
      <c r="AB119" s="168"/>
      <c r="AC119" s="168"/>
      <c r="AD119" s="168"/>
      <c r="AF119" s="73">
        <v>478</v>
      </c>
      <c r="AG119" s="168"/>
      <c r="AH119" s="168"/>
      <c r="AI119" s="168"/>
      <c r="AJ119" s="168"/>
      <c r="AK119" s="168"/>
      <c r="AL119" s="168"/>
      <c r="AM119" s="168"/>
      <c r="AO119" s="74">
        <v>478</v>
      </c>
      <c r="AP119" s="169"/>
      <c r="AQ119" s="169"/>
      <c r="AR119" s="169">
        <v>5.0446560635562516</v>
      </c>
      <c r="AS119" s="169"/>
      <c r="AT119" s="169"/>
      <c r="AU119" s="169"/>
      <c r="AV119" s="169"/>
      <c r="AW119" s="169"/>
      <c r="AX119" s="169"/>
      <c r="BP119" s="175">
        <f>Inputs!B122</f>
        <v>478</v>
      </c>
      <c r="BQ119" s="175">
        <f>IF(LEFT(Inputs!$C$11,6)="photon",10^Inputs!C122,Inputs!C122)</f>
        <v>1.9698103384248001E-3</v>
      </c>
      <c r="BR119" s="175"/>
      <c r="BS119" s="175">
        <f>'Advanced Inputs'!I124</f>
        <v>478</v>
      </c>
      <c r="BT119" s="175">
        <f>IF('Advanced Inputs'!J$19="Photon system",10^'Advanced Inputs'!J124,'Advanced Inputs'!J124)</f>
        <v>0</v>
      </c>
      <c r="BV119" s="175">
        <v>478</v>
      </c>
      <c r="BW119" s="73">
        <v>47.143300000000004</v>
      </c>
      <c r="BX119" s="73">
        <v>115.711</v>
      </c>
      <c r="CC119" s="73">
        <v>1</v>
      </c>
    </row>
    <row r="120" spans="8:81" hidden="1" x14ac:dyDescent="0.2">
      <c r="H120" s="73">
        <v>479</v>
      </c>
      <c r="I120" s="168"/>
      <c r="J120" s="168"/>
      <c r="K120" s="168"/>
      <c r="L120" s="168"/>
      <c r="M120" s="168"/>
      <c r="N120" s="168"/>
      <c r="O120" s="168"/>
      <c r="P120" s="168"/>
      <c r="Q120" s="168"/>
      <c r="R120" s="168"/>
      <c r="S120" s="168">
        <v>5.0642399999999999</v>
      </c>
      <c r="T120" s="168"/>
      <c r="V120" s="73">
        <v>479</v>
      </c>
      <c r="W120" s="168"/>
      <c r="X120" s="168"/>
      <c r="Y120" s="168"/>
      <c r="Z120" s="168"/>
      <c r="AA120" s="168"/>
      <c r="AB120" s="168"/>
      <c r="AC120" s="168"/>
      <c r="AD120" s="168"/>
      <c r="AF120" s="73">
        <v>479</v>
      </c>
      <c r="AG120" s="168"/>
      <c r="AH120" s="168"/>
      <c r="AI120" s="168"/>
      <c r="AJ120" s="168"/>
      <c r="AK120" s="168"/>
      <c r="AL120" s="168"/>
      <c r="AM120" s="168"/>
      <c r="AO120" s="74">
        <v>479</v>
      </c>
      <c r="AP120" s="169"/>
      <c r="AQ120" s="169"/>
      <c r="AR120" s="169">
        <v>5.0917714541812726</v>
      </c>
      <c r="AS120" s="169"/>
      <c r="AT120" s="169"/>
      <c r="AU120" s="169"/>
      <c r="AV120" s="169"/>
      <c r="AW120" s="169"/>
      <c r="AX120" s="169"/>
      <c r="BP120" s="175">
        <f>Inputs!B123</f>
        <v>479</v>
      </c>
      <c r="BQ120" s="175">
        <f>IF(LEFT(Inputs!$C$11,6)="photon",10^Inputs!C123,Inputs!C123)</f>
        <v>1.9748098570502399E-3</v>
      </c>
      <c r="BR120" s="175"/>
      <c r="BS120" s="175">
        <f>'Advanced Inputs'!I125</f>
        <v>479</v>
      </c>
      <c r="BT120" s="175">
        <f>IF('Advanced Inputs'!J$19="Photon system",10^'Advanced Inputs'!J125,'Advanced Inputs'!J125)</f>
        <v>0</v>
      </c>
      <c r="BV120" s="175">
        <v>479</v>
      </c>
      <c r="BW120" s="73">
        <v>47.691299999999998</v>
      </c>
      <c r="BX120" s="73">
        <v>115.81699999999999</v>
      </c>
      <c r="CC120" s="73">
        <v>1</v>
      </c>
    </row>
    <row r="121" spans="8:81" hidden="1" x14ac:dyDescent="0.2">
      <c r="H121" s="73">
        <v>480</v>
      </c>
      <c r="I121" s="168"/>
      <c r="J121" s="168"/>
      <c r="K121" s="168"/>
      <c r="L121" s="168"/>
      <c r="M121" s="168"/>
      <c r="N121" s="168"/>
      <c r="O121" s="168"/>
      <c r="P121" s="168"/>
      <c r="Q121" s="168"/>
      <c r="R121" s="168"/>
      <c r="S121" s="168">
        <v>5.66</v>
      </c>
      <c r="T121" s="168"/>
      <c r="V121" s="73">
        <v>480</v>
      </c>
      <c r="W121" s="168"/>
      <c r="X121" s="168"/>
      <c r="Y121" s="168"/>
      <c r="Z121" s="168"/>
      <c r="AA121" s="168"/>
      <c r="AB121" s="168"/>
      <c r="AC121" s="168"/>
      <c r="AD121" s="168"/>
      <c r="AF121" s="73">
        <v>480</v>
      </c>
      <c r="AG121" s="168"/>
      <c r="AH121" s="168"/>
      <c r="AI121" s="168"/>
      <c r="AJ121" s="168"/>
      <c r="AK121" s="168"/>
      <c r="AL121" s="168"/>
      <c r="AM121" s="168"/>
      <c r="AO121" s="74">
        <v>480</v>
      </c>
      <c r="AP121" s="169"/>
      <c r="AQ121" s="169"/>
      <c r="AR121" s="169">
        <v>5.1663455673824235</v>
      </c>
      <c r="AS121" s="169"/>
      <c r="AT121" s="169"/>
      <c r="AU121" s="169"/>
      <c r="AV121" s="169"/>
      <c r="AW121" s="169"/>
      <c r="AX121" s="169"/>
      <c r="BP121" s="175">
        <f>Inputs!B124</f>
        <v>480</v>
      </c>
      <c r="BQ121" s="175">
        <f>IF(LEFT(Inputs!$C$11,6)="photon",10^Inputs!C124,Inputs!C124)</f>
        <v>1.9748098570502399E-3</v>
      </c>
      <c r="BR121" s="175"/>
      <c r="BS121" s="175">
        <f>'Advanced Inputs'!I126</f>
        <v>480</v>
      </c>
      <c r="BT121" s="175">
        <f>IF('Advanced Inputs'!J$19="Photon system",10^'Advanced Inputs'!J126,'Advanced Inputs'!J126)</f>
        <v>0</v>
      </c>
      <c r="BV121" s="175">
        <v>480</v>
      </c>
      <c r="BW121" s="73">
        <v>48.2423</v>
      </c>
      <c r="BX121" s="73">
        <v>115.923</v>
      </c>
      <c r="CC121" s="73">
        <v>1</v>
      </c>
    </row>
    <row r="122" spans="8:81" hidden="1" x14ac:dyDescent="0.2">
      <c r="H122" s="73">
        <v>481</v>
      </c>
      <c r="I122" s="168"/>
      <c r="J122" s="168"/>
      <c r="K122" s="168"/>
      <c r="L122" s="168"/>
      <c r="M122" s="168"/>
      <c r="N122" s="168"/>
      <c r="O122" s="168"/>
      <c r="P122" s="168"/>
      <c r="Q122" s="168"/>
      <c r="R122" s="168"/>
      <c r="S122" s="168">
        <v>7.2682399999999996</v>
      </c>
      <c r="T122" s="168"/>
      <c r="V122" s="73">
        <v>481</v>
      </c>
      <c r="W122" s="168"/>
      <c r="X122" s="168"/>
      <c r="Y122" s="168"/>
      <c r="Z122" s="168"/>
      <c r="AA122" s="168"/>
      <c r="AB122" s="168"/>
      <c r="AC122" s="168"/>
      <c r="AD122" s="168"/>
      <c r="AF122" s="73">
        <v>481</v>
      </c>
      <c r="AG122" s="168"/>
      <c r="AH122" s="168"/>
      <c r="AI122" s="168"/>
      <c r="AJ122" s="168"/>
      <c r="AK122" s="168"/>
      <c r="AL122" s="168"/>
      <c r="AM122" s="168"/>
      <c r="AO122" s="74">
        <v>481</v>
      </c>
      <c r="AP122" s="169"/>
      <c r="AQ122" s="169"/>
      <c r="AR122" s="169">
        <v>5.2641434722665927</v>
      </c>
      <c r="AS122" s="169"/>
      <c r="AT122" s="169"/>
      <c r="AU122" s="169"/>
      <c r="AV122" s="169"/>
      <c r="AW122" s="169"/>
      <c r="AX122" s="169"/>
      <c r="BP122" s="175">
        <f>Inputs!B125</f>
        <v>481</v>
      </c>
      <c r="BQ122" s="175">
        <f>IF(LEFT(Inputs!$C$11,6)="photon",10^Inputs!C125,Inputs!C125)</f>
        <v>1.9598113011739101E-3</v>
      </c>
      <c r="BR122" s="175"/>
      <c r="BS122" s="175">
        <f>'Advanced Inputs'!I127</f>
        <v>481</v>
      </c>
      <c r="BT122" s="175">
        <f>IF('Advanced Inputs'!J$19="Photon system",10^'Advanced Inputs'!J127,'Advanced Inputs'!J127)</f>
        <v>0</v>
      </c>
      <c r="BV122" s="175">
        <v>481</v>
      </c>
      <c r="BW122" s="73">
        <v>48.796300000000002</v>
      </c>
      <c r="BX122" s="73">
        <v>115.212</v>
      </c>
      <c r="CC122" s="73">
        <v>1</v>
      </c>
    </row>
    <row r="123" spans="8:81" hidden="1" x14ac:dyDescent="0.2">
      <c r="H123" s="73">
        <v>482</v>
      </c>
      <c r="I123" s="168"/>
      <c r="J123" s="168"/>
      <c r="K123" s="168"/>
      <c r="L123" s="168"/>
      <c r="M123" s="168"/>
      <c r="N123" s="168"/>
      <c r="O123" s="168"/>
      <c r="P123" s="168"/>
      <c r="Q123" s="168"/>
      <c r="R123" s="168"/>
      <c r="S123" s="168">
        <v>9.0611200000000007</v>
      </c>
      <c r="T123" s="168"/>
      <c r="V123" s="73">
        <v>482</v>
      </c>
      <c r="W123" s="168"/>
      <c r="X123" s="168"/>
      <c r="Y123" s="168"/>
      <c r="Z123" s="168"/>
      <c r="AA123" s="168"/>
      <c r="AB123" s="168"/>
      <c r="AC123" s="168"/>
      <c r="AD123" s="168"/>
      <c r="AF123" s="73">
        <v>482</v>
      </c>
      <c r="AG123" s="168"/>
      <c r="AH123" s="168"/>
      <c r="AI123" s="168"/>
      <c r="AJ123" s="168"/>
      <c r="AK123" s="168"/>
      <c r="AL123" s="168"/>
      <c r="AM123" s="168"/>
      <c r="AO123" s="74">
        <v>482</v>
      </c>
      <c r="AP123" s="169"/>
      <c r="AQ123" s="169"/>
      <c r="AR123" s="169">
        <v>5.3816713522856308</v>
      </c>
      <c r="AS123" s="169"/>
      <c r="AT123" s="169"/>
      <c r="AU123" s="169"/>
      <c r="AV123" s="169"/>
      <c r="AW123" s="169"/>
      <c r="AX123" s="169"/>
      <c r="BP123" s="175">
        <f>Inputs!B126</f>
        <v>482</v>
      </c>
      <c r="BQ123" s="175">
        <f>IF(LEFT(Inputs!$C$11,6)="photon",10^Inputs!C126,Inputs!C126)</f>
        <v>1.9498122639230299E-3</v>
      </c>
      <c r="BR123" s="175"/>
      <c r="BS123" s="175">
        <f>'Advanced Inputs'!I128</f>
        <v>482</v>
      </c>
      <c r="BT123" s="175">
        <f>IF('Advanced Inputs'!J$19="Photon system",10^'Advanced Inputs'!J128,'Advanced Inputs'!J128)</f>
        <v>0</v>
      </c>
      <c r="BV123" s="175">
        <v>482</v>
      </c>
      <c r="BW123" s="73">
        <v>49.353299999999997</v>
      </c>
      <c r="BX123" s="73">
        <v>114.501</v>
      </c>
      <c r="CC123" s="73">
        <v>1</v>
      </c>
    </row>
    <row r="124" spans="8:81" hidden="1" x14ac:dyDescent="0.2">
      <c r="H124" s="73">
        <v>483</v>
      </c>
      <c r="I124" s="168"/>
      <c r="J124" s="168"/>
      <c r="K124" s="168"/>
      <c r="L124" s="168"/>
      <c r="M124" s="168"/>
      <c r="N124" s="168"/>
      <c r="O124" s="168"/>
      <c r="P124" s="168"/>
      <c r="Q124" s="168"/>
      <c r="R124" s="168"/>
      <c r="S124" s="168">
        <v>10.912880000000001</v>
      </c>
      <c r="T124" s="168"/>
      <c r="V124" s="73">
        <v>483</v>
      </c>
      <c r="W124" s="168"/>
      <c r="X124" s="168"/>
      <c r="Y124" s="168"/>
      <c r="Z124" s="168"/>
      <c r="AA124" s="168"/>
      <c r="AB124" s="168"/>
      <c r="AC124" s="168"/>
      <c r="AD124" s="168"/>
      <c r="AF124" s="73">
        <v>483</v>
      </c>
      <c r="AG124" s="168"/>
      <c r="AH124" s="168"/>
      <c r="AI124" s="168"/>
      <c r="AJ124" s="168"/>
      <c r="AK124" s="168"/>
      <c r="AL124" s="168"/>
      <c r="AM124" s="168"/>
      <c r="AO124" s="74">
        <v>483</v>
      </c>
      <c r="AP124" s="169"/>
      <c r="AQ124" s="169"/>
      <c r="AR124" s="169">
        <v>5.5159439810324269</v>
      </c>
      <c r="AS124" s="169"/>
      <c r="AT124" s="169"/>
      <c r="AU124" s="169"/>
      <c r="AV124" s="169"/>
      <c r="AW124" s="169"/>
      <c r="AX124" s="169"/>
      <c r="BP124" s="175">
        <f>Inputs!B127</f>
        <v>483</v>
      </c>
      <c r="BQ124" s="175">
        <f>IF(LEFT(Inputs!$C$11,6)="photon",10^Inputs!C127,Inputs!C127)</f>
        <v>1.9248146707958099E-3</v>
      </c>
      <c r="BR124" s="175"/>
      <c r="BS124" s="175">
        <f>'Advanced Inputs'!I129</f>
        <v>483</v>
      </c>
      <c r="BT124" s="175">
        <f>IF('Advanced Inputs'!J$19="Photon system",10^'Advanced Inputs'!J129,'Advanced Inputs'!J129)</f>
        <v>0</v>
      </c>
      <c r="BV124" s="175">
        <v>483</v>
      </c>
      <c r="BW124" s="73">
        <v>49.913200000000003</v>
      </c>
      <c r="BX124" s="73">
        <v>113.789</v>
      </c>
      <c r="CC124" s="73">
        <v>1</v>
      </c>
    </row>
    <row r="125" spans="8:81" hidden="1" x14ac:dyDescent="0.2">
      <c r="H125" s="73">
        <v>484</v>
      </c>
      <c r="I125" s="168"/>
      <c r="J125" s="168"/>
      <c r="K125" s="168"/>
      <c r="L125" s="168"/>
      <c r="M125" s="168"/>
      <c r="N125" s="168"/>
      <c r="O125" s="168"/>
      <c r="P125" s="168"/>
      <c r="Q125" s="168"/>
      <c r="R125" s="168"/>
      <c r="S125" s="168">
        <v>12.697759999999999</v>
      </c>
      <c r="T125" s="168"/>
      <c r="V125" s="73">
        <v>484</v>
      </c>
      <c r="W125" s="168"/>
      <c r="X125" s="168"/>
      <c r="Y125" s="168"/>
      <c r="Z125" s="168"/>
      <c r="AA125" s="168"/>
      <c r="AB125" s="168"/>
      <c r="AC125" s="168"/>
      <c r="AD125" s="168"/>
      <c r="AF125" s="73">
        <v>484</v>
      </c>
      <c r="AG125" s="168"/>
      <c r="AH125" s="168"/>
      <c r="AI125" s="168"/>
      <c r="AJ125" s="168"/>
      <c r="AK125" s="168"/>
      <c r="AL125" s="168"/>
      <c r="AM125" s="168"/>
      <c r="AO125" s="74">
        <v>484</v>
      </c>
      <c r="AP125" s="169"/>
      <c r="AQ125" s="169"/>
      <c r="AR125" s="169">
        <v>5.6642757242929607</v>
      </c>
      <c r="AS125" s="169"/>
      <c r="AT125" s="169"/>
      <c r="AU125" s="169"/>
      <c r="AV125" s="169"/>
      <c r="AW125" s="169"/>
      <c r="AX125" s="169"/>
      <c r="BP125" s="175">
        <f>Inputs!B128</f>
        <v>484</v>
      </c>
      <c r="BQ125" s="175">
        <f>IF(LEFT(Inputs!$C$11,6)="photon",10^Inputs!C128,Inputs!C128)</f>
        <v>1.8748194845413699E-3</v>
      </c>
      <c r="BR125" s="175"/>
      <c r="BS125" s="175">
        <f>'Advanced Inputs'!I130</f>
        <v>484</v>
      </c>
      <c r="BT125" s="175">
        <f>IF('Advanced Inputs'!J$19="Photon system",10^'Advanced Inputs'!J130,'Advanced Inputs'!J130)</f>
        <v>0</v>
      </c>
      <c r="BV125" s="175">
        <v>484</v>
      </c>
      <c r="BW125" s="73">
        <v>50.475999999999999</v>
      </c>
      <c r="BX125" s="73">
        <v>113.078</v>
      </c>
      <c r="CC125" s="73">
        <v>1</v>
      </c>
    </row>
    <row r="126" spans="8:81" hidden="1" x14ac:dyDescent="0.2">
      <c r="H126" s="73">
        <v>485</v>
      </c>
      <c r="I126" s="168"/>
      <c r="J126" s="168"/>
      <c r="K126" s="168"/>
      <c r="L126" s="168"/>
      <c r="M126" s="168"/>
      <c r="N126" s="168"/>
      <c r="O126" s="168"/>
      <c r="P126" s="168"/>
      <c r="Q126" s="168"/>
      <c r="R126" s="168"/>
      <c r="S126" s="168">
        <v>14.29</v>
      </c>
      <c r="T126" s="168"/>
      <c r="V126" s="73">
        <v>485</v>
      </c>
      <c r="W126" s="168"/>
      <c r="X126" s="168"/>
      <c r="Y126" s="168"/>
      <c r="Z126" s="168"/>
      <c r="AA126" s="168"/>
      <c r="AB126" s="168"/>
      <c r="AC126" s="168"/>
      <c r="AD126" s="168"/>
      <c r="AF126" s="73">
        <v>485</v>
      </c>
      <c r="AG126" s="168"/>
      <c r="AH126" s="168"/>
      <c r="AI126" s="168"/>
      <c r="AJ126" s="168"/>
      <c r="AK126" s="168"/>
      <c r="AL126" s="168"/>
      <c r="AM126" s="168"/>
      <c r="AO126" s="74">
        <v>485</v>
      </c>
      <c r="AP126" s="169"/>
      <c r="AQ126" s="169"/>
      <c r="AR126" s="169">
        <v>5.8243612725726823</v>
      </c>
      <c r="AS126" s="169"/>
      <c r="AT126" s="169"/>
      <c r="AU126" s="169"/>
      <c r="AV126" s="169"/>
      <c r="AW126" s="169"/>
      <c r="AX126" s="169"/>
      <c r="BP126" s="175">
        <f>Inputs!B129</f>
        <v>485</v>
      </c>
      <c r="BQ126" s="175">
        <f>IF(LEFT(Inputs!$C$11,6)="photon",10^Inputs!C129,Inputs!C129)</f>
        <v>1.8148252610360499E-3</v>
      </c>
      <c r="BR126" s="175"/>
      <c r="BS126" s="175">
        <f>'Advanced Inputs'!I131</f>
        <v>485</v>
      </c>
      <c r="BT126" s="175">
        <f>IF('Advanced Inputs'!J$19="Photon system",10^'Advanced Inputs'!J131,'Advanced Inputs'!J131)</f>
        <v>0</v>
      </c>
      <c r="BV126" s="175">
        <v>485</v>
      </c>
      <c r="BW126" s="73">
        <v>51.041800000000002</v>
      </c>
      <c r="BX126" s="73">
        <v>112.367</v>
      </c>
      <c r="CC126" s="73">
        <v>1</v>
      </c>
    </row>
    <row r="127" spans="8:81" hidden="1" x14ac:dyDescent="0.2">
      <c r="H127" s="73">
        <v>486</v>
      </c>
      <c r="I127" s="168"/>
      <c r="J127" s="168"/>
      <c r="K127" s="168"/>
      <c r="L127" s="168"/>
      <c r="M127" s="168"/>
      <c r="N127" s="168"/>
      <c r="O127" s="168"/>
      <c r="P127" s="168"/>
      <c r="Q127" s="168"/>
      <c r="R127" s="168"/>
      <c r="S127" s="168">
        <v>15.0192</v>
      </c>
      <c r="T127" s="168"/>
      <c r="V127" s="73">
        <v>486</v>
      </c>
      <c r="W127" s="168"/>
      <c r="X127" s="168"/>
      <c r="Y127" s="168"/>
      <c r="Z127" s="168"/>
      <c r="AA127" s="168"/>
      <c r="AB127" s="168"/>
      <c r="AC127" s="168"/>
      <c r="AD127" s="168"/>
      <c r="AF127" s="73">
        <v>486</v>
      </c>
      <c r="AG127" s="168"/>
      <c r="AH127" s="168"/>
      <c r="AI127" s="168"/>
      <c r="AJ127" s="168"/>
      <c r="AK127" s="168"/>
      <c r="AL127" s="168"/>
      <c r="AM127" s="168"/>
      <c r="AO127" s="74">
        <v>486</v>
      </c>
      <c r="AP127" s="169"/>
      <c r="AQ127" s="169"/>
      <c r="AR127" s="169">
        <v>5.9945499945184766</v>
      </c>
      <c r="AS127" s="169"/>
      <c r="AT127" s="169"/>
      <c r="AU127" s="169"/>
      <c r="AV127" s="169"/>
      <c r="AW127" s="169"/>
      <c r="AX127" s="169"/>
      <c r="BP127" s="175">
        <f>Inputs!B130</f>
        <v>486</v>
      </c>
      <c r="BQ127" s="175">
        <f>IF(LEFT(Inputs!$C$11,6)="photon",10^Inputs!C130,Inputs!C130)</f>
        <v>1.7748291120324999E-3</v>
      </c>
      <c r="BR127" s="175"/>
      <c r="BS127" s="175">
        <f>'Advanced Inputs'!I132</f>
        <v>486</v>
      </c>
      <c r="BT127" s="175">
        <f>IF('Advanced Inputs'!J$19="Photon system",10^'Advanced Inputs'!J132,'Advanced Inputs'!J132)</f>
        <v>0</v>
      </c>
      <c r="BV127" s="175">
        <v>486</v>
      </c>
      <c r="BW127" s="73">
        <v>51.610399999999998</v>
      </c>
      <c r="BX127" s="73">
        <v>111.65600000000001</v>
      </c>
      <c r="CC127" s="73">
        <v>1</v>
      </c>
    </row>
    <row r="128" spans="8:81" hidden="1" x14ac:dyDescent="0.2">
      <c r="H128" s="73">
        <v>487</v>
      </c>
      <c r="I128" s="168"/>
      <c r="J128" s="168"/>
      <c r="K128" s="168"/>
      <c r="L128" s="168"/>
      <c r="M128" s="168"/>
      <c r="N128" s="168"/>
      <c r="O128" s="168"/>
      <c r="P128" s="168"/>
      <c r="Q128" s="168"/>
      <c r="R128" s="168"/>
      <c r="S128" s="168">
        <v>15.4404</v>
      </c>
      <c r="T128" s="168"/>
      <c r="V128" s="73">
        <v>487</v>
      </c>
      <c r="W128" s="168"/>
      <c r="X128" s="168"/>
      <c r="Y128" s="168"/>
      <c r="Z128" s="168"/>
      <c r="AA128" s="168"/>
      <c r="AB128" s="168"/>
      <c r="AC128" s="168"/>
      <c r="AD128" s="168"/>
      <c r="AF128" s="73">
        <v>487</v>
      </c>
      <c r="AG128" s="168"/>
      <c r="AH128" s="168"/>
      <c r="AI128" s="168"/>
      <c r="AJ128" s="168"/>
      <c r="AK128" s="168"/>
      <c r="AL128" s="168"/>
      <c r="AM128" s="168"/>
      <c r="AO128" s="74">
        <v>487</v>
      </c>
      <c r="AP128" s="169"/>
      <c r="AQ128" s="169"/>
      <c r="AR128" s="169">
        <v>6.1740505366857636</v>
      </c>
      <c r="AS128" s="169"/>
      <c r="AT128" s="169"/>
      <c r="AU128" s="169"/>
      <c r="AV128" s="169"/>
      <c r="AW128" s="169"/>
      <c r="AX128" s="169"/>
      <c r="BP128" s="175">
        <f>Inputs!B131</f>
        <v>487</v>
      </c>
      <c r="BQ128" s="175">
        <f>IF(LEFT(Inputs!$C$11,6)="photon",10^Inputs!C131,Inputs!C131)</f>
        <v>1.7648300747816099E-3</v>
      </c>
      <c r="BR128" s="175"/>
      <c r="BS128" s="175">
        <f>'Advanced Inputs'!I133</f>
        <v>487</v>
      </c>
      <c r="BT128" s="175">
        <f>IF('Advanced Inputs'!J$19="Photon system",10^'Advanced Inputs'!J133,'Advanced Inputs'!J133)</f>
        <v>0</v>
      </c>
      <c r="BV128" s="175">
        <v>487</v>
      </c>
      <c r="BW128" s="73">
        <v>52.181800000000003</v>
      </c>
      <c r="BX128" s="73">
        <v>110.94499999999999</v>
      </c>
      <c r="CC128" s="73">
        <v>1</v>
      </c>
    </row>
    <row r="129" spans="8:81" hidden="1" x14ac:dyDescent="0.2">
      <c r="H129" s="73">
        <v>488</v>
      </c>
      <c r="I129" s="168"/>
      <c r="J129" s="168"/>
      <c r="K129" s="168"/>
      <c r="L129" s="168"/>
      <c r="M129" s="168"/>
      <c r="N129" s="168"/>
      <c r="O129" s="168"/>
      <c r="P129" s="168"/>
      <c r="Q129" s="168"/>
      <c r="R129" s="168"/>
      <c r="S129" s="168">
        <v>15.564000000000002</v>
      </c>
      <c r="T129" s="168"/>
      <c r="V129" s="73">
        <v>488</v>
      </c>
      <c r="W129" s="168"/>
      <c r="X129" s="168"/>
      <c r="Y129" s="168"/>
      <c r="Z129" s="168"/>
      <c r="AA129" s="168"/>
      <c r="AB129" s="168"/>
      <c r="AC129" s="168"/>
      <c r="AD129" s="168"/>
      <c r="AF129" s="73">
        <v>488</v>
      </c>
      <c r="AG129" s="168"/>
      <c r="AH129" s="168"/>
      <c r="AI129" s="168"/>
      <c r="AJ129" s="168"/>
      <c r="AK129" s="168"/>
      <c r="AL129" s="168"/>
      <c r="AM129" s="168"/>
      <c r="AO129" s="74">
        <v>488</v>
      </c>
      <c r="AP129" s="169"/>
      <c r="AQ129" s="169"/>
      <c r="AR129" s="169">
        <v>6.362734955612801</v>
      </c>
      <c r="AS129" s="169"/>
      <c r="AT129" s="169"/>
      <c r="AU129" s="169"/>
      <c r="AV129" s="169"/>
      <c r="AW129" s="169"/>
      <c r="AX129" s="169"/>
      <c r="BP129" s="175">
        <f>Inputs!B132</f>
        <v>488</v>
      </c>
      <c r="BQ129" s="175">
        <f>IF(LEFT(Inputs!$C$11,6)="photon",10^Inputs!C132,Inputs!C132)</f>
        <v>1.7748291120324999E-3</v>
      </c>
      <c r="BR129" s="175"/>
      <c r="BS129" s="175">
        <f>'Advanced Inputs'!I134</f>
        <v>488</v>
      </c>
      <c r="BT129" s="175">
        <f>IF('Advanced Inputs'!J$19="Photon system",10^'Advanced Inputs'!J134,'Advanced Inputs'!J134)</f>
        <v>0</v>
      </c>
      <c r="BV129" s="175">
        <v>488</v>
      </c>
      <c r="BW129" s="73">
        <v>52.756100000000004</v>
      </c>
      <c r="BX129" s="73">
        <v>110.233</v>
      </c>
      <c r="CC129" s="73">
        <v>1</v>
      </c>
    </row>
    <row r="130" spans="8:81" hidden="1" x14ac:dyDescent="0.2">
      <c r="H130" s="73">
        <v>489</v>
      </c>
      <c r="I130" s="168"/>
      <c r="J130" s="168"/>
      <c r="K130" s="168"/>
      <c r="L130" s="168"/>
      <c r="M130" s="168"/>
      <c r="N130" s="168"/>
      <c r="O130" s="168"/>
      <c r="P130" s="168"/>
      <c r="Q130" s="168"/>
      <c r="R130" s="168"/>
      <c r="S130" s="168">
        <v>15.400399999999999</v>
      </c>
      <c r="T130" s="168"/>
      <c r="V130" s="73">
        <v>489</v>
      </c>
      <c r="W130" s="168"/>
      <c r="X130" s="168"/>
      <c r="Y130" s="168"/>
      <c r="Z130" s="168"/>
      <c r="AA130" s="168"/>
      <c r="AB130" s="168"/>
      <c r="AC130" s="168"/>
      <c r="AD130" s="168"/>
      <c r="AF130" s="73">
        <v>489</v>
      </c>
      <c r="AG130" s="168"/>
      <c r="AH130" s="168"/>
      <c r="AI130" s="168"/>
      <c r="AJ130" s="168"/>
      <c r="AK130" s="168"/>
      <c r="AL130" s="168"/>
      <c r="AM130" s="168"/>
      <c r="AO130" s="74">
        <v>489</v>
      </c>
      <c r="AP130" s="169"/>
      <c r="AQ130" s="169"/>
      <c r="AR130" s="169">
        <v>6.5605340184394674</v>
      </c>
      <c r="AS130" s="169"/>
      <c r="AT130" s="169"/>
      <c r="AU130" s="169"/>
      <c r="AV130" s="169"/>
      <c r="AW130" s="169"/>
      <c r="AX130" s="169"/>
      <c r="BP130" s="175">
        <f>Inputs!B133</f>
        <v>489</v>
      </c>
      <c r="BQ130" s="175">
        <f>IF(LEFT(Inputs!$C$11,6)="photon",10^Inputs!C133,Inputs!C133)</f>
        <v>1.7998267051597199E-3</v>
      </c>
      <c r="BR130" s="175"/>
      <c r="BS130" s="175">
        <f>'Advanced Inputs'!I135</f>
        <v>489</v>
      </c>
      <c r="BT130" s="175">
        <f>IF('Advanced Inputs'!J$19="Photon system",10^'Advanced Inputs'!J135,'Advanced Inputs'!J135)</f>
        <v>0</v>
      </c>
      <c r="BV130" s="175">
        <v>489</v>
      </c>
      <c r="BW130" s="73">
        <v>53.333199999999998</v>
      </c>
      <c r="BX130" s="73">
        <v>109.52200000000001</v>
      </c>
      <c r="CC130" s="73">
        <v>1</v>
      </c>
    </row>
    <row r="131" spans="8:81" hidden="1" x14ac:dyDescent="0.2">
      <c r="H131" s="73">
        <v>490</v>
      </c>
      <c r="I131" s="168"/>
      <c r="J131" s="168"/>
      <c r="K131" s="168"/>
      <c r="L131" s="168"/>
      <c r="M131" s="168"/>
      <c r="N131" s="168"/>
      <c r="O131" s="168"/>
      <c r="P131" s="168"/>
      <c r="Q131" s="168"/>
      <c r="R131" s="168"/>
      <c r="S131" s="168">
        <v>14.96</v>
      </c>
      <c r="T131" s="168"/>
      <c r="V131" s="73">
        <v>490</v>
      </c>
      <c r="W131" s="168"/>
      <c r="X131" s="168"/>
      <c r="Y131" s="168"/>
      <c r="Z131" s="168"/>
      <c r="AA131" s="168"/>
      <c r="AB131" s="168"/>
      <c r="AC131" s="168"/>
      <c r="AD131" s="168"/>
      <c r="AF131" s="73">
        <v>490</v>
      </c>
      <c r="AG131" s="168"/>
      <c r="AH131" s="168"/>
      <c r="AI131" s="168"/>
      <c r="AJ131" s="168"/>
      <c r="AK131" s="168"/>
      <c r="AL131" s="168"/>
      <c r="AM131" s="168"/>
      <c r="AO131" s="74">
        <v>490</v>
      </c>
      <c r="AP131" s="169"/>
      <c r="AQ131" s="169"/>
      <c r="AR131" s="169">
        <v>6.7669309986739874</v>
      </c>
      <c r="AS131" s="169"/>
      <c r="AT131" s="169"/>
      <c r="AU131" s="169"/>
      <c r="AV131" s="169"/>
      <c r="AW131" s="169"/>
      <c r="AX131" s="169"/>
      <c r="BP131" s="175">
        <f>Inputs!B134</f>
        <v>490</v>
      </c>
      <c r="BQ131" s="175">
        <f>IF(LEFT(Inputs!$C$11,6)="photon",10^Inputs!C134,Inputs!C134)</f>
        <v>1.8198247796614899E-3</v>
      </c>
      <c r="BR131" s="175"/>
      <c r="BS131" s="175">
        <f>'Advanced Inputs'!I136</f>
        <v>490</v>
      </c>
      <c r="BT131" s="175">
        <f>IF('Advanced Inputs'!J$19="Photon system",10^'Advanced Inputs'!J136,'Advanced Inputs'!J136)</f>
        <v>0</v>
      </c>
      <c r="BV131" s="175">
        <v>490</v>
      </c>
      <c r="BW131" s="73">
        <v>53.913200000000003</v>
      </c>
      <c r="BX131" s="73">
        <v>108.81100000000001</v>
      </c>
      <c r="CC131" s="73">
        <v>1</v>
      </c>
    </row>
    <row r="132" spans="8:81" hidden="1" x14ac:dyDescent="0.2">
      <c r="H132" s="73">
        <v>491</v>
      </c>
      <c r="I132" s="168"/>
      <c r="J132" s="168"/>
      <c r="K132" s="168"/>
      <c r="L132" s="168"/>
      <c r="M132" s="168"/>
      <c r="N132" s="168"/>
      <c r="O132" s="168"/>
      <c r="P132" s="168"/>
      <c r="Q132" s="168"/>
      <c r="R132" s="168"/>
      <c r="S132" s="168">
        <v>14.026000000000002</v>
      </c>
      <c r="T132" s="168"/>
      <c r="V132" s="73">
        <v>491</v>
      </c>
      <c r="W132" s="168"/>
      <c r="X132" s="168"/>
      <c r="Y132" s="168"/>
      <c r="Z132" s="168"/>
      <c r="AA132" s="168"/>
      <c r="AB132" s="168"/>
      <c r="AC132" s="168"/>
      <c r="AD132" s="168"/>
      <c r="AF132" s="73">
        <v>491</v>
      </c>
      <c r="AG132" s="168"/>
      <c r="AH132" s="168"/>
      <c r="AI132" s="168"/>
      <c r="AJ132" s="168"/>
      <c r="AK132" s="168"/>
      <c r="AL132" s="168"/>
      <c r="AM132" s="168"/>
      <c r="AO132" s="74">
        <v>491</v>
      </c>
      <c r="AP132" s="169"/>
      <c r="AQ132" s="169"/>
      <c r="AR132" s="169">
        <v>6.9809085073746493</v>
      </c>
      <c r="AS132" s="169"/>
      <c r="AT132" s="169"/>
      <c r="AU132" s="169"/>
      <c r="AV132" s="169"/>
      <c r="AW132" s="169"/>
      <c r="AX132" s="169"/>
      <c r="BP132" s="175">
        <f>Inputs!B135</f>
        <v>491</v>
      </c>
      <c r="BQ132" s="175">
        <f>IF(LEFT(Inputs!$C$11,6)="photon",10^Inputs!C135,Inputs!C135)</f>
        <v>1.8298238169123799E-3</v>
      </c>
      <c r="BR132" s="175"/>
      <c r="BS132" s="175">
        <f>'Advanced Inputs'!I137</f>
        <v>491</v>
      </c>
      <c r="BT132" s="175">
        <f>IF('Advanced Inputs'!J$19="Photon system",10^'Advanced Inputs'!J137,'Advanced Inputs'!J137)</f>
        <v>0</v>
      </c>
      <c r="BV132" s="175">
        <v>491</v>
      </c>
      <c r="BW132" s="73">
        <v>54.495800000000003</v>
      </c>
      <c r="BX132" s="73">
        <v>108.86499999999999</v>
      </c>
      <c r="CC132" s="73">
        <v>1</v>
      </c>
    </row>
    <row r="133" spans="8:81" hidden="1" x14ac:dyDescent="0.2">
      <c r="H133" s="73">
        <v>492</v>
      </c>
      <c r="I133" s="168"/>
      <c r="J133" s="168"/>
      <c r="K133" s="168"/>
      <c r="L133" s="168"/>
      <c r="M133" s="168"/>
      <c r="N133" s="168"/>
      <c r="O133" s="168"/>
      <c r="P133" s="168"/>
      <c r="Q133" s="168"/>
      <c r="R133" s="168"/>
      <c r="S133" s="168">
        <v>12.892800000000003</v>
      </c>
      <c r="T133" s="168"/>
      <c r="V133" s="73">
        <v>492</v>
      </c>
      <c r="W133" s="168"/>
      <c r="X133" s="168"/>
      <c r="Y133" s="168"/>
      <c r="Z133" s="168"/>
      <c r="AA133" s="168"/>
      <c r="AB133" s="168"/>
      <c r="AC133" s="168"/>
      <c r="AD133" s="168"/>
      <c r="AF133" s="73">
        <v>492</v>
      </c>
      <c r="AG133" s="168"/>
      <c r="AH133" s="168"/>
      <c r="AI133" s="168"/>
      <c r="AJ133" s="168"/>
      <c r="AK133" s="168"/>
      <c r="AL133" s="168"/>
      <c r="AM133" s="168"/>
      <c r="AO133" s="74">
        <v>492</v>
      </c>
      <c r="AP133" s="169"/>
      <c r="AQ133" s="169"/>
      <c r="AR133" s="169">
        <v>7.2010574799509124</v>
      </c>
      <c r="AS133" s="169"/>
      <c r="AT133" s="169"/>
      <c r="AU133" s="169"/>
      <c r="AV133" s="169"/>
      <c r="AW133" s="169"/>
      <c r="AX133" s="169"/>
      <c r="BP133" s="175">
        <f>Inputs!B136</f>
        <v>492</v>
      </c>
      <c r="BQ133" s="175">
        <f>IF(LEFT(Inputs!$C$11,6)="photon",10^Inputs!C136,Inputs!C136)</f>
        <v>1.8248242982869299E-3</v>
      </c>
      <c r="BR133" s="175"/>
      <c r="BS133" s="175">
        <f>'Advanced Inputs'!I138</f>
        <v>492</v>
      </c>
      <c r="BT133" s="175">
        <f>IF('Advanced Inputs'!J$19="Photon system",10^'Advanced Inputs'!J138,'Advanced Inputs'!J138)</f>
        <v>0</v>
      </c>
      <c r="BV133" s="175">
        <v>492</v>
      </c>
      <c r="BW133" s="73">
        <v>55.081299999999999</v>
      </c>
      <c r="BX133" s="73">
        <v>108.92</v>
      </c>
      <c r="CC133" s="73">
        <v>1</v>
      </c>
    </row>
    <row r="134" spans="8:81" hidden="1" x14ac:dyDescent="0.2">
      <c r="H134" s="73">
        <v>493</v>
      </c>
      <c r="I134" s="168"/>
      <c r="J134" s="168"/>
      <c r="K134" s="168"/>
      <c r="L134" s="168"/>
      <c r="M134" s="168"/>
      <c r="N134" s="168"/>
      <c r="O134" s="168"/>
      <c r="P134" s="168"/>
      <c r="Q134" s="168"/>
      <c r="R134" s="168"/>
      <c r="S134" s="168">
        <v>11.627600000000001</v>
      </c>
      <c r="T134" s="168"/>
      <c r="V134" s="73">
        <v>493</v>
      </c>
      <c r="W134" s="168"/>
      <c r="X134" s="168"/>
      <c r="Y134" s="168"/>
      <c r="Z134" s="168"/>
      <c r="AA134" s="168"/>
      <c r="AB134" s="168"/>
      <c r="AC134" s="168"/>
      <c r="AD134" s="168"/>
      <c r="AF134" s="73">
        <v>493</v>
      </c>
      <c r="AG134" s="168"/>
      <c r="AH134" s="168"/>
      <c r="AI134" s="168"/>
      <c r="AJ134" s="168"/>
      <c r="AK134" s="168"/>
      <c r="AL134" s="168"/>
      <c r="AM134" s="168"/>
      <c r="AO134" s="74">
        <v>493</v>
      </c>
      <c r="AP134" s="169"/>
      <c r="AQ134" s="169"/>
      <c r="AR134" s="169">
        <v>7.4255328199475583</v>
      </c>
      <c r="AS134" s="169"/>
      <c r="AT134" s="169"/>
      <c r="AU134" s="169"/>
      <c r="AV134" s="169"/>
      <c r="AW134" s="169"/>
      <c r="AX134" s="169"/>
      <c r="BP134" s="175">
        <f>Inputs!B137</f>
        <v>493</v>
      </c>
      <c r="BQ134" s="175">
        <f>IF(LEFT(Inputs!$C$11,6)="photon",10^Inputs!C137,Inputs!C137)</f>
        <v>1.8198247796614899E-3</v>
      </c>
      <c r="BR134" s="175"/>
      <c r="BS134" s="175">
        <f>'Advanced Inputs'!I139</f>
        <v>493</v>
      </c>
      <c r="BT134" s="175">
        <f>IF('Advanced Inputs'!J$19="Photon system",10^'Advanced Inputs'!J139,'Advanced Inputs'!J139)</f>
        <v>0</v>
      </c>
      <c r="BV134" s="175">
        <v>493</v>
      </c>
      <c r="BW134" s="73">
        <v>55.669400000000003</v>
      </c>
      <c r="BX134" s="73">
        <v>108.974</v>
      </c>
      <c r="CC134" s="73">
        <v>1</v>
      </c>
    </row>
    <row r="135" spans="8:81" hidden="1" x14ac:dyDescent="0.2">
      <c r="H135" s="73">
        <v>494</v>
      </c>
      <c r="I135" s="168"/>
      <c r="J135" s="168"/>
      <c r="K135" s="168"/>
      <c r="L135" s="168"/>
      <c r="M135" s="168"/>
      <c r="N135" s="168"/>
      <c r="O135" s="168"/>
      <c r="P135" s="168"/>
      <c r="Q135" s="168"/>
      <c r="R135" s="168"/>
      <c r="S135" s="168">
        <v>10.297600000000001</v>
      </c>
      <c r="T135" s="168"/>
      <c r="V135" s="73">
        <v>494</v>
      </c>
      <c r="W135" s="168"/>
      <c r="X135" s="168"/>
      <c r="Y135" s="168"/>
      <c r="Z135" s="168"/>
      <c r="AA135" s="168"/>
      <c r="AB135" s="168"/>
      <c r="AC135" s="168"/>
      <c r="AD135" s="168"/>
      <c r="AF135" s="73">
        <v>494</v>
      </c>
      <c r="AG135" s="168"/>
      <c r="AH135" s="168"/>
      <c r="AI135" s="168"/>
      <c r="AJ135" s="168"/>
      <c r="AK135" s="168"/>
      <c r="AL135" s="168"/>
      <c r="AM135" s="168"/>
      <c r="AO135" s="74">
        <v>494</v>
      </c>
      <c r="AP135" s="169"/>
      <c r="AQ135" s="169"/>
      <c r="AR135" s="169">
        <v>7.6520735023204018</v>
      </c>
      <c r="AS135" s="169"/>
      <c r="AT135" s="169"/>
      <c r="AU135" s="169"/>
      <c r="AV135" s="169"/>
      <c r="AW135" s="169"/>
      <c r="AX135" s="169"/>
      <c r="BP135" s="175">
        <f>Inputs!B138</f>
        <v>494</v>
      </c>
      <c r="BQ135" s="175">
        <f>IF(LEFT(Inputs!$C$11,6)="photon",10^Inputs!C138,Inputs!C138)</f>
        <v>1.8248242982869299E-3</v>
      </c>
      <c r="BR135" s="175"/>
      <c r="BS135" s="175">
        <f>'Advanced Inputs'!I140</f>
        <v>494</v>
      </c>
      <c r="BT135" s="175">
        <f>IF('Advanced Inputs'!J$19="Photon system",10^'Advanced Inputs'!J140,'Advanced Inputs'!J140)</f>
        <v>0</v>
      </c>
      <c r="BV135" s="175">
        <v>494</v>
      </c>
      <c r="BW135" s="73">
        <v>56.260300000000001</v>
      </c>
      <c r="BX135" s="73">
        <v>109.02800000000001</v>
      </c>
      <c r="CC135" s="73">
        <v>1</v>
      </c>
    </row>
    <row r="136" spans="8:81" hidden="1" x14ac:dyDescent="0.2">
      <c r="H136" s="73">
        <v>495</v>
      </c>
      <c r="I136" s="168"/>
      <c r="J136" s="168"/>
      <c r="K136" s="168"/>
      <c r="L136" s="168"/>
      <c r="M136" s="168"/>
      <c r="N136" s="168"/>
      <c r="O136" s="168"/>
      <c r="P136" s="168"/>
      <c r="Q136" s="168"/>
      <c r="R136" s="168"/>
      <c r="S136" s="168">
        <v>8.9700000000000006</v>
      </c>
      <c r="T136" s="168"/>
      <c r="V136" s="73">
        <v>495</v>
      </c>
      <c r="W136" s="168"/>
      <c r="X136" s="168"/>
      <c r="Y136" s="168"/>
      <c r="Z136" s="168"/>
      <c r="AA136" s="168"/>
      <c r="AB136" s="168"/>
      <c r="AC136" s="168"/>
      <c r="AD136" s="168"/>
      <c r="AF136" s="73">
        <v>495</v>
      </c>
      <c r="AG136" s="168"/>
      <c r="AH136" s="168"/>
      <c r="AI136" s="168"/>
      <c r="AJ136" s="168"/>
      <c r="AK136" s="168"/>
      <c r="AL136" s="168"/>
      <c r="AM136" s="168"/>
      <c r="AO136" s="74">
        <v>495</v>
      </c>
      <c r="AP136" s="169"/>
      <c r="AQ136" s="169"/>
      <c r="AR136" s="169">
        <v>7.8783174625943353</v>
      </c>
      <c r="AS136" s="169"/>
      <c r="AT136" s="169"/>
      <c r="AU136" s="169"/>
      <c r="AV136" s="169"/>
      <c r="AW136" s="169"/>
      <c r="AX136" s="169"/>
      <c r="BP136" s="175">
        <f>Inputs!B139</f>
        <v>495</v>
      </c>
      <c r="BQ136" s="175">
        <f>IF(LEFT(Inputs!$C$11,6)="photon",10^Inputs!C139,Inputs!C139)</f>
        <v>1.8248242982869299E-3</v>
      </c>
      <c r="BR136" s="175"/>
      <c r="BS136" s="175">
        <f>'Advanced Inputs'!I141</f>
        <v>495</v>
      </c>
      <c r="BT136" s="175">
        <f>IF('Advanced Inputs'!J$19="Photon system",10^'Advanced Inputs'!J141,'Advanced Inputs'!J141)</f>
        <v>0</v>
      </c>
      <c r="BV136" s="175">
        <v>495</v>
      </c>
      <c r="BW136" s="73">
        <v>56.853900000000003</v>
      </c>
      <c r="BX136" s="73">
        <v>109.08199999999999</v>
      </c>
      <c r="CC136" s="73">
        <v>1</v>
      </c>
    </row>
    <row r="137" spans="8:81" hidden="1" x14ac:dyDescent="0.2">
      <c r="H137" s="73">
        <v>496</v>
      </c>
      <c r="I137" s="168"/>
      <c r="J137" s="168"/>
      <c r="K137" s="168"/>
      <c r="L137" s="168"/>
      <c r="M137" s="168"/>
      <c r="N137" s="168"/>
      <c r="O137" s="168"/>
      <c r="P137" s="168"/>
      <c r="Q137" s="168"/>
      <c r="R137" s="168"/>
      <c r="S137" s="168">
        <v>7.9769600000000001</v>
      </c>
      <c r="T137" s="168"/>
      <c r="V137" s="73">
        <v>496</v>
      </c>
      <c r="W137" s="168"/>
      <c r="X137" s="168"/>
      <c r="Y137" s="168"/>
      <c r="Z137" s="168"/>
      <c r="AA137" s="168"/>
      <c r="AB137" s="168"/>
      <c r="AC137" s="168"/>
      <c r="AD137" s="168"/>
      <c r="AF137" s="73">
        <v>496</v>
      </c>
      <c r="AG137" s="168"/>
      <c r="AH137" s="168"/>
      <c r="AI137" s="168"/>
      <c r="AJ137" s="168"/>
      <c r="AK137" s="168"/>
      <c r="AL137" s="168"/>
      <c r="AM137" s="168"/>
      <c r="AO137" s="74">
        <v>496</v>
      </c>
      <c r="AP137" s="169"/>
      <c r="AQ137" s="169"/>
      <c r="AR137" s="169">
        <v>8.1021420664829513</v>
      </c>
      <c r="AS137" s="169"/>
      <c r="AT137" s="169"/>
      <c r="AU137" s="169"/>
      <c r="AV137" s="169"/>
      <c r="AW137" s="169"/>
      <c r="AX137" s="169"/>
      <c r="BP137" s="175">
        <f>Inputs!B140</f>
        <v>496</v>
      </c>
      <c r="BQ137" s="175">
        <f>IF(LEFT(Inputs!$C$11,6)="photon",10^Inputs!C140,Inputs!C140)</f>
        <v>1.8248242982869299E-3</v>
      </c>
      <c r="BR137" s="175"/>
      <c r="BS137" s="175">
        <f>'Advanced Inputs'!I142</f>
        <v>496</v>
      </c>
      <c r="BT137" s="175">
        <f>IF('Advanced Inputs'!J$19="Photon system",10^'Advanced Inputs'!J142,'Advanced Inputs'!J142)</f>
        <v>0</v>
      </c>
      <c r="BV137" s="175">
        <v>496</v>
      </c>
      <c r="BW137" s="73">
        <v>57.450099999999999</v>
      </c>
      <c r="BX137" s="73">
        <v>109.137</v>
      </c>
      <c r="CC137" s="73">
        <v>1</v>
      </c>
    </row>
    <row r="138" spans="8:81" hidden="1" x14ac:dyDescent="0.2">
      <c r="H138" s="73">
        <v>497</v>
      </c>
      <c r="I138" s="168"/>
      <c r="J138" s="168"/>
      <c r="K138" s="168"/>
      <c r="L138" s="168"/>
      <c r="M138" s="168"/>
      <c r="N138" s="168"/>
      <c r="O138" s="168"/>
      <c r="P138" s="168"/>
      <c r="Q138" s="168"/>
      <c r="R138" s="168"/>
      <c r="S138" s="168">
        <v>7.0544800000000008</v>
      </c>
      <c r="T138" s="168"/>
      <c r="V138" s="73">
        <v>497</v>
      </c>
      <c r="W138" s="168"/>
      <c r="X138" s="168"/>
      <c r="Y138" s="168"/>
      <c r="Z138" s="168"/>
      <c r="AA138" s="168"/>
      <c r="AB138" s="168"/>
      <c r="AC138" s="168"/>
      <c r="AD138" s="168"/>
      <c r="AF138" s="73">
        <v>497</v>
      </c>
      <c r="AG138" s="168"/>
      <c r="AH138" s="168"/>
      <c r="AI138" s="168"/>
      <c r="AJ138" s="168"/>
      <c r="AK138" s="168"/>
      <c r="AL138" s="168"/>
      <c r="AM138" s="168"/>
      <c r="AO138" s="74">
        <v>497</v>
      </c>
      <c r="AP138" s="169"/>
      <c r="AQ138" s="169"/>
      <c r="AR138" s="169">
        <v>8.3217378105838389</v>
      </c>
      <c r="AS138" s="169"/>
      <c r="AT138" s="169"/>
      <c r="AU138" s="169"/>
      <c r="AV138" s="169"/>
      <c r="AW138" s="169"/>
      <c r="AX138" s="169"/>
      <c r="BP138" s="175">
        <f>Inputs!B141</f>
        <v>497</v>
      </c>
      <c r="BQ138" s="175">
        <f>IF(LEFT(Inputs!$C$11,6)="photon",10^Inputs!C141,Inputs!C141)</f>
        <v>1.8098257424105999E-3</v>
      </c>
      <c r="BR138" s="175"/>
      <c r="BS138" s="175">
        <f>'Advanced Inputs'!I143</f>
        <v>497</v>
      </c>
      <c r="BT138" s="175">
        <f>IF('Advanced Inputs'!J$19="Photon system",10^'Advanced Inputs'!J143,'Advanced Inputs'!J143)</f>
        <v>0</v>
      </c>
      <c r="BV138" s="175">
        <v>497</v>
      </c>
      <c r="BW138" s="73">
        <v>58.048900000000003</v>
      </c>
      <c r="BX138" s="73">
        <v>109.191</v>
      </c>
      <c r="CC138" s="73">
        <v>1</v>
      </c>
    </row>
    <row r="139" spans="8:81" hidden="1" x14ac:dyDescent="0.2">
      <c r="H139" s="73">
        <v>498</v>
      </c>
      <c r="I139" s="168"/>
      <c r="J139" s="168"/>
      <c r="K139" s="168"/>
      <c r="L139" s="168"/>
      <c r="M139" s="168"/>
      <c r="N139" s="168"/>
      <c r="O139" s="168"/>
      <c r="P139" s="168"/>
      <c r="Q139" s="168"/>
      <c r="R139" s="168"/>
      <c r="S139" s="168">
        <v>6.203520000000001</v>
      </c>
      <c r="T139" s="168"/>
      <c r="V139" s="73">
        <v>498</v>
      </c>
      <c r="W139" s="168"/>
      <c r="X139" s="168"/>
      <c r="Y139" s="168"/>
      <c r="Z139" s="168"/>
      <c r="AA139" s="168"/>
      <c r="AB139" s="168"/>
      <c r="AC139" s="168"/>
      <c r="AD139" s="168"/>
      <c r="AF139" s="73">
        <v>498</v>
      </c>
      <c r="AG139" s="168"/>
      <c r="AH139" s="168"/>
      <c r="AI139" s="168"/>
      <c r="AJ139" s="168"/>
      <c r="AK139" s="168"/>
      <c r="AL139" s="168"/>
      <c r="AM139" s="168"/>
      <c r="AO139" s="74">
        <v>498</v>
      </c>
      <c r="AP139" s="169"/>
      <c r="AQ139" s="169"/>
      <c r="AR139" s="169">
        <v>8.5356212108181388</v>
      </c>
      <c r="AS139" s="169"/>
      <c r="AT139" s="169"/>
      <c r="AU139" s="169"/>
      <c r="AV139" s="169"/>
      <c r="AW139" s="169"/>
      <c r="AX139" s="169"/>
      <c r="BP139" s="175">
        <f>Inputs!B142</f>
        <v>498</v>
      </c>
      <c r="BQ139" s="175">
        <f>IF(LEFT(Inputs!$C$11,6)="photon",10^Inputs!C142,Inputs!C142)</f>
        <v>1.7898276679088299E-3</v>
      </c>
      <c r="BR139" s="175"/>
      <c r="BS139" s="175">
        <f>'Advanced Inputs'!I144</f>
        <v>498</v>
      </c>
      <c r="BT139" s="175">
        <f>IF('Advanced Inputs'!J$19="Photon system",10^'Advanced Inputs'!J144,'Advanced Inputs'!J144)</f>
        <v>0</v>
      </c>
      <c r="BV139" s="175">
        <v>498</v>
      </c>
      <c r="BW139" s="73">
        <v>58.650399999999998</v>
      </c>
      <c r="BX139" s="73">
        <v>109.245</v>
      </c>
      <c r="CC139" s="73">
        <v>1</v>
      </c>
    </row>
    <row r="140" spans="8:81" hidden="1" x14ac:dyDescent="0.2">
      <c r="H140" s="73">
        <v>499</v>
      </c>
      <c r="I140" s="168"/>
      <c r="J140" s="168"/>
      <c r="K140" s="168"/>
      <c r="L140" s="168"/>
      <c r="M140" s="168"/>
      <c r="N140" s="168"/>
      <c r="O140" s="168"/>
      <c r="P140" s="168"/>
      <c r="Q140" s="168"/>
      <c r="R140" s="168"/>
      <c r="S140" s="168">
        <v>5.4250400000000001</v>
      </c>
      <c r="T140" s="168"/>
      <c r="V140" s="73">
        <v>499</v>
      </c>
      <c r="W140" s="168"/>
      <c r="X140" s="168"/>
      <c r="Y140" s="168"/>
      <c r="Z140" s="168"/>
      <c r="AA140" s="168"/>
      <c r="AB140" s="168"/>
      <c r="AC140" s="168"/>
      <c r="AD140" s="168"/>
      <c r="AF140" s="73">
        <v>499</v>
      </c>
      <c r="AG140" s="168"/>
      <c r="AH140" s="168"/>
      <c r="AI140" s="168"/>
      <c r="AJ140" s="168"/>
      <c r="AK140" s="168"/>
      <c r="AL140" s="168"/>
      <c r="AM140" s="168"/>
      <c r="AO140" s="74">
        <v>499</v>
      </c>
      <c r="AP140" s="169"/>
      <c r="AQ140" s="169"/>
      <c r="AR140" s="169">
        <v>8.7428428400712157</v>
      </c>
      <c r="AS140" s="169"/>
      <c r="AT140" s="169"/>
      <c r="AU140" s="169"/>
      <c r="AV140" s="169"/>
      <c r="AW140" s="169"/>
      <c r="AX140" s="169"/>
      <c r="BP140" s="175">
        <f>Inputs!B143</f>
        <v>499</v>
      </c>
      <c r="BQ140" s="175">
        <f>IF(LEFT(Inputs!$C$11,6)="photon",10^Inputs!C143,Inputs!C143)</f>
        <v>1.7648300747816099E-3</v>
      </c>
      <c r="BR140" s="175"/>
      <c r="BS140" s="175">
        <f>'Advanced Inputs'!I145</f>
        <v>499</v>
      </c>
      <c r="BT140" s="175">
        <f>IF('Advanced Inputs'!J$19="Photon system",10^'Advanced Inputs'!J145,'Advanced Inputs'!J145)</f>
        <v>0</v>
      </c>
      <c r="BV140" s="175">
        <v>499</v>
      </c>
      <c r="BW140" s="73">
        <v>59.2545</v>
      </c>
      <c r="BX140" s="73">
        <v>109.3</v>
      </c>
      <c r="CC140" s="73">
        <v>1</v>
      </c>
    </row>
    <row r="141" spans="8:81" hidden="1" x14ac:dyDescent="0.2">
      <c r="H141" s="73">
        <v>500</v>
      </c>
      <c r="I141" s="168"/>
      <c r="J141" s="168"/>
      <c r="K141" s="168"/>
      <c r="L141" s="168"/>
      <c r="M141" s="168"/>
      <c r="N141" s="168"/>
      <c r="O141" s="168"/>
      <c r="P141" s="168"/>
      <c r="Q141" s="168"/>
      <c r="R141" s="168"/>
      <c r="S141" s="168">
        <v>4.72</v>
      </c>
      <c r="T141" s="168"/>
      <c r="V141" s="73">
        <v>500</v>
      </c>
      <c r="W141" s="168"/>
      <c r="X141" s="168"/>
      <c r="Y141" s="168"/>
      <c r="Z141" s="168"/>
      <c r="AA141" s="168"/>
      <c r="AB141" s="168"/>
      <c r="AC141" s="168"/>
      <c r="AD141" s="168"/>
      <c r="AF141" s="73">
        <v>500</v>
      </c>
      <c r="AG141" s="168"/>
      <c r="AH141" s="168"/>
      <c r="AI141" s="168"/>
      <c r="AJ141" s="168"/>
      <c r="AK141" s="168"/>
      <c r="AL141" s="168"/>
      <c r="AM141" s="168"/>
      <c r="AO141" s="74">
        <v>500</v>
      </c>
      <c r="AP141" s="169"/>
      <c r="AQ141" s="169"/>
      <c r="AR141" s="169">
        <v>8.9430830255216485</v>
      </c>
      <c r="AS141" s="169"/>
      <c r="AT141" s="169"/>
      <c r="AU141" s="169"/>
      <c r="AV141" s="169"/>
      <c r="AW141" s="169"/>
      <c r="AX141" s="169"/>
      <c r="BP141" s="175">
        <f>Inputs!B144</f>
        <v>500</v>
      </c>
      <c r="BQ141" s="175">
        <f>IF(LEFT(Inputs!$C$11,6)="photon",10^Inputs!C144,Inputs!C144)</f>
        <v>1.7348329630289499E-3</v>
      </c>
      <c r="BR141" s="175"/>
      <c r="BS141" s="175">
        <f>'Advanced Inputs'!I146</f>
        <v>500</v>
      </c>
      <c r="BT141" s="175">
        <f>IF('Advanced Inputs'!J$19="Photon system",10^'Advanced Inputs'!J146,'Advanced Inputs'!J146)</f>
        <v>0</v>
      </c>
      <c r="BV141" s="175">
        <v>500</v>
      </c>
      <c r="BW141" s="73">
        <v>59.8611</v>
      </c>
      <c r="BX141" s="73">
        <v>109.354</v>
      </c>
      <c r="CC141" s="73">
        <v>1</v>
      </c>
    </row>
    <row r="142" spans="8:81" hidden="1" x14ac:dyDescent="0.2">
      <c r="H142" s="73">
        <v>501</v>
      </c>
      <c r="I142" s="168"/>
      <c r="J142" s="168"/>
      <c r="K142" s="168"/>
      <c r="L142" s="168"/>
      <c r="M142" s="168"/>
      <c r="N142" s="168"/>
      <c r="O142" s="168"/>
      <c r="P142" s="168"/>
      <c r="Q142" s="168"/>
      <c r="R142" s="168"/>
      <c r="S142" s="168">
        <v>4.1037600000000003</v>
      </c>
      <c r="T142" s="168"/>
      <c r="V142" s="73">
        <v>501</v>
      </c>
      <c r="W142" s="168"/>
      <c r="X142" s="168"/>
      <c r="Y142" s="168"/>
      <c r="Z142" s="168"/>
      <c r="AA142" s="168"/>
      <c r="AB142" s="168"/>
      <c r="AC142" s="168"/>
      <c r="AD142" s="168"/>
      <c r="AF142" s="73">
        <v>501</v>
      </c>
      <c r="AG142" s="168"/>
      <c r="AH142" s="168"/>
      <c r="AI142" s="168"/>
      <c r="AJ142" s="168"/>
      <c r="AK142" s="168"/>
      <c r="AL142" s="168"/>
      <c r="AM142" s="168"/>
      <c r="AO142" s="74">
        <v>501</v>
      </c>
      <c r="AP142" s="169"/>
      <c r="AQ142" s="169"/>
      <c r="AR142" s="169">
        <v>9.1362074944497884</v>
      </c>
      <c r="AS142" s="169"/>
      <c r="AT142" s="169"/>
      <c r="AU142" s="169"/>
      <c r="AV142" s="169"/>
      <c r="AW142" s="169"/>
      <c r="AX142" s="169"/>
      <c r="BP142" s="175">
        <f>Inputs!B145</f>
        <v>501</v>
      </c>
      <c r="BQ142" s="175">
        <f>IF(LEFT(Inputs!$C$11,6)="photon",10^Inputs!C145,Inputs!C145)</f>
        <v>1.70983536990173E-3</v>
      </c>
      <c r="BR142" s="175"/>
      <c r="BS142" s="175">
        <f>'Advanced Inputs'!I147</f>
        <v>501</v>
      </c>
      <c r="BT142" s="175">
        <f>IF('Advanced Inputs'!J$19="Photon system",10^'Advanced Inputs'!J147,'Advanced Inputs'!J147)</f>
        <v>0</v>
      </c>
      <c r="BV142" s="175">
        <v>501</v>
      </c>
      <c r="BW142" s="73">
        <v>60.470300000000002</v>
      </c>
      <c r="BX142" s="73">
        <v>109.199</v>
      </c>
      <c r="CC142" s="73">
        <v>1</v>
      </c>
    </row>
    <row r="143" spans="8:81" hidden="1" x14ac:dyDescent="0.2">
      <c r="H143" s="73">
        <v>502</v>
      </c>
      <c r="I143" s="168"/>
      <c r="J143" s="168"/>
      <c r="K143" s="168"/>
      <c r="L143" s="168"/>
      <c r="M143" s="168"/>
      <c r="N143" s="168"/>
      <c r="O143" s="168"/>
      <c r="P143" s="168"/>
      <c r="Q143" s="168"/>
      <c r="R143" s="168"/>
      <c r="S143" s="168">
        <v>3.5592800000000002</v>
      </c>
      <c r="T143" s="168"/>
      <c r="V143" s="73">
        <v>502</v>
      </c>
      <c r="W143" s="168"/>
      <c r="X143" s="168"/>
      <c r="Y143" s="168"/>
      <c r="Z143" s="168"/>
      <c r="AA143" s="168"/>
      <c r="AB143" s="168"/>
      <c r="AC143" s="168"/>
      <c r="AD143" s="168"/>
      <c r="AF143" s="73">
        <v>502</v>
      </c>
      <c r="AG143" s="168"/>
      <c r="AH143" s="168"/>
      <c r="AI143" s="168"/>
      <c r="AJ143" s="168"/>
      <c r="AK143" s="168"/>
      <c r="AL143" s="168"/>
      <c r="AM143" s="168"/>
      <c r="AO143" s="74">
        <v>502</v>
      </c>
      <c r="AP143" s="169"/>
      <c r="AQ143" s="169"/>
      <c r="AR143" s="169">
        <v>9.3216195318321891</v>
      </c>
      <c r="AS143" s="169"/>
      <c r="AT143" s="169"/>
      <c r="AU143" s="169"/>
      <c r="AV143" s="169"/>
      <c r="AW143" s="169"/>
      <c r="AX143" s="169"/>
      <c r="BP143" s="175">
        <f>Inputs!B146</f>
        <v>502</v>
      </c>
      <c r="BQ143" s="175">
        <f>IF(LEFT(Inputs!$C$11,6)="photon",10^Inputs!C146,Inputs!C146)</f>
        <v>1.6948368140254E-3</v>
      </c>
      <c r="BR143" s="175"/>
      <c r="BS143" s="175">
        <f>'Advanced Inputs'!I148</f>
        <v>502</v>
      </c>
      <c r="BT143" s="175">
        <f>IF('Advanced Inputs'!J$19="Photon system",10^'Advanced Inputs'!J148,'Advanced Inputs'!J148)</f>
        <v>0</v>
      </c>
      <c r="BV143" s="175">
        <v>502</v>
      </c>
      <c r="BW143" s="73">
        <v>61.082000000000001</v>
      </c>
      <c r="BX143" s="73">
        <v>109.044</v>
      </c>
      <c r="CC143" s="73">
        <v>1</v>
      </c>
    </row>
    <row r="144" spans="8:81" hidden="1" x14ac:dyDescent="0.2">
      <c r="H144" s="73">
        <v>503</v>
      </c>
      <c r="I144" s="168"/>
      <c r="J144" s="168"/>
      <c r="K144" s="168"/>
      <c r="L144" s="168"/>
      <c r="M144" s="168"/>
      <c r="N144" s="168"/>
      <c r="O144" s="168"/>
      <c r="P144" s="168"/>
      <c r="Q144" s="168"/>
      <c r="R144" s="168"/>
      <c r="S144" s="168">
        <v>3.08392</v>
      </c>
      <c r="T144" s="168"/>
      <c r="V144" s="73">
        <v>503</v>
      </c>
      <c r="W144" s="168"/>
      <c r="X144" s="168"/>
      <c r="Y144" s="168"/>
      <c r="Z144" s="168"/>
      <c r="AA144" s="168"/>
      <c r="AB144" s="168"/>
      <c r="AC144" s="168"/>
      <c r="AD144" s="168"/>
      <c r="AF144" s="73">
        <v>503</v>
      </c>
      <c r="AG144" s="168"/>
      <c r="AH144" s="168"/>
      <c r="AI144" s="168"/>
      <c r="AJ144" s="168"/>
      <c r="AK144" s="168"/>
      <c r="AL144" s="168"/>
      <c r="AM144" s="168"/>
      <c r="AO144" s="74">
        <v>503</v>
      </c>
      <c r="AP144" s="169"/>
      <c r="AQ144" s="169"/>
      <c r="AR144" s="169">
        <v>9.4982687249671951</v>
      </c>
      <c r="AS144" s="169"/>
      <c r="AT144" s="169"/>
      <c r="AU144" s="169"/>
      <c r="AV144" s="169"/>
      <c r="AW144" s="169"/>
      <c r="AX144" s="169"/>
      <c r="BP144" s="175">
        <f>Inputs!B147</f>
        <v>503</v>
      </c>
      <c r="BQ144" s="175">
        <f>IF(LEFT(Inputs!$C$11,6)="photon",10^Inputs!C147,Inputs!C147)</f>
        <v>1.6898372953999599E-3</v>
      </c>
      <c r="BR144" s="175"/>
      <c r="BS144" s="175">
        <f>'Advanced Inputs'!I149</f>
        <v>503</v>
      </c>
      <c r="BT144" s="175">
        <f>IF('Advanced Inputs'!J$19="Photon system",10^'Advanced Inputs'!J149,'Advanced Inputs'!J149)</f>
        <v>0</v>
      </c>
      <c r="BV144" s="175">
        <v>503</v>
      </c>
      <c r="BW144" s="73">
        <v>61.696199999999997</v>
      </c>
      <c r="BX144" s="73">
        <v>108.88800000000001</v>
      </c>
      <c r="CC144" s="73">
        <v>1</v>
      </c>
    </row>
    <row r="145" spans="8:81" hidden="1" x14ac:dyDescent="0.2">
      <c r="H145" s="73">
        <v>504</v>
      </c>
      <c r="I145" s="168"/>
      <c r="J145" s="168"/>
      <c r="K145" s="168"/>
      <c r="L145" s="168"/>
      <c r="M145" s="168"/>
      <c r="N145" s="168"/>
      <c r="O145" s="168"/>
      <c r="P145" s="168"/>
      <c r="Q145" s="168"/>
      <c r="R145" s="168"/>
      <c r="S145" s="168">
        <v>2.6750400000000005</v>
      </c>
      <c r="T145" s="168"/>
      <c r="V145" s="73">
        <v>504</v>
      </c>
      <c r="W145" s="168"/>
      <c r="X145" s="168"/>
      <c r="Y145" s="168"/>
      <c r="Z145" s="168"/>
      <c r="AA145" s="168"/>
      <c r="AB145" s="168"/>
      <c r="AC145" s="168"/>
      <c r="AD145" s="168"/>
      <c r="AF145" s="73">
        <v>504</v>
      </c>
      <c r="AG145" s="168"/>
      <c r="AH145" s="168"/>
      <c r="AI145" s="168"/>
      <c r="AJ145" s="168"/>
      <c r="AK145" s="168"/>
      <c r="AL145" s="168"/>
      <c r="AM145" s="168"/>
      <c r="AO145" s="74">
        <v>504</v>
      </c>
      <c r="AP145" s="169"/>
      <c r="AQ145" s="169"/>
      <c r="AR145" s="169">
        <v>9.6654957184665307</v>
      </c>
      <c r="AS145" s="169"/>
      <c r="AT145" s="169"/>
      <c r="AU145" s="169"/>
      <c r="AV145" s="169"/>
      <c r="AW145" s="169"/>
      <c r="AX145" s="169"/>
      <c r="BP145" s="175">
        <f>Inputs!B148</f>
        <v>504</v>
      </c>
      <c r="BQ145" s="175">
        <f>IF(LEFT(Inputs!$C$11,6)="photon",10^Inputs!C148,Inputs!C148)</f>
        <v>1.6898372953999599E-3</v>
      </c>
      <c r="BR145" s="175"/>
      <c r="BS145" s="175">
        <f>'Advanced Inputs'!I150</f>
        <v>504</v>
      </c>
      <c r="BT145" s="175">
        <f>IF('Advanced Inputs'!J$19="Photon system",10^'Advanced Inputs'!J150,'Advanced Inputs'!J150)</f>
        <v>0</v>
      </c>
      <c r="BV145" s="175">
        <v>504</v>
      </c>
      <c r="BW145" s="73">
        <v>62.312800000000003</v>
      </c>
      <c r="BX145" s="73">
        <v>108.733</v>
      </c>
      <c r="CC145" s="73">
        <v>1</v>
      </c>
    </row>
    <row r="146" spans="8:81" hidden="1" x14ac:dyDescent="0.2">
      <c r="H146" s="73">
        <v>505</v>
      </c>
      <c r="I146" s="168"/>
      <c r="J146" s="168"/>
      <c r="K146" s="168"/>
      <c r="L146" s="168"/>
      <c r="M146" s="168"/>
      <c r="N146" s="168"/>
      <c r="O146" s="168"/>
      <c r="P146" s="168"/>
      <c r="Q146" s="168"/>
      <c r="R146" s="168"/>
      <c r="S146" s="168">
        <v>2.33</v>
      </c>
      <c r="T146" s="168"/>
      <c r="V146" s="73">
        <v>505</v>
      </c>
      <c r="W146" s="168"/>
      <c r="X146" s="168"/>
      <c r="Y146" s="168"/>
      <c r="Z146" s="168"/>
      <c r="AA146" s="168"/>
      <c r="AB146" s="168"/>
      <c r="AC146" s="168"/>
      <c r="AD146" s="168"/>
      <c r="AF146" s="73">
        <v>505</v>
      </c>
      <c r="AG146" s="168"/>
      <c r="AH146" s="168"/>
      <c r="AI146" s="168"/>
      <c r="AJ146" s="168"/>
      <c r="AK146" s="168"/>
      <c r="AL146" s="168"/>
      <c r="AM146" s="168"/>
      <c r="AO146" s="74">
        <v>505</v>
      </c>
      <c r="AP146" s="169"/>
      <c r="AQ146" s="169"/>
      <c r="AR146" s="169">
        <v>9.8238125674358834</v>
      </c>
      <c r="AS146" s="169"/>
      <c r="AT146" s="169"/>
      <c r="AU146" s="169"/>
      <c r="AV146" s="169"/>
      <c r="AW146" s="169"/>
      <c r="AX146" s="169"/>
      <c r="BP146" s="175">
        <f>Inputs!B149</f>
        <v>505</v>
      </c>
      <c r="BQ146" s="175">
        <f>IF(LEFT(Inputs!$C$11,6)="photon",10^Inputs!C149,Inputs!C149)</f>
        <v>1.6948368140254E-3</v>
      </c>
      <c r="BR146" s="175"/>
      <c r="BS146" s="175">
        <f>'Advanced Inputs'!I151</f>
        <v>505</v>
      </c>
      <c r="BT146" s="175">
        <f>IF('Advanced Inputs'!J$19="Photon system",10^'Advanced Inputs'!J151,'Advanced Inputs'!J151)</f>
        <v>0</v>
      </c>
      <c r="BV146" s="175">
        <v>505</v>
      </c>
      <c r="BW146" s="73">
        <v>62.932000000000002</v>
      </c>
      <c r="BX146" s="73">
        <v>108.578</v>
      </c>
      <c r="CC146" s="73">
        <v>1</v>
      </c>
    </row>
    <row r="147" spans="8:81" hidden="1" x14ac:dyDescent="0.2">
      <c r="H147" s="73">
        <v>506</v>
      </c>
      <c r="I147" s="168"/>
      <c r="J147" s="168"/>
      <c r="K147" s="168"/>
      <c r="L147" s="168"/>
      <c r="M147" s="168"/>
      <c r="N147" s="168"/>
      <c r="O147" s="168"/>
      <c r="P147" s="168"/>
      <c r="Q147" s="168"/>
      <c r="R147" s="168"/>
      <c r="S147" s="168">
        <v>2.0688800000000001</v>
      </c>
      <c r="T147" s="168"/>
      <c r="V147" s="73">
        <v>506</v>
      </c>
      <c r="W147" s="168"/>
      <c r="X147" s="168"/>
      <c r="Y147" s="168"/>
      <c r="Z147" s="168"/>
      <c r="AA147" s="168"/>
      <c r="AB147" s="168"/>
      <c r="AC147" s="168"/>
      <c r="AD147" s="168"/>
      <c r="AF147" s="73">
        <v>506</v>
      </c>
      <c r="AG147" s="168"/>
      <c r="AH147" s="168"/>
      <c r="AI147" s="168"/>
      <c r="AJ147" s="168"/>
      <c r="AK147" s="168"/>
      <c r="AL147" s="168"/>
      <c r="AM147" s="168"/>
      <c r="AO147" s="74">
        <v>506</v>
      </c>
      <c r="AP147" s="169"/>
      <c r="AQ147" s="169"/>
      <c r="AR147" s="169">
        <v>9.9746871100054246</v>
      </c>
      <c r="AS147" s="169"/>
      <c r="AT147" s="169"/>
      <c r="AU147" s="169"/>
      <c r="AV147" s="169"/>
      <c r="AW147" s="169"/>
      <c r="AX147" s="169"/>
      <c r="BP147" s="175">
        <f>Inputs!B150</f>
        <v>506</v>
      </c>
      <c r="BQ147" s="175">
        <f>IF(LEFT(Inputs!$C$11,6)="photon",10^Inputs!C150,Inputs!C150)</f>
        <v>1.69983633265084E-3</v>
      </c>
      <c r="BR147" s="175"/>
      <c r="BS147" s="175">
        <f>'Advanced Inputs'!I152</f>
        <v>506</v>
      </c>
      <c r="BT147" s="175">
        <f>IF('Advanced Inputs'!J$19="Photon system",10^'Advanced Inputs'!J152,'Advanced Inputs'!J152)</f>
        <v>0</v>
      </c>
      <c r="BV147" s="175">
        <v>506</v>
      </c>
      <c r="BW147" s="73">
        <v>63.5535</v>
      </c>
      <c r="BX147" s="73">
        <v>108.423</v>
      </c>
      <c r="CC147" s="73">
        <v>1</v>
      </c>
    </row>
    <row r="148" spans="8:81" hidden="1" x14ac:dyDescent="0.2">
      <c r="H148" s="73">
        <v>507</v>
      </c>
      <c r="I148" s="168"/>
      <c r="J148" s="168"/>
      <c r="K148" s="168"/>
      <c r="L148" s="168"/>
      <c r="M148" s="168"/>
      <c r="N148" s="168"/>
      <c r="O148" s="168"/>
      <c r="P148" s="168"/>
      <c r="Q148" s="168"/>
      <c r="R148" s="168"/>
      <c r="S148" s="168">
        <v>1.8606399999999998</v>
      </c>
      <c r="T148" s="168"/>
      <c r="V148" s="73">
        <v>507</v>
      </c>
      <c r="W148" s="168"/>
      <c r="X148" s="168"/>
      <c r="Y148" s="168"/>
      <c r="Z148" s="168"/>
      <c r="AA148" s="168"/>
      <c r="AB148" s="168"/>
      <c r="AC148" s="168"/>
      <c r="AD148" s="168"/>
      <c r="AF148" s="73">
        <v>507</v>
      </c>
      <c r="AG148" s="168"/>
      <c r="AH148" s="168"/>
      <c r="AI148" s="168"/>
      <c r="AJ148" s="168"/>
      <c r="AK148" s="168"/>
      <c r="AL148" s="168"/>
      <c r="AM148" s="168"/>
      <c r="AO148" s="74">
        <v>507</v>
      </c>
      <c r="AP148" s="169"/>
      <c r="AQ148" s="169"/>
      <c r="AR148" s="169">
        <v>10.119467878084565</v>
      </c>
      <c r="AS148" s="169"/>
      <c r="AT148" s="169"/>
      <c r="AU148" s="169"/>
      <c r="AV148" s="169"/>
      <c r="AW148" s="169"/>
      <c r="AX148" s="169"/>
      <c r="BP148" s="175">
        <f>Inputs!B151</f>
        <v>507</v>
      </c>
      <c r="BQ148" s="175">
        <f>IF(LEFT(Inputs!$C$11,6)="photon",10^Inputs!C151,Inputs!C151)</f>
        <v>1.69983633265084E-3</v>
      </c>
      <c r="BR148" s="175"/>
      <c r="BS148" s="175">
        <f>'Advanced Inputs'!I153</f>
        <v>507</v>
      </c>
      <c r="BT148" s="175">
        <f>IF('Advanced Inputs'!J$19="Photon system",10^'Advanced Inputs'!J153,'Advanced Inputs'!J153)</f>
        <v>0</v>
      </c>
      <c r="BV148" s="175">
        <v>507</v>
      </c>
      <c r="BW148" s="73">
        <v>64.177499999999995</v>
      </c>
      <c r="BX148" s="73">
        <v>108.268</v>
      </c>
      <c r="CC148" s="73">
        <v>1</v>
      </c>
    </row>
    <row r="149" spans="8:81" hidden="1" x14ac:dyDescent="0.2">
      <c r="H149" s="73">
        <v>508</v>
      </c>
      <c r="I149" s="168"/>
      <c r="J149" s="168"/>
      <c r="K149" s="168"/>
      <c r="L149" s="168"/>
      <c r="M149" s="168"/>
      <c r="N149" s="168"/>
      <c r="O149" s="168"/>
      <c r="P149" s="168"/>
      <c r="Q149" s="168"/>
      <c r="R149" s="168"/>
      <c r="S149" s="168">
        <v>1.69696</v>
      </c>
      <c r="T149" s="168"/>
      <c r="V149" s="73">
        <v>508</v>
      </c>
      <c r="W149" s="168"/>
      <c r="X149" s="168"/>
      <c r="Y149" s="168"/>
      <c r="Z149" s="168"/>
      <c r="AA149" s="168"/>
      <c r="AB149" s="168"/>
      <c r="AC149" s="168"/>
      <c r="AD149" s="168"/>
      <c r="AF149" s="73">
        <v>508</v>
      </c>
      <c r="AG149" s="168"/>
      <c r="AH149" s="168"/>
      <c r="AI149" s="168"/>
      <c r="AJ149" s="168"/>
      <c r="AK149" s="168"/>
      <c r="AL149" s="168"/>
      <c r="AM149" s="168"/>
      <c r="AO149" s="74">
        <v>508</v>
      </c>
      <c r="AP149" s="169"/>
      <c r="AQ149" s="169"/>
      <c r="AR149" s="169">
        <v>10.258465524843938</v>
      </c>
      <c r="AS149" s="169"/>
      <c r="AT149" s="169"/>
      <c r="AU149" s="169"/>
      <c r="AV149" s="169"/>
      <c r="AW149" s="169"/>
      <c r="AX149" s="169"/>
      <c r="BP149" s="175">
        <f>Inputs!B152</f>
        <v>508</v>
      </c>
      <c r="BQ149" s="175">
        <f>IF(LEFT(Inputs!$C$11,6)="photon",10^Inputs!C152,Inputs!C152)</f>
        <v>1.6948368140254E-3</v>
      </c>
      <c r="BR149" s="175"/>
      <c r="BS149" s="175">
        <f>'Advanced Inputs'!I154</f>
        <v>508</v>
      </c>
      <c r="BT149" s="175">
        <f>IF('Advanced Inputs'!J$19="Photon system",10^'Advanced Inputs'!J154,'Advanced Inputs'!J154)</f>
        <v>0</v>
      </c>
      <c r="BV149" s="175">
        <v>508</v>
      </c>
      <c r="BW149" s="73">
        <v>64.803799999999995</v>
      </c>
      <c r="BX149" s="73">
        <v>108.11199999999999</v>
      </c>
      <c r="CC149" s="73">
        <v>1</v>
      </c>
    </row>
    <row r="150" spans="8:81" hidden="1" x14ac:dyDescent="0.2">
      <c r="H150" s="73">
        <v>509</v>
      </c>
      <c r="I150" s="168"/>
      <c r="J150" s="168"/>
      <c r="K150" s="168"/>
      <c r="L150" s="168"/>
      <c r="M150" s="168"/>
      <c r="N150" s="168"/>
      <c r="O150" s="168"/>
      <c r="P150" s="168"/>
      <c r="Q150" s="168"/>
      <c r="R150" s="168"/>
      <c r="S150" s="168">
        <v>1.56952</v>
      </c>
      <c r="T150" s="168"/>
      <c r="V150" s="73">
        <v>509</v>
      </c>
      <c r="W150" s="168"/>
      <c r="X150" s="168"/>
      <c r="Y150" s="168"/>
      <c r="Z150" s="168"/>
      <c r="AA150" s="168"/>
      <c r="AB150" s="168"/>
      <c r="AC150" s="168"/>
      <c r="AD150" s="168"/>
      <c r="AF150" s="73">
        <v>509</v>
      </c>
      <c r="AG150" s="168"/>
      <c r="AH150" s="168"/>
      <c r="AI150" s="168"/>
      <c r="AJ150" s="168"/>
      <c r="AK150" s="168"/>
      <c r="AL150" s="168"/>
      <c r="AM150" s="168"/>
      <c r="AO150" s="74">
        <v>509</v>
      </c>
      <c r="AP150" s="169"/>
      <c r="AQ150" s="169"/>
      <c r="AR150" s="169">
        <v>10.391024181664839</v>
      </c>
      <c r="AS150" s="169"/>
      <c r="AT150" s="169"/>
      <c r="AU150" s="169"/>
      <c r="AV150" s="169"/>
      <c r="AW150" s="169"/>
      <c r="AX150" s="169"/>
      <c r="BP150" s="175">
        <f>Inputs!B153</f>
        <v>509</v>
      </c>
      <c r="BQ150" s="175">
        <f>IF(LEFT(Inputs!$C$11,6)="photon",10^Inputs!C153,Inputs!C153)</f>
        <v>1.6948368140254E-3</v>
      </c>
      <c r="BR150" s="175"/>
      <c r="BS150" s="175">
        <f>'Advanced Inputs'!I155</f>
        <v>509</v>
      </c>
      <c r="BT150" s="175">
        <f>IF('Advanced Inputs'!J$19="Photon system",10^'Advanced Inputs'!J155,'Advanced Inputs'!J155)</f>
        <v>0</v>
      </c>
      <c r="BV150" s="175">
        <v>509</v>
      </c>
      <c r="BW150" s="73">
        <v>65.432500000000005</v>
      </c>
      <c r="BX150" s="73">
        <v>107.95699999999999</v>
      </c>
      <c r="CC150" s="73">
        <v>1</v>
      </c>
    </row>
    <row r="151" spans="8:81" hidden="1" x14ac:dyDescent="0.2">
      <c r="H151" s="73">
        <v>510</v>
      </c>
      <c r="I151" s="168"/>
      <c r="J151" s="168"/>
      <c r="K151" s="168"/>
      <c r="L151" s="168"/>
      <c r="M151" s="168"/>
      <c r="N151" s="168"/>
      <c r="O151" s="168"/>
      <c r="P151" s="168"/>
      <c r="Q151" s="168"/>
      <c r="R151" s="168"/>
      <c r="S151" s="168">
        <v>1.47</v>
      </c>
      <c r="T151" s="168"/>
      <c r="V151" s="73">
        <v>510</v>
      </c>
      <c r="W151" s="168"/>
      <c r="X151" s="168"/>
      <c r="Y151" s="168"/>
      <c r="Z151" s="168"/>
      <c r="AA151" s="168"/>
      <c r="AB151" s="168"/>
      <c r="AC151" s="168"/>
      <c r="AD151" s="168"/>
      <c r="AF151" s="73">
        <v>510</v>
      </c>
      <c r="AG151" s="168"/>
      <c r="AH151" s="168"/>
      <c r="AI151" s="168"/>
      <c r="AJ151" s="168"/>
      <c r="AK151" s="168"/>
      <c r="AL151" s="168"/>
      <c r="AM151" s="168"/>
      <c r="AO151" s="74">
        <v>510</v>
      </c>
      <c r="AP151" s="169"/>
      <c r="AQ151" s="169"/>
      <c r="AR151" s="169">
        <v>10.516491078095948</v>
      </c>
      <c r="AS151" s="169"/>
      <c r="AT151" s="169"/>
      <c r="AU151" s="169"/>
      <c r="AV151" s="169"/>
      <c r="AW151" s="169"/>
      <c r="AX151" s="169"/>
      <c r="BP151" s="175">
        <f>Inputs!B154</f>
        <v>510</v>
      </c>
      <c r="BQ151" s="175">
        <f>IF(LEFT(Inputs!$C$11,6)="photon",10^Inputs!C154,Inputs!C154)</f>
        <v>1.6898372953999599E-3</v>
      </c>
      <c r="BR151" s="175"/>
      <c r="BS151" s="175">
        <f>'Advanced Inputs'!I156</f>
        <v>510</v>
      </c>
      <c r="BT151" s="175">
        <f>IF('Advanced Inputs'!J$19="Photon system",10^'Advanced Inputs'!J156,'Advanced Inputs'!J156)</f>
        <v>0</v>
      </c>
      <c r="BV151" s="175">
        <v>510</v>
      </c>
      <c r="BW151" s="73">
        <v>66.063500000000005</v>
      </c>
      <c r="BX151" s="73">
        <v>107.80200000000001</v>
      </c>
      <c r="CC151" s="73">
        <v>1</v>
      </c>
    </row>
    <row r="152" spans="8:81" hidden="1" x14ac:dyDescent="0.2">
      <c r="H152" s="73">
        <v>511</v>
      </c>
      <c r="I152" s="168"/>
      <c r="J152" s="168"/>
      <c r="K152" s="168"/>
      <c r="L152" s="168"/>
      <c r="M152" s="168"/>
      <c r="N152" s="168"/>
      <c r="O152" s="168"/>
      <c r="P152" s="168"/>
      <c r="Q152" s="168"/>
      <c r="R152" s="168"/>
      <c r="S152" s="168">
        <v>1.3673599999999999</v>
      </c>
      <c r="T152" s="168"/>
      <c r="V152" s="73">
        <v>511</v>
      </c>
      <c r="W152" s="168"/>
      <c r="X152" s="168"/>
      <c r="Y152" s="168"/>
      <c r="Z152" s="168"/>
      <c r="AA152" s="168"/>
      <c r="AB152" s="168"/>
      <c r="AC152" s="168"/>
      <c r="AD152" s="168"/>
      <c r="AF152" s="73">
        <v>511</v>
      </c>
      <c r="AG152" s="168"/>
      <c r="AH152" s="168"/>
      <c r="AI152" s="168"/>
      <c r="AJ152" s="168"/>
      <c r="AK152" s="168"/>
      <c r="AL152" s="168"/>
      <c r="AM152" s="168"/>
      <c r="AO152" s="74">
        <v>511</v>
      </c>
      <c r="AP152" s="169"/>
      <c r="AQ152" s="169"/>
      <c r="AR152" s="169">
        <v>10.635154547287453</v>
      </c>
      <c r="AS152" s="169"/>
      <c r="AT152" s="169"/>
      <c r="AU152" s="169"/>
      <c r="AV152" s="169"/>
      <c r="AW152" s="169"/>
      <c r="AX152" s="169"/>
      <c r="BP152" s="175">
        <f>Inputs!B155</f>
        <v>511</v>
      </c>
      <c r="BQ152" s="175">
        <f>IF(LEFT(Inputs!$C$11,6)="photon",10^Inputs!C155,Inputs!C155)</f>
        <v>1.68483777677451E-3</v>
      </c>
      <c r="BR152" s="175"/>
      <c r="BS152" s="175">
        <f>'Advanced Inputs'!I157</f>
        <v>511</v>
      </c>
      <c r="BT152" s="175">
        <f>IF('Advanced Inputs'!J$19="Photon system",10^'Advanced Inputs'!J157,'Advanced Inputs'!J157)</f>
        <v>0</v>
      </c>
      <c r="BV152" s="175">
        <v>511</v>
      </c>
      <c r="BW152" s="73">
        <v>66.696799999999996</v>
      </c>
      <c r="BX152" s="73">
        <v>107.501</v>
      </c>
      <c r="CC152" s="73">
        <v>1</v>
      </c>
    </row>
    <row r="153" spans="8:81" hidden="1" x14ac:dyDescent="0.2">
      <c r="H153" s="73">
        <v>512</v>
      </c>
      <c r="I153" s="168"/>
      <c r="J153" s="168"/>
      <c r="K153" s="168"/>
      <c r="L153" s="168"/>
      <c r="M153" s="168"/>
      <c r="N153" s="168"/>
      <c r="O153" s="168"/>
      <c r="P153" s="168"/>
      <c r="Q153" s="168"/>
      <c r="R153" s="168"/>
      <c r="S153" s="168">
        <v>1.2816799999999999</v>
      </c>
      <c r="T153" s="168"/>
      <c r="V153" s="73">
        <v>512</v>
      </c>
      <c r="W153" s="168"/>
      <c r="X153" s="168"/>
      <c r="Y153" s="168"/>
      <c r="Z153" s="168"/>
      <c r="AA153" s="168"/>
      <c r="AB153" s="168"/>
      <c r="AC153" s="168"/>
      <c r="AD153" s="168"/>
      <c r="AF153" s="73">
        <v>512</v>
      </c>
      <c r="AG153" s="168"/>
      <c r="AH153" s="168"/>
      <c r="AI153" s="168"/>
      <c r="AJ153" s="168"/>
      <c r="AK153" s="168"/>
      <c r="AL153" s="168"/>
      <c r="AM153" s="168"/>
      <c r="AO153" s="74">
        <v>512</v>
      </c>
      <c r="AP153" s="169"/>
      <c r="AQ153" s="169"/>
      <c r="AR153" s="169">
        <v>10.748212531937225</v>
      </c>
      <c r="AS153" s="169"/>
      <c r="AT153" s="169"/>
      <c r="AU153" s="169"/>
      <c r="AV153" s="169"/>
      <c r="AW153" s="169"/>
      <c r="AX153" s="169"/>
      <c r="BP153" s="175">
        <f>Inputs!B156</f>
        <v>512</v>
      </c>
      <c r="BQ153" s="175">
        <f>IF(LEFT(Inputs!$C$11,6)="photon",10^Inputs!C156,Inputs!C156)</f>
        <v>1.66983922089818E-3</v>
      </c>
      <c r="BR153" s="175"/>
      <c r="BS153" s="175">
        <f>'Advanced Inputs'!I158</f>
        <v>512</v>
      </c>
      <c r="BT153" s="175">
        <f>IF('Advanced Inputs'!J$19="Photon system",10^'Advanced Inputs'!J158,'Advanced Inputs'!J158)</f>
        <v>0</v>
      </c>
      <c r="BV153" s="175">
        <v>512</v>
      </c>
      <c r="BW153" s="73">
        <v>67.332400000000007</v>
      </c>
      <c r="BX153" s="73">
        <v>107.2</v>
      </c>
      <c r="CC153" s="73">
        <v>1</v>
      </c>
    </row>
    <row r="154" spans="8:81" hidden="1" x14ac:dyDescent="0.2">
      <c r="H154" s="73">
        <v>513</v>
      </c>
      <c r="I154" s="168"/>
      <c r="J154" s="168"/>
      <c r="K154" s="168"/>
      <c r="L154" s="168"/>
      <c r="M154" s="168"/>
      <c r="N154" s="168"/>
      <c r="O154" s="168"/>
      <c r="P154" s="168"/>
      <c r="Q154" s="168"/>
      <c r="R154" s="168"/>
      <c r="S154" s="168">
        <v>1.2103200000000001</v>
      </c>
      <c r="T154" s="168"/>
      <c r="V154" s="73">
        <v>513</v>
      </c>
      <c r="W154" s="168"/>
      <c r="X154" s="168"/>
      <c r="Y154" s="168"/>
      <c r="Z154" s="168"/>
      <c r="AA154" s="168"/>
      <c r="AB154" s="168"/>
      <c r="AC154" s="168"/>
      <c r="AD154" s="168"/>
      <c r="AF154" s="73">
        <v>513</v>
      </c>
      <c r="AG154" s="168"/>
      <c r="AH154" s="168"/>
      <c r="AI154" s="168"/>
      <c r="AJ154" s="168"/>
      <c r="AK154" s="168"/>
      <c r="AL154" s="168"/>
      <c r="AM154" s="168"/>
      <c r="AO154" s="74">
        <v>513</v>
      </c>
      <c r="AP154" s="169"/>
      <c r="AQ154" s="169"/>
      <c r="AR154" s="169">
        <v>10.856818525762858</v>
      </c>
      <c r="AS154" s="169"/>
      <c r="AT154" s="169"/>
      <c r="AU154" s="169"/>
      <c r="AV154" s="169"/>
      <c r="AW154" s="169"/>
      <c r="AX154" s="169"/>
      <c r="BP154" s="175">
        <f>Inputs!B157</f>
        <v>513</v>
      </c>
      <c r="BQ154" s="175">
        <f>IF(LEFT(Inputs!$C$11,6)="photon",10^Inputs!C157,Inputs!C157)</f>
        <v>1.64484162777096E-3</v>
      </c>
      <c r="BR154" s="175"/>
      <c r="BS154" s="175">
        <f>'Advanced Inputs'!I159</f>
        <v>513</v>
      </c>
      <c r="BT154" s="175">
        <f>IF('Advanced Inputs'!J$19="Photon system",10^'Advanced Inputs'!J159,'Advanced Inputs'!J159)</f>
        <v>0</v>
      </c>
      <c r="BV154" s="175">
        <v>513</v>
      </c>
      <c r="BW154" s="73">
        <v>67.970200000000006</v>
      </c>
      <c r="BX154" s="73">
        <v>106.898</v>
      </c>
      <c r="CC154" s="73">
        <v>1</v>
      </c>
    </row>
    <row r="155" spans="8:81" hidden="1" x14ac:dyDescent="0.2">
      <c r="H155" s="73">
        <v>514</v>
      </c>
      <c r="I155" s="168"/>
      <c r="J155" s="168"/>
      <c r="K155" s="168"/>
      <c r="L155" s="168"/>
      <c r="M155" s="168"/>
      <c r="N155" s="168"/>
      <c r="O155" s="168"/>
      <c r="P155" s="168"/>
      <c r="Q155" s="168"/>
      <c r="R155" s="168"/>
      <c r="S155" s="168">
        <v>1.1506399999999999</v>
      </c>
      <c r="T155" s="168"/>
      <c r="V155" s="73">
        <v>514</v>
      </c>
      <c r="W155" s="168"/>
      <c r="X155" s="168"/>
      <c r="Y155" s="168"/>
      <c r="Z155" s="168"/>
      <c r="AA155" s="168"/>
      <c r="AB155" s="168"/>
      <c r="AC155" s="168"/>
      <c r="AD155" s="168"/>
      <c r="AF155" s="73">
        <v>514</v>
      </c>
      <c r="AG155" s="168"/>
      <c r="AH155" s="168"/>
      <c r="AI155" s="168"/>
      <c r="AJ155" s="168"/>
      <c r="AK155" s="168"/>
      <c r="AL155" s="168"/>
      <c r="AM155" s="168"/>
      <c r="AO155" s="74">
        <v>514</v>
      </c>
      <c r="AP155" s="169"/>
      <c r="AQ155" s="169"/>
      <c r="AR155" s="169">
        <v>10.961240717430254</v>
      </c>
      <c r="AS155" s="169"/>
      <c r="AT155" s="169"/>
      <c r="AU155" s="169"/>
      <c r="AV155" s="169"/>
      <c r="AW155" s="169"/>
      <c r="AX155" s="169"/>
      <c r="BP155" s="175">
        <f>Inputs!B158</f>
        <v>514</v>
      </c>
      <c r="BQ155" s="175">
        <f>IF(LEFT(Inputs!$C$11,6)="photon",10^Inputs!C158,Inputs!C158)</f>
        <v>1.6148445160183E-3</v>
      </c>
      <c r="BR155" s="175"/>
      <c r="BS155" s="175">
        <f>'Advanced Inputs'!I160</f>
        <v>514</v>
      </c>
      <c r="BT155" s="175">
        <f>IF('Advanced Inputs'!J$19="Photon system",10^'Advanced Inputs'!J160,'Advanced Inputs'!J160)</f>
        <v>0</v>
      </c>
      <c r="BV155" s="175">
        <v>514</v>
      </c>
      <c r="BW155" s="73">
        <v>68.610200000000006</v>
      </c>
      <c r="BX155" s="73">
        <v>106.59699999999999</v>
      </c>
      <c r="CC155" s="73">
        <v>1</v>
      </c>
    </row>
    <row r="156" spans="8:81" hidden="1" x14ac:dyDescent="0.2">
      <c r="H156" s="73">
        <v>515</v>
      </c>
      <c r="I156" s="168"/>
      <c r="J156" s="168"/>
      <c r="K156" s="168"/>
      <c r="L156" s="168"/>
      <c r="M156" s="168"/>
      <c r="N156" s="168"/>
      <c r="O156" s="168"/>
      <c r="P156" s="168"/>
      <c r="Q156" s="168"/>
      <c r="R156" s="168"/>
      <c r="S156" s="168">
        <v>1.1000000000000001</v>
      </c>
      <c r="T156" s="168"/>
      <c r="V156" s="73">
        <v>515</v>
      </c>
      <c r="W156" s="168"/>
      <c r="X156" s="168"/>
      <c r="Y156" s="168"/>
      <c r="Z156" s="168"/>
      <c r="AA156" s="168"/>
      <c r="AB156" s="168"/>
      <c r="AC156" s="168"/>
      <c r="AD156" s="168"/>
      <c r="AF156" s="73">
        <v>515</v>
      </c>
      <c r="AG156" s="168"/>
      <c r="AH156" s="168"/>
      <c r="AI156" s="168"/>
      <c r="AJ156" s="168"/>
      <c r="AK156" s="168"/>
      <c r="AL156" s="168"/>
      <c r="AM156" s="168"/>
      <c r="AO156" s="74">
        <v>515</v>
      </c>
      <c r="AP156" s="169"/>
      <c r="AQ156" s="169"/>
      <c r="AR156" s="169">
        <v>11.060985860763836</v>
      </c>
      <c r="AS156" s="169"/>
      <c r="AT156" s="169"/>
      <c r="AU156" s="169"/>
      <c r="AV156" s="169"/>
      <c r="AW156" s="169"/>
      <c r="AX156" s="169"/>
      <c r="BP156" s="175">
        <f>Inputs!B159</f>
        <v>515</v>
      </c>
      <c r="BQ156" s="175">
        <f>IF(LEFT(Inputs!$C$11,6)="photon",10^Inputs!C159,Inputs!C159)</f>
        <v>1.57984788564019E-3</v>
      </c>
      <c r="BR156" s="175"/>
      <c r="BS156" s="175">
        <f>'Advanced Inputs'!I161</f>
        <v>515</v>
      </c>
      <c r="BT156" s="175">
        <f>IF('Advanced Inputs'!J$19="Photon system",10^'Advanced Inputs'!J161,'Advanced Inputs'!J161)</f>
        <v>0</v>
      </c>
      <c r="BV156" s="175">
        <v>515</v>
      </c>
      <c r="BW156" s="73">
        <v>69.252499999999998</v>
      </c>
      <c r="BX156" s="73">
        <v>106.29600000000001</v>
      </c>
      <c r="CC156" s="73">
        <v>1</v>
      </c>
    </row>
    <row r="157" spans="8:81" hidden="1" x14ac:dyDescent="0.2">
      <c r="H157" s="73">
        <v>516</v>
      </c>
      <c r="I157" s="168"/>
      <c r="J157" s="168"/>
      <c r="K157" s="168"/>
      <c r="L157" s="168"/>
      <c r="M157" s="168"/>
      <c r="N157" s="168"/>
      <c r="O157" s="168"/>
      <c r="P157" s="168"/>
      <c r="Q157" s="168"/>
      <c r="R157" s="168"/>
      <c r="S157" s="168">
        <v>1.0455200000000002</v>
      </c>
      <c r="T157" s="168"/>
      <c r="V157" s="73">
        <v>516</v>
      </c>
      <c r="W157" s="168"/>
      <c r="X157" s="168"/>
      <c r="Y157" s="168"/>
      <c r="Z157" s="168"/>
      <c r="AA157" s="168"/>
      <c r="AB157" s="168"/>
      <c r="AC157" s="168"/>
      <c r="AD157" s="168"/>
      <c r="AF157" s="73">
        <v>516</v>
      </c>
      <c r="AG157" s="168"/>
      <c r="AH157" s="168"/>
      <c r="AI157" s="168"/>
      <c r="AJ157" s="168"/>
      <c r="AK157" s="168"/>
      <c r="AL157" s="168"/>
      <c r="AM157" s="168"/>
      <c r="AO157" s="74">
        <v>516</v>
      </c>
      <c r="AP157" s="169"/>
      <c r="AQ157" s="169"/>
      <c r="AR157" s="169">
        <v>11.155714759480837</v>
      </c>
      <c r="AS157" s="169"/>
      <c r="AT157" s="169"/>
      <c r="AU157" s="169"/>
      <c r="AV157" s="169"/>
      <c r="AW157" s="169"/>
      <c r="AX157" s="169"/>
      <c r="BP157" s="175">
        <f>Inputs!B160</f>
        <v>516</v>
      </c>
      <c r="BQ157" s="175">
        <f>IF(LEFT(Inputs!$C$11,6)="photon",10^Inputs!C160,Inputs!C160)</f>
        <v>1.53985173663664E-3</v>
      </c>
      <c r="BR157" s="175"/>
      <c r="BS157" s="175">
        <f>'Advanced Inputs'!I162</f>
        <v>516</v>
      </c>
      <c r="BT157" s="175">
        <f>IF('Advanced Inputs'!J$19="Photon system",10^'Advanced Inputs'!J162,'Advanced Inputs'!J162)</f>
        <v>0</v>
      </c>
      <c r="BV157" s="175">
        <v>516</v>
      </c>
      <c r="BW157" s="73">
        <v>69.896900000000002</v>
      </c>
      <c r="BX157" s="73">
        <v>105.995</v>
      </c>
      <c r="CC157" s="73">
        <v>1</v>
      </c>
    </row>
    <row r="158" spans="8:81" hidden="1" x14ac:dyDescent="0.2">
      <c r="H158" s="73">
        <v>517</v>
      </c>
      <c r="I158" s="168"/>
      <c r="J158" s="168"/>
      <c r="K158" s="168"/>
      <c r="L158" s="168"/>
      <c r="M158" s="168"/>
      <c r="N158" s="168"/>
      <c r="O158" s="168"/>
      <c r="P158" s="168"/>
      <c r="Q158" s="168"/>
      <c r="R158" s="168"/>
      <c r="S158" s="168">
        <v>0.99736000000000014</v>
      </c>
      <c r="T158" s="168"/>
      <c r="V158" s="73">
        <v>517</v>
      </c>
      <c r="W158" s="168"/>
      <c r="X158" s="168"/>
      <c r="Y158" s="168"/>
      <c r="Z158" s="168"/>
      <c r="AA158" s="168"/>
      <c r="AB158" s="168"/>
      <c r="AC158" s="168"/>
      <c r="AD158" s="168"/>
      <c r="AF158" s="73">
        <v>517</v>
      </c>
      <c r="AG158" s="168"/>
      <c r="AH158" s="168"/>
      <c r="AI158" s="168"/>
      <c r="AJ158" s="168"/>
      <c r="AK158" s="168"/>
      <c r="AL158" s="168"/>
      <c r="AM158" s="168"/>
      <c r="AO158" s="74">
        <v>517</v>
      </c>
      <c r="AP158" s="169"/>
      <c r="AQ158" s="169"/>
      <c r="AR158" s="169">
        <v>11.24611608027798</v>
      </c>
      <c r="AS158" s="169"/>
      <c r="AT158" s="169"/>
      <c r="AU158" s="169"/>
      <c r="AV158" s="169"/>
      <c r="AW158" s="169"/>
      <c r="AX158" s="169"/>
      <c r="BP158" s="175">
        <f>Inputs!B161</f>
        <v>517</v>
      </c>
      <c r="BQ158" s="175">
        <f>IF(LEFT(Inputs!$C$11,6)="photon",10^Inputs!C161,Inputs!C161)</f>
        <v>1.51485414350943E-3</v>
      </c>
      <c r="BR158" s="175"/>
      <c r="BS158" s="175">
        <f>'Advanced Inputs'!I163</f>
        <v>517</v>
      </c>
      <c r="BT158" s="175">
        <f>IF('Advanced Inputs'!J$19="Photon system",10^'Advanced Inputs'!J163,'Advanced Inputs'!J163)</f>
        <v>0</v>
      </c>
      <c r="BV158" s="175">
        <v>517</v>
      </c>
      <c r="BW158" s="73">
        <v>70.543499999999995</v>
      </c>
      <c r="BX158" s="73">
        <v>105.694</v>
      </c>
      <c r="CC158" s="73">
        <v>1</v>
      </c>
    </row>
    <row r="159" spans="8:81" hidden="1" x14ac:dyDescent="0.2">
      <c r="H159" s="73">
        <v>518</v>
      </c>
      <c r="I159" s="168"/>
      <c r="J159" s="168"/>
      <c r="K159" s="168"/>
      <c r="L159" s="168"/>
      <c r="M159" s="168"/>
      <c r="N159" s="168"/>
      <c r="O159" s="168"/>
      <c r="P159" s="168"/>
      <c r="Q159" s="168"/>
      <c r="R159" s="168"/>
      <c r="S159" s="168">
        <v>0.95544000000000007</v>
      </c>
      <c r="T159" s="168"/>
      <c r="V159" s="73">
        <v>518</v>
      </c>
      <c r="W159" s="168"/>
      <c r="X159" s="168"/>
      <c r="Y159" s="168"/>
      <c r="Z159" s="168"/>
      <c r="AA159" s="168"/>
      <c r="AB159" s="168"/>
      <c r="AC159" s="168"/>
      <c r="AD159" s="168"/>
      <c r="AF159" s="73">
        <v>518</v>
      </c>
      <c r="AG159" s="168"/>
      <c r="AH159" s="168"/>
      <c r="AI159" s="168"/>
      <c r="AJ159" s="168"/>
      <c r="AK159" s="168"/>
      <c r="AL159" s="168"/>
      <c r="AM159" s="168"/>
      <c r="AO159" s="74">
        <v>518</v>
      </c>
      <c r="AP159" s="169"/>
      <c r="AQ159" s="169"/>
      <c r="AR159" s="169">
        <v>11.333967187270639</v>
      </c>
      <c r="AS159" s="169"/>
      <c r="AT159" s="169"/>
      <c r="AU159" s="169"/>
      <c r="AV159" s="169"/>
      <c r="AW159" s="169"/>
      <c r="AX159" s="169"/>
      <c r="BP159" s="175">
        <f>Inputs!B162</f>
        <v>518</v>
      </c>
      <c r="BQ159" s="175">
        <f>IF(LEFT(Inputs!$C$11,6)="photon",10^Inputs!C162,Inputs!C162)</f>
        <v>1.50985462488398E-3</v>
      </c>
      <c r="BR159" s="175"/>
      <c r="BS159" s="175">
        <f>'Advanced Inputs'!I164</f>
        <v>518</v>
      </c>
      <c r="BT159" s="175">
        <f>IF('Advanced Inputs'!J$19="Photon system",10^'Advanced Inputs'!J164,'Advanced Inputs'!J164)</f>
        <v>0</v>
      </c>
      <c r="BV159" s="175">
        <v>518</v>
      </c>
      <c r="BW159" s="73">
        <v>71.1922</v>
      </c>
      <c r="BX159" s="73">
        <v>105.392</v>
      </c>
      <c r="CC159" s="73">
        <v>1</v>
      </c>
    </row>
    <row r="160" spans="8:81" hidden="1" x14ac:dyDescent="0.2">
      <c r="H160" s="73">
        <v>519</v>
      </c>
      <c r="I160" s="168"/>
      <c r="J160" s="168"/>
      <c r="K160" s="168"/>
      <c r="L160" s="168"/>
      <c r="M160" s="168"/>
      <c r="N160" s="168"/>
      <c r="O160" s="168"/>
      <c r="P160" s="168"/>
      <c r="Q160" s="168"/>
      <c r="R160" s="168"/>
      <c r="S160" s="168">
        <v>0.9196800000000005</v>
      </c>
      <c r="T160" s="168"/>
      <c r="V160" s="73">
        <v>519</v>
      </c>
      <c r="W160" s="168"/>
      <c r="X160" s="168"/>
      <c r="Y160" s="168"/>
      <c r="Z160" s="168"/>
      <c r="AA160" s="168"/>
      <c r="AB160" s="168"/>
      <c r="AC160" s="168"/>
      <c r="AD160" s="168"/>
      <c r="AF160" s="73">
        <v>519</v>
      </c>
      <c r="AG160" s="168"/>
      <c r="AH160" s="168"/>
      <c r="AI160" s="168"/>
      <c r="AJ160" s="168"/>
      <c r="AK160" s="168"/>
      <c r="AL160" s="168"/>
      <c r="AM160" s="168"/>
      <c r="AO160" s="74">
        <v>519</v>
      </c>
      <c r="AP160" s="169"/>
      <c r="AQ160" s="169"/>
      <c r="AR160" s="169">
        <v>11.421177933036212</v>
      </c>
      <c r="AS160" s="169"/>
      <c r="AT160" s="169"/>
      <c r="AU160" s="169"/>
      <c r="AV160" s="169"/>
      <c r="AW160" s="169"/>
      <c r="AX160" s="169"/>
      <c r="BP160" s="175">
        <f>Inputs!B163</f>
        <v>519</v>
      </c>
      <c r="BQ160" s="175">
        <f>IF(LEFT(Inputs!$C$11,6)="photon",10^Inputs!C163,Inputs!C163)</f>
        <v>1.52485318076031E-3</v>
      </c>
      <c r="BR160" s="175"/>
      <c r="BS160" s="175">
        <f>'Advanced Inputs'!I165</f>
        <v>519</v>
      </c>
      <c r="BT160" s="175">
        <f>IF('Advanced Inputs'!J$19="Photon system",10^'Advanced Inputs'!J165,'Advanced Inputs'!J165)</f>
        <v>0</v>
      </c>
      <c r="BV160" s="175">
        <v>519</v>
      </c>
      <c r="BW160" s="73">
        <v>71.843000000000004</v>
      </c>
      <c r="BX160" s="73">
        <v>105.09099999999999</v>
      </c>
      <c r="CC160" s="73">
        <v>1</v>
      </c>
    </row>
    <row r="161" spans="8:81" hidden="1" x14ac:dyDescent="0.2">
      <c r="H161" s="73">
        <v>520</v>
      </c>
      <c r="I161" s="168"/>
      <c r="J161" s="168"/>
      <c r="K161" s="168"/>
      <c r="L161" s="168"/>
      <c r="M161" s="168"/>
      <c r="N161" s="168"/>
      <c r="O161" s="168"/>
      <c r="P161" s="168"/>
      <c r="Q161" s="168"/>
      <c r="R161" s="168"/>
      <c r="S161" s="168">
        <v>0.89000000000001311</v>
      </c>
      <c r="T161" s="168"/>
      <c r="V161" s="73">
        <v>520</v>
      </c>
      <c r="W161" s="168"/>
      <c r="X161" s="168"/>
      <c r="Y161" s="168"/>
      <c r="Z161" s="168"/>
      <c r="AA161" s="168"/>
      <c r="AB161" s="168"/>
      <c r="AC161" s="168"/>
      <c r="AD161" s="168"/>
      <c r="AF161" s="73">
        <v>520</v>
      </c>
      <c r="AG161" s="168"/>
      <c r="AH161" s="168"/>
      <c r="AI161" s="168"/>
      <c r="AJ161" s="168"/>
      <c r="AK161" s="168"/>
      <c r="AL161" s="168"/>
      <c r="AM161" s="168"/>
      <c r="AO161" s="74">
        <v>520</v>
      </c>
      <c r="AP161" s="169"/>
      <c r="AQ161" s="169"/>
      <c r="AR161" s="169">
        <v>11.508527380852183</v>
      </c>
      <c r="AS161" s="169"/>
      <c r="AT161" s="169"/>
      <c r="AU161" s="169"/>
      <c r="AV161" s="169"/>
      <c r="AW161" s="169"/>
      <c r="AX161" s="169"/>
      <c r="BP161" s="175">
        <f>Inputs!B164</f>
        <v>520</v>
      </c>
      <c r="BQ161" s="175">
        <f>IF(LEFT(Inputs!$C$11,6)="photon",10^Inputs!C164,Inputs!C164)</f>
        <v>1.54485125526209E-3</v>
      </c>
      <c r="BR161" s="175"/>
      <c r="BS161" s="175">
        <f>'Advanced Inputs'!I166</f>
        <v>520</v>
      </c>
      <c r="BT161" s="175">
        <f>IF('Advanced Inputs'!J$19="Photon system",10^'Advanced Inputs'!J166,'Advanced Inputs'!J166)</f>
        <v>0</v>
      </c>
      <c r="BV161" s="175">
        <v>520</v>
      </c>
      <c r="BW161" s="73">
        <v>72.495900000000006</v>
      </c>
      <c r="BX161" s="73">
        <v>104.79</v>
      </c>
      <c r="CC161" s="73">
        <v>1</v>
      </c>
    </row>
    <row r="162" spans="8:81" hidden="1" x14ac:dyDescent="0.2">
      <c r="H162" s="73">
        <v>521</v>
      </c>
      <c r="I162" s="168"/>
      <c r="J162" s="168"/>
      <c r="K162" s="168"/>
      <c r="L162" s="168"/>
      <c r="M162" s="168"/>
      <c r="N162" s="168"/>
      <c r="O162" s="168"/>
      <c r="P162" s="168"/>
      <c r="Q162" s="168"/>
      <c r="R162" s="168"/>
      <c r="S162" s="168">
        <v>0.85768000000026767</v>
      </c>
      <c r="T162" s="168"/>
      <c r="V162" s="73">
        <v>521</v>
      </c>
      <c r="W162" s="168"/>
      <c r="X162" s="168"/>
      <c r="Y162" s="168"/>
      <c r="Z162" s="168"/>
      <c r="AA162" s="168"/>
      <c r="AB162" s="168"/>
      <c r="AC162" s="168"/>
      <c r="AD162" s="168"/>
      <c r="AF162" s="73">
        <v>521</v>
      </c>
      <c r="AG162" s="168"/>
      <c r="AH162" s="168"/>
      <c r="AI162" s="168"/>
      <c r="AJ162" s="168"/>
      <c r="AK162" s="168"/>
      <c r="AL162" s="168"/>
      <c r="AM162" s="168"/>
      <c r="AO162" s="74">
        <v>521</v>
      </c>
      <c r="AP162" s="169"/>
      <c r="AQ162" s="169"/>
      <c r="AR162" s="169">
        <v>11.595326688113072</v>
      </c>
      <c r="AS162" s="169"/>
      <c r="AT162" s="169"/>
      <c r="AU162" s="169"/>
      <c r="AV162" s="169"/>
      <c r="AW162" s="169"/>
      <c r="AX162" s="169"/>
      <c r="BP162" s="175">
        <f>Inputs!B165</f>
        <v>521</v>
      </c>
      <c r="BQ162" s="175">
        <f>IF(LEFT(Inputs!$C$11,6)="photon",10^Inputs!C165,Inputs!C165)</f>
        <v>1.55984981113842E-3</v>
      </c>
      <c r="BR162" s="175"/>
      <c r="BS162" s="175">
        <f>'Advanced Inputs'!I167</f>
        <v>521</v>
      </c>
      <c r="BT162" s="175">
        <f>IF('Advanced Inputs'!J$19="Photon system",10^'Advanced Inputs'!J167,'Advanced Inputs'!J167)</f>
        <v>0</v>
      </c>
      <c r="BV162" s="175">
        <v>521</v>
      </c>
      <c r="BW162" s="73">
        <v>73.150800000000004</v>
      </c>
      <c r="BX162" s="73">
        <v>105.08</v>
      </c>
      <c r="CC162" s="73">
        <v>1</v>
      </c>
    </row>
    <row r="163" spans="8:81" hidden="1" x14ac:dyDescent="0.2">
      <c r="H163" s="73">
        <v>522</v>
      </c>
      <c r="I163" s="168"/>
      <c r="J163" s="168"/>
      <c r="K163" s="168"/>
      <c r="L163" s="168"/>
      <c r="M163" s="168"/>
      <c r="N163" s="168"/>
      <c r="O163" s="168"/>
      <c r="P163" s="168"/>
      <c r="Q163" s="168"/>
      <c r="R163" s="168"/>
      <c r="S163" s="168">
        <v>0.83344000000478513</v>
      </c>
      <c r="T163" s="168"/>
      <c r="V163" s="73">
        <v>522</v>
      </c>
      <c r="W163" s="168"/>
      <c r="X163" s="168"/>
      <c r="Y163" s="168"/>
      <c r="Z163" s="168"/>
      <c r="AA163" s="168"/>
      <c r="AB163" s="168"/>
      <c r="AC163" s="168"/>
      <c r="AD163" s="168"/>
      <c r="AF163" s="73">
        <v>522</v>
      </c>
      <c r="AG163" s="168"/>
      <c r="AH163" s="168"/>
      <c r="AI163" s="168"/>
      <c r="AJ163" s="168"/>
      <c r="AK163" s="168"/>
      <c r="AL163" s="168"/>
      <c r="AM163" s="168"/>
      <c r="AO163" s="74">
        <v>522</v>
      </c>
      <c r="AP163" s="169"/>
      <c r="AQ163" s="169"/>
      <c r="AR163" s="169">
        <v>11.680489147291331</v>
      </c>
      <c r="AS163" s="169"/>
      <c r="AT163" s="169"/>
      <c r="AU163" s="169"/>
      <c r="AV163" s="169"/>
      <c r="AW163" s="169"/>
      <c r="AX163" s="169"/>
      <c r="BP163" s="175">
        <f>Inputs!B166</f>
        <v>522</v>
      </c>
      <c r="BQ163" s="175">
        <f>IF(LEFT(Inputs!$C$11,6)="photon",10^Inputs!C166,Inputs!C166)</f>
        <v>1.56984884838931E-3</v>
      </c>
      <c r="BR163" s="175"/>
      <c r="BS163" s="175">
        <f>'Advanced Inputs'!I168</f>
        <v>522</v>
      </c>
      <c r="BT163" s="175">
        <f>IF('Advanced Inputs'!J$19="Photon system",10^'Advanced Inputs'!J168,'Advanced Inputs'!J168)</f>
        <v>0</v>
      </c>
      <c r="BV163" s="175">
        <v>522</v>
      </c>
      <c r="BW163" s="73">
        <v>73.807699999999997</v>
      </c>
      <c r="BX163" s="73">
        <v>105.37</v>
      </c>
      <c r="CC163" s="73">
        <v>1</v>
      </c>
    </row>
    <row r="164" spans="8:81" hidden="1" x14ac:dyDescent="0.2">
      <c r="H164" s="73">
        <v>523</v>
      </c>
      <c r="I164" s="168"/>
      <c r="J164" s="168"/>
      <c r="K164" s="168"/>
      <c r="L164" s="168"/>
      <c r="M164" s="168"/>
      <c r="N164" s="168"/>
      <c r="O164" s="168"/>
      <c r="P164" s="168"/>
      <c r="Q164" s="168"/>
      <c r="R164" s="168"/>
      <c r="S164" s="168">
        <v>0.81936000007504217</v>
      </c>
      <c r="T164" s="168"/>
      <c r="V164" s="73">
        <v>523</v>
      </c>
      <c r="W164" s="168"/>
      <c r="X164" s="168"/>
      <c r="Y164" s="168"/>
      <c r="Z164" s="168"/>
      <c r="AA164" s="168"/>
      <c r="AB164" s="168"/>
      <c r="AC164" s="168"/>
      <c r="AD164" s="168"/>
      <c r="AF164" s="73">
        <v>523</v>
      </c>
      <c r="AG164" s="168"/>
      <c r="AH164" s="168"/>
      <c r="AI164" s="168"/>
      <c r="AJ164" s="168"/>
      <c r="AK164" s="168"/>
      <c r="AL164" s="168"/>
      <c r="AM164" s="168"/>
      <c r="AO164" s="74">
        <v>523</v>
      </c>
      <c r="AP164" s="169"/>
      <c r="AQ164" s="169"/>
      <c r="AR164" s="169">
        <v>11.76401460715484</v>
      </c>
      <c r="AS164" s="169"/>
      <c r="AT164" s="169"/>
      <c r="AU164" s="169"/>
      <c r="AV164" s="169"/>
      <c r="AW164" s="169"/>
      <c r="AX164" s="169"/>
      <c r="BP164" s="175">
        <f>Inputs!B167</f>
        <v>523</v>
      </c>
      <c r="BQ164" s="175">
        <f>IF(LEFT(Inputs!$C$11,6)="photon",10^Inputs!C167,Inputs!C167)</f>
        <v>1.57484836701475E-3</v>
      </c>
      <c r="BR164" s="175"/>
      <c r="BS164" s="175">
        <f>'Advanced Inputs'!I169</f>
        <v>523</v>
      </c>
      <c r="BT164" s="175">
        <f>IF('Advanced Inputs'!J$19="Photon system",10^'Advanced Inputs'!J169,'Advanced Inputs'!J169)</f>
        <v>0</v>
      </c>
      <c r="BV164" s="175">
        <v>523</v>
      </c>
      <c r="BW164" s="73">
        <v>74.4666</v>
      </c>
      <c r="BX164" s="73">
        <v>105.66</v>
      </c>
      <c r="CC164" s="73">
        <v>1</v>
      </c>
    </row>
    <row r="165" spans="8:81" hidden="1" x14ac:dyDescent="0.2">
      <c r="H165" s="73">
        <v>524</v>
      </c>
      <c r="I165" s="168"/>
      <c r="J165" s="168"/>
      <c r="K165" s="168"/>
      <c r="L165" s="168"/>
      <c r="M165" s="168"/>
      <c r="N165" s="168"/>
      <c r="O165" s="168"/>
      <c r="P165" s="168"/>
      <c r="Q165" s="168"/>
      <c r="R165" s="168"/>
      <c r="S165" s="168">
        <v>0.81752000103241851</v>
      </c>
      <c r="T165" s="168"/>
      <c r="V165" s="73">
        <v>524</v>
      </c>
      <c r="W165" s="168"/>
      <c r="X165" s="168"/>
      <c r="Y165" s="168"/>
      <c r="Z165" s="168"/>
      <c r="AA165" s="168"/>
      <c r="AB165" s="168"/>
      <c r="AC165" s="168"/>
      <c r="AD165" s="168"/>
      <c r="AF165" s="73">
        <v>524</v>
      </c>
      <c r="AG165" s="168"/>
      <c r="AH165" s="168"/>
      <c r="AI165" s="168"/>
      <c r="AJ165" s="168"/>
      <c r="AK165" s="168"/>
      <c r="AL165" s="168"/>
      <c r="AM165" s="168"/>
      <c r="AO165" s="74">
        <v>524</v>
      </c>
      <c r="AP165" s="169"/>
      <c r="AQ165" s="169"/>
      <c r="AR165" s="169">
        <v>11.847357080636879</v>
      </c>
      <c r="AS165" s="169"/>
      <c r="AT165" s="169"/>
      <c r="AU165" s="169"/>
      <c r="AV165" s="169"/>
      <c r="AW165" s="169"/>
      <c r="AX165" s="169"/>
      <c r="BP165" s="175">
        <f>Inputs!B168</f>
        <v>524</v>
      </c>
      <c r="BQ165" s="175">
        <f>IF(LEFT(Inputs!$C$11,6)="photon",10^Inputs!C168,Inputs!C168)</f>
        <v>1.56984884838931E-3</v>
      </c>
      <c r="BR165" s="175"/>
      <c r="BS165" s="175">
        <f>'Advanced Inputs'!I170</f>
        <v>524</v>
      </c>
      <c r="BT165" s="175">
        <f>IF('Advanced Inputs'!J$19="Photon system",10^'Advanced Inputs'!J170,'Advanced Inputs'!J170)</f>
        <v>0</v>
      </c>
      <c r="BV165" s="175">
        <v>524</v>
      </c>
      <c r="BW165" s="73">
        <v>75.127499999999998</v>
      </c>
      <c r="BX165" s="73">
        <v>105.95</v>
      </c>
      <c r="CC165" s="73">
        <v>1</v>
      </c>
    </row>
    <row r="166" spans="8:81" hidden="1" x14ac:dyDescent="0.2">
      <c r="H166" s="73">
        <v>525</v>
      </c>
      <c r="I166" s="168"/>
      <c r="J166" s="168"/>
      <c r="K166" s="168"/>
      <c r="L166" s="168"/>
      <c r="M166" s="168"/>
      <c r="N166" s="168"/>
      <c r="O166" s="168"/>
      <c r="P166" s="168"/>
      <c r="Q166" s="168"/>
      <c r="R166" s="168"/>
      <c r="S166" s="168">
        <v>0.83000001246122923</v>
      </c>
      <c r="T166" s="168"/>
      <c r="V166" s="73">
        <v>525</v>
      </c>
      <c r="W166" s="168"/>
      <c r="X166" s="168"/>
      <c r="Y166" s="168"/>
      <c r="Z166" s="168"/>
      <c r="AA166" s="168"/>
      <c r="AB166" s="168"/>
      <c r="AC166" s="168"/>
      <c r="AD166" s="168"/>
      <c r="AF166" s="73">
        <v>525</v>
      </c>
      <c r="AG166" s="168"/>
      <c r="AH166" s="168"/>
      <c r="AI166" s="168"/>
      <c r="AJ166" s="168"/>
      <c r="AK166" s="168"/>
      <c r="AL166" s="168"/>
      <c r="AM166" s="168"/>
      <c r="AO166" s="74">
        <v>525</v>
      </c>
      <c r="AP166" s="169"/>
      <c r="AQ166" s="169"/>
      <c r="AR166" s="169">
        <v>11.932249049865751</v>
      </c>
      <c r="AS166" s="169"/>
      <c r="AT166" s="169"/>
      <c r="AU166" s="169"/>
      <c r="AV166" s="169"/>
      <c r="AW166" s="169"/>
      <c r="AX166" s="169"/>
      <c r="BP166" s="175">
        <f>Inputs!B169</f>
        <v>525</v>
      </c>
      <c r="BQ166" s="175">
        <f>IF(LEFT(Inputs!$C$11,6)="photon",10^Inputs!C169,Inputs!C169)</f>
        <v>1.55485029251298E-3</v>
      </c>
      <c r="BR166" s="175"/>
      <c r="BS166" s="175">
        <f>'Advanced Inputs'!I171</f>
        <v>525</v>
      </c>
      <c r="BT166" s="175">
        <f>IF('Advanced Inputs'!J$19="Photon system",10^'Advanced Inputs'!J171,'Advanced Inputs'!J171)</f>
        <v>0</v>
      </c>
      <c r="BV166" s="175">
        <v>525</v>
      </c>
      <c r="BW166" s="73">
        <v>75.790300000000002</v>
      </c>
      <c r="BX166" s="73">
        <v>106.239</v>
      </c>
      <c r="CC166" s="73">
        <v>1</v>
      </c>
    </row>
    <row r="167" spans="8:81" hidden="1" x14ac:dyDescent="0.2">
      <c r="H167" s="73">
        <v>526</v>
      </c>
      <c r="I167" s="168"/>
      <c r="J167" s="168"/>
      <c r="K167" s="168"/>
      <c r="L167" s="168"/>
      <c r="M167" s="168"/>
      <c r="N167" s="168"/>
      <c r="O167" s="168"/>
      <c r="P167" s="168"/>
      <c r="Q167" s="168"/>
      <c r="R167" s="168"/>
      <c r="S167" s="168">
        <v>0.85377853196124032</v>
      </c>
      <c r="T167" s="168"/>
      <c r="V167" s="73">
        <v>526</v>
      </c>
      <c r="W167" s="168"/>
      <c r="X167" s="168"/>
      <c r="Y167" s="168"/>
      <c r="Z167" s="168"/>
      <c r="AA167" s="168"/>
      <c r="AB167" s="168"/>
      <c r="AC167" s="168"/>
      <c r="AD167" s="168"/>
      <c r="AF167" s="73">
        <v>526</v>
      </c>
      <c r="AG167" s="168"/>
      <c r="AH167" s="168"/>
      <c r="AI167" s="168"/>
      <c r="AJ167" s="168"/>
      <c r="AK167" s="168"/>
      <c r="AL167" s="168"/>
      <c r="AM167" s="168"/>
      <c r="AO167" s="74">
        <v>526</v>
      </c>
      <c r="AP167" s="169"/>
      <c r="AQ167" s="169"/>
      <c r="AR167" s="169">
        <v>12.0191885108388</v>
      </c>
      <c r="AS167" s="169"/>
      <c r="AT167" s="169"/>
      <c r="AU167" s="169"/>
      <c r="AV167" s="169"/>
      <c r="AW167" s="169"/>
      <c r="AX167" s="169"/>
      <c r="BP167" s="175">
        <f>Inputs!B170</f>
        <v>526</v>
      </c>
      <c r="BQ167" s="175">
        <f>IF(LEFT(Inputs!$C$11,6)="photon",10^Inputs!C170,Inputs!C170)</f>
        <v>1.53985173663664E-3</v>
      </c>
      <c r="BR167" s="175"/>
      <c r="BS167" s="175">
        <f>'Advanced Inputs'!I172</f>
        <v>526</v>
      </c>
      <c r="BT167" s="175">
        <f>IF('Advanced Inputs'!J$19="Photon system",10^'Advanced Inputs'!J172,'Advanced Inputs'!J172)</f>
        <v>0</v>
      </c>
      <c r="BV167" s="175">
        <v>526</v>
      </c>
      <c r="BW167" s="73">
        <v>76.455100000000002</v>
      </c>
      <c r="BX167" s="73">
        <v>106.529</v>
      </c>
      <c r="CC167" s="73">
        <v>1</v>
      </c>
    </row>
    <row r="168" spans="8:81" hidden="1" x14ac:dyDescent="0.2">
      <c r="H168" s="73">
        <v>527</v>
      </c>
      <c r="I168" s="168"/>
      <c r="J168" s="168"/>
      <c r="K168" s="168"/>
      <c r="L168" s="168"/>
      <c r="M168" s="168"/>
      <c r="N168" s="168"/>
      <c r="O168" s="168"/>
      <c r="P168" s="168"/>
      <c r="Q168" s="168"/>
      <c r="R168" s="168"/>
      <c r="S168" s="168">
        <v>0.89731342613427723</v>
      </c>
      <c r="T168" s="168"/>
      <c r="V168" s="73">
        <v>527</v>
      </c>
      <c r="W168" s="168"/>
      <c r="X168" s="168"/>
      <c r="Y168" s="168"/>
      <c r="Z168" s="168"/>
      <c r="AA168" s="168"/>
      <c r="AB168" s="168"/>
      <c r="AC168" s="168"/>
      <c r="AD168" s="168"/>
      <c r="AF168" s="73">
        <v>527</v>
      </c>
      <c r="AG168" s="168"/>
      <c r="AH168" s="168"/>
      <c r="AI168" s="168"/>
      <c r="AJ168" s="168"/>
      <c r="AK168" s="168"/>
      <c r="AL168" s="168"/>
      <c r="AM168" s="168"/>
      <c r="AO168" s="74">
        <v>527</v>
      </c>
      <c r="AP168" s="169"/>
      <c r="AQ168" s="169"/>
      <c r="AR168" s="169">
        <v>12.107178599746527</v>
      </c>
      <c r="AS168" s="169"/>
      <c r="AT168" s="169"/>
      <c r="AU168" s="169"/>
      <c r="AV168" s="169"/>
      <c r="AW168" s="169"/>
      <c r="AX168" s="169"/>
      <c r="BP168" s="175">
        <f>Inputs!B171</f>
        <v>527</v>
      </c>
      <c r="BQ168" s="175">
        <f>IF(LEFT(Inputs!$C$11,6)="photon",10^Inputs!C171,Inputs!C171)</f>
        <v>1.5348522180112E-3</v>
      </c>
      <c r="BR168" s="175"/>
      <c r="BS168" s="175">
        <f>'Advanced Inputs'!I173</f>
        <v>527</v>
      </c>
      <c r="BT168" s="175">
        <f>IF('Advanced Inputs'!J$19="Photon system",10^'Advanced Inputs'!J173,'Advanced Inputs'!J173)</f>
        <v>0</v>
      </c>
      <c r="BV168" s="175">
        <v>527</v>
      </c>
      <c r="BW168" s="73">
        <v>77.121700000000004</v>
      </c>
      <c r="BX168" s="73">
        <v>106.819</v>
      </c>
      <c r="CC168" s="73">
        <v>1</v>
      </c>
    </row>
    <row r="169" spans="8:81" hidden="1" x14ac:dyDescent="0.2">
      <c r="H169" s="73">
        <v>528</v>
      </c>
      <c r="I169" s="168"/>
      <c r="J169" s="168"/>
      <c r="K169" s="168"/>
      <c r="L169" s="168"/>
      <c r="M169" s="168"/>
      <c r="N169" s="168"/>
      <c r="O169" s="168"/>
      <c r="P169" s="168"/>
      <c r="Q169" s="168"/>
      <c r="R169" s="168"/>
      <c r="S169" s="168">
        <v>0.96396679680363251</v>
      </c>
      <c r="T169" s="168"/>
      <c r="V169" s="73">
        <v>528</v>
      </c>
      <c r="W169" s="168"/>
      <c r="X169" s="168"/>
      <c r="Y169" s="168"/>
      <c r="Z169" s="168"/>
      <c r="AA169" s="168"/>
      <c r="AB169" s="168"/>
      <c r="AC169" s="168"/>
      <c r="AD169" s="168"/>
      <c r="AF169" s="73">
        <v>528</v>
      </c>
      <c r="AG169" s="168"/>
      <c r="AH169" s="168"/>
      <c r="AI169" s="168"/>
      <c r="AJ169" s="168"/>
      <c r="AK169" s="168"/>
      <c r="AL169" s="168"/>
      <c r="AM169" s="168"/>
      <c r="AO169" s="74">
        <v>528</v>
      </c>
      <c r="AP169" s="169"/>
      <c r="AQ169" s="169"/>
      <c r="AR169" s="169">
        <v>12.1949555634792</v>
      </c>
      <c r="AS169" s="169"/>
      <c r="AT169" s="169"/>
      <c r="AU169" s="169"/>
      <c r="AV169" s="169"/>
      <c r="AW169" s="169"/>
      <c r="AX169" s="169"/>
      <c r="BP169" s="175">
        <f>Inputs!B172</f>
        <v>528</v>
      </c>
      <c r="BQ169" s="175">
        <f>IF(LEFT(Inputs!$C$11,6)="photon",10^Inputs!C172,Inputs!C172)</f>
        <v>1.5348522180112E-3</v>
      </c>
      <c r="BR169" s="175"/>
      <c r="BS169" s="175">
        <f>'Advanced Inputs'!I174</f>
        <v>528</v>
      </c>
      <c r="BT169" s="175">
        <f>IF('Advanced Inputs'!J$19="Photon system",10^'Advanced Inputs'!J174,'Advanced Inputs'!J174)</f>
        <v>0</v>
      </c>
      <c r="BV169" s="175">
        <v>528</v>
      </c>
      <c r="BW169" s="73">
        <v>77.790199999999999</v>
      </c>
      <c r="BX169" s="73">
        <v>107.10899999999999</v>
      </c>
      <c r="CC169" s="73">
        <v>1</v>
      </c>
    </row>
    <row r="170" spans="8:81" hidden="1" x14ac:dyDescent="0.2">
      <c r="H170" s="73">
        <v>529</v>
      </c>
      <c r="I170" s="168"/>
      <c r="J170" s="168"/>
      <c r="K170" s="168"/>
      <c r="L170" s="168"/>
      <c r="M170" s="168"/>
      <c r="N170" s="168"/>
      <c r="O170" s="168"/>
      <c r="P170" s="168"/>
      <c r="Q170" s="168"/>
      <c r="R170" s="168"/>
      <c r="S170" s="168">
        <v>1.0571391221558266</v>
      </c>
      <c r="T170" s="168"/>
      <c r="V170" s="73">
        <v>529</v>
      </c>
      <c r="W170" s="168"/>
      <c r="X170" s="168"/>
      <c r="Y170" s="168"/>
      <c r="Z170" s="168"/>
      <c r="AA170" s="168"/>
      <c r="AB170" s="168"/>
      <c r="AC170" s="168"/>
      <c r="AD170" s="168"/>
      <c r="AF170" s="73">
        <v>529</v>
      </c>
      <c r="AG170" s="168"/>
      <c r="AH170" s="168"/>
      <c r="AI170" s="168"/>
      <c r="AJ170" s="168"/>
      <c r="AK170" s="168"/>
      <c r="AL170" s="168"/>
      <c r="AM170" s="168"/>
      <c r="AO170" s="74">
        <v>529</v>
      </c>
      <c r="AP170" s="169"/>
      <c r="AQ170" s="169"/>
      <c r="AR170" s="169">
        <v>12.282345217720405</v>
      </c>
      <c r="AS170" s="169"/>
      <c r="AT170" s="169"/>
      <c r="AU170" s="169"/>
      <c r="AV170" s="169"/>
      <c r="AW170" s="169"/>
      <c r="AX170" s="169"/>
      <c r="BP170" s="175">
        <f>Inputs!B173</f>
        <v>529</v>
      </c>
      <c r="BQ170" s="175">
        <f>IF(LEFT(Inputs!$C$11,6)="photon",10^Inputs!C173,Inputs!C173)</f>
        <v>1.53985173663664E-3</v>
      </c>
      <c r="BR170" s="175"/>
      <c r="BS170" s="175">
        <f>'Advanced Inputs'!I175</f>
        <v>529</v>
      </c>
      <c r="BT170" s="175">
        <f>IF('Advanced Inputs'!J$19="Photon system",10^'Advanced Inputs'!J175,'Advanced Inputs'!J175)</f>
        <v>0</v>
      </c>
      <c r="BV170" s="175">
        <v>529</v>
      </c>
      <c r="BW170" s="73">
        <v>78.460499999999996</v>
      </c>
      <c r="BX170" s="73">
        <v>107.399</v>
      </c>
      <c r="CC170" s="73">
        <v>1</v>
      </c>
    </row>
    <row r="171" spans="8:81" hidden="1" x14ac:dyDescent="0.2">
      <c r="H171" s="73">
        <v>530</v>
      </c>
      <c r="I171" s="168"/>
      <c r="J171" s="168"/>
      <c r="K171" s="168"/>
      <c r="L171" s="168"/>
      <c r="M171" s="168"/>
      <c r="N171" s="168"/>
      <c r="O171" s="168"/>
      <c r="P171" s="168"/>
      <c r="Q171" s="168"/>
      <c r="R171" s="168"/>
      <c r="S171" s="168">
        <v>1.1804490560129752</v>
      </c>
      <c r="T171" s="168"/>
      <c r="V171" s="73">
        <v>530</v>
      </c>
      <c r="W171" s="168"/>
      <c r="X171" s="168"/>
      <c r="Y171" s="168"/>
      <c r="Z171" s="168"/>
      <c r="AA171" s="168"/>
      <c r="AB171" s="168"/>
      <c r="AC171" s="168"/>
      <c r="AD171" s="168"/>
      <c r="AF171" s="73">
        <v>530</v>
      </c>
      <c r="AG171" s="168"/>
      <c r="AH171" s="168"/>
      <c r="AI171" s="168"/>
      <c r="AJ171" s="168"/>
      <c r="AK171" s="168"/>
      <c r="AL171" s="168"/>
      <c r="AM171" s="168"/>
      <c r="AO171" s="74">
        <v>530</v>
      </c>
      <c r="AP171" s="169"/>
      <c r="AQ171" s="169"/>
      <c r="AR171" s="169">
        <v>12.370351672329864</v>
      </c>
      <c r="AS171" s="169"/>
      <c r="AT171" s="169"/>
      <c r="AU171" s="169"/>
      <c r="AV171" s="169"/>
      <c r="AW171" s="169"/>
      <c r="AX171" s="169"/>
      <c r="BP171" s="175">
        <f>Inputs!B174</f>
        <v>530</v>
      </c>
      <c r="BQ171" s="175">
        <f>IF(LEFT(Inputs!$C$11,6)="photon",10^Inputs!C174,Inputs!C174)</f>
        <v>1.54985077388753E-3</v>
      </c>
      <c r="BR171" s="175"/>
      <c r="BS171" s="175">
        <f>'Advanced Inputs'!I176</f>
        <v>530</v>
      </c>
      <c r="BT171" s="175">
        <f>IF('Advanced Inputs'!J$19="Photon system",10^'Advanced Inputs'!J176,'Advanced Inputs'!J176)</f>
        <v>0</v>
      </c>
      <c r="BV171" s="175">
        <v>530</v>
      </c>
      <c r="BW171" s="73">
        <v>79.132599999999996</v>
      </c>
      <c r="BX171" s="73">
        <v>107.68899999999999</v>
      </c>
      <c r="CC171" s="73">
        <v>1</v>
      </c>
    </row>
    <row r="172" spans="8:81" hidden="1" x14ac:dyDescent="0.2">
      <c r="H172" s="73">
        <v>531</v>
      </c>
      <c r="I172" s="168"/>
      <c r="J172" s="168"/>
      <c r="K172" s="168"/>
      <c r="L172" s="168"/>
      <c r="M172" s="168"/>
      <c r="N172" s="168"/>
      <c r="O172" s="168"/>
      <c r="P172" s="168"/>
      <c r="Q172" s="168"/>
      <c r="R172" s="168"/>
      <c r="S172" s="168">
        <v>1.3730447681495463</v>
      </c>
      <c r="T172" s="168"/>
      <c r="V172" s="73">
        <v>531</v>
      </c>
      <c r="W172" s="168"/>
      <c r="X172" s="168"/>
      <c r="Y172" s="168"/>
      <c r="Z172" s="168"/>
      <c r="AA172" s="168"/>
      <c r="AB172" s="168"/>
      <c r="AC172" s="168"/>
      <c r="AD172" s="168"/>
      <c r="AF172" s="73">
        <v>531</v>
      </c>
      <c r="AG172" s="168"/>
      <c r="AH172" s="168"/>
      <c r="AI172" s="168"/>
      <c r="AJ172" s="168"/>
      <c r="AK172" s="168"/>
      <c r="AL172" s="168"/>
      <c r="AM172" s="168"/>
      <c r="AO172" s="74">
        <v>531</v>
      </c>
      <c r="AP172" s="169"/>
      <c r="AQ172" s="169"/>
      <c r="AR172" s="169">
        <v>12.4600711636966</v>
      </c>
      <c r="AS172" s="169"/>
      <c r="AT172" s="169"/>
      <c r="AU172" s="169"/>
      <c r="AV172" s="169"/>
      <c r="AW172" s="169"/>
      <c r="AX172" s="169"/>
      <c r="BP172" s="175">
        <f>Inputs!B175</f>
        <v>531</v>
      </c>
      <c r="BQ172" s="175">
        <f>IF(LEFT(Inputs!$C$11,6)="photon",10^Inputs!C175,Inputs!C175)</f>
        <v>1.54485125526209E-3</v>
      </c>
      <c r="BR172" s="175"/>
      <c r="BS172" s="175">
        <f>'Advanced Inputs'!I177</f>
        <v>531</v>
      </c>
      <c r="BT172" s="175">
        <f>IF('Advanced Inputs'!J$19="Photon system",10^'Advanced Inputs'!J177,'Advanced Inputs'!J177)</f>
        <v>0</v>
      </c>
      <c r="BV172" s="175">
        <v>531</v>
      </c>
      <c r="BW172" s="73">
        <v>79.8065</v>
      </c>
      <c r="BX172" s="73">
        <v>107.361</v>
      </c>
      <c r="CC172" s="73">
        <v>1</v>
      </c>
    </row>
    <row r="173" spans="8:81" hidden="1" x14ac:dyDescent="0.2">
      <c r="H173" s="73">
        <v>532</v>
      </c>
      <c r="I173" s="168"/>
      <c r="J173" s="168"/>
      <c r="K173" s="168"/>
      <c r="L173" s="168"/>
      <c r="M173" s="168"/>
      <c r="N173" s="168"/>
      <c r="O173" s="168"/>
      <c r="P173" s="168"/>
      <c r="Q173" s="168"/>
      <c r="R173" s="168"/>
      <c r="S173" s="168">
        <v>1.6010241010107238</v>
      </c>
      <c r="T173" s="168"/>
      <c r="V173" s="73">
        <v>532</v>
      </c>
      <c r="W173" s="168"/>
      <c r="X173" s="168"/>
      <c r="Y173" s="168"/>
      <c r="Z173" s="168"/>
      <c r="AA173" s="168"/>
      <c r="AB173" s="168"/>
      <c r="AC173" s="168"/>
      <c r="AD173" s="168"/>
      <c r="AF173" s="73">
        <v>532</v>
      </c>
      <c r="AG173" s="168"/>
      <c r="AH173" s="168"/>
      <c r="AI173" s="168"/>
      <c r="AJ173" s="168"/>
      <c r="AK173" s="168"/>
      <c r="AL173" s="168"/>
      <c r="AM173" s="168"/>
      <c r="AO173" s="74">
        <v>532</v>
      </c>
      <c r="AP173" s="169"/>
      <c r="AQ173" s="169"/>
      <c r="AR173" s="169">
        <v>12.551745418648807</v>
      </c>
      <c r="AS173" s="169"/>
      <c r="AT173" s="169"/>
      <c r="AU173" s="169"/>
      <c r="AV173" s="169"/>
      <c r="AW173" s="169"/>
      <c r="AX173" s="169"/>
      <c r="BP173" s="175">
        <f>Inputs!B176</f>
        <v>532</v>
      </c>
      <c r="BQ173" s="175">
        <f>IF(LEFT(Inputs!$C$11,6)="photon",10^Inputs!C176,Inputs!C176)</f>
        <v>1.52985269938576E-3</v>
      </c>
      <c r="BR173" s="175"/>
      <c r="BS173" s="175">
        <f>'Advanced Inputs'!I178</f>
        <v>532</v>
      </c>
      <c r="BT173" s="175">
        <f>IF('Advanced Inputs'!J$19="Photon system",10^'Advanced Inputs'!J178,'Advanced Inputs'!J178)</f>
        <v>0</v>
      </c>
      <c r="BV173" s="175">
        <v>532</v>
      </c>
      <c r="BW173" s="73">
        <v>80.482100000000003</v>
      </c>
      <c r="BX173" s="73">
        <v>107.032</v>
      </c>
      <c r="CC173" s="73">
        <v>1</v>
      </c>
    </row>
    <row r="174" spans="8:81" hidden="1" x14ac:dyDescent="0.2">
      <c r="H174" s="73">
        <v>533</v>
      </c>
      <c r="I174" s="168"/>
      <c r="J174" s="168"/>
      <c r="K174" s="168"/>
      <c r="L174" s="168"/>
      <c r="M174" s="168"/>
      <c r="N174" s="168"/>
      <c r="O174" s="168"/>
      <c r="P174" s="168"/>
      <c r="Q174" s="168"/>
      <c r="R174" s="168"/>
      <c r="S174" s="168">
        <v>1.8809944629687765</v>
      </c>
      <c r="T174" s="168"/>
      <c r="V174" s="73">
        <v>533</v>
      </c>
      <c r="W174" s="168"/>
      <c r="X174" s="168"/>
      <c r="Y174" s="168"/>
      <c r="Z174" s="168"/>
      <c r="AA174" s="168"/>
      <c r="AB174" s="168"/>
      <c r="AC174" s="168"/>
      <c r="AD174" s="168"/>
      <c r="AF174" s="73">
        <v>533</v>
      </c>
      <c r="AG174" s="168"/>
      <c r="AH174" s="168"/>
      <c r="AI174" s="168"/>
      <c r="AJ174" s="168"/>
      <c r="AK174" s="168"/>
      <c r="AL174" s="168"/>
      <c r="AM174" s="168"/>
      <c r="AO174" s="74">
        <v>533</v>
      </c>
      <c r="AP174" s="169"/>
      <c r="AQ174" s="169"/>
      <c r="AR174" s="169">
        <v>12.644816662646315</v>
      </c>
      <c r="AS174" s="169"/>
      <c r="AT174" s="169"/>
      <c r="AU174" s="169"/>
      <c r="AV174" s="169"/>
      <c r="AW174" s="169"/>
      <c r="AX174" s="169"/>
      <c r="BP174" s="175">
        <f>Inputs!B177</f>
        <v>533</v>
      </c>
      <c r="BQ174" s="175">
        <f>IF(LEFT(Inputs!$C$11,6)="photon",10^Inputs!C177,Inputs!C177)</f>
        <v>1.51985366213487E-3</v>
      </c>
      <c r="BR174" s="175"/>
      <c r="BS174" s="175">
        <f>'Advanced Inputs'!I179</f>
        <v>533</v>
      </c>
      <c r="BT174" s="175">
        <f>IF('Advanced Inputs'!J$19="Photon system",10^'Advanced Inputs'!J179,'Advanced Inputs'!J179)</f>
        <v>0</v>
      </c>
      <c r="BV174" s="175">
        <v>533</v>
      </c>
      <c r="BW174" s="73">
        <v>81.159499999999994</v>
      </c>
      <c r="BX174" s="73">
        <v>106.70399999999999</v>
      </c>
      <c r="CC174" s="73">
        <v>1</v>
      </c>
    </row>
    <row r="175" spans="8:81" hidden="1" x14ac:dyDescent="0.2">
      <c r="H175" s="73">
        <v>534</v>
      </c>
      <c r="I175" s="168"/>
      <c r="J175" s="168"/>
      <c r="K175" s="168"/>
      <c r="L175" s="168"/>
      <c r="M175" s="168"/>
      <c r="N175" s="168"/>
      <c r="O175" s="168"/>
      <c r="P175" s="168"/>
      <c r="Q175" s="168"/>
      <c r="R175" s="168"/>
      <c r="S175" s="168">
        <v>2.2779787720544742</v>
      </c>
      <c r="T175" s="168"/>
      <c r="V175" s="73">
        <v>534</v>
      </c>
      <c r="W175" s="168"/>
      <c r="X175" s="168"/>
      <c r="Y175" s="168"/>
      <c r="Z175" s="168"/>
      <c r="AA175" s="168"/>
      <c r="AB175" s="168"/>
      <c r="AC175" s="168"/>
      <c r="AD175" s="168"/>
      <c r="AF175" s="73">
        <v>534</v>
      </c>
      <c r="AG175" s="168"/>
      <c r="AH175" s="168"/>
      <c r="AI175" s="168"/>
      <c r="AJ175" s="168"/>
      <c r="AK175" s="168"/>
      <c r="AL175" s="168"/>
      <c r="AM175" s="168"/>
      <c r="AO175" s="74">
        <v>534</v>
      </c>
      <c r="AP175" s="169"/>
      <c r="AQ175" s="169"/>
      <c r="AR175" s="169">
        <v>12.738520961360912</v>
      </c>
      <c r="AS175" s="169"/>
      <c r="AT175" s="169"/>
      <c r="AU175" s="169"/>
      <c r="AV175" s="169"/>
      <c r="AW175" s="169"/>
      <c r="AX175" s="169"/>
      <c r="BP175" s="175">
        <f>Inputs!B178</f>
        <v>534</v>
      </c>
      <c r="BQ175" s="175">
        <f>IF(LEFT(Inputs!$C$11,6)="photon",10^Inputs!C178,Inputs!C178)</f>
        <v>1.51985366213487E-3</v>
      </c>
      <c r="BR175" s="175"/>
      <c r="BS175" s="175">
        <f>'Advanced Inputs'!I180</f>
        <v>534</v>
      </c>
      <c r="BT175" s="175">
        <f>IF('Advanced Inputs'!J$19="Photon system",10^'Advanced Inputs'!J180,'Advanced Inputs'!J180)</f>
        <v>0</v>
      </c>
      <c r="BV175" s="175">
        <v>534</v>
      </c>
      <c r="BW175" s="73">
        <v>81.8386</v>
      </c>
      <c r="BX175" s="73">
        <v>106.375</v>
      </c>
      <c r="CC175" s="73">
        <v>1</v>
      </c>
    </row>
    <row r="176" spans="8:81" hidden="1" x14ac:dyDescent="0.2">
      <c r="H176" s="73">
        <v>535</v>
      </c>
      <c r="I176" s="168"/>
      <c r="J176" s="168"/>
      <c r="K176" s="168"/>
      <c r="L176" s="168"/>
      <c r="M176" s="168"/>
      <c r="N176" s="168"/>
      <c r="O176" s="168"/>
      <c r="P176" s="168"/>
      <c r="Q176" s="168"/>
      <c r="R176" s="168"/>
      <c r="S176" s="168">
        <v>2.9782834908141158</v>
      </c>
      <c r="T176" s="168"/>
      <c r="V176" s="73">
        <v>535</v>
      </c>
      <c r="W176" s="168"/>
      <c r="X176" s="168"/>
      <c r="Y176" s="168"/>
      <c r="Z176" s="168"/>
      <c r="AA176" s="168"/>
      <c r="AB176" s="168"/>
      <c r="AC176" s="168"/>
      <c r="AD176" s="168"/>
      <c r="AF176" s="73">
        <v>535</v>
      </c>
      <c r="AG176" s="168"/>
      <c r="AH176" s="168"/>
      <c r="AI176" s="168"/>
      <c r="AJ176" s="168"/>
      <c r="AK176" s="168"/>
      <c r="AL176" s="168"/>
      <c r="AM176" s="168"/>
      <c r="AO176" s="74">
        <v>535</v>
      </c>
      <c r="AP176" s="169"/>
      <c r="AQ176" s="169"/>
      <c r="AR176" s="169">
        <v>12.832297970222136</v>
      </c>
      <c r="AS176" s="169"/>
      <c r="AT176" s="169"/>
      <c r="AU176" s="169"/>
      <c r="AV176" s="169"/>
      <c r="AW176" s="169"/>
      <c r="AX176" s="169"/>
      <c r="BP176" s="175">
        <f>Inputs!B179</f>
        <v>535</v>
      </c>
      <c r="BQ176" s="175">
        <f>IF(LEFT(Inputs!$C$11,6)="photon",10^Inputs!C179,Inputs!C179)</f>
        <v>1.52485318076031E-3</v>
      </c>
      <c r="BR176" s="175"/>
      <c r="BS176" s="175">
        <f>'Advanced Inputs'!I181</f>
        <v>535</v>
      </c>
      <c r="BT176" s="175">
        <f>IF('Advanced Inputs'!J$19="Photon system",10^'Advanced Inputs'!J181,'Advanced Inputs'!J181)</f>
        <v>0</v>
      </c>
      <c r="BV176" s="175">
        <v>535</v>
      </c>
      <c r="BW176" s="73">
        <v>82.519300000000001</v>
      </c>
      <c r="BX176" s="73">
        <v>106.047</v>
      </c>
      <c r="CC176" s="73">
        <v>1</v>
      </c>
    </row>
    <row r="177" spans="8:81" hidden="1" x14ac:dyDescent="0.2">
      <c r="H177" s="73">
        <v>536</v>
      </c>
      <c r="I177" s="168"/>
      <c r="J177" s="168"/>
      <c r="K177" s="168"/>
      <c r="L177" s="168"/>
      <c r="M177" s="168"/>
      <c r="N177" s="168"/>
      <c r="O177" s="168"/>
      <c r="P177" s="168"/>
      <c r="Q177" s="168"/>
      <c r="R177" s="168"/>
      <c r="S177" s="168">
        <v>4.4179699371041457</v>
      </c>
      <c r="T177" s="168"/>
      <c r="V177" s="73">
        <v>536</v>
      </c>
      <c r="W177" s="168"/>
      <c r="X177" s="168"/>
      <c r="Y177" s="168"/>
      <c r="Z177" s="168"/>
      <c r="AA177" s="168"/>
      <c r="AB177" s="168"/>
      <c r="AC177" s="168"/>
      <c r="AD177" s="168"/>
      <c r="AF177" s="73">
        <v>536</v>
      </c>
      <c r="AG177" s="168"/>
      <c r="AH177" s="168"/>
      <c r="AI177" s="168"/>
      <c r="AJ177" s="168"/>
      <c r="AK177" s="168"/>
      <c r="AL177" s="168"/>
      <c r="AM177" s="168"/>
      <c r="AO177" s="74">
        <v>536</v>
      </c>
      <c r="AP177" s="169"/>
      <c r="AQ177" s="169"/>
      <c r="AR177" s="169">
        <v>12.926080524540295</v>
      </c>
      <c r="AS177" s="169"/>
      <c r="AT177" s="169"/>
      <c r="AU177" s="169"/>
      <c r="AV177" s="169"/>
      <c r="AW177" s="169"/>
      <c r="AX177" s="169"/>
      <c r="BP177" s="175">
        <f>Inputs!B180</f>
        <v>536</v>
      </c>
      <c r="BQ177" s="175">
        <f>IF(LEFT(Inputs!$C$11,6)="photon",10^Inputs!C180,Inputs!C180)</f>
        <v>1.52485318076031E-3</v>
      </c>
      <c r="BR177" s="175"/>
      <c r="BS177" s="175">
        <f>'Advanced Inputs'!I182</f>
        <v>536</v>
      </c>
      <c r="BT177" s="175">
        <f>IF('Advanced Inputs'!J$19="Photon system",10^'Advanced Inputs'!J182,'Advanced Inputs'!J182)</f>
        <v>0</v>
      </c>
      <c r="BV177" s="175">
        <v>536</v>
      </c>
      <c r="BW177" s="73">
        <v>83.201700000000002</v>
      </c>
      <c r="BX177" s="73">
        <v>105.71899999999999</v>
      </c>
      <c r="CC177" s="73">
        <v>1</v>
      </c>
    </row>
    <row r="178" spans="8:81" hidden="1" x14ac:dyDescent="0.2">
      <c r="H178" s="73">
        <v>537</v>
      </c>
      <c r="I178" s="168"/>
      <c r="J178" s="168"/>
      <c r="K178" s="168"/>
      <c r="L178" s="168"/>
      <c r="M178" s="168"/>
      <c r="N178" s="168"/>
      <c r="O178" s="168"/>
      <c r="P178" s="168"/>
      <c r="Q178" s="168"/>
      <c r="R178" s="168"/>
      <c r="S178" s="168">
        <v>7.4010418062463321</v>
      </c>
      <c r="T178" s="168"/>
      <c r="V178" s="73">
        <v>537</v>
      </c>
      <c r="W178" s="168"/>
      <c r="X178" s="168"/>
      <c r="Y178" s="168"/>
      <c r="Z178" s="168"/>
      <c r="AA178" s="168"/>
      <c r="AB178" s="168"/>
      <c r="AC178" s="168"/>
      <c r="AD178" s="168"/>
      <c r="AF178" s="73">
        <v>537</v>
      </c>
      <c r="AG178" s="168"/>
      <c r="AH178" s="168"/>
      <c r="AI178" s="168"/>
      <c r="AJ178" s="168"/>
      <c r="AK178" s="168"/>
      <c r="AL178" s="168"/>
      <c r="AM178" s="168"/>
      <c r="AO178" s="74">
        <v>537</v>
      </c>
      <c r="AP178" s="169"/>
      <c r="AQ178" s="169"/>
      <c r="AR178" s="169">
        <v>13.020536349099775</v>
      </c>
      <c r="AS178" s="169"/>
      <c r="AT178" s="169"/>
      <c r="AU178" s="169"/>
      <c r="AV178" s="169"/>
      <c r="AW178" s="169"/>
      <c r="AX178" s="169"/>
      <c r="BP178" s="175">
        <f>Inputs!B181</f>
        <v>537</v>
      </c>
      <c r="BQ178" s="175">
        <f>IF(LEFT(Inputs!$C$11,6)="photon",10^Inputs!C181,Inputs!C181)</f>
        <v>1.51985366213487E-3</v>
      </c>
      <c r="BR178" s="175"/>
      <c r="BS178" s="175">
        <f>'Advanced Inputs'!I183</f>
        <v>537</v>
      </c>
      <c r="BT178" s="175">
        <f>IF('Advanced Inputs'!J$19="Photon system",10^'Advanced Inputs'!J183,'Advanced Inputs'!J183)</f>
        <v>0</v>
      </c>
      <c r="BV178" s="175">
        <v>537</v>
      </c>
      <c r="BW178" s="73">
        <v>83.885599999999997</v>
      </c>
      <c r="BX178" s="73">
        <v>105.39</v>
      </c>
      <c r="CC178" s="73">
        <v>1</v>
      </c>
    </row>
    <row r="179" spans="8:81" hidden="1" x14ac:dyDescent="0.2">
      <c r="H179" s="73">
        <v>538</v>
      </c>
      <c r="I179" s="168"/>
      <c r="J179" s="168"/>
      <c r="K179" s="168"/>
      <c r="L179" s="168"/>
      <c r="M179" s="168"/>
      <c r="N179" s="168"/>
      <c r="O179" s="168"/>
      <c r="P179" s="168"/>
      <c r="Q179" s="168"/>
      <c r="R179" s="168"/>
      <c r="S179" s="168">
        <v>13.10556994334452</v>
      </c>
      <c r="T179" s="168"/>
      <c r="V179" s="73">
        <v>538</v>
      </c>
      <c r="W179" s="168"/>
      <c r="X179" s="168"/>
      <c r="Y179" s="168"/>
      <c r="Z179" s="168"/>
      <c r="AA179" s="168"/>
      <c r="AB179" s="168"/>
      <c r="AC179" s="168"/>
      <c r="AD179" s="168"/>
      <c r="AF179" s="73">
        <v>538</v>
      </c>
      <c r="AG179" s="168"/>
      <c r="AH179" s="168"/>
      <c r="AI179" s="168"/>
      <c r="AJ179" s="168"/>
      <c r="AK179" s="168"/>
      <c r="AL179" s="168"/>
      <c r="AM179" s="168"/>
      <c r="AO179" s="74">
        <v>538</v>
      </c>
      <c r="AP179" s="169"/>
      <c r="AQ179" s="169"/>
      <c r="AR179" s="169">
        <v>13.116677934025711</v>
      </c>
      <c r="AS179" s="169"/>
      <c r="AT179" s="169"/>
      <c r="AU179" s="169"/>
      <c r="AV179" s="169"/>
      <c r="AW179" s="169"/>
      <c r="AX179" s="169"/>
      <c r="BP179" s="175">
        <f>Inputs!B182</f>
        <v>538</v>
      </c>
      <c r="BQ179" s="175">
        <f>IF(LEFT(Inputs!$C$11,6)="photon",10^Inputs!C182,Inputs!C182)</f>
        <v>1.50485510625854E-3</v>
      </c>
      <c r="BR179" s="175"/>
      <c r="BS179" s="175">
        <f>'Advanced Inputs'!I184</f>
        <v>538</v>
      </c>
      <c r="BT179" s="175">
        <f>IF('Advanced Inputs'!J$19="Photon system",10^'Advanced Inputs'!J184,'Advanced Inputs'!J184)</f>
        <v>0</v>
      </c>
      <c r="BV179" s="175">
        <v>538</v>
      </c>
      <c r="BW179" s="73">
        <v>84.571200000000005</v>
      </c>
      <c r="BX179" s="73">
        <v>105.062</v>
      </c>
      <c r="CC179" s="73">
        <v>1</v>
      </c>
    </row>
    <row r="180" spans="8:81" hidden="1" x14ac:dyDescent="0.2">
      <c r="H180" s="73">
        <v>539</v>
      </c>
      <c r="I180" s="168"/>
      <c r="J180" s="168"/>
      <c r="K180" s="168"/>
      <c r="L180" s="168"/>
      <c r="M180" s="168"/>
      <c r="N180" s="168"/>
      <c r="O180" s="168"/>
      <c r="P180" s="168"/>
      <c r="Q180" s="168"/>
      <c r="R180" s="168"/>
      <c r="S180" s="168">
        <v>22.7028345122025</v>
      </c>
      <c r="T180" s="168"/>
      <c r="V180" s="73">
        <v>539</v>
      </c>
      <c r="W180" s="168"/>
      <c r="X180" s="168"/>
      <c r="Y180" s="168"/>
      <c r="Z180" s="168"/>
      <c r="AA180" s="168"/>
      <c r="AB180" s="168"/>
      <c r="AC180" s="168"/>
      <c r="AD180" s="168"/>
      <c r="AF180" s="73">
        <v>539</v>
      </c>
      <c r="AG180" s="168"/>
      <c r="AH180" s="168"/>
      <c r="AI180" s="168"/>
      <c r="AJ180" s="168"/>
      <c r="AK180" s="168"/>
      <c r="AL180" s="168"/>
      <c r="AM180" s="168"/>
      <c r="AO180" s="74">
        <v>539</v>
      </c>
      <c r="AP180" s="169"/>
      <c r="AQ180" s="169"/>
      <c r="AR180" s="169">
        <v>13.214790344797668</v>
      </c>
      <c r="AS180" s="169"/>
      <c r="AT180" s="169"/>
      <c r="AU180" s="169"/>
      <c r="AV180" s="169"/>
      <c r="AW180" s="169"/>
      <c r="AX180" s="169"/>
      <c r="BP180" s="175">
        <f>Inputs!B183</f>
        <v>539</v>
      </c>
      <c r="BQ180" s="175">
        <f>IF(LEFT(Inputs!$C$11,6)="photon",10^Inputs!C183,Inputs!C183)</f>
        <v>1.48485703175676E-3</v>
      </c>
      <c r="BR180" s="175"/>
      <c r="BS180" s="175">
        <f>'Advanced Inputs'!I185</f>
        <v>539</v>
      </c>
      <c r="BT180" s="175">
        <f>IF('Advanced Inputs'!J$19="Photon system",10^'Advanced Inputs'!J185,'Advanced Inputs'!J185)</f>
        <v>0</v>
      </c>
      <c r="BV180" s="175">
        <v>539</v>
      </c>
      <c r="BW180" s="73">
        <v>85.258399999999995</v>
      </c>
      <c r="BX180" s="73">
        <v>104.733</v>
      </c>
      <c r="CC180" s="73">
        <v>1</v>
      </c>
    </row>
    <row r="181" spans="8:81" hidden="1" x14ac:dyDescent="0.2">
      <c r="H181" s="73">
        <v>540</v>
      </c>
      <c r="I181" s="168"/>
      <c r="J181" s="168"/>
      <c r="K181" s="168"/>
      <c r="L181" s="168"/>
      <c r="M181" s="168"/>
      <c r="N181" s="168"/>
      <c r="O181" s="168"/>
      <c r="P181" s="168"/>
      <c r="Q181" s="168"/>
      <c r="R181" s="168"/>
      <c r="S181" s="168">
        <v>36.5140604513591</v>
      </c>
      <c r="T181" s="168"/>
      <c r="V181" s="73">
        <v>540</v>
      </c>
      <c r="W181" s="168"/>
      <c r="X181" s="168"/>
      <c r="Y181" s="168"/>
      <c r="Z181" s="168"/>
      <c r="AA181" s="168"/>
      <c r="AB181" s="168"/>
      <c r="AC181" s="168"/>
      <c r="AD181" s="168"/>
      <c r="AF181" s="73">
        <v>540</v>
      </c>
      <c r="AG181" s="168"/>
      <c r="AH181" s="168"/>
      <c r="AI181" s="168"/>
      <c r="AJ181" s="168"/>
      <c r="AK181" s="168"/>
      <c r="AL181" s="168"/>
      <c r="AM181" s="168"/>
      <c r="AO181" s="74">
        <v>540</v>
      </c>
      <c r="AP181" s="169"/>
      <c r="AQ181" s="169"/>
      <c r="AR181" s="169">
        <v>13.313843195669957</v>
      </c>
      <c r="AS181" s="169"/>
      <c r="AT181" s="169"/>
      <c r="AU181" s="169"/>
      <c r="AV181" s="169"/>
      <c r="AW181" s="169"/>
      <c r="AX181" s="169"/>
      <c r="BP181" s="175">
        <f>Inputs!B184</f>
        <v>540</v>
      </c>
      <c r="BQ181" s="175">
        <f>IF(LEFT(Inputs!$C$11,6)="photon",10^Inputs!C184,Inputs!C184)</f>
        <v>1.46485895725499E-3</v>
      </c>
      <c r="BR181" s="175"/>
      <c r="BS181" s="175">
        <f>'Advanced Inputs'!I186</f>
        <v>540</v>
      </c>
      <c r="BT181" s="175">
        <f>IF('Advanced Inputs'!J$19="Photon system",10^'Advanced Inputs'!J186,'Advanced Inputs'!J186)</f>
        <v>0</v>
      </c>
      <c r="BV181" s="175">
        <v>540</v>
      </c>
      <c r="BW181" s="73">
        <v>85.947000000000003</v>
      </c>
      <c r="BX181" s="73">
        <v>104.405</v>
      </c>
      <c r="CC181" s="73">
        <v>1</v>
      </c>
    </row>
    <row r="182" spans="8:81" hidden="1" x14ac:dyDescent="0.2">
      <c r="H182" s="73">
        <v>541</v>
      </c>
      <c r="I182" s="168"/>
      <c r="J182" s="168"/>
      <c r="K182" s="168"/>
      <c r="L182" s="168"/>
      <c r="M182" s="168"/>
      <c r="N182" s="168"/>
      <c r="O182" s="168"/>
      <c r="P182" s="168"/>
      <c r="Q182" s="168"/>
      <c r="R182" s="168"/>
      <c r="S182" s="168">
        <v>53.020802091074053</v>
      </c>
      <c r="T182" s="168"/>
      <c r="V182" s="73">
        <v>541</v>
      </c>
      <c r="W182" s="168"/>
      <c r="X182" s="168"/>
      <c r="Y182" s="168"/>
      <c r="Z182" s="168"/>
      <c r="AA182" s="168"/>
      <c r="AB182" s="168"/>
      <c r="AC182" s="168"/>
      <c r="AD182" s="168"/>
      <c r="AF182" s="73">
        <v>541</v>
      </c>
      <c r="AG182" s="168"/>
      <c r="AH182" s="168"/>
      <c r="AI182" s="168"/>
      <c r="AJ182" s="168"/>
      <c r="AK182" s="168"/>
      <c r="AL182" s="168"/>
      <c r="AM182" s="168"/>
      <c r="AO182" s="74">
        <v>541</v>
      </c>
      <c r="AP182" s="169"/>
      <c r="AQ182" s="169"/>
      <c r="AR182" s="169">
        <v>13.412218180914152</v>
      </c>
      <c r="AS182" s="169"/>
      <c r="AT182" s="169"/>
      <c r="AU182" s="169"/>
      <c r="AV182" s="169"/>
      <c r="AW182" s="169"/>
      <c r="AX182" s="169"/>
      <c r="BP182" s="175">
        <f>Inputs!B185</f>
        <v>541</v>
      </c>
      <c r="BQ182" s="175">
        <f>IF(LEFT(Inputs!$C$11,6)="photon",10^Inputs!C185,Inputs!C185)</f>
        <v>1.45985943862955E-3</v>
      </c>
      <c r="BR182" s="175"/>
      <c r="BS182" s="175">
        <f>'Advanced Inputs'!I187</f>
        <v>541</v>
      </c>
      <c r="BT182" s="175">
        <f>IF('Advanced Inputs'!J$19="Photon system",10^'Advanced Inputs'!J187,'Advanced Inputs'!J187)</f>
        <v>0</v>
      </c>
      <c r="BV182" s="175">
        <v>541</v>
      </c>
      <c r="BW182" s="73">
        <v>86.637200000000007</v>
      </c>
      <c r="BX182" s="73">
        <v>104.369</v>
      </c>
      <c r="CC182" s="73">
        <v>1</v>
      </c>
    </row>
    <row r="183" spans="8:81" hidden="1" x14ac:dyDescent="0.2">
      <c r="H183" s="73">
        <v>542</v>
      </c>
      <c r="I183" s="168"/>
      <c r="J183" s="168"/>
      <c r="K183" s="168"/>
      <c r="L183" s="168"/>
      <c r="M183" s="168"/>
      <c r="N183" s="168"/>
      <c r="O183" s="168"/>
      <c r="P183" s="168"/>
      <c r="Q183" s="168"/>
      <c r="R183" s="168"/>
      <c r="S183" s="168">
        <v>68.641400604974919</v>
      </c>
      <c r="T183" s="168"/>
      <c r="V183" s="73">
        <v>542</v>
      </c>
      <c r="W183" s="168"/>
      <c r="X183" s="168"/>
      <c r="Y183" s="168"/>
      <c r="Z183" s="168"/>
      <c r="AA183" s="168"/>
      <c r="AB183" s="168"/>
      <c r="AC183" s="168"/>
      <c r="AD183" s="168"/>
      <c r="AF183" s="73">
        <v>542</v>
      </c>
      <c r="AG183" s="168"/>
      <c r="AH183" s="168"/>
      <c r="AI183" s="168"/>
      <c r="AJ183" s="168"/>
      <c r="AK183" s="168"/>
      <c r="AL183" s="168"/>
      <c r="AM183" s="168"/>
      <c r="AO183" s="74">
        <v>542</v>
      </c>
      <c r="AP183" s="169"/>
      <c r="AQ183" s="169"/>
      <c r="AR183" s="169">
        <v>13.508997388851927</v>
      </c>
      <c r="AS183" s="169"/>
      <c r="AT183" s="169"/>
      <c r="AU183" s="169"/>
      <c r="AV183" s="169"/>
      <c r="AW183" s="169"/>
      <c r="AX183" s="169"/>
      <c r="BP183" s="175">
        <f>Inputs!B186</f>
        <v>542</v>
      </c>
      <c r="BQ183" s="175">
        <f>IF(LEFT(Inputs!$C$11,6)="photon",10^Inputs!C186,Inputs!C186)</f>
        <v>1.45985943862955E-3</v>
      </c>
      <c r="BR183" s="175"/>
      <c r="BS183" s="175">
        <f>'Advanced Inputs'!I188</f>
        <v>542</v>
      </c>
      <c r="BT183" s="175">
        <f>IF('Advanced Inputs'!J$19="Photon system",10^'Advanced Inputs'!J188,'Advanced Inputs'!J188)</f>
        <v>0</v>
      </c>
      <c r="BV183" s="175">
        <v>542</v>
      </c>
      <c r="BW183" s="73">
        <v>87.328800000000001</v>
      </c>
      <c r="BX183" s="73">
        <v>104.333</v>
      </c>
      <c r="CC183" s="73">
        <v>1</v>
      </c>
    </row>
    <row r="184" spans="8:81" hidden="1" x14ac:dyDescent="0.2">
      <c r="H184" s="73">
        <v>543</v>
      </c>
      <c r="I184" s="168"/>
      <c r="J184" s="168"/>
      <c r="K184" s="168"/>
      <c r="L184" s="168"/>
      <c r="M184" s="168"/>
      <c r="N184" s="168"/>
      <c r="O184" s="168"/>
      <c r="P184" s="168"/>
      <c r="Q184" s="168"/>
      <c r="R184" s="168"/>
      <c r="S184" s="168">
        <v>78.78198706985296</v>
      </c>
      <c r="T184" s="168"/>
      <c r="V184" s="73">
        <v>543</v>
      </c>
      <c r="W184" s="168"/>
      <c r="X184" s="168"/>
      <c r="Y184" s="168"/>
      <c r="Z184" s="168"/>
      <c r="AA184" s="168"/>
      <c r="AB184" s="168"/>
      <c r="AC184" s="168"/>
      <c r="AD184" s="168"/>
      <c r="AF184" s="73">
        <v>543</v>
      </c>
      <c r="AG184" s="168"/>
      <c r="AH184" s="168"/>
      <c r="AI184" s="168"/>
      <c r="AJ184" s="168"/>
      <c r="AK184" s="168"/>
      <c r="AL184" s="168"/>
      <c r="AM184" s="168"/>
      <c r="AO184" s="74">
        <v>543</v>
      </c>
      <c r="AP184" s="169"/>
      <c r="AQ184" s="169"/>
      <c r="AR184" s="169">
        <v>13.604490671750254</v>
      </c>
      <c r="AS184" s="169"/>
      <c r="AT184" s="169"/>
      <c r="AU184" s="169"/>
      <c r="AV184" s="169"/>
      <c r="AW184" s="169"/>
      <c r="AX184" s="169"/>
      <c r="BP184" s="175">
        <f>Inputs!B187</f>
        <v>543</v>
      </c>
      <c r="BQ184" s="175">
        <f>IF(LEFT(Inputs!$C$11,6)="photon",10^Inputs!C187,Inputs!C187)</f>
        <v>1.46485895725499E-3</v>
      </c>
      <c r="BR184" s="175"/>
      <c r="BS184" s="175">
        <f>'Advanced Inputs'!I189</f>
        <v>543</v>
      </c>
      <c r="BT184" s="175">
        <f>IF('Advanced Inputs'!J$19="Photon system",10^'Advanced Inputs'!J189,'Advanced Inputs'!J189)</f>
        <v>0</v>
      </c>
      <c r="BV184" s="175">
        <v>543</v>
      </c>
      <c r="BW184" s="73">
        <v>88.021900000000002</v>
      </c>
      <c r="BX184" s="73">
        <v>104.297</v>
      </c>
      <c r="CC184" s="73">
        <v>1</v>
      </c>
    </row>
    <row r="185" spans="8:81" hidden="1" x14ac:dyDescent="0.2">
      <c r="H185" s="73">
        <v>544</v>
      </c>
      <c r="I185" s="168"/>
      <c r="J185" s="168"/>
      <c r="K185" s="168"/>
      <c r="L185" s="168"/>
      <c r="M185" s="168"/>
      <c r="N185" s="168"/>
      <c r="O185" s="168"/>
      <c r="P185" s="168"/>
      <c r="Q185" s="168"/>
      <c r="R185" s="168"/>
      <c r="S185" s="168">
        <v>80.130331880405777</v>
      </c>
      <c r="T185" s="168"/>
      <c r="V185" s="73">
        <v>544</v>
      </c>
      <c r="W185" s="168"/>
      <c r="X185" s="168"/>
      <c r="Y185" s="168"/>
      <c r="Z185" s="168"/>
      <c r="AA185" s="168"/>
      <c r="AB185" s="168"/>
      <c r="AC185" s="168"/>
      <c r="AD185" s="168"/>
      <c r="AF185" s="73">
        <v>544</v>
      </c>
      <c r="AG185" s="168"/>
      <c r="AH185" s="168"/>
      <c r="AI185" s="168"/>
      <c r="AJ185" s="168"/>
      <c r="AK185" s="168"/>
      <c r="AL185" s="168"/>
      <c r="AM185" s="168"/>
      <c r="AO185" s="74">
        <v>544</v>
      </c>
      <c r="AP185" s="169"/>
      <c r="AQ185" s="169"/>
      <c r="AR185" s="169">
        <v>13.699625222035666</v>
      </c>
      <c r="AS185" s="169"/>
      <c r="AT185" s="169"/>
      <c r="AU185" s="169"/>
      <c r="AV185" s="169"/>
      <c r="AW185" s="169"/>
      <c r="AX185" s="169"/>
      <c r="BP185" s="175">
        <f>Inputs!B188</f>
        <v>544</v>
      </c>
      <c r="BQ185" s="175">
        <f>IF(LEFT(Inputs!$C$11,6)="photon",10^Inputs!C188,Inputs!C188)</f>
        <v>1.46485895725499E-3</v>
      </c>
      <c r="BR185" s="175"/>
      <c r="BS185" s="175">
        <f>'Advanced Inputs'!I190</f>
        <v>544</v>
      </c>
      <c r="BT185" s="175">
        <f>IF('Advanced Inputs'!J$19="Photon system",10^'Advanced Inputs'!J190,'Advanced Inputs'!J190)</f>
        <v>0</v>
      </c>
      <c r="BV185" s="175">
        <v>544</v>
      </c>
      <c r="BW185" s="73">
        <v>88.716499999999996</v>
      </c>
      <c r="BX185" s="73">
        <v>104.261</v>
      </c>
      <c r="CC185" s="73">
        <v>1</v>
      </c>
    </row>
    <row r="186" spans="8:81" hidden="1" x14ac:dyDescent="0.2">
      <c r="H186" s="73">
        <v>545</v>
      </c>
      <c r="I186" s="168"/>
      <c r="J186" s="168"/>
      <c r="K186" s="168"/>
      <c r="L186" s="168"/>
      <c r="M186" s="168"/>
      <c r="N186" s="168"/>
      <c r="O186" s="168"/>
      <c r="P186" s="168"/>
      <c r="Q186" s="168"/>
      <c r="R186" s="168"/>
      <c r="S186" s="168">
        <v>72.724770986973056</v>
      </c>
      <c r="T186" s="168"/>
      <c r="V186" s="73">
        <v>545</v>
      </c>
      <c r="W186" s="168"/>
      <c r="X186" s="168"/>
      <c r="Y186" s="168"/>
      <c r="Z186" s="168"/>
      <c r="AA186" s="168"/>
      <c r="AB186" s="168"/>
      <c r="AC186" s="168"/>
      <c r="AD186" s="168"/>
      <c r="AF186" s="73">
        <v>545</v>
      </c>
      <c r="AG186" s="168"/>
      <c r="AH186" s="168"/>
      <c r="AI186" s="168"/>
      <c r="AJ186" s="168"/>
      <c r="AK186" s="168"/>
      <c r="AL186" s="168"/>
      <c r="AM186" s="168"/>
      <c r="AO186" s="74">
        <v>545</v>
      </c>
      <c r="AP186" s="169"/>
      <c r="AQ186" s="169"/>
      <c r="AR186" s="169">
        <v>13.7948914768851</v>
      </c>
      <c r="AS186" s="169"/>
      <c r="AT186" s="169"/>
      <c r="AU186" s="169"/>
      <c r="AV186" s="169"/>
      <c r="AW186" s="169"/>
      <c r="AX186" s="169"/>
      <c r="BP186" s="175">
        <f>Inputs!B189</f>
        <v>545</v>
      </c>
      <c r="BQ186" s="175">
        <f>IF(LEFT(Inputs!$C$11,6)="photon",10^Inputs!C189,Inputs!C189)</f>
        <v>1.4548599200041E-3</v>
      </c>
      <c r="BR186" s="175"/>
      <c r="BS186" s="175">
        <f>'Advanced Inputs'!I191</f>
        <v>545</v>
      </c>
      <c r="BT186" s="175">
        <f>IF('Advanced Inputs'!J$19="Photon system",10^'Advanced Inputs'!J191,'Advanced Inputs'!J191)</f>
        <v>0</v>
      </c>
      <c r="BV186" s="175">
        <v>545</v>
      </c>
      <c r="BW186" s="73">
        <v>89.412400000000005</v>
      </c>
      <c r="BX186" s="73">
        <v>104.22499999999999</v>
      </c>
      <c r="CC186" s="73">
        <v>1</v>
      </c>
    </row>
    <row r="187" spans="8:81" hidden="1" x14ac:dyDescent="0.2">
      <c r="H187" s="73">
        <v>546</v>
      </c>
      <c r="I187" s="168"/>
      <c r="J187" s="168"/>
      <c r="K187" s="168"/>
      <c r="L187" s="168"/>
      <c r="M187" s="168"/>
      <c r="N187" s="168"/>
      <c r="O187" s="168"/>
      <c r="P187" s="168"/>
      <c r="Q187" s="168"/>
      <c r="R187" s="168"/>
      <c r="S187" s="168">
        <v>109.31718583211259</v>
      </c>
      <c r="T187" s="168"/>
      <c r="V187" s="73">
        <v>546</v>
      </c>
      <c r="W187" s="168"/>
      <c r="X187" s="168"/>
      <c r="Y187" s="168"/>
      <c r="Z187" s="168"/>
      <c r="AA187" s="168"/>
      <c r="AB187" s="168"/>
      <c r="AC187" s="168"/>
      <c r="AD187" s="168"/>
      <c r="AF187" s="73">
        <v>546</v>
      </c>
      <c r="AG187" s="168"/>
      <c r="AH187" s="168"/>
      <c r="AI187" s="168"/>
      <c r="AJ187" s="168"/>
      <c r="AK187" s="168"/>
      <c r="AL187" s="168"/>
      <c r="AM187" s="168"/>
      <c r="AO187" s="74">
        <v>546</v>
      </c>
      <c r="AP187" s="169"/>
      <c r="AQ187" s="169"/>
      <c r="AR187" s="169">
        <v>13.88982023755972</v>
      </c>
      <c r="AS187" s="169"/>
      <c r="AT187" s="169"/>
      <c r="AU187" s="169"/>
      <c r="AV187" s="169"/>
      <c r="AW187" s="169"/>
      <c r="AX187" s="169"/>
      <c r="BP187" s="175">
        <f>Inputs!B190</f>
        <v>546</v>
      </c>
      <c r="BQ187" s="175">
        <f>IF(LEFT(Inputs!$C$11,6)="photon",10^Inputs!C190,Inputs!C190)</f>
        <v>1.44486088275322E-3</v>
      </c>
      <c r="BR187" s="175"/>
      <c r="BS187" s="175">
        <f>'Advanced Inputs'!I192</f>
        <v>546</v>
      </c>
      <c r="BT187" s="175">
        <f>IF('Advanced Inputs'!J$19="Photon system",10^'Advanced Inputs'!J192,'Advanced Inputs'!J192)</f>
        <v>0</v>
      </c>
      <c r="BV187" s="175">
        <v>546</v>
      </c>
      <c r="BW187" s="73">
        <v>90.109700000000004</v>
      </c>
      <c r="BX187" s="73">
        <v>104.19</v>
      </c>
      <c r="CC187" s="73">
        <v>1</v>
      </c>
    </row>
    <row r="188" spans="8:81" hidden="1" x14ac:dyDescent="0.2">
      <c r="H188" s="73">
        <v>547</v>
      </c>
      <c r="I188" s="168"/>
      <c r="J188" s="168"/>
      <c r="K188" s="168"/>
      <c r="L188" s="168"/>
      <c r="M188" s="168"/>
      <c r="N188" s="168"/>
      <c r="O188" s="168"/>
      <c r="P188" s="168"/>
      <c r="Q188" s="168"/>
      <c r="R188" s="168"/>
      <c r="S188" s="168">
        <v>52.091423862306286</v>
      </c>
      <c r="T188" s="168"/>
      <c r="V188" s="73">
        <v>547</v>
      </c>
      <c r="W188" s="168"/>
      <c r="X188" s="168"/>
      <c r="Y188" s="168"/>
      <c r="Z188" s="168"/>
      <c r="AA188" s="168"/>
      <c r="AB188" s="168"/>
      <c r="AC188" s="168"/>
      <c r="AD188" s="168"/>
      <c r="AF188" s="73">
        <v>547</v>
      </c>
      <c r="AG188" s="168"/>
      <c r="AH188" s="168"/>
      <c r="AI188" s="168"/>
      <c r="AJ188" s="168"/>
      <c r="AK188" s="168"/>
      <c r="AL188" s="168"/>
      <c r="AM188" s="168"/>
      <c r="AO188" s="74">
        <v>547</v>
      </c>
      <c r="AP188" s="169"/>
      <c r="AQ188" s="169"/>
      <c r="AR188" s="169">
        <v>13.983461321755248</v>
      </c>
      <c r="AS188" s="169"/>
      <c r="AT188" s="169"/>
      <c r="AU188" s="169"/>
      <c r="AV188" s="169"/>
      <c r="AW188" s="169"/>
      <c r="AX188" s="169"/>
      <c r="BP188" s="175">
        <f>Inputs!B191</f>
        <v>547</v>
      </c>
      <c r="BQ188" s="175">
        <f>IF(LEFT(Inputs!$C$11,6)="photon",10^Inputs!C191,Inputs!C191)</f>
        <v>1.43986136412777E-3</v>
      </c>
      <c r="BR188" s="175"/>
      <c r="BS188" s="175">
        <f>'Advanced Inputs'!I193</f>
        <v>547</v>
      </c>
      <c r="BT188" s="175">
        <f>IF('Advanced Inputs'!J$19="Photon system",10^'Advanced Inputs'!J193,'Advanced Inputs'!J193)</f>
        <v>0</v>
      </c>
      <c r="BV188" s="175">
        <v>547</v>
      </c>
      <c r="BW188" s="73">
        <v>90.808300000000003</v>
      </c>
      <c r="BX188" s="73">
        <v>104.154</v>
      </c>
      <c r="CC188" s="73">
        <v>1</v>
      </c>
    </row>
    <row r="189" spans="8:81" hidden="1" x14ac:dyDescent="0.2">
      <c r="H189" s="73">
        <v>548</v>
      </c>
      <c r="I189" s="168"/>
      <c r="J189" s="168"/>
      <c r="K189" s="168"/>
      <c r="L189" s="168"/>
      <c r="M189" s="168"/>
      <c r="N189" s="168"/>
      <c r="O189" s="168"/>
      <c r="P189" s="168"/>
      <c r="Q189" s="168"/>
      <c r="R189" s="168"/>
      <c r="S189" s="168">
        <v>39.51088623042142</v>
      </c>
      <c r="T189" s="168"/>
      <c r="V189" s="73">
        <v>548</v>
      </c>
      <c r="W189" s="168"/>
      <c r="X189" s="168"/>
      <c r="Y189" s="168"/>
      <c r="Z189" s="168"/>
      <c r="AA189" s="168"/>
      <c r="AB189" s="168"/>
      <c r="AC189" s="168"/>
      <c r="AD189" s="168"/>
      <c r="AF189" s="73">
        <v>548</v>
      </c>
      <c r="AG189" s="168"/>
      <c r="AH189" s="168"/>
      <c r="AI189" s="168"/>
      <c r="AJ189" s="168"/>
      <c r="AK189" s="168"/>
      <c r="AL189" s="168"/>
      <c r="AM189" s="168"/>
      <c r="AO189" s="74">
        <v>548</v>
      </c>
      <c r="AP189" s="169"/>
      <c r="AQ189" s="169"/>
      <c r="AR189" s="169">
        <v>14.075353094521674</v>
      </c>
      <c r="AS189" s="169"/>
      <c r="AT189" s="169"/>
      <c r="AU189" s="169"/>
      <c r="AV189" s="169"/>
      <c r="AW189" s="169"/>
      <c r="AX189" s="169"/>
      <c r="BP189" s="175">
        <f>Inputs!B192</f>
        <v>548</v>
      </c>
      <c r="BQ189" s="175">
        <f>IF(LEFT(Inputs!$C$11,6)="photon",10^Inputs!C192,Inputs!C192)</f>
        <v>1.43486184550233E-3</v>
      </c>
      <c r="BR189" s="175"/>
      <c r="BS189" s="175">
        <f>'Advanced Inputs'!I194</f>
        <v>548</v>
      </c>
      <c r="BT189" s="175">
        <f>IF('Advanced Inputs'!J$19="Photon system",10^'Advanced Inputs'!J194,'Advanced Inputs'!J194)</f>
        <v>0</v>
      </c>
      <c r="BV189" s="175">
        <v>548</v>
      </c>
      <c r="BW189" s="73">
        <v>91.508200000000002</v>
      </c>
      <c r="BX189" s="73">
        <v>104.11799999999999</v>
      </c>
      <c r="CC189" s="73">
        <v>1</v>
      </c>
    </row>
    <row r="190" spans="8:81" hidden="1" x14ac:dyDescent="0.2">
      <c r="H190" s="73">
        <v>549</v>
      </c>
      <c r="I190" s="168"/>
      <c r="J190" s="168"/>
      <c r="K190" s="168"/>
      <c r="L190" s="168"/>
      <c r="M190" s="168"/>
      <c r="N190" s="168"/>
      <c r="O190" s="168"/>
      <c r="P190" s="168"/>
      <c r="Q190" s="168"/>
      <c r="R190" s="168"/>
      <c r="S190" s="168">
        <v>34.849904231065224</v>
      </c>
      <c r="T190" s="168"/>
      <c r="V190" s="73">
        <v>549</v>
      </c>
      <c r="W190" s="168"/>
      <c r="X190" s="168"/>
      <c r="Y190" s="168"/>
      <c r="Z190" s="168"/>
      <c r="AA190" s="168"/>
      <c r="AB190" s="168"/>
      <c r="AC190" s="168"/>
      <c r="AD190" s="168"/>
      <c r="AF190" s="73">
        <v>549</v>
      </c>
      <c r="AG190" s="168"/>
      <c r="AH190" s="168"/>
      <c r="AI190" s="168"/>
      <c r="AJ190" s="168"/>
      <c r="AK190" s="168"/>
      <c r="AL190" s="168"/>
      <c r="AM190" s="168"/>
      <c r="AO190" s="74">
        <v>549</v>
      </c>
      <c r="AP190" s="169"/>
      <c r="AQ190" s="169"/>
      <c r="AR190" s="169">
        <v>14.165861522596956</v>
      </c>
      <c r="AS190" s="169"/>
      <c r="AT190" s="169"/>
      <c r="AU190" s="169"/>
      <c r="AV190" s="169"/>
      <c r="AW190" s="169"/>
      <c r="AX190" s="169"/>
      <c r="BP190" s="175">
        <f>Inputs!B193</f>
        <v>549</v>
      </c>
      <c r="BQ190" s="175">
        <f>IF(LEFT(Inputs!$C$11,6)="photon",10^Inputs!C193,Inputs!C193)</f>
        <v>1.42986232687688E-3</v>
      </c>
      <c r="BR190" s="175"/>
      <c r="BS190" s="175">
        <f>'Advanced Inputs'!I195</f>
        <v>549</v>
      </c>
      <c r="BT190" s="175">
        <f>IF('Advanced Inputs'!J$19="Photon system",10^'Advanced Inputs'!J195,'Advanced Inputs'!J195)</f>
        <v>0</v>
      </c>
      <c r="BV190" s="175">
        <v>549</v>
      </c>
      <c r="BW190" s="73">
        <v>92.209500000000006</v>
      </c>
      <c r="BX190" s="73">
        <v>104.08199999999999</v>
      </c>
      <c r="CC190" s="73">
        <v>1</v>
      </c>
    </row>
    <row r="191" spans="8:81" hidden="1" x14ac:dyDescent="0.2">
      <c r="H191" s="73">
        <v>550</v>
      </c>
      <c r="I191" s="168"/>
      <c r="J191" s="168"/>
      <c r="K191" s="168"/>
      <c r="L191" s="168"/>
      <c r="M191" s="168"/>
      <c r="N191" s="168"/>
      <c r="O191" s="168"/>
      <c r="P191" s="168"/>
      <c r="Q191" s="168"/>
      <c r="R191" s="168"/>
      <c r="S191" s="168">
        <v>30.990924583152793</v>
      </c>
      <c r="T191" s="168"/>
      <c r="V191" s="73">
        <v>550</v>
      </c>
      <c r="W191" s="168"/>
      <c r="X191" s="168"/>
      <c r="Y191" s="168"/>
      <c r="Z191" s="168"/>
      <c r="AA191" s="168"/>
      <c r="AB191" s="168"/>
      <c r="AC191" s="168"/>
      <c r="AD191" s="168"/>
      <c r="AF191" s="73">
        <v>550</v>
      </c>
      <c r="AG191" s="168"/>
      <c r="AH191" s="168"/>
      <c r="AI191" s="168"/>
      <c r="AJ191" s="168"/>
      <c r="AK191" s="168"/>
      <c r="AL191" s="168"/>
      <c r="AM191" s="168"/>
      <c r="AO191" s="74">
        <v>550</v>
      </c>
      <c r="AP191" s="169"/>
      <c r="AQ191" s="169"/>
      <c r="AR191" s="169">
        <v>14.2554757578425</v>
      </c>
      <c r="AS191" s="169"/>
      <c r="AT191" s="169"/>
      <c r="AU191" s="169"/>
      <c r="AV191" s="169"/>
      <c r="AW191" s="169"/>
      <c r="AX191" s="169"/>
      <c r="BP191" s="175">
        <f>Inputs!B194</f>
        <v>550</v>
      </c>
      <c r="BQ191" s="175">
        <f>IF(LEFT(Inputs!$C$11,6)="photon",10^Inputs!C194,Inputs!C194)</f>
        <v>1.42986232687688E-3</v>
      </c>
      <c r="BR191" s="175"/>
      <c r="BS191" s="175">
        <f>'Advanced Inputs'!I196</f>
        <v>550</v>
      </c>
      <c r="BT191" s="175">
        <f>IF('Advanced Inputs'!J$19="Photon system",10^'Advanced Inputs'!J196,'Advanced Inputs'!J196)</f>
        <v>0</v>
      </c>
      <c r="BV191" s="175">
        <v>550</v>
      </c>
      <c r="BW191" s="73">
        <v>92.912000000000006</v>
      </c>
      <c r="BX191" s="73">
        <v>104.04600000000001</v>
      </c>
      <c r="CC191" s="73">
        <v>1</v>
      </c>
    </row>
    <row r="192" spans="8:81" hidden="1" x14ac:dyDescent="0.2">
      <c r="H192" s="73">
        <v>551</v>
      </c>
      <c r="I192" s="168"/>
      <c r="J192" s="168"/>
      <c r="K192" s="168"/>
      <c r="L192" s="168"/>
      <c r="M192" s="168"/>
      <c r="N192" s="168"/>
      <c r="O192" s="168"/>
      <c r="P192" s="168"/>
      <c r="Q192" s="168"/>
      <c r="R192" s="168"/>
      <c r="S192" s="168">
        <v>25.430074299207714</v>
      </c>
      <c r="T192" s="168"/>
      <c r="V192" s="73">
        <v>551</v>
      </c>
      <c r="W192" s="168"/>
      <c r="X192" s="168"/>
      <c r="Y192" s="168"/>
      <c r="Z192" s="168"/>
      <c r="AA192" s="168"/>
      <c r="AB192" s="168"/>
      <c r="AC192" s="168"/>
      <c r="AD192" s="168"/>
      <c r="AF192" s="73">
        <v>551</v>
      </c>
      <c r="AG192" s="168"/>
      <c r="AH192" s="168"/>
      <c r="AI192" s="168"/>
      <c r="AJ192" s="168"/>
      <c r="AK192" s="168"/>
      <c r="AL192" s="168"/>
      <c r="AM192" s="168"/>
      <c r="AO192" s="74">
        <v>551</v>
      </c>
      <c r="AP192" s="169"/>
      <c r="AQ192" s="169"/>
      <c r="AR192" s="169">
        <v>14.344051932879109</v>
      </c>
      <c r="AS192" s="169"/>
      <c r="AT192" s="169"/>
      <c r="AU192" s="169"/>
      <c r="AV192" s="169"/>
      <c r="AW192" s="169"/>
      <c r="AX192" s="169"/>
      <c r="BP192" s="175">
        <f>Inputs!B195</f>
        <v>551</v>
      </c>
      <c r="BQ192" s="175">
        <f>IF(LEFT(Inputs!$C$11,6)="photon",10^Inputs!C195,Inputs!C195)</f>
        <v>1.42486280825144E-3</v>
      </c>
      <c r="BR192" s="175"/>
      <c r="BS192" s="175">
        <f>'Advanced Inputs'!I197</f>
        <v>551</v>
      </c>
      <c r="BT192" s="175">
        <f>IF('Advanced Inputs'!J$19="Photon system",10^'Advanced Inputs'!J197,'Advanced Inputs'!J197)</f>
        <v>0</v>
      </c>
      <c r="BV192" s="175">
        <v>551</v>
      </c>
      <c r="BW192" s="73">
        <v>93.615700000000004</v>
      </c>
      <c r="BX192" s="73">
        <v>103.64100000000001</v>
      </c>
      <c r="CC192" s="73">
        <v>1</v>
      </c>
    </row>
    <row r="193" spans="8:81" hidden="1" x14ac:dyDescent="0.2">
      <c r="H193" s="73">
        <v>552</v>
      </c>
      <c r="I193" s="168"/>
      <c r="J193" s="168"/>
      <c r="K193" s="168"/>
      <c r="L193" s="168"/>
      <c r="M193" s="168"/>
      <c r="N193" s="168"/>
      <c r="O193" s="168"/>
      <c r="P193" s="168"/>
      <c r="Q193" s="168"/>
      <c r="R193" s="168"/>
      <c r="S193" s="168">
        <v>18.358693735221895</v>
      </c>
      <c r="T193" s="168"/>
      <c r="V193" s="73">
        <v>552</v>
      </c>
      <c r="W193" s="168"/>
      <c r="X193" s="168"/>
      <c r="Y193" s="168"/>
      <c r="Z193" s="168"/>
      <c r="AA193" s="168"/>
      <c r="AB193" s="168"/>
      <c r="AC193" s="168"/>
      <c r="AD193" s="168"/>
      <c r="AF193" s="73">
        <v>552</v>
      </c>
      <c r="AG193" s="168"/>
      <c r="AH193" s="168"/>
      <c r="AI193" s="168"/>
      <c r="AJ193" s="168"/>
      <c r="AK193" s="168"/>
      <c r="AL193" s="168"/>
      <c r="AM193" s="168"/>
      <c r="AO193" s="74">
        <v>552</v>
      </c>
      <c r="AP193" s="169"/>
      <c r="AQ193" s="169"/>
      <c r="AR193" s="169">
        <v>14.431090576776059</v>
      </c>
      <c r="AS193" s="169"/>
      <c r="AT193" s="169"/>
      <c r="AU193" s="169"/>
      <c r="AV193" s="169"/>
      <c r="AW193" s="169"/>
      <c r="AX193" s="169"/>
      <c r="BP193" s="175">
        <f>Inputs!B196</f>
        <v>552</v>
      </c>
      <c r="BQ193" s="175">
        <f>IF(LEFT(Inputs!$C$11,6)="photon",10^Inputs!C196,Inputs!C196)</f>
        <v>1.42486280825144E-3</v>
      </c>
      <c r="BR193" s="175"/>
      <c r="BS193" s="175">
        <f>'Advanced Inputs'!I198</f>
        <v>552</v>
      </c>
      <c r="BT193" s="175">
        <f>IF('Advanced Inputs'!J$19="Photon system",10^'Advanced Inputs'!J198,'Advanced Inputs'!J198)</f>
        <v>0</v>
      </c>
      <c r="BV193" s="175">
        <v>552</v>
      </c>
      <c r="BW193" s="73">
        <v>94.320599999999999</v>
      </c>
      <c r="BX193" s="73">
        <v>103.23699999999999</v>
      </c>
      <c r="CC193" s="73">
        <v>1</v>
      </c>
    </row>
    <row r="194" spans="8:81" hidden="1" x14ac:dyDescent="0.2">
      <c r="H194" s="73">
        <v>553</v>
      </c>
      <c r="I194" s="168"/>
      <c r="J194" s="168"/>
      <c r="K194" s="168"/>
      <c r="L194" s="168"/>
      <c r="M194" s="168"/>
      <c r="N194" s="168"/>
      <c r="O194" s="168"/>
      <c r="P194" s="168"/>
      <c r="Q194" s="168"/>
      <c r="R194" s="168"/>
      <c r="S194" s="168">
        <v>11.805847414589461</v>
      </c>
      <c r="T194" s="168"/>
      <c r="V194" s="73">
        <v>553</v>
      </c>
      <c r="W194" s="168"/>
      <c r="X194" s="168"/>
      <c r="Y194" s="168"/>
      <c r="Z194" s="168"/>
      <c r="AA194" s="168"/>
      <c r="AB194" s="168"/>
      <c r="AC194" s="168"/>
      <c r="AD194" s="168"/>
      <c r="AF194" s="73">
        <v>553</v>
      </c>
      <c r="AG194" s="168"/>
      <c r="AH194" s="168"/>
      <c r="AI194" s="168"/>
      <c r="AJ194" s="168"/>
      <c r="AK194" s="168"/>
      <c r="AL194" s="168"/>
      <c r="AM194" s="168"/>
      <c r="AO194" s="74">
        <v>553</v>
      </c>
      <c r="AP194" s="169"/>
      <c r="AQ194" s="169"/>
      <c r="AR194" s="169">
        <v>14.516540950486625</v>
      </c>
      <c r="AS194" s="169"/>
      <c r="AT194" s="169"/>
      <c r="AU194" s="169"/>
      <c r="AV194" s="169"/>
      <c r="AW194" s="169"/>
      <c r="AX194" s="169"/>
      <c r="BP194" s="175">
        <f>Inputs!B197</f>
        <v>553</v>
      </c>
      <c r="BQ194" s="175">
        <f>IF(LEFT(Inputs!$C$11,6)="photon",10^Inputs!C197,Inputs!C197)</f>
        <v>1.419863289626E-3</v>
      </c>
      <c r="BR194" s="175"/>
      <c r="BS194" s="175">
        <f>'Advanced Inputs'!I199</f>
        <v>553</v>
      </c>
      <c r="BT194" s="175">
        <f>IF('Advanced Inputs'!J$19="Photon system",10^'Advanced Inputs'!J199,'Advanced Inputs'!J199)</f>
        <v>0</v>
      </c>
      <c r="BV194" s="175">
        <v>553</v>
      </c>
      <c r="BW194" s="73">
        <v>95.026700000000005</v>
      </c>
      <c r="BX194" s="73">
        <v>102.83199999999999</v>
      </c>
      <c r="CC194" s="73">
        <v>1</v>
      </c>
    </row>
    <row r="195" spans="8:81" hidden="1" x14ac:dyDescent="0.2">
      <c r="H195" s="73">
        <v>554</v>
      </c>
      <c r="I195" s="168"/>
      <c r="J195" s="168"/>
      <c r="K195" s="168"/>
      <c r="L195" s="168"/>
      <c r="M195" s="168"/>
      <c r="N195" s="168"/>
      <c r="O195" s="168"/>
      <c r="P195" s="168"/>
      <c r="Q195" s="168"/>
      <c r="R195" s="168"/>
      <c r="S195" s="168">
        <v>7.3179338460568513</v>
      </c>
      <c r="T195" s="168"/>
      <c r="V195" s="73">
        <v>554</v>
      </c>
      <c r="W195" s="168"/>
      <c r="X195" s="168"/>
      <c r="Y195" s="168"/>
      <c r="Z195" s="168"/>
      <c r="AA195" s="168"/>
      <c r="AB195" s="168"/>
      <c r="AC195" s="168"/>
      <c r="AD195" s="168"/>
      <c r="AF195" s="73">
        <v>554</v>
      </c>
      <c r="AG195" s="168"/>
      <c r="AH195" s="168"/>
      <c r="AI195" s="168"/>
      <c r="AJ195" s="168"/>
      <c r="AK195" s="168"/>
      <c r="AL195" s="168"/>
      <c r="AM195" s="168"/>
      <c r="AO195" s="74">
        <v>554</v>
      </c>
      <c r="AP195" s="169"/>
      <c r="AQ195" s="169"/>
      <c r="AR195" s="169">
        <v>14.600781521260743</v>
      </c>
      <c r="AS195" s="169"/>
      <c r="AT195" s="169"/>
      <c r="AU195" s="169"/>
      <c r="AV195" s="169"/>
      <c r="AW195" s="169"/>
      <c r="AX195" s="169"/>
      <c r="BP195" s="175">
        <f>Inputs!B198</f>
        <v>554</v>
      </c>
      <c r="BQ195" s="175">
        <f>IF(LEFT(Inputs!$C$11,6)="photon",10^Inputs!C198,Inputs!C198)</f>
        <v>1.41486377100055E-3</v>
      </c>
      <c r="BR195" s="175"/>
      <c r="BS195" s="175">
        <f>'Advanced Inputs'!I200</f>
        <v>554</v>
      </c>
      <c r="BT195" s="175">
        <f>IF('Advanced Inputs'!J$19="Photon system",10^'Advanced Inputs'!J200,'Advanced Inputs'!J200)</f>
        <v>0</v>
      </c>
      <c r="BV195" s="175">
        <v>554</v>
      </c>
      <c r="BW195" s="73">
        <v>95.733900000000006</v>
      </c>
      <c r="BX195" s="73">
        <v>102.428</v>
      </c>
      <c r="CC195" s="73">
        <v>1</v>
      </c>
    </row>
    <row r="196" spans="8:81" hidden="1" x14ac:dyDescent="0.2">
      <c r="H196" s="73">
        <v>555</v>
      </c>
      <c r="I196" s="168"/>
      <c r="J196" s="168"/>
      <c r="K196" s="168"/>
      <c r="L196" s="168"/>
      <c r="M196" s="168"/>
      <c r="N196" s="168"/>
      <c r="O196" s="168"/>
      <c r="P196" s="168"/>
      <c r="Q196" s="168"/>
      <c r="R196" s="168"/>
      <c r="S196" s="168">
        <v>4.9562822755623266</v>
      </c>
      <c r="T196" s="168"/>
      <c r="V196" s="73">
        <v>555</v>
      </c>
      <c r="W196" s="168"/>
      <c r="X196" s="168"/>
      <c r="Y196" s="168"/>
      <c r="Z196" s="168"/>
      <c r="AA196" s="168"/>
      <c r="AB196" s="168"/>
      <c r="AC196" s="168"/>
      <c r="AD196" s="168"/>
      <c r="AF196" s="73">
        <v>555</v>
      </c>
      <c r="AG196" s="168"/>
      <c r="AH196" s="168"/>
      <c r="AI196" s="168"/>
      <c r="AJ196" s="168"/>
      <c r="AK196" s="168"/>
      <c r="AL196" s="168"/>
      <c r="AM196" s="168"/>
      <c r="AO196" s="74">
        <v>555</v>
      </c>
      <c r="AP196" s="169"/>
      <c r="AQ196" s="169"/>
      <c r="AR196" s="169">
        <v>14.683852738764314</v>
      </c>
      <c r="AS196" s="169"/>
      <c r="AT196" s="169"/>
      <c r="AU196" s="169"/>
      <c r="AV196" s="169"/>
      <c r="AW196" s="169"/>
      <c r="AX196" s="169"/>
      <c r="BP196" s="175">
        <f>Inputs!B199</f>
        <v>555</v>
      </c>
      <c r="BQ196" s="175">
        <f>IF(LEFT(Inputs!$C$11,6)="photon",10^Inputs!C199,Inputs!C199)</f>
        <v>1.40486473374967E-3</v>
      </c>
      <c r="BR196" s="175"/>
      <c r="BS196" s="175">
        <f>'Advanced Inputs'!I201</f>
        <v>555</v>
      </c>
      <c r="BT196" s="175">
        <f>IF('Advanced Inputs'!J$19="Photon system",10^'Advanced Inputs'!J201,'Advanced Inputs'!J201)</f>
        <v>0</v>
      </c>
      <c r="BV196" s="175">
        <v>555</v>
      </c>
      <c r="BW196" s="73">
        <v>96.442300000000003</v>
      </c>
      <c r="BX196" s="73">
        <v>102.023</v>
      </c>
      <c r="CC196" s="73">
        <v>1</v>
      </c>
    </row>
    <row r="197" spans="8:81" hidden="1" x14ac:dyDescent="0.2">
      <c r="H197" s="73">
        <v>556</v>
      </c>
      <c r="I197" s="168"/>
      <c r="J197" s="168"/>
      <c r="K197" s="168"/>
      <c r="L197" s="168"/>
      <c r="M197" s="168"/>
      <c r="N197" s="168"/>
      <c r="O197" s="168"/>
      <c r="P197" s="168"/>
      <c r="Q197" s="168"/>
      <c r="R197" s="168"/>
      <c r="S197" s="168">
        <v>3.924594296500707</v>
      </c>
      <c r="T197" s="168"/>
      <c r="V197" s="73">
        <v>556</v>
      </c>
      <c r="W197" s="168"/>
      <c r="X197" s="168"/>
      <c r="Y197" s="168"/>
      <c r="Z197" s="168"/>
      <c r="AA197" s="168"/>
      <c r="AB197" s="168"/>
      <c r="AC197" s="168"/>
      <c r="AD197" s="168"/>
      <c r="AF197" s="73">
        <v>556</v>
      </c>
      <c r="AG197" s="168"/>
      <c r="AH197" s="168"/>
      <c r="AI197" s="168"/>
      <c r="AJ197" s="168"/>
      <c r="AK197" s="168"/>
      <c r="AL197" s="168"/>
      <c r="AM197" s="168"/>
      <c r="AO197" s="74">
        <v>556</v>
      </c>
      <c r="AP197" s="169"/>
      <c r="AQ197" s="169"/>
      <c r="AR197" s="169">
        <v>14.76536245015121</v>
      </c>
      <c r="AS197" s="169"/>
      <c r="AT197" s="169"/>
      <c r="AU197" s="169"/>
      <c r="AV197" s="169"/>
      <c r="AW197" s="169"/>
      <c r="AX197" s="169"/>
      <c r="BP197" s="175">
        <f>Inputs!B200</f>
        <v>556</v>
      </c>
      <c r="BQ197" s="175">
        <f>IF(LEFT(Inputs!$C$11,6)="photon",10^Inputs!C200,Inputs!C200)</f>
        <v>1.39486569649878E-3</v>
      </c>
      <c r="BR197" s="175"/>
      <c r="BS197" s="175">
        <f>'Advanced Inputs'!I202</f>
        <v>556</v>
      </c>
      <c r="BT197" s="175">
        <f>IF('Advanced Inputs'!J$19="Photon system",10^'Advanced Inputs'!J202,'Advanced Inputs'!J202)</f>
        <v>0</v>
      </c>
      <c r="BV197" s="175">
        <v>556</v>
      </c>
      <c r="BW197" s="73">
        <v>97.151799999999994</v>
      </c>
      <c r="BX197" s="73">
        <v>101.61799999999999</v>
      </c>
      <c r="CC197" s="73">
        <v>1</v>
      </c>
    </row>
    <row r="198" spans="8:81" hidden="1" x14ac:dyDescent="0.2">
      <c r="H198" s="73">
        <v>557</v>
      </c>
      <c r="I198" s="168"/>
      <c r="J198" s="168"/>
      <c r="K198" s="168"/>
      <c r="L198" s="168"/>
      <c r="M198" s="168"/>
      <c r="N198" s="168"/>
      <c r="O198" s="168"/>
      <c r="P198" s="168"/>
      <c r="Q198" s="168"/>
      <c r="R198" s="168"/>
      <c r="S198" s="168">
        <v>3.4835992371951714</v>
      </c>
      <c r="T198" s="168"/>
      <c r="V198" s="73">
        <v>557</v>
      </c>
      <c r="W198" s="168"/>
      <c r="X198" s="168"/>
      <c r="Y198" s="168"/>
      <c r="Z198" s="168"/>
      <c r="AA198" s="168"/>
      <c r="AB198" s="168"/>
      <c r="AC198" s="168"/>
      <c r="AD198" s="168"/>
      <c r="AF198" s="73">
        <v>557</v>
      </c>
      <c r="AG198" s="168"/>
      <c r="AH198" s="168"/>
      <c r="AI198" s="168"/>
      <c r="AJ198" s="168"/>
      <c r="AK198" s="168"/>
      <c r="AL198" s="168"/>
      <c r="AM198" s="168"/>
      <c r="AO198" s="74">
        <v>557</v>
      </c>
      <c r="AP198" s="169"/>
      <c r="AQ198" s="169"/>
      <c r="AR198" s="169">
        <v>14.845283508238213</v>
      </c>
      <c r="AS198" s="169"/>
      <c r="AT198" s="169"/>
      <c r="AU198" s="169"/>
      <c r="AV198" s="169"/>
      <c r="AW198" s="169"/>
      <c r="AX198" s="169"/>
      <c r="BP198" s="175">
        <f>Inputs!B201</f>
        <v>557</v>
      </c>
      <c r="BQ198" s="175">
        <f>IF(LEFT(Inputs!$C$11,6)="photon",10^Inputs!C201,Inputs!C201)</f>
        <v>1.37986714062245E-3</v>
      </c>
      <c r="BR198" s="175"/>
      <c r="BS198" s="175">
        <f>'Advanced Inputs'!I203</f>
        <v>557</v>
      </c>
      <c r="BT198" s="175">
        <f>IF('Advanced Inputs'!J$19="Photon system",10^'Advanced Inputs'!J203,'Advanced Inputs'!J203)</f>
        <v>0</v>
      </c>
      <c r="BV198" s="175">
        <v>557</v>
      </c>
      <c r="BW198" s="73">
        <v>97.862300000000005</v>
      </c>
      <c r="BX198" s="73">
        <v>101.214</v>
      </c>
      <c r="CC198" s="73">
        <v>1</v>
      </c>
    </row>
    <row r="199" spans="8:81" hidden="1" x14ac:dyDescent="0.2">
      <c r="H199" s="73">
        <v>558</v>
      </c>
      <c r="I199" s="168"/>
      <c r="J199" s="168"/>
      <c r="K199" s="168"/>
      <c r="L199" s="168"/>
      <c r="M199" s="168"/>
      <c r="N199" s="168"/>
      <c r="O199" s="168"/>
      <c r="P199" s="168"/>
      <c r="Q199" s="168"/>
      <c r="R199" s="168"/>
      <c r="S199" s="168">
        <v>3.23281567536936</v>
      </c>
      <c r="T199" s="168"/>
      <c r="V199" s="73">
        <v>558</v>
      </c>
      <c r="W199" s="168"/>
      <c r="X199" s="168"/>
      <c r="Y199" s="168"/>
      <c r="Z199" s="168"/>
      <c r="AA199" s="168"/>
      <c r="AB199" s="168"/>
      <c r="AC199" s="168"/>
      <c r="AD199" s="168"/>
      <c r="AF199" s="73">
        <v>558</v>
      </c>
      <c r="AG199" s="168"/>
      <c r="AH199" s="168"/>
      <c r="AI199" s="168"/>
      <c r="AJ199" s="168"/>
      <c r="AK199" s="168"/>
      <c r="AL199" s="168"/>
      <c r="AM199" s="168"/>
      <c r="AO199" s="74">
        <v>558</v>
      </c>
      <c r="AP199" s="169"/>
      <c r="AQ199" s="169"/>
      <c r="AR199" s="169">
        <v>14.924135939892725</v>
      </c>
      <c r="AS199" s="169"/>
      <c r="AT199" s="169"/>
      <c r="AU199" s="169"/>
      <c r="AV199" s="169"/>
      <c r="AW199" s="169"/>
      <c r="AX199" s="169"/>
      <c r="BP199" s="175">
        <f>Inputs!B202</f>
        <v>558</v>
      </c>
      <c r="BQ199" s="175">
        <f>IF(LEFT(Inputs!$C$11,6)="photon",10^Inputs!C202,Inputs!C202)</f>
        <v>1.35986906612067E-3</v>
      </c>
      <c r="BR199" s="175"/>
      <c r="BS199" s="175">
        <f>'Advanced Inputs'!I204</f>
        <v>558</v>
      </c>
      <c r="BT199" s="175">
        <f>IF('Advanced Inputs'!J$19="Photon system",10^'Advanced Inputs'!J204,'Advanced Inputs'!J204)</f>
        <v>0</v>
      </c>
      <c r="BV199" s="175">
        <v>558</v>
      </c>
      <c r="BW199" s="73">
        <v>98.573899999999995</v>
      </c>
      <c r="BX199" s="73">
        <v>100.809</v>
      </c>
      <c r="CC199" s="73">
        <v>1</v>
      </c>
    </row>
    <row r="200" spans="8:81" hidden="1" x14ac:dyDescent="0.2">
      <c r="H200" s="73">
        <v>559</v>
      </c>
      <c r="I200" s="168"/>
      <c r="J200" s="168"/>
      <c r="K200" s="168"/>
      <c r="L200" s="168"/>
      <c r="M200" s="168"/>
      <c r="N200" s="168"/>
      <c r="O200" s="168"/>
      <c r="P200" s="168"/>
      <c r="Q200" s="168"/>
      <c r="R200" s="168"/>
      <c r="S200" s="168">
        <v>3.0271626390823627</v>
      </c>
      <c r="T200" s="168"/>
      <c r="V200" s="73">
        <v>559</v>
      </c>
      <c r="W200" s="168"/>
      <c r="X200" s="168"/>
      <c r="Y200" s="168"/>
      <c r="Z200" s="168"/>
      <c r="AA200" s="168"/>
      <c r="AB200" s="168"/>
      <c r="AC200" s="168"/>
      <c r="AD200" s="168"/>
      <c r="AF200" s="73">
        <v>559</v>
      </c>
      <c r="AG200" s="168"/>
      <c r="AH200" s="168"/>
      <c r="AI200" s="168"/>
      <c r="AJ200" s="168"/>
      <c r="AK200" s="168"/>
      <c r="AL200" s="168"/>
      <c r="AM200" s="168"/>
      <c r="AO200" s="74">
        <v>559</v>
      </c>
      <c r="AP200" s="169"/>
      <c r="AQ200" s="169"/>
      <c r="AR200" s="169">
        <v>15.00198606499411</v>
      </c>
      <c r="AS200" s="169"/>
      <c r="AT200" s="169"/>
      <c r="AU200" s="169"/>
      <c r="AV200" s="169"/>
      <c r="AW200" s="169"/>
      <c r="AX200" s="169"/>
      <c r="BP200" s="175">
        <f>Inputs!B203</f>
        <v>559</v>
      </c>
      <c r="BQ200" s="175">
        <f>IF(LEFT(Inputs!$C$11,6)="photon",10^Inputs!C203,Inputs!C203)</f>
        <v>1.34487051024434E-3</v>
      </c>
      <c r="BR200" s="175"/>
      <c r="BS200" s="175">
        <f>'Advanced Inputs'!I205</f>
        <v>559</v>
      </c>
      <c r="BT200" s="175">
        <f>IF('Advanced Inputs'!J$19="Photon system",10^'Advanced Inputs'!J205,'Advanced Inputs'!J205)</f>
        <v>0</v>
      </c>
      <c r="BV200" s="175">
        <v>559</v>
      </c>
      <c r="BW200" s="73">
        <v>99.2864</v>
      </c>
      <c r="BX200" s="73">
        <v>100.405</v>
      </c>
      <c r="CC200" s="73">
        <v>1</v>
      </c>
    </row>
    <row r="201" spans="8:81" hidden="1" x14ac:dyDescent="0.2">
      <c r="H201" s="73">
        <v>560</v>
      </c>
      <c r="I201" s="168"/>
      <c r="J201" s="168"/>
      <c r="K201" s="168"/>
      <c r="L201" s="168"/>
      <c r="M201" s="168"/>
      <c r="N201" s="168"/>
      <c r="O201" s="168"/>
      <c r="P201" s="168"/>
      <c r="Q201" s="168"/>
      <c r="R201" s="168"/>
      <c r="S201" s="168">
        <v>2.8301947351254211</v>
      </c>
      <c r="T201" s="168"/>
      <c r="V201" s="73">
        <v>560</v>
      </c>
      <c r="W201" s="168"/>
      <c r="X201" s="168"/>
      <c r="Y201" s="168"/>
      <c r="Z201" s="168"/>
      <c r="AA201" s="168"/>
      <c r="AB201" s="168"/>
      <c r="AC201" s="168"/>
      <c r="AD201" s="168"/>
      <c r="AF201" s="73">
        <v>560</v>
      </c>
      <c r="AG201" s="168"/>
      <c r="AH201" s="168"/>
      <c r="AI201" s="168"/>
      <c r="AJ201" s="168"/>
      <c r="AK201" s="168"/>
      <c r="AL201" s="168"/>
      <c r="AM201" s="168"/>
      <c r="AO201" s="74">
        <v>560</v>
      </c>
      <c r="AP201" s="169"/>
      <c r="AQ201" s="169"/>
      <c r="AR201" s="169">
        <v>15.077838868514164</v>
      </c>
      <c r="AS201" s="169"/>
      <c r="AT201" s="169"/>
      <c r="AU201" s="169"/>
      <c r="AV201" s="169"/>
      <c r="AW201" s="169"/>
      <c r="AX201" s="169"/>
      <c r="BP201" s="175">
        <f>Inputs!B204</f>
        <v>560</v>
      </c>
      <c r="BQ201" s="175">
        <f>IF(LEFT(Inputs!$C$11,6)="photon",10^Inputs!C204,Inputs!C204)</f>
        <v>1.3398709916189E-3</v>
      </c>
      <c r="BR201" s="175"/>
      <c r="BS201" s="175">
        <f>'Advanced Inputs'!I206</f>
        <v>560</v>
      </c>
      <c r="BT201" s="175">
        <f>IF('Advanced Inputs'!J$19="Photon system",10^'Advanced Inputs'!J206,'Advanced Inputs'!J206)</f>
        <v>0</v>
      </c>
      <c r="BV201" s="175">
        <v>560</v>
      </c>
      <c r="BW201" s="73">
        <v>100</v>
      </c>
      <c r="BX201" s="73">
        <v>100</v>
      </c>
      <c r="CC201" s="73">
        <v>1</v>
      </c>
    </row>
    <row r="202" spans="8:81" hidden="1" x14ac:dyDescent="0.2">
      <c r="H202" s="73">
        <v>561</v>
      </c>
      <c r="I202" s="168"/>
      <c r="J202" s="168"/>
      <c r="K202" s="168"/>
      <c r="L202" s="168"/>
      <c r="M202" s="168"/>
      <c r="N202" s="168"/>
      <c r="O202" s="168"/>
      <c r="P202" s="168"/>
      <c r="Q202" s="168"/>
      <c r="R202" s="168"/>
      <c r="S202" s="168">
        <v>2.634300381446089</v>
      </c>
      <c r="T202" s="168"/>
      <c r="V202" s="73">
        <v>561</v>
      </c>
      <c r="W202" s="168"/>
      <c r="X202" s="168"/>
      <c r="Y202" s="168"/>
      <c r="Z202" s="168"/>
      <c r="AA202" s="168"/>
      <c r="AB202" s="168"/>
      <c r="AC202" s="168"/>
      <c r="AD202" s="168"/>
      <c r="AF202" s="73">
        <v>561</v>
      </c>
      <c r="AG202" s="168"/>
      <c r="AH202" s="168"/>
      <c r="AI202" s="168"/>
      <c r="AJ202" s="168"/>
      <c r="AK202" s="168"/>
      <c r="AL202" s="168"/>
      <c r="AM202" s="168"/>
      <c r="AO202" s="74">
        <v>561</v>
      </c>
      <c r="AP202" s="169"/>
      <c r="AQ202" s="169"/>
      <c r="AR202" s="169">
        <v>15.150591551163327</v>
      </c>
      <c r="AS202" s="169"/>
      <c r="AT202" s="169"/>
      <c r="AU202" s="169"/>
      <c r="AV202" s="169"/>
      <c r="AW202" s="169"/>
      <c r="AX202" s="169"/>
      <c r="BP202" s="175">
        <f>Inputs!B205</f>
        <v>561</v>
      </c>
      <c r="BQ202" s="175">
        <f>IF(LEFT(Inputs!$C$11,6)="photon",10^Inputs!C205,Inputs!C205)</f>
        <v>1.33487147299345E-3</v>
      </c>
      <c r="BR202" s="175"/>
      <c r="BS202" s="175">
        <f>'Advanced Inputs'!I207</f>
        <v>561</v>
      </c>
      <c r="BT202" s="175">
        <f>IF('Advanced Inputs'!J$19="Photon system",10^'Advanced Inputs'!J207,'Advanced Inputs'!J207)</f>
        <v>0</v>
      </c>
      <c r="BV202" s="175">
        <v>561</v>
      </c>
      <c r="BW202" s="73">
        <v>100.715</v>
      </c>
      <c r="BX202" s="73">
        <v>99.633399999999995</v>
      </c>
      <c r="CC202" s="73">
        <v>1</v>
      </c>
    </row>
    <row r="203" spans="8:81" hidden="1" x14ac:dyDescent="0.2">
      <c r="H203" s="73">
        <v>562</v>
      </c>
      <c r="I203" s="168"/>
      <c r="J203" s="168"/>
      <c r="K203" s="168"/>
      <c r="L203" s="168"/>
      <c r="M203" s="168"/>
      <c r="N203" s="168"/>
      <c r="O203" s="168"/>
      <c r="P203" s="168"/>
      <c r="Q203" s="168"/>
      <c r="R203" s="168"/>
      <c r="S203" s="168">
        <v>2.4453124025128083</v>
      </c>
      <c r="T203" s="168"/>
      <c r="V203" s="73">
        <v>562</v>
      </c>
      <c r="W203" s="168"/>
      <c r="X203" s="168"/>
      <c r="Y203" s="168"/>
      <c r="Z203" s="168"/>
      <c r="AA203" s="168"/>
      <c r="AB203" s="168"/>
      <c r="AC203" s="168"/>
      <c r="AD203" s="168"/>
      <c r="AF203" s="73">
        <v>562</v>
      </c>
      <c r="AG203" s="168"/>
      <c r="AH203" s="168"/>
      <c r="AI203" s="168"/>
      <c r="AJ203" s="168"/>
      <c r="AK203" s="168"/>
      <c r="AL203" s="168"/>
      <c r="AM203" s="168"/>
      <c r="AO203" s="74">
        <v>562</v>
      </c>
      <c r="AP203" s="169"/>
      <c r="AQ203" s="169"/>
      <c r="AR203" s="169">
        <v>15.220321526390034</v>
      </c>
      <c r="AS203" s="169"/>
      <c r="AT203" s="169"/>
      <c r="AU203" s="169"/>
      <c r="AV203" s="169"/>
      <c r="AW203" s="169"/>
      <c r="AX203" s="169"/>
      <c r="BP203" s="175">
        <f>Inputs!B206</f>
        <v>562</v>
      </c>
      <c r="BQ203" s="175">
        <f>IF(LEFT(Inputs!$C$11,6)="photon",10^Inputs!C206,Inputs!C206)</f>
        <v>1.32487243574257E-3</v>
      </c>
      <c r="BR203" s="175"/>
      <c r="BS203" s="175">
        <f>'Advanced Inputs'!I208</f>
        <v>562</v>
      </c>
      <c r="BT203" s="175">
        <f>IF('Advanced Inputs'!J$19="Photon system",10^'Advanced Inputs'!J208,'Advanced Inputs'!J208)</f>
        <v>0</v>
      </c>
      <c r="BV203" s="175">
        <v>562</v>
      </c>
      <c r="BW203" s="73">
        <v>101.43</v>
      </c>
      <c r="BX203" s="73">
        <v>99.266800000000003</v>
      </c>
      <c r="CC203" s="73">
        <v>1</v>
      </c>
    </row>
    <row r="204" spans="8:81" hidden="1" x14ac:dyDescent="0.2">
      <c r="H204" s="73">
        <v>563</v>
      </c>
      <c r="I204" s="168"/>
      <c r="J204" s="168"/>
      <c r="K204" s="168"/>
      <c r="L204" s="168"/>
      <c r="M204" s="168"/>
      <c r="N204" s="168"/>
      <c r="O204" s="168"/>
      <c r="P204" s="168"/>
      <c r="Q204" s="168"/>
      <c r="R204" s="168"/>
      <c r="S204" s="168">
        <v>2.2671973917956296</v>
      </c>
      <c r="T204" s="168"/>
      <c r="V204" s="73">
        <v>563</v>
      </c>
      <c r="W204" s="168"/>
      <c r="X204" s="168"/>
      <c r="Y204" s="168"/>
      <c r="Z204" s="168"/>
      <c r="AA204" s="168"/>
      <c r="AB204" s="168"/>
      <c r="AC204" s="168"/>
      <c r="AD204" s="168"/>
      <c r="AF204" s="73">
        <v>563</v>
      </c>
      <c r="AG204" s="168"/>
      <c r="AH204" s="168"/>
      <c r="AI204" s="168"/>
      <c r="AJ204" s="168"/>
      <c r="AK204" s="168"/>
      <c r="AL204" s="168"/>
      <c r="AM204" s="168"/>
      <c r="AO204" s="74">
        <v>563</v>
      </c>
      <c r="AP204" s="169"/>
      <c r="AQ204" s="169"/>
      <c r="AR204" s="169">
        <v>15.288192532897074</v>
      </c>
      <c r="AS204" s="169"/>
      <c r="AT204" s="169"/>
      <c r="AU204" s="169"/>
      <c r="AV204" s="169"/>
      <c r="AW204" s="169"/>
      <c r="AX204" s="169"/>
      <c r="BP204" s="175">
        <f>Inputs!B207</f>
        <v>563</v>
      </c>
      <c r="BQ204" s="175">
        <f>IF(LEFT(Inputs!$C$11,6)="photon",10^Inputs!C207,Inputs!C207)</f>
        <v>1.31487339849168E-3</v>
      </c>
      <c r="BR204" s="175"/>
      <c r="BS204" s="175">
        <f>'Advanced Inputs'!I209</f>
        <v>563</v>
      </c>
      <c r="BT204" s="175">
        <f>IF('Advanced Inputs'!J$19="Photon system",10^'Advanced Inputs'!J209,'Advanced Inputs'!J209)</f>
        <v>0</v>
      </c>
      <c r="BV204" s="175">
        <v>563</v>
      </c>
      <c r="BW204" s="73">
        <v>102.146</v>
      </c>
      <c r="BX204" s="73">
        <v>98.900300000000001</v>
      </c>
      <c r="CC204" s="73">
        <v>1</v>
      </c>
    </row>
    <row r="205" spans="8:81" hidden="1" x14ac:dyDescent="0.2">
      <c r="H205" s="73">
        <v>564</v>
      </c>
      <c r="I205" s="168"/>
      <c r="J205" s="168"/>
      <c r="K205" s="168"/>
      <c r="L205" s="168"/>
      <c r="M205" s="168"/>
      <c r="N205" s="168"/>
      <c r="O205" s="168"/>
      <c r="P205" s="168"/>
      <c r="Q205" s="168"/>
      <c r="R205" s="168"/>
      <c r="S205" s="168">
        <v>2.1040556185549248</v>
      </c>
      <c r="T205" s="168"/>
      <c r="V205" s="73">
        <v>564</v>
      </c>
      <c r="W205" s="168"/>
      <c r="X205" s="168"/>
      <c r="Y205" s="168"/>
      <c r="Z205" s="168"/>
      <c r="AA205" s="168"/>
      <c r="AB205" s="168"/>
      <c r="AC205" s="168"/>
      <c r="AD205" s="168"/>
      <c r="AF205" s="73">
        <v>564</v>
      </c>
      <c r="AG205" s="168"/>
      <c r="AH205" s="168"/>
      <c r="AI205" s="168"/>
      <c r="AJ205" s="168"/>
      <c r="AK205" s="168"/>
      <c r="AL205" s="168"/>
      <c r="AM205" s="168"/>
      <c r="AO205" s="74">
        <v>564</v>
      </c>
      <c r="AP205" s="169"/>
      <c r="AQ205" s="169"/>
      <c r="AR205" s="169">
        <v>15.355238141947833</v>
      </c>
      <c r="AS205" s="169"/>
      <c r="AT205" s="169"/>
      <c r="AU205" s="169"/>
      <c r="AV205" s="169"/>
      <c r="AW205" s="169"/>
      <c r="AX205" s="169"/>
      <c r="BP205" s="175">
        <f>Inputs!B208</f>
        <v>564</v>
      </c>
      <c r="BQ205" s="175">
        <f>IF(LEFT(Inputs!$C$11,6)="photon",10^Inputs!C208,Inputs!C208)</f>
        <v>1.30987387986624E-3</v>
      </c>
      <c r="BR205" s="175"/>
      <c r="BS205" s="175">
        <f>'Advanced Inputs'!I210</f>
        <v>564</v>
      </c>
      <c r="BT205" s="175">
        <f>IF('Advanced Inputs'!J$19="Photon system",10^'Advanced Inputs'!J210,'Advanced Inputs'!J210)</f>
        <v>0</v>
      </c>
      <c r="BV205" s="175">
        <v>564</v>
      </c>
      <c r="BW205" s="73">
        <v>102.864</v>
      </c>
      <c r="BX205" s="73">
        <v>98.533699999999996</v>
      </c>
      <c r="CC205" s="73">
        <v>1</v>
      </c>
    </row>
    <row r="206" spans="8:81" hidden="1" x14ac:dyDescent="0.2">
      <c r="H206" s="73">
        <v>565</v>
      </c>
      <c r="I206" s="168"/>
      <c r="J206" s="168"/>
      <c r="K206" s="168"/>
      <c r="L206" s="168"/>
      <c r="M206" s="168"/>
      <c r="N206" s="168"/>
      <c r="O206" s="168"/>
      <c r="P206" s="168"/>
      <c r="Q206" s="168"/>
      <c r="R206" s="168"/>
      <c r="S206" s="168">
        <v>1.9600000000995668</v>
      </c>
      <c r="T206" s="168"/>
      <c r="V206" s="73">
        <v>565</v>
      </c>
      <c r="W206" s="168"/>
      <c r="X206" s="168"/>
      <c r="Y206" s="168"/>
      <c r="Z206" s="168"/>
      <c r="AA206" s="168"/>
      <c r="AB206" s="168"/>
      <c r="AC206" s="168"/>
      <c r="AD206" s="168"/>
      <c r="AF206" s="73">
        <v>565</v>
      </c>
      <c r="AG206" s="168"/>
      <c r="AH206" s="168"/>
      <c r="AI206" s="168"/>
      <c r="AJ206" s="168"/>
      <c r="AK206" s="168"/>
      <c r="AL206" s="168"/>
      <c r="AM206" s="168"/>
      <c r="AO206" s="74">
        <v>565</v>
      </c>
      <c r="AP206" s="169"/>
      <c r="AQ206" s="169"/>
      <c r="AR206" s="169">
        <v>15.421503302301023</v>
      </c>
      <c r="AS206" s="169"/>
      <c r="AT206" s="169"/>
      <c r="AU206" s="169"/>
      <c r="AV206" s="169"/>
      <c r="AW206" s="169"/>
      <c r="AX206" s="169"/>
      <c r="BP206" s="175">
        <f>Inputs!B209</f>
        <v>565</v>
      </c>
      <c r="BQ206" s="175">
        <f>IF(LEFT(Inputs!$C$11,6)="photon",10^Inputs!C209,Inputs!C209)</f>
        <v>1.29987484261535E-3</v>
      </c>
      <c r="BR206" s="175"/>
      <c r="BS206" s="175">
        <f>'Advanced Inputs'!I211</f>
        <v>565</v>
      </c>
      <c r="BT206" s="175">
        <f>IF('Advanced Inputs'!J$19="Photon system",10^'Advanced Inputs'!J211,'Advanced Inputs'!J211)</f>
        <v>0</v>
      </c>
      <c r="BV206" s="175">
        <v>565</v>
      </c>
      <c r="BW206" s="73">
        <v>103.58199999999999</v>
      </c>
      <c r="BX206" s="73">
        <v>98.167100000000005</v>
      </c>
      <c r="CC206" s="73">
        <v>1</v>
      </c>
    </row>
    <row r="207" spans="8:81" hidden="1" x14ac:dyDescent="0.2">
      <c r="H207" s="73">
        <v>566</v>
      </c>
      <c r="I207" s="168"/>
      <c r="J207" s="168"/>
      <c r="K207" s="168"/>
      <c r="L207" s="168"/>
      <c r="M207" s="168"/>
      <c r="N207" s="168"/>
      <c r="O207" s="168"/>
      <c r="P207" s="168"/>
      <c r="Q207" s="168"/>
      <c r="R207" s="168"/>
      <c r="S207" s="168">
        <v>1.8335406250029267</v>
      </c>
      <c r="T207" s="168"/>
      <c r="V207" s="73">
        <v>566</v>
      </c>
      <c r="W207" s="168"/>
      <c r="X207" s="168"/>
      <c r="Y207" s="168"/>
      <c r="Z207" s="168"/>
      <c r="AA207" s="168"/>
      <c r="AB207" s="168"/>
      <c r="AC207" s="168"/>
      <c r="AD207" s="168"/>
      <c r="AF207" s="73">
        <v>566</v>
      </c>
      <c r="AG207" s="168"/>
      <c r="AH207" s="168"/>
      <c r="AI207" s="168"/>
      <c r="AJ207" s="168"/>
      <c r="AK207" s="168"/>
      <c r="AL207" s="168"/>
      <c r="AM207" s="168"/>
      <c r="AO207" s="74">
        <v>566</v>
      </c>
      <c r="AP207" s="169"/>
      <c r="AQ207" s="169"/>
      <c r="AR207" s="169">
        <v>15.486155482778289</v>
      </c>
      <c r="AS207" s="169"/>
      <c r="AT207" s="169"/>
      <c r="AU207" s="169"/>
      <c r="AV207" s="169"/>
      <c r="AW207" s="169"/>
      <c r="AX207" s="169"/>
      <c r="BP207" s="175">
        <f>Inputs!B210</f>
        <v>566</v>
      </c>
      <c r="BQ207" s="175">
        <f>IF(LEFT(Inputs!$C$11,6)="photon",10^Inputs!C210,Inputs!C210)</f>
        <v>1.28987580536446E-3</v>
      </c>
      <c r="BR207" s="175"/>
      <c r="BS207" s="175">
        <f>'Advanced Inputs'!I212</f>
        <v>566</v>
      </c>
      <c r="BT207" s="175">
        <f>IF('Advanced Inputs'!J$19="Photon system",10^'Advanced Inputs'!J212,'Advanced Inputs'!J212)</f>
        <v>0</v>
      </c>
      <c r="BV207" s="175">
        <v>566</v>
      </c>
      <c r="BW207" s="73">
        <v>104.301</v>
      </c>
      <c r="BX207" s="73">
        <v>97.8005</v>
      </c>
      <c r="CC207" s="73">
        <v>1</v>
      </c>
    </row>
    <row r="208" spans="8:81" hidden="1" x14ac:dyDescent="0.2">
      <c r="H208" s="73">
        <v>567</v>
      </c>
      <c r="I208" s="168"/>
      <c r="J208" s="168"/>
      <c r="K208" s="168"/>
      <c r="L208" s="168"/>
      <c r="M208" s="168"/>
      <c r="N208" s="168"/>
      <c r="O208" s="168"/>
      <c r="P208" s="168"/>
      <c r="Q208" s="168"/>
      <c r="R208" s="168"/>
      <c r="S208" s="168">
        <v>1.735796093750076</v>
      </c>
      <c r="T208" s="168"/>
      <c r="V208" s="73">
        <v>567</v>
      </c>
      <c r="W208" s="168"/>
      <c r="X208" s="168"/>
      <c r="Y208" s="168"/>
      <c r="Z208" s="168"/>
      <c r="AA208" s="168"/>
      <c r="AB208" s="168"/>
      <c r="AC208" s="168"/>
      <c r="AD208" s="168"/>
      <c r="AF208" s="73">
        <v>567</v>
      </c>
      <c r="AG208" s="168"/>
      <c r="AH208" s="168"/>
      <c r="AI208" s="168"/>
      <c r="AJ208" s="168"/>
      <c r="AK208" s="168"/>
      <c r="AL208" s="168"/>
      <c r="AM208" s="168"/>
      <c r="AO208" s="74">
        <v>567</v>
      </c>
      <c r="AP208" s="169"/>
      <c r="AQ208" s="169"/>
      <c r="AR208" s="169">
        <v>15.54811980321738</v>
      </c>
      <c r="AS208" s="169"/>
      <c r="AT208" s="169"/>
      <c r="AU208" s="169"/>
      <c r="AV208" s="169"/>
      <c r="AW208" s="169"/>
      <c r="AX208" s="169"/>
      <c r="BP208" s="175">
        <f>Inputs!B211</f>
        <v>567</v>
      </c>
      <c r="BQ208" s="175">
        <f>IF(LEFT(Inputs!$C$11,6)="photon",10^Inputs!C211,Inputs!C211)</f>
        <v>1.27487724948813E-3</v>
      </c>
      <c r="BR208" s="175"/>
      <c r="BS208" s="175">
        <f>'Advanced Inputs'!I213</f>
        <v>567</v>
      </c>
      <c r="BT208" s="175">
        <f>IF('Advanced Inputs'!J$19="Photon system",10^'Advanced Inputs'!J213,'Advanced Inputs'!J213)</f>
        <v>0</v>
      </c>
      <c r="BV208" s="175">
        <v>567</v>
      </c>
      <c r="BW208" s="73">
        <v>105.02</v>
      </c>
      <c r="BX208" s="73">
        <v>97.433899999999994</v>
      </c>
      <c r="CC208" s="73">
        <v>1</v>
      </c>
    </row>
    <row r="209" spans="8:81" hidden="1" x14ac:dyDescent="0.2">
      <c r="H209" s="73">
        <v>568</v>
      </c>
      <c r="I209" s="168"/>
      <c r="J209" s="168"/>
      <c r="K209" s="168"/>
      <c r="L209" s="168"/>
      <c r="M209" s="168"/>
      <c r="N209" s="168"/>
      <c r="O209" s="168"/>
      <c r="P209" s="168"/>
      <c r="Q209" s="168"/>
      <c r="R209" s="168"/>
      <c r="S209" s="168">
        <v>1.6722812500000022</v>
      </c>
      <c r="T209" s="168"/>
      <c r="V209" s="73">
        <v>568</v>
      </c>
      <c r="W209" s="168"/>
      <c r="X209" s="168"/>
      <c r="Y209" s="168"/>
      <c r="Z209" s="168"/>
      <c r="AA209" s="168"/>
      <c r="AB209" s="168"/>
      <c r="AC209" s="168"/>
      <c r="AD209" s="168"/>
      <c r="AF209" s="73">
        <v>568</v>
      </c>
      <c r="AG209" s="168"/>
      <c r="AH209" s="168"/>
      <c r="AI209" s="168"/>
      <c r="AJ209" s="168"/>
      <c r="AK209" s="168"/>
      <c r="AL209" s="168"/>
      <c r="AM209" s="168"/>
      <c r="AO209" s="74">
        <v>568</v>
      </c>
      <c r="AP209" s="169"/>
      <c r="AQ209" s="169"/>
      <c r="AR209" s="169">
        <v>15.606776182363506</v>
      </c>
      <c r="AS209" s="169"/>
      <c r="AT209" s="169"/>
      <c r="AU209" s="169"/>
      <c r="AV209" s="169"/>
      <c r="AW209" s="169"/>
      <c r="AX209" s="169"/>
      <c r="BP209" s="175">
        <f>Inputs!B212</f>
        <v>568</v>
      </c>
      <c r="BQ209" s="175">
        <f>IF(LEFT(Inputs!$C$11,6)="photon",10^Inputs!C212,Inputs!C212)</f>
        <v>1.2598786936118E-3</v>
      </c>
      <c r="BR209" s="175"/>
      <c r="BS209" s="175">
        <f>'Advanced Inputs'!I214</f>
        <v>568</v>
      </c>
      <c r="BT209" s="175">
        <f>IF('Advanced Inputs'!J$19="Photon system",10^'Advanced Inputs'!J214,'Advanced Inputs'!J214)</f>
        <v>0</v>
      </c>
      <c r="BV209" s="175">
        <v>568</v>
      </c>
      <c r="BW209" s="73">
        <v>105.741</v>
      </c>
      <c r="BX209" s="73">
        <v>97.067400000000006</v>
      </c>
      <c r="CC209" s="73">
        <v>1</v>
      </c>
    </row>
    <row r="210" spans="8:81" hidden="1" x14ac:dyDescent="0.2">
      <c r="H210" s="73">
        <v>569</v>
      </c>
      <c r="I210" s="168"/>
      <c r="J210" s="168"/>
      <c r="K210" s="168"/>
      <c r="L210" s="168"/>
      <c r="M210" s="168"/>
      <c r="N210" s="168"/>
      <c r="O210" s="168"/>
      <c r="P210" s="168"/>
      <c r="Q210" s="168"/>
      <c r="R210" s="168"/>
      <c r="S210" s="168">
        <v>1.6485109375</v>
      </c>
      <c r="T210" s="168"/>
      <c r="V210" s="73">
        <v>569</v>
      </c>
      <c r="W210" s="168"/>
      <c r="X210" s="168"/>
      <c r="Y210" s="168"/>
      <c r="Z210" s="168"/>
      <c r="AA210" s="168"/>
      <c r="AB210" s="168"/>
      <c r="AC210" s="168"/>
      <c r="AD210" s="168"/>
      <c r="AF210" s="73">
        <v>569</v>
      </c>
      <c r="AG210" s="168"/>
      <c r="AH210" s="168"/>
      <c r="AI210" s="168"/>
      <c r="AJ210" s="168"/>
      <c r="AK210" s="168"/>
      <c r="AL210" s="168"/>
      <c r="AM210" s="168"/>
      <c r="AO210" s="74">
        <v>569</v>
      </c>
      <c r="AP210" s="169"/>
      <c r="AQ210" s="169"/>
      <c r="AR210" s="169">
        <v>15.662443512079214</v>
      </c>
      <c r="AS210" s="169"/>
      <c r="AT210" s="169"/>
      <c r="AU210" s="169"/>
      <c r="AV210" s="169"/>
      <c r="AW210" s="169"/>
      <c r="AX210" s="169"/>
      <c r="BP210" s="175">
        <f>Inputs!B213</f>
        <v>569</v>
      </c>
      <c r="BQ210" s="175">
        <f>IF(LEFT(Inputs!$C$11,6)="photon",10^Inputs!C213,Inputs!C213)</f>
        <v>1.24987965636091E-3</v>
      </c>
      <c r="BR210" s="175"/>
      <c r="BS210" s="175">
        <f>'Advanced Inputs'!I215</f>
        <v>569</v>
      </c>
      <c r="BT210" s="175">
        <f>IF('Advanced Inputs'!J$19="Photon system",10^'Advanced Inputs'!J215,'Advanced Inputs'!J215)</f>
        <v>0</v>
      </c>
      <c r="BV210" s="175">
        <v>569</v>
      </c>
      <c r="BW210" s="73">
        <v>106.462</v>
      </c>
      <c r="BX210" s="73">
        <v>96.700800000000001</v>
      </c>
      <c r="CC210" s="73">
        <v>1</v>
      </c>
    </row>
    <row r="211" spans="8:81" hidden="1" x14ac:dyDescent="0.2">
      <c r="H211" s="73">
        <v>570</v>
      </c>
      <c r="I211" s="168"/>
      <c r="J211" s="168"/>
      <c r="K211" s="168"/>
      <c r="L211" s="168"/>
      <c r="M211" s="168"/>
      <c r="N211" s="168"/>
      <c r="O211" s="168"/>
      <c r="P211" s="168"/>
      <c r="Q211" s="168"/>
      <c r="R211" s="168"/>
      <c r="S211" s="168">
        <v>1.67</v>
      </c>
      <c r="T211" s="168"/>
      <c r="V211" s="73">
        <v>570</v>
      </c>
      <c r="W211" s="168"/>
      <c r="X211" s="168"/>
      <c r="Y211" s="168"/>
      <c r="Z211" s="168"/>
      <c r="AA211" s="168"/>
      <c r="AB211" s="168"/>
      <c r="AC211" s="168"/>
      <c r="AD211" s="168"/>
      <c r="AF211" s="73">
        <v>570</v>
      </c>
      <c r="AG211" s="168"/>
      <c r="AH211" s="168"/>
      <c r="AI211" s="168"/>
      <c r="AJ211" s="168"/>
      <c r="AK211" s="168"/>
      <c r="AL211" s="168"/>
      <c r="AM211" s="168"/>
      <c r="AO211" s="74">
        <v>570</v>
      </c>
      <c r="AP211" s="169"/>
      <c r="AQ211" s="169"/>
      <c r="AR211" s="169">
        <v>15.716226568653545</v>
      </c>
      <c r="AS211" s="169"/>
      <c r="AT211" s="169"/>
      <c r="AU211" s="169"/>
      <c r="AV211" s="169"/>
      <c r="AW211" s="169"/>
      <c r="AX211" s="169"/>
      <c r="BP211" s="175">
        <f>Inputs!B214</f>
        <v>570</v>
      </c>
      <c r="BQ211" s="175">
        <f>IF(LEFT(Inputs!$C$11,6)="photon",10^Inputs!C214,Inputs!C214)</f>
        <v>1.23988061911002E-3</v>
      </c>
      <c r="BR211" s="175"/>
      <c r="BS211" s="175">
        <f>'Advanced Inputs'!I216</f>
        <v>570</v>
      </c>
      <c r="BT211" s="175">
        <f>IF('Advanced Inputs'!J$19="Photon system",10^'Advanced Inputs'!J216,'Advanced Inputs'!J216)</f>
        <v>0</v>
      </c>
      <c r="BV211" s="175">
        <v>570</v>
      </c>
      <c r="BW211" s="73">
        <v>107.184</v>
      </c>
      <c r="BX211" s="73">
        <v>96.334199999999996</v>
      </c>
      <c r="CC211" s="73">
        <v>1</v>
      </c>
    </row>
    <row r="212" spans="8:81" hidden="1" x14ac:dyDescent="0.2">
      <c r="H212" s="73">
        <v>571</v>
      </c>
      <c r="I212" s="168"/>
      <c r="J212" s="168"/>
      <c r="K212" s="168"/>
      <c r="L212" s="168"/>
      <c r="M212" s="168"/>
      <c r="N212" s="168"/>
      <c r="O212" s="168"/>
      <c r="P212" s="168"/>
      <c r="Q212" s="168"/>
      <c r="R212" s="168"/>
      <c r="S212" s="168">
        <v>1.7484857812499999</v>
      </c>
      <c r="T212" s="168"/>
      <c r="V212" s="73">
        <v>571</v>
      </c>
      <c r="W212" s="168"/>
      <c r="X212" s="168"/>
      <c r="Y212" s="168"/>
      <c r="Z212" s="168"/>
      <c r="AA212" s="168"/>
      <c r="AB212" s="168"/>
      <c r="AC212" s="168"/>
      <c r="AD212" s="168"/>
      <c r="AF212" s="73">
        <v>571</v>
      </c>
      <c r="AG212" s="168"/>
      <c r="AH212" s="168"/>
      <c r="AI212" s="168"/>
      <c r="AJ212" s="168"/>
      <c r="AK212" s="168"/>
      <c r="AL212" s="168"/>
      <c r="AM212" s="168"/>
      <c r="AO212" s="74">
        <v>571</v>
      </c>
      <c r="AP212" s="169"/>
      <c r="AQ212" s="169"/>
      <c r="AR212" s="169">
        <v>15.769099358764951</v>
      </c>
      <c r="AS212" s="169"/>
      <c r="AT212" s="169"/>
      <c r="AU212" s="169"/>
      <c r="AV212" s="169"/>
      <c r="AW212" s="169"/>
      <c r="AX212" s="169"/>
      <c r="BP212" s="175">
        <f>Inputs!B215</f>
        <v>571</v>
      </c>
      <c r="BQ212" s="175">
        <f>IF(LEFT(Inputs!$C$11,6)="photon",10^Inputs!C215,Inputs!C215)</f>
        <v>1.23488110048458E-3</v>
      </c>
      <c r="BR212" s="175"/>
      <c r="BS212" s="175">
        <f>'Advanced Inputs'!I217</f>
        <v>571</v>
      </c>
      <c r="BT212" s="175">
        <f>IF('Advanced Inputs'!J$19="Photon system",10^'Advanced Inputs'!J217,'Advanced Inputs'!J217)</f>
        <v>0</v>
      </c>
      <c r="BV212" s="175">
        <v>571</v>
      </c>
      <c r="BW212" s="73">
        <v>107.90600000000001</v>
      </c>
      <c r="BX212" s="73">
        <v>96.279600000000002</v>
      </c>
      <c r="CC212" s="73">
        <v>1</v>
      </c>
    </row>
    <row r="213" spans="8:81" hidden="1" x14ac:dyDescent="0.2">
      <c r="H213" s="73">
        <v>572</v>
      </c>
      <c r="I213" s="168"/>
      <c r="J213" s="168"/>
      <c r="K213" s="168"/>
      <c r="L213" s="168"/>
      <c r="M213" s="168"/>
      <c r="N213" s="168"/>
      <c r="O213" s="168"/>
      <c r="P213" s="168"/>
      <c r="Q213" s="168"/>
      <c r="R213" s="168"/>
      <c r="S213" s="168">
        <v>1.881705</v>
      </c>
      <c r="T213" s="168"/>
      <c r="V213" s="73">
        <v>572</v>
      </c>
      <c r="W213" s="168"/>
      <c r="X213" s="168"/>
      <c r="Y213" s="168"/>
      <c r="Z213" s="168"/>
      <c r="AA213" s="168"/>
      <c r="AB213" s="168"/>
      <c r="AC213" s="168"/>
      <c r="AD213" s="168"/>
      <c r="AF213" s="73">
        <v>572</v>
      </c>
      <c r="AG213" s="168"/>
      <c r="AH213" s="168"/>
      <c r="AI213" s="168"/>
      <c r="AJ213" s="168"/>
      <c r="AK213" s="168"/>
      <c r="AL213" s="168"/>
      <c r="AM213" s="168"/>
      <c r="AO213" s="74">
        <v>572</v>
      </c>
      <c r="AP213" s="169"/>
      <c r="AQ213" s="169"/>
      <c r="AR213" s="169">
        <v>15.82107130752218</v>
      </c>
      <c r="AS213" s="169"/>
      <c r="AT213" s="169"/>
      <c r="AU213" s="169"/>
      <c r="AV213" s="169"/>
      <c r="AW213" s="169"/>
      <c r="AX213" s="169"/>
      <c r="BP213" s="175">
        <f>Inputs!B216</f>
        <v>572</v>
      </c>
      <c r="BQ213" s="175">
        <f>IF(LEFT(Inputs!$C$11,6)="photon",10^Inputs!C216,Inputs!C216)</f>
        <v>1.22988158185914E-3</v>
      </c>
      <c r="BR213" s="175"/>
      <c r="BS213" s="175">
        <f>'Advanced Inputs'!I218</f>
        <v>572</v>
      </c>
      <c r="BT213" s="175">
        <f>IF('Advanced Inputs'!J$19="Photon system",10^'Advanced Inputs'!J218,'Advanced Inputs'!J218)</f>
        <v>0</v>
      </c>
      <c r="BV213" s="175">
        <v>572</v>
      </c>
      <c r="BW213" s="73">
        <v>108.63</v>
      </c>
      <c r="BX213" s="73">
        <v>96.224999999999994</v>
      </c>
      <c r="CC213" s="73">
        <v>1</v>
      </c>
    </row>
    <row r="214" spans="8:81" hidden="1" x14ac:dyDescent="0.2">
      <c r="H214" s="73">
        <v>573</v>
      </c>
      <c r="I214" s="168"/>
      <c r="J214" s="168"/>
      <c r="K214" s="168"/>
      <c r="L214" s="168"/>
      <c r="M214" s="168"/>
      <c r="N214" s="168"/>
      <c r="O214" s="168"/>
      <c r="P214" s="168"/>
      <c r="Q214" s="168"/>
      <c r="R214" s="168"/>
      <c r="S214" s="168">
        <v>2.0736168749999999</v>
      </c>
      <c r="T214" s="168"/>
      <c r="V214" s="73">
        <v>573</v>
      </c>
      <c r="W214" s="168"/>
      <c r="X214" s="168"/>
      <c r="Y214" s="168"/>
      <c r="Z214" s="168"/>
      <c r="AA214" s="168"/>
      <c r="AB214" s="168"/>
      <c r="AC214" s="168"/>
      <c r="AD214" s="168"/>
      <c r="AF214" s="73">
        <v>573</v>
      </c>
      <c r="AG214" s="168"/>
      <c r="AH214" s="168"/>
      <c r="AI214" s="168"/>
      <c r="AJ214" s="168"/>
      <c r="AK214" s="168"/>
      <c r="AL214" s="168"/>
      <c r="AM214" s="168"/>
      <c r="AO214" s="74">
        <v>573</v>
      </c>
      <c r="AP214" s="169"/>
      <c r="AQ214" s="169"/>
      <c r="AR214" s="169">
        <v>15.871466181531543</v>
      </c>
      <c r="AS214" s="169"/>
      <c r="AT214" s="169"/>
      <c r="AU214" s="169"/>
      <c r="AV214" s="169"/>
      <c r="AW214" s="169"/>
      <c r="AX214" s="169"/>
      <c r="BP214" s="175">
        <f>Inputs!B217</f>
        <v>573</v>
      </c>
      <c r="BQ214" s="175">
        <f>IF(LEFT(Inputs!$C$11,6)="photon",10^Inputs!C217,Inputs!C217)</f>
        <v>1.22488206323369E-3</v>
      </c>
      <c r="BR214" s="175"/>
      <c r="BS214" s="175">
        <f>'Advanced Inputs'!I219</f>
        <v>573</v>
      </c>
      <c r="BT214" s="175">
        <f>IF('Advanced Inputs'!J$19="Photon system",10^'Advanced Inputs'!J219,'Advanced Inputs'!J219)</f>
        <v>0</v>
      </c>
      <c r="BV214" s="175">
        <v>573</v>
      </c>
      <c r="BW214" s="73">
        <v>109.354</v>
      </c>
      <c r="BX214" s="73">
        <v>96.170299999999997</v>
      </c>
      <c r="CC214" s="73">
        <v>1</v>
      </c>
    </row>
    <row r="215" spans="8:81" hidden="1" x14ac:dyDescent="0.2">
      <c r="H215" s="73">
        <v>574</v>
      </c>
      <c r="I215" s="168"/>
      <c r="J215" s="168"/>
      <c r="K215" s="168"/>
      <c r="L215" s="168"/>
      <c r="M215" s="168"/>
      <c r="N215" s="168"/>
      <c r="O215" s="168"/>
      <c r="P215" s="168"/>
      <c r="Q215" s="168"/>
      <c r="R215" s="168"/>
      <c r="S215" s="168">
        <v>2.3281806249999999</v>
      </c>
      <c r="T215" s="168"/>
      <c r="V215" s="73">
        <v>574</v>
      </c>
      <c r="W215" s="168"/>
      <c r="X215" s="168"/>
      <c r="Y215" s="168"/>
      <c r="Z215" s="168"/>
      <c r="AA215" s="168"/>
      <c r="AB215" s="168"/>
      <c r="AC215" s="168"/>
      <c r="AD215" s="168"/>
      <c r="AF215" s="73">
        <v>574</v>
      </c>
      <c r="AG215" s="168"/>
      <c r="AH215" s="168"/>
      <c r="AI215" s="168"/>
      <c r="AJ215" s="168"/>
      <c r="AK215" s="168"/>
      <c r="AL215" s="168"/>
      <c r="AM215" s="168"/>
      <c r="AO215" s="74">
        <v>574</v>
      </c>
      <c r="AP215" s="169"/>
      <c r="AQ215" s="169"/>
      <c r="AR215" s="169">
        <v>15.919948477492239</v>
      </c>
      <c r="AS215" s="169"/>
      <c r="AT215" s="169"/>
      <c r="AU215" s="169"/>
      <c r="AV215" s="169"/>
      <c r="AW215" s="169"/>
      <c r="AX215" s="169"/>
      <c r="BP215" s="175">
        <f>Inputs!B218</f>
        <v>574</v>
      </c>
      <c r="BQ215" s="175">
        <f>IF(LEFT(Inputs!$C$11,6)="photon",10^Inputs!C218,Inputs!C218)</f>
        <v>1.22488206323369E-3</v>
      </c>
      <c r="BR215" s="175"/>
      <c r="BS215" s="175">
        <f>'Advanced Inputs'!I220</f>
        <v>574</v>
      </c>
      <c r="BT215" s="175">
        <f>IF('Advanced Inputs'!J$19="Photon system",10^'Advanced Inputs'!J220,'Advanced Inputs'!J220)</f>
        <v>0</v>
      </c>
      <c r="BV215" s="175">
        <v>574</v>
      </c>
      <c r="BW215" s="73">
        <v>110.078</v>
      </c>
      <c r="BX215" s="73">
        <v>96.115700000000004</v>
      </c>
      <c r="CC215" s="73">
        <v>1</v>
      </c>
    </row>
    <row r="216" spans="8:81" hidden="1" x14ac:dyDescent="0.2">
      <c r="H216" s="73">
        <v>575</v>
      </c>
      <c r="I216" s="168"/>
      <c r="J216" s="168"/>
      <c r="K216" s="168"/>
      <c r="L216" s="168"/>
      <c r="M216" s="168"/>
      <c r="N216" s="168"/>
      <c r="O216" s="168"/>
      <c r="P216" s="168"/>
      <c r="Q216" s="168"/>
      <c r="R216" s="168"/>
      <c r="S216" s="168">
        <v>2.6493554687500001</v>
      </c>
      <c r="T216" s="168"/>
      <c r="V216" s="73">
        <v>575</v>
      </c>
      <c r="W216" s="168"/>
      <c r="X216" s="168"/>
      <c r="Y216" s="168"/>
      <c r="Z216" s="168"/>
      <c r="AA216" s="168"/>
      <c r="AB216" s="168"/>
      <c r="AC216" s="168"/>
      <c r="AD216" s="168"/>
      <c r="AF216" s="73">
        <v>575</v>
      </c>
      <c r="AG216" s="168"/>
      <c r="AH216" s="168"/>
      <c r="AI216" s="168"/>
      <c r="AJ216" s="168"/>
      <c r="AK216" s="168"/>
      <c r="AL216" s="168"/>
      <c r="AM216" s="168"/>
      <c r="AO216" s="74">
        <v>575</v>
      </c>
      <c r="AP216" s="169"/>
      <c r="AQ216" s="169"/>
      <c r="AR216" s="169">
        <v>15.966901430671001</v>
      </c>
      <c r="AS216" s="169"/>
      <c r="AT216" s="169"/>
      <c r="AU216" s="169"/>
      <c r="AV216" s="169"/>
      <c r="AW216" s="169"/>
      <c r="AX216" s="169"/>
      <c r="BP216" s="175">
        <f>Inputs!B219</f>
        <v>575</v>
      </c>
      <c r="BQ216" s="175">
        <f>IF(LEFT(Inputs!$C$11,6)="photon",10^Inputs!C219,Inputs!C219)</f>
        <v>1.21488302598281E-3</v>
      </c>
      <c r="BR216" s="175"/>
      <c r="BS216" s="175">
        <f>'Advanced Inputs'!I221</f>
        <v>575</v>
      </c>
      <c r="BT216" s="175">
        <f>IF('Advanced Inputs'!J$19="Photon system",10^'Advanced Inputs'!J221,'Advanced Inputs'!J221)</f>
        <v>0</v>
      </c>
      <c r="BV216" s="175">
        <v>575</v>
      </c>
      <c r="BW216" s="73">
        <v>110.803</v>
      </c>
      <c r="BX216" s="73">
        <v>96.061099999999996</v>
      </c>
      <c r="CC216" s="73">
        <v>1</v>
      </c>
    </row>
    <row r="217" spans="8:81" hidden="1" x14ac:dyDescent="0.2">
      <c r="H217" s="73">
        <v>576</v>
      </c>
      <c r="I217" s="168"/>
      <c r="J217" s="168"/>
      <c r="K217" s="168"/>
      <c r="L217" s="168"/>
      <c r="M217" s="168"/>
      <c r="N217" s="168"/>
      <c r="O217" s="168"/>
      <c r="P217" s="168"/>
      <c r="Q217" s="168"/>
      <c r="R217" s="168"/>
      <c r="S217" s="168">
        <v>4.7429865024802975</v>
      </c>
      <c r="T217" s="168"/>
      <c r="V217" s="73">
        <v>576</v>
      </c>
      <c r="W217" s="168"/>
      <c r="X217" s="168"/>
      <c r="Y217" s="168"/>
      <c r="Z217" s="168"/>
      <c r="AA217" s="168"/>
      <c r="AB217" s="168"/>
      <c r="AC217" s="168"/>
      <c r="AD217" s="168"/>
      <c r="AF217" s="73">
        <v>576</v>
      </c>
      <c r="AG217" s="168"/>
      <c r="AH217" s="168"/>
      <c r="AI217" s="168"/>
      <c r="AJ217" s="168"/>
      <c r="AK217" s="168"/>
      <c r="AL217" s="168"/>
      <c r="AM217" s="168"/>
      <c r="AO217" s="74">
        <v>576</v>
      </c>
      <c r="AP217" s="169"/>
      <c r="AQ217" s="169"/>
      <c r="AR217" s="169">
        <v>16.012817538292516</v>
      </c>
      <c r="AS217" s="169"/>
      <c r="AT217" s="169"/>
      <c r="AU217" s="169"/>
      <c r="AV217" s="169"/>
      <c r="AW217" s="169"/>
      <c r="AX217" s="169"/>
      <c r="BP217" s="175">
        <f>Inputs!B220</f>
        <v>576</v>
      </c>
      <c r="BQ217" s="175">
        <f>IF(LEFT(Inputs!$C$11,6)="photon",10^Inputs!C220,Inputs!C220)</f>
        <v>1.20488398873192E-3</v>
      </c>
      <c r="BR217" s="175"/>
      <c r="BS217" s="175">
        <f>'Advanced Inputs'!I222</f>
        <v>576</v>
      </c>
      <c r="BT217" s="175">
        <f>IF('Advanced Inputs'!J$19="Photon system",10^'Advanced Inputs'!J222,'Advanced Inputs'!J222)</f>
        <v>0</v>
      </c>
      <c r="BV217" s="175">
        <v>576</v>
      </c>
      <c r="BW217" s="73">
        <v>111.529</v>
      </c>
      <c r="BX217" s="73">
        <v>96.006500000000003</v>
      </c>
      <c r="CC217" s="73">
        <v>1</v>
      </c>
    </row>
    <row r="218" spans="8:81" hidden="1" x14ac:dyDescent="0.2">
      <c r="H218" s="73">
        <v>577</v>
      </c>
      <c r="I218" s="168"/>
      <c r="J218" s="168"/>
      <c r="K218" s="168"/>
      <c r="L218" s="168"/>
      <c r="M218" s="168"/>
      <c r="N218" s="168"/>
      <c r="O218" s="168"/>
      <c r="P218" s="168"/>
      <c r="Q218" s="168"/>
      <c r="R218" s="168"/>
      <c r="S218" s="168">
        <v>9.110672450899445</v>
      </c>
      <c r="T218" s="168"/>
      <c r="V218" s="73">
        <v>577</v>
      </c>
      <c r="W218" s="168"/>
      <c r="X218" s="168"/>
      <c r="Y218" s="168"/>
      <c r="Z218" s="168"/>
      <c r="AA218" s="168"/>
      <c r="AB218" s="168"/>
      <c r="AC218" s="168"/>
      <c r="AD218" s="168"/>
      <c r="AF218" s="73">
        <v>577</v>
      </c>
      <c r="AG218" s="168"/>
      <c r="AH218" s="168"/>
      <c r="AI218" s="168"/>
      <c r="AJ218" s="168"/>
      <c r="AK218" s="168"/>
      <c r="AL218" s="168"/>
      <c r="AM218" s="168"/>
      <c r="AO218" s="74">
        <v>577</v>
      </c>
      <c r="AP218" s="169"/>
      <c r="AQ218" s="169"/>
      <c r="AR218" s="169">
        <v>16.057773684728559</v>
      </c>
      <c r="AS218" s="169"/>
      <c r="AT218" s="169"/>
      <c r="AU218" s="169"/>
      <c r="AV218" s="169"/>
      <c r="AW218" s="169"/>
      <c r="AX218" s="169"/>
      <c r="BP218" s="175">
        <f>Inputs!B221</f>
        <v>577</v>
      </c>
      <c r="BQ218" s="175">
        <f>IF(LEFT(Inputs!$C$11,6)="photon",10^Inputs!C221,Inputs!C221)</f>
        <v>1.19488495148103E-3</v>
      </c>
      <c r="BR218" s="175"/>
      <c r="BS218" s="175">
        <f>'Advanced Inputs'!I223</f>
        <v>577</v>
      </c>
      <c r="BT218" s="175">
        <f>IF('Advanced Inputs'!J$19="Photon system",10^'Advanced Inputs'!J223,'Advanced Inputs'!J223)</f>
        <v>0</v>
      </c>
      <c r="BV218" s="175">
        <v>577</v>
      </c>
      <c r="BW218" s="73">
        <v>112.255</v>
      </c>
      <c r="BX218" s="73">
        <v>95.951899999999995</v>
      </c>
      <c r="CC218" s="73">
        <v>1</v>
      </c>
    </row>
    <row r="219" spans="8:81" hidden="1" x14ac:dyDescent="0.2">
      <c r="H219" s="73">
        <v>578</v>
      </c>
      <c r="I219" s="168"/>
      <c r="J219" s="168"/>
      <c r="K219" s="168"/>
      <c r="L219" s="168"/>
      <c r="M219" s="168"/>
      <c r="N219" s="168"/>
      <c r="O219" s="168"/>
      <c r="P219" s="168"/>
      <c r="Q219" s="168"/>
      <c r="R219" s="168"/>
      <c r="S219" s="168">
        <v>4.1389000092942858</v>
      </c>
      <c r="T219" s="168"/>
      <c r="V219" s="73">
        <v>578</v>
      </c>
      <c r="W219" s="168"/>
      <c r="X219" s="168"/>
      <c r="Y219" s="168"/>
      <c r="Z219" s="168"/>
      <c r="AA219" s="168"/>
      <c r="AB219" s="168"/>
      <c r="AC219" s="168"/>
      <c r="AD219" s="168"/>
      <c r="AF219" s="73">
        <v>578</v>
      </c>
      <c r="AG219" s="168"/>
      <c r="AH219" s="168"/>
      <c r="AI219" s="168"/>
      <c r="AJ219" s="168"/>
      <c r="AK219" s="168"/>
      <c r="AL219" s="168"/>
      <c r="AM219" s="168"/>
      <c r="AO219" s="74">
        <v>578</v>
      </c>
      <c r="AP219" s="169"/>
      <c r="AQ219" s="169"/>
      <c r="AR219" s="169">
        <v>16.101583592951229</v>
      </c>
      <c r="AS219" s="169"/>
      <c r="AT219" s="169"/>
      <c r="AU219" s="169"/>
      <c r="AV219" s="169"/>
      <c r="AW219" s="169"/>
      <c r="AX219" s="169"/>
      <c r="BP219" s="175">
        <f>Inputs!B222</f>
        <v>578</v>
      </c>
      <c r="BQ219" s="175">
        <f>IF(LEFT(Inputs!$C$11,6)="photon",10^Inputs!C222,Inputs!C222)</f>
        <v>1.18988543285559E-3</v>
      </c>
      <c r="BR219" s="175"/>
      <c r="BS219" s="175">
        <f>'Advanced Inputs'!I224</f>
        <v>578</v>
      </c>
      <c r="BT219" s="175">
        <f>IF('Advanced Inputs'!J$19="Photon system",10^'Advanced Inputs'!J224,'Advanced Inputs'!J224)</f>
        <v>0</v>
      </c>
      <c r="BV219" s="175">
        <v>578</v>
      </c>
      <c r="BW219" s="73">
        <v>112.982</v>
      </c>
      <c r="BX219" s="73">
        <v>95.897199999999998</v>
      </c>
      <c r="CC219" s="73">
        <v>1</v>
      </c>
    </row>
    <row r="220" spans="8:81" hidden="1" x14ac:dyDescent="0.2">
      <c r="H220" s="73">
        <v>579</v>
      </c>
      <c r="I220" s="168"/>
      <c r="J220" s="168"/>
      <c r="K220" s="168"/>
      <c r="L220" s="168"/>
      <c r="M220" s="168"/>
      <c r="N220" s="168"/>
      <c r="O220" s="168"/>
      <c r="P220" s="168"/>
      <c r="Q220" s="168"/>
      <c r="R220" s="168"/>
      <c r="S220" s="168">
        <v>26.020422661441785</v>
      </c>
      <c r="T220" s="168"/>
      <c r="V220" s="73">
        <v>579</v>
      </c>
      <c r="W220" s="168"/>
      <c r="X220" s="168"/>
      <c r="Y220" s="168"/>
      <c r="Z220" s="168"/>
      <c r="AA220" s="168"/>
      <c r="AB220" s="168"/>
      <c r="AC220" s="168"/>
      <c r="AD220" s="168"/>
      <c r="AF220" s="73">
        <v>579</v>
      </c>
      <c r="AG220" s="168"/>
      <c r="AH220" s="168"/>
      <c r="AI220" s="168"/>
      <c r="AJ220" s="168"/>
      <c r="AK220" s="168"/>
      <c r="AL220" s="168"/>
      <c r="AM220" s="168"/>
      <c r="AO220" s="74">
        <v>579</v>
      </c>
      <c r="AP220" s="169"/>
      <c r="AQ220" s="169"/>
      <c r="AR220" s="169">
        <v>16.144007054882472</v>
      </c>
      <c r="AS220" s="169"/>
      <c r="AT220" s="169"/>
      <c r="AU220" s="169"/>
      <c r="AV220" s="169"/>
      <c r="AW220" s="169"/>
      <c r="AX220" s="169"/>
      <c r="BP220" s="175">
        <f>Inputs!B223</f>
        <v>579</v>
      </c>
      <c r="BQ220" s="175">
        <f>IF(LEFT(Inputs!$C$11,6)="photon",10^Inputs!C223,Inputs!C223)</f>
        <v>1.19988447010648E-3</v>
      </c>
      <c r="BR220" s="175"/>
      <c r="BS220" s="175">
        <f>'Advanced Inputs'!I225</f>
        <v>579</v>
      </c>
      <c r="BT220" s="175">
        <f>IF('Advanced Inputs'!J$19="Photon system",10^'Advanced Inputs'!J225,'Advanced Inputs'!J225)</f>
        <v>0</v>
      </c>
      <c r="BV220" s="175">
        <v>579</v>
      </c>
      <c r="BW220" s="73">
        <v>113.709</v>
      </c>
      <c r="BX220" s="73">
        <v>95.842600000000004</v>
      </c>
      <c r="CC220" s="73">
        <v>1</v>
      </c>
    </row>
    <row r="221" spans="8:81" hidden="1" x14ac:dyDescent="0.2">
      <c r="H221" s="73">
        <v>580</v>
      </c>
      <c r="I221" s="168"/>
      <c r="J221" s="168"/>
      <c r="K221" s="168"/>
      <c r="L221" s="168"/>
      <c r="M221" s="168"/>
      <c r="N221" s="168"/>
      <c r="O221" s="168"/>
      <c r="P221" s="168"/>
      <c r="Q221" s="168"/>
      <c r="R221" s="168"/>
      <c r="S221" s="168">
        <v>9.7469270637436161</v>
      </c>
      <c r="T221" s="168"/>
      <c r="V221" s="73">
        <v>580</v>
      </c>
      <c r="W221" s="168"/>
      <c r="X221" s="168"/>
      <c r="Y221" s="168"/>
      <c r="Z221" s="168"/>
      <c r="AA221" s="168"/>
      <c r="AB221" s="168"/>
      <c r="AC221" s="168"/>
      <c r="AD221" s="168"/>
      <c r="AF221" s="73">
        <v>580</v>
      </c>
      <c r="AG221" s="168"/>
      <c r="AH221" s="168"/>
      <c r="AI221" s="168"/>
      <c r="AJ221" s="168"/>
      <c r="AK221" s="168"/>
      <c r="AL221" s="168"/>
      <c r="AM221" s="168"/>
      <c r="AO221" s="74">
        <v>580</v>
      </c>
      <c r="AP221" s="169"/>
      <c r="AQ221" s="169"/>
      <c r="AR221" s="169">
        <v>16.184642684873044</v>
      </c>
      <c r="AS221" s="169"/>
      <c r="AT221" s="169"/>
      <c r="AU221" s="169"/>
      <c r="AV221" s="169"/>
      <c r="AW221" s="169"/>
      <c r="AX221" s="169"/>
      <c r="BP221" s="175">
        <f>Inputs!B224</f>
        <v>580</v>
      </c>
      <c r="BQ221" s="175">
        <f>IF(LEFT(Inputs!$C$11,6)="photon",10^Inputs!C224,Inputs!C224)</f>
        <v>1.21488302598281E-3</v>
      </c>
      <c r="BR221" s="175"/>
      <c r="BS221" s="175">
        <f>'Advanced Inputs'!I226</f>
        <v>580</v>
      </c>
      <c r="BT221" s="175">
        <f>IF('Advanced Inputs'!J$19="Photon system",10^'Advanced Inputs'!J226,'Advanced Inputs'!J226)</f>
        <v>0</v>
      </c>
      <c r="BV221" s="175">
        <v>580</v>
      </c>
      <c r="BW221" s="73">
        <v>114.43600000000001</v>
      </c>
      <c r="BX221" s="73">
        <v>95.787999999999997</v>
      </c>
      <c r="CC221" s="73">
        <v>1</v>
      </c>
    </row>
    <row r="222" spans="8:81" hidden="1" x14ac:dyDescent="0.2">
      <c r="H222" s="73">
        <v>581</v>
      </c>
      <c r="I222" s="168"/>
      <c r="J222" s="168"/>
      <c r="K222" s="168"/>
      <c r="L222" s="168"/>
      <c r="M222" s="168"/>
      <c r="N222" s="168"/>
      <c r="O222" s="168"/>
      <c r="P222" s="168"/>
      <c r="Q222" s="168"/>
      <c r="R222" s="168"/>
      <c r="S222" s="168">
        <v>6.0776570327271395</v>
      </c>
      <c r="T222" s="168"/>
      <c r="V222" s="73">
        <v>581</v>
      </c>
      <c r="W222" s="168"/>
      <c r="X222" s="168"/>
      <c r="Y222" s="168"/>
      <c r="Z222" s="168"/>
      <c r="AA222" s="168"/>
      <c r="AB222" s="168"/>
      <c r="AC222" s="168"/>
      <c r="AD222" s="168"/>
      <c r="AF222" s="73">
        <v>581</v>
      </c>
      <c r="AG222" s="168"/>
      <c r="AH222" s="168"/>
      <c r="AI222" s="168"/>
      <c r="AJ222" s="168"/>
      <c r="AK222" s="168"/>
      <c r="AL222" s="168"/>
      <c r="AM222" s="168"/>
      <c r="AO222" s="74">
        <v>581</v>
      </c>
      <c r="AP222" s="169"/>
      <c r="AQ222" s="169"/>
      <c r="AR222" s="169">
        <v>16.223096756465775</v>
      </c>
      <c r="AS222" s="169"/>
      <c r="AT222" s="169"/>
      <c r="AU222" s="169"/>
      <c r="AV222" s="169"/>
      <c r="AW222" s="169"/>
      <c r="AX222" s="169"/>
      <c r="BP222" s="175">
        <f>Inputs!B225</f>
        <v>581</v>
      </c>
      <c r="BQ222" s="175">
        <f>IF(LEFT(Inputs!$C$11,6)="photon",10^Inputs!C225,Inputs!C225)</f>
        <v>1.22988158185914E-3</v>
      </c>
      <c r="BR222" s="175"/>
      <c r="BS222" s="175">
        <f>'Advanced Inputs'!I227</f>
        <v>581</v>
      </c>
      <c r="BT222" s="175">
        <f>IF('Advanced Inputs'!J$19="Photon system",10^'Advanced Inputs'!J227,'Advanced Inputs'!J227)</f>
        <v>0</v>
      </c>
      <c r="BV222" s="175">
        <v>581</v>
      </c>
      <c r="BW222" s="73">
        <v>115.164</v>
      </c>
      <c r="BX222" s="73">
        <v>95.077799999999996</v>
      </c>
      <c r="CC222" s="73">
        <v>1</v>
      </c>
    </row>
    <row r="223" spans="8:81" hidden="1" x14ac:dyDescent="0.2">
      <c r="H223" s="73">
        <v>582</v>
      </c>
      <c r="I223" s="168"/>
      <c r="J223" s="168"/>
      <c r="K223" s="168"/>
      <c r="L223" s="168"/>
      <c r="M223" s="168"/>
      <c r="N223" s="168"/>
      <c r="O223" s="168"/>
      <c r="P223" s="168"/>
      <c r="Q223" s="168"/>
      <c r="R223" s="168"/>
      <c r="S223" s="168">
        <v>6.7932504984863726</v>
      </c>
      <c r="T223" s="168"/>
      <c r="V223" s="73">
        <v>582</v>
      </c>
      <c r="W223" s="168"/>
      <c r="X223" s="168"/>
      <c r="Y223" s="168"/>
      <c r="Z223" s="168"/>
      <c r="AA223" s="168"/>
      <c r="AB223" s="168"/>
      <c r="AC223" s="168"/>
      <c r="AD223" s="168"/>
      <c r="AF223" s="73">
        <v>582</v>
      </c>
      <c r="AG223" s="168"/>
      <c r="AH223" s="168"/>
      <c r="AI223" s="168"/>
      <c r="AJ223" s="168"/>
      <c r="AK223" s="168"/>
      <c r="AL223" s="168"/>
      <c r="AM223" s="168"/>
      <c r="AO223" s="74">
        <v>582</v>
      </c>
      <c r="AP223" s="169"/>
      <c r="AQ223" s="169"/>
      <c r="AR223" s="169">
        <v>16.259656210309672</v>
      </c>
      <c r="AS223" s="169"/>
      <c r="AT223" s="169"/>
      <c r="AU223" s="169"/>
      <c r="AV223" s="169"/>
      <c r="AW223" s="169"/>
      <c r="AX223" s="169"/>
      <c r="BP223" s="175">
        <f>Inputs!B226</f>
        <v>582</v>
      </c>
      <c r="BQ223" s="175">
        <f>IF(LEFT(Inputs!$C$11,6)="photon",10^Inputs!C226,Inputs!C226)</f>
        <v>1.23988061911002E-3</v>
      </c>
      <c r="BR223" s="175"/>
      <c r="BS223" s="175">
        <f>'Advanced Inputs'!I228</f>
        <v>582</v>
      </c>
      <c r="BT223" s="175">
        <f>IF('Advanced Inputs'!J$19="Photon system",10^'Advanced Inputs'!J228,'Advanced Inputs'!J228)</f>
        <v>0</v>
      </c>
      <c r="BV223" s="175">
        <v>582</v>
      </c>
      <c r="BW223" s="73">
        <v>115.893</v>
      </c>
      <c r="BX223" s="73">
        <v>94.367500000000007</v>
      </c>
      <c r="CC223" s="73">
        <v>1</v>
      </c>
    </row>
    <row r="224" spans="8:81" hidden="1" x14ac:dyDescent="0.2">
      <c r="H224" s="73">
        <v>583</v>
      </c>
      <c r="I224" s="168"/>
      <c r="J224" s="168"/>
      <c r="K224" s="168"/>
      <c r="L224" s="168"/>
      <c r="M224" s="168"/>
      <c r="N224" s="168"/>
      <c r="O224" s="168"/>
      <c r="P224" s="168"/>
      <c r="Q224" s="168"/>
      <c r="R224" s="168"/>
      <c r="S224" s="168">
        <v>9.8532066659224729</v>
      </c>
      <c r="T224" s="168"/>
      <c r="V224" s="73">
        <v>583</v>
      </c>
      <c r="W224" s="168"/>
      <c r="X224" s="168"/>
      <c r="Y224" s="168"/>
      <c r="Z224" s="168"/>
      <c r="AA224" s="168"/>
      <c r="AB224" s="168"/>
      <c r="AC224" s="168"/>
      <c r="AD224" s="168"/>
      <c r="AF224" s="73">
        <v>583</v>
      </c>
      <c r="AG224" s="168"/>
      <c r="AH224" s="168"/>
      <c r="AI224" s="168"/>
      <c r="AJ224" s="168"/>
      <c r="AK224" s="168"/>
      <c r="AL224" s="168"/>
      <c r="AM224" s="168"/>
      <c r="AO224" s="74">
        <v>583</v>
      </c>
      <c r="AP224" s="169"/>
      <c r="AQ224" s="169"/>
      <c r="AR224" s="169">
        <v>16.295513980855315</v>
      </c>
      <c r="AS224" s="169"/>
      <c r="AT224" s="169"/>
      <c r="AU224" s="169"/>
      <c r="AV224" s="169"/>
      <c r="AW224" s="169"/>
      <c r="AX224" s="169"/>
      <c r="BP224" s="175">
        <f>Inputs!B227</f>
        <v>583</v>
      </c>
      <c r="BQ224" s="175">
        <f>IF(LEFT(Inputs!$C$11,6)="photon",10^Inputs!C227,Inputs!C227)</f>
        <v>1.24987965636091E-3</v>
      </c>
      <c r="BR224" s="175"/>
      <c r="BS224" s="175">
        <f>'Advanced Inputs'!I229</f>
        <v>583</v>
      </c>
      <c r="BT224" s="175">
        <f>IF('Advanced Inputs'!J$19="Photon system",10^'Advanced Inputs'!J229,'Advanced Inputs'!J229)</f>
        <v>0</v>
      </c>
      <c r="BV224" s="175">
        <v>583</v>
      </c>
      <c r="BW224" s="73">
        <v>116.622</v>
      </c>
      <c r="BX224" s="73">
        <v>93.657300000000006</v>
      </c>
      <c r="CC224" s="73">
        <v>1</v>
      </c>
    </row>
    <row r="225" spans="8:81" hidden="1" x14ac:dyDescent="0.2">
      <c r="H225" s="73">
        <v>584</v>
      </c>
      <c r="I225" s="168"/>
      <c r="J225" s="168"/>
      <c r="K225" s="168"/>
      <c r="L225" s="168"/>
      <c r="M225" s="168"/>
      <c r="N225" s="168"/>
      <c r="O225" s="168"/>
      <c r="P225" s="168"/>
      <c r="Q225" s="168"/>
      <c r="R225" s="168"/>
      <c r="S225" s="168">
        <v>31.223494903519182</v>
      </c>
      <c r="T225" s="168"/>
      <c r="V225" s="73">
        <v>584</v>
      </c>
      <c r="W225" s="168"/>
      <c r="X225" s="168"/>
      <c r="Y225" s="168"/>
      <c r="Z225" s="168"/>
      <c r="AA225" s="168"/>
      <c r="AB225" s="168"/>
      <c r="AC225" s="168"/>
      <c r="AD225" s="168"/>
      <c r="AF225" s="73">
        <v>584</v>
      </c>
      <c r="AG225" s="168"/>
      <c r="AH225" s="168"/>
      <c r="AI225" s="168"/>
      <c r="AJ225" s="168"/>
      <c r="AK225" s="168"/>
      <c r="AL225" s="168"/>
      <c r="AM225" s="168"/>
      <c r="AO225" s="74">
        <v>584</v>
      </c>
      <c r="AP225" s="169"/>
      <c r="AQ225" s="169"/>
      <c r="AR225" s="169">
        <v>16.331777294966798</v>
      </c>
      <c r="AS225" s="169"/>
      <c r="AT225" s="169"/>
      <c r="AU225" s="169"/>
      <c r="AV225" s="169"/>
      <c r="AW225" s="169"/>
      <c r="AX225" s="169"/>
      <c r="BP225" s="175">
        <f>Inputs!B228</f>
        <v>584</v>
      </c>
      <c r="BQ225" s="175">
        <f>IF(LEFT(Inputs!$C$11,6)="photon",10^Inputs!C228,Inputs!C228)</f>
        <v>1.24987965636091E-3</v>
      </c>
      <c r="BR225" s="175"/>
      <c r="BS225" s="175">
        <f>'Advanced Inputs'!I230</f>
        <v>584</v>
      </c>
      <c r="BT225" s="175">
        <f>IF('Advanced Inputs'!J$19="Photon system",10^'Advanced Inputs'!J230,'Advanced Inputs'!J230)</f>
        <v>0</v>
      </c>
      <c r="BV225" s="175">
        <v>584</v>
      </c>
      <c r="BW225" s="73">
        <v>117.351</v>
      </c>
      <c r="BX225" s="73">
        <v>92.947000000000003</v>
      </c>
      <c r="CC225" s="73">
        <v>1</v>
      </c>
    </row>
    <row r="226" spans="8:81" hidden="1" x14ac:dyDescent="0.2">
      <c r="H226" s="73">
        <v>585</v>
      </c>
      <c r="I226" s="168"/>
      <c r="J226" s="168"/>
      <c r="K226" s="168"/>
      <c r="L226" s="168"/>
      <c r="M226" s="168"/>
      <c r="N226" s="168"/>
      <c r="O226" s="168"/>
      <c r="P226" s="168"/>
      <c r="Q226" s="168"/>
      <c r="R226" s="168"/>
      <c r="S226" s="168">
        <v>17.852795870861414</v>
      </c>
      <c r="T226" s="168"/>
      <c r="V226" s="73">
        <v>585</v>
      </c>
      <c r="W226" s="168"/>
      <c r="X226" s="168"/>
      <c r="Y226" s="168"/>
      <c r="Z226" s="168"/>
      <c r="AA226" s="168"/>
      <c r="AB226" s="168"/>
      <c r="AC226" s="168"/>
      <c r="AD226" s="168"/>
      <c r="AF226" s="73">
        <v>585</v>
      </c>
      <c r="AG226" s="168"/>
      <c r="AH226" s="168"/>
      <c r="AI226" s="168"/>
      <c r="AJ226" s="168"/>
      <c r="AK226" s="168"/>
      <c r="AL226" s="168"/>
      <c r="AM226" s="168"/>
      <c r="AO226" s="74">
        <v>585</v>
      </c>
      <c r="AP226" s="169"/>
      <c r="AQ226" s="169"/>
      <c r="AR226" s="169">
        <v>16.368066967171114</v>
      </c>
      <c r="AS226" s="169"/>
      <c r="AT226" s="169"/>
      <c r="AU226" s="169"/>
      <c r="AV226" s="169"/>
      <c r="AW226" s="169"/>
      <c r="AX226" s="169"/>
      <c r="BP226" s="175">
        <f>Inputs!B229</f>
        <v>585</v>
      </c>
      <c r="BQ226" s="175">
        <f>IF(LEFT(Inputs!$C$11,6)="photon",10^Inputs!C229,Inputs!C229)</f>
        <v>1.23988061911002E-3</v>
      </c>
      <c r="BR226" s="175"/>
      <c r="BS226" s="175">
        <f>'Advanced Inputs'!I231</f>
        <v>585</v>
      </c>
      <c r="BT226" s="175">
        <f>IF('Advanced Inputs'!J$19="Photon system",10^'Advanced Inputs'!J231,'Advanced Inputs'!J231)</f>
        <v>0</v>
      </c>
      <c r="BV226" s="175">
        <v>585</v>
      </c>
      <c r="BW226" s="73">
        <v>118.08</v>
      </c>
      <c r="BX226" s="73">
        <v>92.236800000000002</v>
      </c>
      <c r="CC226" s="73">
        <v>1</v>
      </c>
    </row>
    <row r="227" spans="8:81" hidden="1" x14ac:dyDescent="0.2">
      <c r="H227" s="73">
        <v>586</v>
      </c>
      <c r="I227" s="168"/>
      <c r="J227" s="168"/>
      <c r="K227" s="168"/>
      <c r="L227" s="168"/>
      <c r="M227" s="168"/>
      <c r="N227" s="168"/>
      <c r="O227" s="168"/>
      <c r="P227" s="168"/>
      <c r="Q227" s="168"/>
      <c r="R227" s="168"/>
      <c r="S227" s="168">
        <v>10.046474470885544</v>
      </c>
      <c r="T227" s="168"/>
      <c r="V227" s="73">
        <v>586</v>
      </c>
      <c r="W227" s="168"/>
      <c r="X227" s="168"/>
      <c r="Y227" s="168"/>
      <c r="Z227" s="168"/>
      <c r="AA227" s="168"/>
      <c r="AB227" s="168"/>
      <c r="AC227" s="168"/>
      <c r="AD227" s="168"/>
      <c r="AF227" s="73">
        <v>586</v>
      </c>
      <c r="AG227" s="168"/>
      <c r="AH227" s="168"/>
      <c r="AI227" s="168"/>
      <c r="AJ227" s="168"/>
      <c r="AK227" s="168"/>
      <c r="AL227" s="168"/>
      <c r="AM227" s="168"/>
      <c r="AO227" s="74">
        <v>586</v>
      </c>
      <c r="AP227" s="169"/>
      <c r="AQ227" s="169"/>
      <c r="AR227" s="169">
        <v>16.402315345180615</v>
      </c>
      <c r="AS227" s="169"/>
      <c r="AT227" s="169"/>
      <c r="AU227" s="169"/>
      <c r="AV227" s="169"/>
      <c r="AW227" s="169"/>
      <c r="AX227" s="169"/>
      <c r="BP227" s="175">
        <f>Inputs!B230</f>
        <v>586</v>
      </c>
      <c r="BQ227" s="175">
        <f>IF(LEFT(Inputs!$C$11,6)="photon",10^Inputs!C230,Inputs!C230)</f>
        <v>1.22488206323369E-3</v>
      </c>
      <c r="BR227" s="175"/>
      <c r="BS227" s="175">
        <f>'Advanced Inputs'!I232</f>
        <v>586</v>
      </c>
      <c r="BT227" s="175">
        <f>IF('Advanced Inputs'!J$19="Photon system",10^'Advanced Inputs'!J232,'Advanced Inputs'!J232)</f>
        <v>0</v>
      </c>
      <c r="BV227" s="175">
        <v>586</v>
      </c>
      <c r="BW227" s="73">
        <v>118.81</v>
      </c>
      <c r="BX227" s="73">
        <v>91.526600000000002</v>
      </c>
      <c r="CC227" s="73">
        <v>1</v>
      </c>
    </row>
    <row r="228" spans="8:81" hidden="1" x14ac:dyDescent="0.2">
      <c r="H228" s="73">
        <v>587</v>
      </c>
      <c r="I228" s="168"/>
      <c r="J228" s="168"/>
      <c r="K228" s="168"/>
      <c r="L228" s="168"/>
      <c r="M228" s="168"/>
      <c r="N228" s="168"/>
      <c r="O228" s="168"/>
      <c r="P228" s="168"/>
      <c r="Q228" s="168"/>
      <c r="R228" s="168"/>
      <c r="S228" s="168">
        <v>10.887396369403268</v>
      </c>
      <c r="T228" s="168"/>
      <c r="V228" s="73">
        <v>587</v>
      </c>
      <c r="W228" s="168"/>
      <c r="X228" s="168"/>
      <c r="Y228" s="168"/>
      <c r="Z228" s="168"/>
      <c r="AA228" s="168"/>
      <c r="AB228" s="168"/>
      <c r="AC228" s="168"/>
      <c r="AD228" s="168"/>
      <c r="AF228" s="73">
        <v>587</v>
      </c>
      <c r="AG228" s="168"/>
      <c r="AH228" s="168"/>
      <c r="AI228" s="168"/>
      <c r="AJ228" s="168"/>
      <c r="AK228" s="168"/>
      <c r="AL228" s="168"/>
      <c r="AM228" s="168"/>
      <c r="AO228" s="74">
        <v>587</v>
      </c>
      <c r="AP228" s="169"/>
      <c r="AQ228" s="169"/>
      <c r="AR228" s="169">
        <v>16.432264235208006</v>
      </c>
      <c r="AS228" s="169"/>
      <c r="AT228" s="169"/>
      <c r="AU228" s="169"/>
      <c r="AV228" s="169"/>
      <c r="AW228" s="169"/>
      <c r="AX228" s="169"/>
      <c r="BP228" s="175">
        <f>Inputs!B231</f>
        <v>587</v>
      </c>
      <c r="BQ228" s="175">
        <f>IF(LEFT(Inputs!$C$11,6)="photon",10^Inputs!C231,Inputs!C231)</f>
        <v>1.19988447010648E-3</v>
      </c>
      <c r="BR228" s="175"/>
      <c r="BS228" s="175">
        <f>'Advanced Inputs'!I233</f>
        <v>587</v>
      </c>
      <c r="BT228" s="175">
        <f>IF('Advanced Inputs'!J$19="Photon system",10^'Advanced Inputs'!J233,'Advanced Inputs'!J233)</f>
        <v>0</v>
      </c>
      <c r="BV228" s="175">
        <v>587</v>
      </c>
      <c r="BW228" s="73">
        <v>119.54</v>
      </c>
      <c r="BX228" s="73">
        <v>90.816299999999998</v>
      </c>
      <c r="CC228" s="73">
        <v>1</v>
      </c>
    </row>
    <row r="229" spans="8:81" hidden="1" x14ac:dyDescent="0.2">
      <c r="H229" s="73">
        <v>588</v>
      </c>
      <c r="I229" s="168"/>
      <c r="J229" s="168"/>
      <c r="K229" s="168"/>
      <c r="L229" s="168"/>
      <c r="M229" s="168"/>
      <c r="N229" s="168"/>
      <c r="O229" s="168"/>
      <c r="P229" s="168"/>
      <c r="Q229" s="168"/>
      <c r="R229" s="168"/>
      <c r="S229" s="168">
        <v>11.679157500000009</v>
      </c>
      <c r="T229" s="168"/>
      <c r="V229" s="73">
        <v>588</v>
      </c>
      <c r="W229" s="168"/>
      <c r="X229" s="168"/>
      <c r="Y229" s="168"/>
      <c r="Z229" s="168"/>
      <c r="AA229" s="168"/>
      <c r="AB229" s="168"/>
      <c r="AC229" s="168"/>
      <c r="AD229" s="168"/>
      <c r="AF229" s="73">
        <v>588</v>
      </c>
      <c r="AG229" s="168"/>
      <c r="AH229" s="168"/>
      <c r="AI229" s="168"/>
      <c r="AJ229" s="168"/>
      <c r="AK229" s="168"/>
      <c r="AL229" s="168"/>
      <c r="AM229" s="168"/>
      <c r="AO229" s="74">
        <v>588</v>
      </c>
      <c r="AP229" s="169"/>
      <c r="AQ229" s="169"/>
      <c r="AR229" s="169">
        <v>16.45733962251456</v>
      </c>
      <c r="AS229" s="169"/>
      <c r="AT229" s="169"/>
      <c r="AU229" s="169"/>
      <c r="AV229" s="169"/>
      <c r="AW229" s="169"/>
      <c r="AX229" s="169"/>
      <c r="BP229" s="175">
        <f>Inputs!B232</f>
        <v>588</v>
      </c>
      <c r="BQ229" s="175">
        <f>IF(LEFT(Inputs!$C$11,6)="photon",10^Inputs!C232,Inputs!C232)</f>
        <v>1.17488687697926E-3</v>
      </c>
      <c r="BR229" s="175"/>
      <c r="BS229" s="175">
        <f>'Advanced Inputs'!I234</f>
        <v>588</v>
      </c>
      <c r="BT229" s="175">
        <f>IF('Advanced Inputs'!J$19="Photon system",10^'Advanced Inputs'!J234,'Advanced Inputs'!J234)</f>
        <v>0</v>
      </c>
      <c r="BV229" s="175">
        <v>588</v>
      </c>
      <c r="BW229" s="73">
        <v>120.27</v>
      </c>
      <c r="BX229" s="73">
        <v>90.106099999999998</v>
      </c>
      <c r="CC229" s="73">
        <v>1</v>
      </c>
    </row>
    <row r="230" spans="8:81" hidden="1" x14ac:dyDescent="0.2">
      <c r="H230" s="73">
        <v>589</v>
      </c>
      <c r="I230" s="168"/>
      <c r="J230" s="168"/>
      <c r="K230" s="168"/>
      <c r="L230" s="168"/>
      <c r="M230" s="168"/>
      <c r="N230" s="168"/>
      <c r="O230" s="168"/>
      <c r="P230" s="168"/>
      <c r="Q230" s="168"/>
      <c r="R230" s="168"/>
      <c r="S230" s="168">
        <v>12.311286093750001</v>
      </c>
      <c r="T230" s="168"/>
      <c r="V230" s="73">
        <v>589</v>
      </c>
      <c r="W230" s="168"/>
      <c r="X230" s="168"/>
      <c r="Y230" s="168"/>
      <c r="Z230" s="168"/>
      <c r="AA230" s="168"/>
      <c r="AB230" s="168"/>
      <c r="AC230" s="168"/>
      <c r="AD230" s="168"/>
      <c r="AF230" s="73">
        <v>589</v>
      </c>
      <c r="AG230" s="168"/>
      <c r="AH230" s="168"/>
      <c r="AI230" s="168"/>
      <c r="AJ230" s="168"/>
      <c r="AK230" s="168"/>
      <c r="AL230" s="168"/>
      <c r="AM230" s="168"/>
      <c r="AO230" s="74">
        <v>589</v>
      </c>
      <c r="AP230" s="169"/>
      <c r="AQ230" s="169"/>
      <c r="AR230" s="169">
        <v>16.478992740287321</v>
      </c>
      <c r="AS230" s="169"/>
      <c r="AT230" s="169"/>
      <c r="AU230" s="169"/>
      <c r="AV230" s="169"/>
      <c r="AW230" s="169"/>
      <c r="AX230" s="169"/>
      <c r="BP230" s="175">
        <f>Inputs!B233</f>
        <v>589</v>
      </c>
      <c r="BQ230" s="175">
        <f>IF(LEFT(Inputs!$C$11,6)="photon",10^Inputs!C233,Inputs!C233)</f>
        <v>1.15488880247748E-3</v>
      </c>
      <c r="BR230" s="175"/>
      <c r="BS230" s="175">
        <f>'Advanced Inputs'!I235</f>
        <v>589</v>
      </c>
      <c r="BT230" s="175">
        <f>IF('Advanced Inputs'!J$19="Photon system",10^'Advanced Inputs'!J235,'Advanced Inputs'!J235)</f>
        <v>0</v>
      </c>
      <c r="BV230" s="175">
        <v>589</v>
      </c>
      <c r="BW230" s="73">
        <v>121.001</v>
      </c>
      <c r="BX230" s="73">
        <v>89.395799999999994</v>
      </c>
      <c r="CC230" s="73">
        <v>1</v>
      </c>
    </row>
    <row r="231" spans="8:81" hidden="1" x14ac:dyDescent="0.2">
      <c r="H231" s="73">
        <v>590</v>
      </c>
      <c r="I231" s="168"/>
      <c r="J231" s="168"/>
      <c r="K231" s="168"/>
      <c r="L231" s="168"/>
      <c r="M231" s="168"/>
      <c r="N231" s="168"/>
      <c r="O231" s="168"/>
      <c r="P231" s="168"/>
      <c r="Q231" s="168"/>
      <c r="R231" s="168"/>
      <c r="S231" s="168">
        <v>12.730000000000008</v>
      </c>
      <c r="T231" s="168"/>
      <c r="V231" s="73">
        <v>590</v>
      </c>
      <c r="W231" s="168"/>
      <c r="X231" s="168"/>
      <c r="Y231" s="168"/>
      <c r="Z231" s="168"/>
      <c r="AA231" s="168"/>
      <c r="AB231" s="168"/>
      <c r="AC231" s="168"/>
      <c r="AD231" s="168"/>
      <c r="AF231" s="73">
        <v>590</v>
      </c>
      <c r="AG231" s="168"/>
      <c r="AH231" s="168"/>
      <c r="AI231" s="168"/>
      <c r="AJ231" s="168"/>
      <c r="AK231" s="168"/>
      <c r="AL231" s="168"/>
      <c r="AM231" s="168"/>
      <c r="AO231" s="74">
        <v>590</v>
      </c>
      <c r="AP231" s="169"/>
      <c r="AQ231" s="169"/>
      <c r="AR231" s="169">
        <v>16.499029276751731</v>
      </c>
      <c r="AS231" s="169"/>
      <c r="AT231" s="169"/>
      <c r="AU231" s="169"/>
      <c r="AV231" s="169"/>
      <c r="AW231" s="169"/>
      <c r="AX231" s="169"/>
      <c r="BP231" s="175">
        <f>Inputs!B234</f>
        <v>590</v>
      </c>
      <c r="BQ231" s="175">
        <f>IF(LEFT(Inputs!$C$11,6)="photon",10^Inputs!C234,Inputs!C234)</f>
        <v>1.1448897652266E-3</v>
      </c>
      <c r="BR231" s="175"/>
      <c r="BS231" s="175">
        <f>'Advanced Inputs'!I236</f>
        <v>590</v>
      </c>
      <c r="BT231" s="175">
        <f>IF('Advanced Inputs'!J$19="Photon system",10^'Advanced Inputs'!J236,'Advanced Inputs'!J236)</f>
        <v>0</v>
      </c>
      <c r="BV231" s="175">
        <v>590</v>
      </c>
      <c r="BW231" s="73">
        <v>121.73099999999999</v>
      </c>
      <c r="BX231" s="73">
        <v>88.685599999999994</v>
      </c>
      <c r="CC231" s="73">
        <v>1</v>
      </c>
    </row>
    <row r="232" spans="8:81" hidden="1" x14ac:dyDescent="0.2">
      <c r="H232" s="73">
        <v>591</v>
      </c>
      <c r="I232" s="168"/>
      <c r="J232" s="168"/>
      <c r="K232" s="168"/>
      <c r="L232" s="168"/>
      <c r="M232" s="168"/>
      <c r="N232" s="168"/>
      <c r="O232" s="168"/>
      <c r="P232" s="168"/>
      <c r="Q232" s="168"/>
      <c r="R232" s="168"/>
      <c r="S232" s="168">
        <v>12.434075312799704</v>
      </c>
      <c r="T232" s="168"/>
      <c r="V232" s="73">
        <v>591</v>
      </c>
      <c r="W232" s="168"/>
      <c r="X232" s="168"/>
      <c r="Y232" s="168"/>
      <c r="Z232" s="168"/>
      <c r="AA232" s="168"/>
      <c r="AB232" s="168"/>
      <c r="AC232" s="168"/>
      <c r="AD232" s="168"/>
      <c r="AF232" s="73">
        <v>591</v>
      </c>
      <c r="AG232" s="168"/>
      <c r="AH232" s="168"/>
      <c r="AI232" s="168"/>
      <c r="AJ232" s="168"/>
      <c r="AK232" s="168"/>
      <c r="AL232" s="168"/>
      <c r="AM232" s="168"/>
      <c r="AO232" s="74">
        <v>591</v>
      </c>
      <c r="AP232" s="169"/>
      <c r="AQ232" s="169"/>
      <c r="AR232" s="169">
        <v>16.517600578090661</v>
      </c>
      <c r="AS232" s="169"/>
      <c r="AT232" s="169"/>
      <c r="AU232" s="169"/>
      <c r="AV232" s="169"/>
      <c r="AW232" s="169"/>
      <c r="AX232" s="169"/>
      <c r="BP232" s="175">
        <f>Inputs!B235</f>
        <v>591</v>
      </c>
      <c r="BQ232" s="175">
        <f>IF(LEFT(Inputs!$C$11,6)="photon",10^Inputs!C235,Inputs!C235)</f>
        <v>1.1448897652266E-3</v>
      </c>
      <c r="BR232" s="175"/>
      <c r="BS232" s="175">
        <f>'Advanced Inputs'!I237</f>
        <v>591</v>
      </c>
      <c r="BT232" s="175">
        <f>IF('Advanced Inputs'!J$19="Photon system",10^'Advanced Inputs'!J237,'Advanced Inputs'!J237)</f>
        <v>0</v>
      </c>
      <c r="BV232" s="175">
        <v>591</v>
      </c>
      <c r="BW232" s="73">
        <v>122.462</v>
      </c>
      <c r="BX232" s="73">
        <v>88.817700000000002</v>
      </c>
      <c r="CC232" s="73">
        <v>1</v>
      </c>
    </row>
    <row r="233" spans="8:81" hidden="1" x14ac:dyDescent="0.2">
      <c r="H233" s="73">
        <v>592</v>
      </c>
      <c r="I233" s="168"/>
      <c r="J233" s="168"/>
      <c r="K233" s="168"/>
      <c r="L233" s="168"/>
      <c r="M233" s="168"/>
      <c r="N233" s="168"/>
      <c r="O233" s="168"/>
      <c r="P233" s="168"/>
      <c r="Q233" s="168"/>
      <c r="R233" s="168"/>
      <c r="S233" s="168">
        <v>11.929033842136816</v>
      </c>
      <c r="T233" s="168"/>
      <c r="V233" s="73">
        <v>592</v>
      </c>
      <c r="W233" s="168"/>
      <c r="X233" s="168"/>
      <c r="Y233" s="168"/>
      <c r="Z233" s="168"/>
      <c r="AA233" s="168"/>
      <c r="AB233" s="168"/>
      <c r="AC233" s="168"/>
      <c r="AD233" s="168"/>
      <c r="AF233" s="73">
        <v>592</v>
      </c>
      <c r="AG233" s="168"/>
      <c r="AH233" s="168"/>
      <c r="AI233" s="168"/>
      <c r="AJ233" s="168"/>
      <c r="AK233" s="168"/>
      <c r="AL233" s="168"/>
      <c r="AM233" s="168"/>
      <c r="AO233" s="74">
        <v>592</v>
      </c>
      <c r="AP233" s="169"/>
      <c r="AQ233" s="169"/>
      <c r="AR233" s="169">
        <v>16.533013083785633</v>
      </c>
      <c r="AS233" s="169"/>
      <c r="AT233" s="169"/>
      <c r="AU233" s="169"/>
      <c r="AV233" s="169"/>
      <c r="AW233" s="169"/>
      <c r="AX233" s="169"/>
      <c r="BP233" s="175">
        <f>Inputs!B236</f>
        <v>592</v>
      </c>
      <c r="BQ233" s="175">
        <f>IF(LEFT(Inputs!$C$11,6)="photon",10^Inputs!C236,Inputs!C236)</f>
        <v>1.15488880247748E-3</v>
      </c>
      <c r="BR233" s="175"/>
      <c r="BS233" s="175">
        <f>'Advanced Inputs'!I238</f>
        <v>592</v>
      </c>
      <c r="BT233" s="175">
        <f>IF('Advanced Inputs'!J$19="Photon system",10^'Advanced Inputs'!J238,'Advanced Inputs'!J238)</f>
        <v>0</v>
      </c>
      <c r="BV233" s="175">
        <v>592</v>
      </c>
      <c r="BW233" s="73">
        <v>123.193</v>
      </c>
      <c r="BX233" s="73">
        <v>88.949700000000007</v>
      </c>
      <c r="CC233" s="73">
        <v>1</v>
      </c>
    </row>
    <row r="234" spans="8:81" hidden="1" x14ac:dyDescent="0.2">
      <c r="H234" s="73">
        <v>593</v>
      </c>
      <c r="I234" s="168"/>
      <c r="J234" s="168"/>
      <c r="K234" s="168"/>
      <c r="L234" s="168"/>
      <c r="M234" s="168"/>
      <c r="N234" s="168"/>
      <c r="O234" s="168"/>
      <c r="P234" s="168"/>
      <c r="Q234" s="168"/>
      <c r="R234" s="168"/>
      <c r="S234" s="168">
        <v>11.272955202564939</v>
      </c>
      <c r="T234" s="168"/>
      <c r="V234" s="73">
        <v>593</v>
      </c>
      <c r="W234" s="168"/>
      <c r="X234" s="168"/>
      <c r="Y234" s="168"/>
      <c r="Z234" s="168"/>
      <c r="AA234" s="168"/>
      <c r="AB234" s="168"/>
      <c r="AC234" s="168"/>
      <c r="AD234" s="168"/>
      <c r="AF234" s="73">
        <v>593</v>
      </c>
      <c r="AG234" s="168"/>
      <c r="AH234" s="168"/>
      <c r="AI234" s="168"/>
      <c r="AJ234" s="168"/>
      <c r="AK234" s="168"/>
      <c r="AL234" s="168"/>
      <c r="AM234" s="168"/>
      <c r="AO234" s="74">
        <v>593</v>
      </c>
      <c r="AP234" s="169"/>
      <c r="AQ234" s="169"/>
      <c r="AR234" s="169">
        <v>16.543496981888484</v>
      </c>
      <c r="AS234" s="169"/>
      <c r="AT234" s="169"/>
      <c r="AU234" s="169"/>
      <c r="AV234" s="169"/>
      <c r="AW234" s="169"/>
      <c r="AX234" s="169"/>
      <c r="BP234" s="175">
        <f>Inputs!B237</f>
        <v>593</v>
      </c>
      <c r="BQ234" s="175">
        <f>IF(LEFT(Inputs!$C$11,6)="photon",10^Inputs!C237,Inputs!C237)</f>
        <v>1.15988832110293E-3</v>
      </c>
      <c r="BR234" s="175"/>
      <c r="BS234" s="175">
        <f>'Advanced Inputs'!I239</f>
        <v>593</v>
      </c>
      <c r="BT234" s="175">
        <f>IF('Advanced Inputs'!J$19="Photon system",10^'Advanced Inputs'!J239,'Advanced Inputs'!J239)</f>
        <v>0</v>
      </c>
      <c r="BV234" s="175">
        <v>593</v>
      </c>
      <c r="BW234" s="73">
        <v>123.92400000000001</v>
      </c>
      <c r="BX234" s="73">
        <v>89.081800000000001</v>
      </c>
      <c r="CC234" s="73">
        <v>1</v>
      </c>
    </row>
    <row r="235" spans="8:81" hidden="1" x14ac:dyDescent="0.2">
      <c r="H235" s="73">
        <v>594</v>
      </c>
      <c r="I235" s="168"/>
      <c r="J235" s="168"/>
      <c r="K235" s="168"/>
      <c r="L235" s="168"/>
      <c r="M235" s="168"/>
      <c r="N235" s="168"/>
      <c r="O235" s="168"/>
      <c r="P235" s="168"/>
      <c r="Q235" s="168"/>
      <c r="R235" s="168"/>
      <c r="S235" s="168">
        <v>10.523917170465309</v>
      </c>
      <c r="T235" s="168"/>
      <c r="V235" s="73">
        <v>594</v>
      </c>
      <c r="W235" s="168"/>
      <c r="X235" s="168"/>
      <c r="Y235" s="168"/>
      <c r="Z235" s="168"/>
      <c r="AA235" s="168"/>
      <c r="AB235" s="168"/>
      <c r="AC235" s="168"/>
      <c r="AD235" s="168"/>
      <c r="AF235" s="73">
        <v>594</v>
      </c>
      <c r="AG235" s="168"/>
      <c r="AH235" s="168"/>
      <c r="AI235" s="168"/>
      <c r="AJ235" s="168"/>
      <c r="AK235" s="168"/>
      <c r="AL235" s="168"/>
      <c r="AM235" s="168"/>
      <c r="AO235" s="74">
        <v>594</v>
      </c>
      <c r="AP235" s="169"/>
      <c r="AQ235" s="169"/>
      <c r="AR235" s="169">
        <v>16.548832188393376</v>
      </c>
      <c r="AS235" s="169"/>
      <c r="AT235" s="169"/>
      <c r="AU235" s="169"/>
      <c r="AV235" s="169"/>
      <c r="AW235" s="169"/>
      <c r="AX235" s="169"/>
      <c r="BP235" s="175">
        <f>Inputs!B238</f>
        <v>594</v>
      </c>
      <c r="BQ235" s="175">
        <f>IF(LEFT(Inputs!$C$11,6)="photon",10^Inputs!C238,Inputs!C238)</f>
        <v>1.15488880247748E-3</v>
      </c>
      <c r="BR235" s="175"/>
      <c r="BS235" s="175">
        <f>'Advanced Inputs'!I240</f>
        <v>594</v>
      </c>
      <c r="BT235" s="175">
        <f>IF('Advanced Inputs'!J$19="Photon system",10^'Advanced Inputs'!J240,'Advanced Inputs'!J240)</f>
        <v>0</v>
      </c>
      <c r="BV235" s="175">
        <v>594</v>
      </c>
      <c r="BW235" s="73">
        <v>124.655</v>
      </c>
      <c r="BX235" s="73">
        <v>89.213800000000006</v>
      </c>
      <c r="CC235" s="73">
        <v>1</v>
      </c>
    </row>
    <row r="236" spans="8:81" hidden="1" x14ac:dyDescent="0.2">
      <c r="H236" s="73">
        <v>595</v>
      </c>
      <c r="I236" s="168"/>
      <c r="J236" s="168"/>
      <c r="K236" s="168"/>
      <c r="L236" s="168"/>
      <c r="M236" s="168"/>
      <c r="N236" s="168"/>
      <c r="O236" s="168"/>
      <c r="P236" s="168"/>
      <c r="Q236" s="168"/>
      <c r="R236" s="168"/>
      <c r="S236" s="168">
        <v>9.7400000050619582</v>
      </c>
      <c r="T236" s="168"/>
      <c r="V236" s="73">
        <v>595</v>
      </c>
      <c r="W236" s="168"/>
      <c r="X236" s="168"/>
      <c r="Y236" s="168"/>
      <c r="Z236" s="168"/>
      <c r="AA236" s="168"/>
      <c r="AB236" s="168"/>
      <c r="AC236" s="168"/>
      <c r="AD236" s="168"/>
      <c r="AF236" s="73">
        <v>595</v>
      </c>
      <c r="AG236" s="168"/>
      <c r="AH236" s="168"/>
      <c r="AI236" s="168"/>
      <c r="AJ236" s="168"/>
      <c r="AK236" s="168"/>
      <c r="AL236" s="168"/>
      <c r="AM236" s="168"/>
      <c r="AO236" s="74">
        <v>595</v>
      </c>
      <c r="AP236" s="169"/>
      <c r="AQ236" s="169"/>
      <c r="AR236" s="169">
        <v>16.550106625045473</v>
      </c>
      <c r="AS236" s="169"/>
      <c r="AT236" s="169"/>
      <c r="AU236" s="169"/>
      <c r="AV236" s="169"/>
      <c r="AW236" s="169"/>
      <c r="AX236" s="169"/>
      <c r="BP236" s="175">
        <f>Inputs!B239</f>
        <v>595</v>
      </c>
      <c r="BQ236" s="175">
        <f>IF(LEFT(Inputs!$C$11,6)="photon",10^Inputs!C239,Inputs!C239)</f>
        <v>1.14988928385204E-3</v>
      </c>
      <c r="BR236" s="175"/>
      <c r="BS236" s="175">
        <f>'Advanced Inputs'!I241</f>
        <v>595</v>
      </c>
      <c r="BT236" s="175">
        <f>IF('Advanced Inputs'!J$19="Photon system",10^'Advanced Inputs'!J241,'Advanced Inputs'!J241)</f>
        <v>0</v>
      </c>
      <c r="BV236" s="175">
        <v>595</v>
      </c>
      <c r="BW236" s="73">
        <v>125.386</v>
      </c>
      <c r="BX236" s="73">
        <v>89.3459</v>
      </c>
      <c r="CC236" s="73">
        <v>1</v>
      </c>
    </row>
    <row r="237" spans="8:81" hidden="1" x14ac:dyDescent="0.2">
      <c r="H237" s="73">
        <v>596</v>
      </c>
      <c r="I237" s="168"/>
      <c r="J237" s="168"/>
      <c r="K237" s="168"/>
      <c r="L237" s="168"/>
      <c r="M237" s="168"/>
      <c r="N237" s="168"/>
      <c r="O237" s="168"/>
      <c r="P237" s="168"/>
      <c r="Q237" s="168"/>
      <c r="R237" s="168"/>
      <c r="S237" s="168">
        <v>9.1021900000009879</v>
      </c>
      <c r="T237" s="168"/>
      <c r="V237" s="73">
        <v>596</v>
      </c>
      <c r="W237" s="168"/>
      <c r="X237" s="168"/>
      <c r="Y237" s="168"/>
      <c r="Z237" s="168"/>
      <c r="AA237" s="168"/>
      <c r="AB237" s="168"/>
      <c r="AC237" s="168"/>
      <c r="AD237" s="168"/>
      <c r="AF237" s="73">
        <v>596</v>
      </c>
      <c r="AG237" s="168"/>
      <c r="AH237" s="168"/>
      <c r="AI237" s="168"/>
      <c r="AJ237" s="168"/>
      <c r="AK237" s="168"/>
      <c r="AL237" s="168"/>
      <c r="AM237" s="168"/>
      <c r="AO237" s="74">
        <v>596</v>
      </c>
      <c r="AP237" s="169"/>
      <c r="AQ237" s="169"/>
      <c r="AR237" s="169">
        <v>16.548234490718205</v>
      </c>
      <c r="AS237" s="169"/>
      <c r="AT237" s="169"/>
      <c r="AU237" s="169"/>
      <c r="AV237" s="169"/>
      <c r="AW237" s="169"/>
      <c r="AX237" s="169"/>
      <c r="BP237" s="175">
        <f>Inputs!B240</f>
        <v>596</v>
      </c>
      <c r="BQ237" s="175">
        <f>IF(LEFT(Inputs!$C$11,6)="photon",10^Inputs!C240,Inputs!C240)</f>
        <v>1.14988928385204E-3</v>
      </c>
      <c r="BR237" s="175"/>
      <c r="BS237" s="175">
        <f>'Advanced Inputs'!I242</f>
        <v>596</v>
      </c>
      <c r="BT237" s="175">
        <f>IF('Advanced Inputs'!J$19="Photon system",10^'Advanced Inputs'!J242,'Advanced Inputs'!J242)</f>
        <v>0</v>
      </c>
      <c r="BV237" s="175">
        <v>596</v>
      </c>
      <c r="BW237" s="73">
        <v>126.11799999999999</v>
      </c>
      <c r="BX237" s="73">
        <v>89.477999999999994</v>
      </c>
      <c r="CC237" s="73">
        <v>1</v>
      </c>
    </row>
    <row r="238" spans="8:81" hidden="1" x14ac:dyDescent="0.2">
      <c r="H238" s="73">
        <v>597</v>
      </c>
      <c r="I238" s="168"/>
      <c r="J238" s="168"/>
      <c r="K238" s="168"/>
      <c r="L238" s="168"/>
      <c r="M238" s="168"/>
      <c r="N238" s="168"/>
      <c r="O238" s="168"/>
      <c r="P238" s="168"/>
      <c r="Q238" s="168"/>
      <c r="R238" s="168"/>
      <c r="S238" s="168">
        <v>8.5149325000000005</v>
      </c>
      <c r="T238" s="168"/>
      <c r="V238" s="73">
        <v>597</v>
      </c>
      <c r="W238" s="168"/>
      <c r="X238" s="168"/>
      <c r="Y238" s="168"/>
      <c r="Z238" s="168"/>
      <c r="AA238" s="168"/>
      <c r="AB238" s="168"/>
      <c r="AC238" s="168"/>
      <c r="AD238" s="168"/>
      <c r="AF238" s="73">
        <v>597</v>
      </c>
      <c r="AG238" s="168"/>
      <c r="AH238" s="168"/>
      <c r="AI238" s="168"/>
      <c r="AJ238" s="168"/>
      <c r="AK238" s="168"/>
      <c r="AL238" s="168"/>
      <c r="AM238" s="168"/>
      <c r="AO238" s="74">
        <v>597</v>
      </c>
      <c r="AP238" s="169"/>
      <c r="AQ238" s="169"/>
      <c r="AR238" s="169">
        <v>16.542973501254998</v>
      </c>
      <c r="AS238" s="169"/>
      <c r="AT238" s="169"/>
      <c r="AU238" s="169"/>
      <c r="AV238" s="169"/>
      <c r="AW238" s="169"/>
      <c r="AX238" s="169"/>
      <c r="BP238" s="175">
        <f>Inputs!B241</f>
        <v>597</v>
      </c>
      <c r="BQ238" s="175">
        <f>IF(LEFT(Inputs!$C$11,6)="photon",10^Inputs!C241,Inputs!C241)</f>
        <v>1.1448897652266E-3</v>
      </c>
      <c r="BR238" s="175"/>
      <c r="BS238" s="175">
        <f>'Advanced Inputs'!I243</f>
        <v>597</v>
      </c>
      <c r="BT238" s="175">
        <f>IF('Advanced Inputs'!J$19="Photon system",10^'Advanced Inputs'!J243,'Advanced Inputs'!J243)</f>
        <v>0</v>
      </c>
      <c r="BV238" s="175">
        <v>597</v>
      </c>
      <c r="BW238" s="73">
        <v>126.849</v>
      </c>
      <c r="BX238" s="73">
        <v>89.61</v>
      </c>
      <c r="CC238" s="73">
        <v>1</v>
      </c>
    </row>
    <row r="239" spans="8:81" hidden="1" x14ac:dyDescent="0.2">
      <c r="H239" s="73">
        <v>598</v>
      </c>
      <c r="I239" s="168"/>
      <c r="J239" s="168"/>
      <c r="K239" s="168"/>
      <c r="L239" s="168"/>
      <c r="M239" s="168"/>
      <c r="N239" s="168"/>
      <c r="O239" s="168"/>
      <c r="P239" s="168"/>
      <c r="Q239" s="168"/>
      <c r="R239" s="168"/>
      <c r="S239" s="168">
        <v>8.0055800000000001</v>
      </c>
      <c r="T239" s="168"/>
      <c r="V239" s="73">
        <v>598</v>
      </c>
      <c r="W239" s="168"/>
      <c r="X239" s="168"/>
      <c r="Y239" s="168"/>
      <c r="Z239" s="168"/>
      <c r="AA239" s="168"/>
      <c r="AB239" s="168"/>
      <c r="AC239" s="168"/>
      <c r="AD239" s="168"/>
      <c r="AF239" s="73">
        <v>598</v>
      </c>
      <c r="AG239" s="168"/>
      <c r="AH239" s="168"/>
      <c r="AI239" s="168"/>
      <c r="AJ239" s="168"/>
      <c r="AK239" s="168"/>
      <c r="AL239" s="168"/>
      <c r="AM239" s="168"/>
      <c r="AO239" s="74">
        <v>598</v>
      </c>
      <c r="AP239" s="169"/>
      <c r="AQ239" s="169"/>
      <c r="AR239" s="169">
        <v>16.533150881490858</v>
      </c>
      <c r="AS239" s="169"/>
      <c r="AT239" s="169"/>
      <c r="AU239" s="169"/>
      <c r="AV239" s="169"/>
      <c r="AW239" s="169"/>
      <c r="AX239" s="169"/>
      <c r="BP239" s="175">
        <f>Inputs!B242</f>
        <v>598</v>
      </c>
      <c r="BQ239" s="175">
        <f>IF(LEFT(Inputs!$C$11,6)="photon",10^Inputs!C242,Inputs!C242)</f>
        <v>1.13989024660115E-3</v>
      </c>
      <c r="BR239" s="175"/>
      <c r="BS239" s="175">
        <f>'Advanced Inputs'!I244</f>
        <v>598</v>
      </c>
      <c r="BT239" s="175">
        <f>IF('Advanced Inputs'!J$19="Photon system",10^'Advanced Inputs'!J244,'Advanced Inputs'!J244)</f>
        <v>0</v>
      </c>
      <c r="BV239" s="175">
        <v>598</v>
      </c>
      <c r="BW239" s="73">
        <v>127.58</v>
      </c>
      <c r="BX239" s="73">
        <v>89.742099999999994</v>
      </c>
      <c r="CC239" s="73">
        <v>1</v>
      </c>
    </row>
    <row r="240" spans="8:81" hidden="1" x14ac:dyDescent="0.2">
      <c r="H240" s="73">
        <v>599</v>
      </c>
      <c r="I240" s="168"/>
      <c r="J240" s="168"/>
      <c r="K240" s="168"/>
      <c r="L240" s="168"/>
      <c r="M240" s="168"/>
      <c r="N240" s="168"/>
      <c r="O240" s="168"/>
      <c r="P240" s="168"/>
      <c r="Q240" s="168"/>
      <c r="R240" s="168"/>
      <c r="S240" s="168">
        <v>7.6014850000000003</v>
      </c>
      <c r="T240" s="168"/>
      <c r="V240" s="73">
        <v>599</v>
      </c>
      <c r="W240" s="168"/>
      <c r="X240" s="168"/>
      <c r="Y240" s="168"/>
      <c r="Z240" s="168"/>
      <c r="AA240" s="168"/>
      <c r="AB240" s="168"/>
      <c r="AC240" s="168"/>
      <c r="AD240" s="168"/>
      <c r="AF240" s="73">
        <v>599</v>
      </c>
      <c r="AG240" s="168"/>
      <c r="AH240" s="168"/>
      <c r="AI240" s="168"/>
      <c r="AJ240" s="168"/>
      <c r="AK240" s="168"/>
      <c r="AL240" s="168"/>
      <c r="AM240" s="168"/>
      <c r="AO240" s="74">
        <v>599</v>
      </c>
      <c r="AP240" s="169"/>
      <c r="AQ240" s="169"/>
      <c r="AR240" s="169">
        <v>16.517624595964183</v>
      </c>
      <c r="AS240" s="169"/>
      <c r="AT240" s="169"/>
      <c r="AU240" s="169"/>
      <c r="AV240" s="169"/>
      <c r="AW240" s="169"/>
      <c r="AX240" s="169"/>
      <c r="BP240" s="175">
        <f>Inputs!B243</f>
        <v>599</v>
      </c>
      <c r="BQ240" s="175">
        <f>IF(LEFT(Inputs!$C$11,6)="photon",10^Inputs!C243,Inputs!C243)</f>
        <v>1.13489072797571E-3</v>
      </c>
      <c r="BR240" s="175"/>
      <c r="BS240" s="175">
        <f>'Advanced Inputs'!I245</f>
        <v>599</v>
      </c>
      <c r="BT240" s="175">
        <f>IF('Advanced Inputs'!J$19="Photon system",10^'Advanced Inputs'!J245,'Advanced Inputs'!J245)</f>
        <v>0</v>
      </c>
      <c r="BV240" s="175">
        <v>599</v>
      </c>
      <c r="BW240" s="73">
        <v>128.31200000000001</v>
      </c>
      <c r="BX240" s="73">
        <v>89.874099999999999</v>
      </c>
      <c r="CC240" s="73">
        <v>1</v>
      </c>
    </row>
    <row r="241" spans="8:81" hidden="1" x14ac:dyDescent="0.2">
      <c r="H241" s="73">
        <v>600</v>
      </c>
      <c r="I241" s="168"/>
      <c r="J241" s="168"/>
      <c r="K241" s="168"/>
      <c r="L241" s="168"/>
      <c r="M241" s="168"/>
      <c r="N241" s="168"/>
      <c r="O241" s="168"/>
      <c r="P241" s="168"/>
      <c r="Q241" s="168"/>
      <c r="R241" s="168"/>
      <c r="S241" s="168">
        <v>7.33</v>
      </c>
      <c r="T241" s="168"/>
      <c r="V241" s="73">
        <v>600</v>
      </c>
      <c r="W241" s="168"/>
      <c r="X241" s="168"/>
      <c r="Y241" s="168"/>
      <c r="Z241" s="168"/>
      <c r="AA241" s="168"/>
      <c r="AB241" s="168"/>
      <c r="AC241" s="168"/>
      <c r="AD241" s="168"/>
      <c r="AF241" s="73">
        <v>600</v>
      </c>
      <c r="AG241" s="168"/>
      <c r="AH241" s="168"/>
      <c r="AI241" s="168"/>
      <c r="AJ241" s="168"/>
      <c r="AK241" s="168"/>
      <c r="AL241" s="168"/>
      <c r="AM241" s="168"/>
      <c r="AO241" s="74">
        <v>600</v>
      </c>
      <c r="AP241" s="169"/>
      <c r="AQ241" s="169"/>
      <c r="AR241" s="169">
        <v>16.496209301857178</v>
      </c>
      <c r="AS241" s="169"/>
      <c r="AT241" s="169"/>
      <c r="AU241" s="169"/>
      <c r="AV241" s="169"/>
      <c r="AW241" s="169"/>
      <c r="AX241" s="169"/>
      <c r="BP241" s="175">
        <f>Inputs!B244</f>
        <v>600</v>
      </c>
      <c r="BQ241" s="175">
        <f>IF(LEFT(Inputs!$C$11,6)="photon",10^Inputs!C244,Inputs!C244)</f>
        <v>1.13489072797571E-3</v>
      </c>
      <c r="BR241" s="175"/>
      <c r="BS241" s="175">
        <f>'Advanced Inputs'!I246</f>
        <v>600</v>
      </c>
      <c r="BT241" s="175">
        <f>IF('Advanced Inputs'!J$19="Photon system",10^'Advanced Inputs'!J246,'Advanced Inputs'!J246)</f>
        <v>0</v>
      </c>
      <c r="BV241" s="175">
        <v>600</v>
      </c>
      <c r="BW241" s="73">
        <v>129.04300000000001</v>
      </c>
      <c r="BX241" s="73">
        <v>90.006200000000007</v>
      </c>
      <c r="CC241" s="73">
        <v>1</v>
      </c>
    </row>
    <row r="242" spans="8:81" hidden="1" x14ac:dyDescent="0.2">
      <c r="H242" s="73">
        <v>601</v>
      </c>
      <c r="I242" s="168"/>
      <c r="J242" s="168"/>
      <c r="K242" s="168"/>
      <c r="L242" s="168"/>
      <c r="M242" s="168"/>
      <c r="N242" s="168"/>
      <c r="O242" s="168"/>
      <c r="P242" s="168"/>
      <c r="Q242" s="168"/>
      <c r="R242" s="168"/>
      <c r="S242" s="168">
        <v>7.4496374999999997</v>
      </c>
      <c r="T242" s="168"/>
      <c r="V242" s="73">
        <v>601</v>
      </c>
      <c r="W242" s="168"/>
      <c r="X242" s="168"/>
      <c r="Y242" s="168"/>
      <c r="Z242" s="168"/>
      <c r="AA242" s="168"/>
      <c r="AB242" s="168"/>
      <c r="AC242" s="168"/>
      <c r="AD242" s="168"/>
      <c r="AF242" s="73">
        <v>601</v>
      </c>
      <c r="AG242" s="168"/>
      <c r="AH242" s="168"/>
      <c r="AI242" s="168"/>
      <c r="AJ242" s="168"/>
      <c r="AK242" s="168"/>
      <c r="AL242" s="168"/>
      <c r="AM242" s="168"/>
      <c r="AO242" s="74">
        <v>601</v>
      </c>
      <c r="AP242" s="169"/>
      <c r="AQ242" s="169"/>
      <c r="AR242" s="169">
        <v>16.469812331459501</v>
      </c>
      <c r="AS242" s="169"/>
      <c r="AT242" s="169"/>
      <c r="AU242" s="169"/>
      <c r="AV242" s="169"/>
      <c r="AW242" s="169"/>
      <c r="AX242" s="169"/>
      <c r="BP242" s="175">
        <f>Inputs!B245</f>
        <v>601</v>
      </c>
      <c r="BQ242" s="175">
        <f>IF(LEFT(Inputs!$C$11,6)="photon",10^Inputs!C245,Inputs!C245)</f>
        <v>1.1298912093502601E-3</v>
      </c>
      <c r="BR242" s="175"/>
      <c r="BS242" s="175">
        <f>'Advanced Inputs'!I247</f>
        <v>601</v>
      </c>
      <c r="BT242" s="175">
        <f>IF('Advanced Inputs'!J$19="Photon system",10^'Advanced Inputs'!J247,'Advanced Inputs'!J247)</f>
        <v>0</v>
      </c>
      <c r="BV242" s="175">
        <v>601</v>
      </c>
      <c r="BW242" s="73">
        <v>129.774</v>
      </c>
      <c r="BX242" s="73">
        <v>89.965500000000006</v>
      </c>
      <c r="CC242" s="73">
        <v>1</v>
      </c>
    </row>
    <row r="243" spans="8:81" hidden="1" x14ac:dyDescent="0.2">
      <c r="H243" s="73">
        <v>602</v>
      </c>
      <c r="I243" s="168"/>
      <c r="J243" s="168"/>
      <c r="K243" s="168"/>
      <c r="L243" s="168"/>
      <c r="M243" s="168"/>
      <c r="N243" s="168"/>
      <c r="O243" s="168"/>
      <c r="P243" s="168"/>
      <c r="Q243" s="168"/>
      <c r="R243" s="168"/>
      <c r="S243" s="168">
        <v>7.6988000000000003</v>
      </c>
      <c r="T243" s="168"/>
      <c r="V243" s="73">
        <v>602</v>
      </c>
      <c r="W243" s="168"/>
      <c r="X243" s="168"/>
      <c r="Y243" s="168"/>
      <c r="Z243" s="168"/>
      <c r="AA243" s="168"/>
      <c r="AB243" s="168"/>
      <c r="AC243" s="168"/>
      <c r="AD243" s="168"/>
      <c r="AF243" s="73">
        <v>602</v>
      </c>
      <c r="AG243" s="168"/>
      <c r="AH243" s="168"/>
      <c r="AI243" s="168"/>
      <c r="AJ243" s="168"/>
      <c r="AK243" s="168"/>
      <c r="AL243" s="168"/>
      <c r="AM243" s="168"/>
      <c r="AO243" s="74">
        <v>602</v>
      </c>
      <c r="AP243" s="169"/>
      <c r="AQ243" s="169"/>
      <c r="AR243" s="169">
        <v>16.439307161331406</v>
      </c>
      <c r="AS243" s="169"/>
      <c r="AT243" s="169"/>
      <c r="AU243" s="169"/>
      <c r="AV243" s="169"/>
      <c r="AW243" s="169"/>
      <c r="AX243" s="169"/>
      <c r="BP243" s="175">
        <f>Inputs!B246</f>
        <v>602</v>
      </c>
      <c r="BQ243" s="175">
        <f>IF(LEFT(Inputs!$C$11,6)="photon",10^Inputs!C246,Inputs!C246)</f>
        <v>1.12489169072482E-3</v>
      </c>
      <c r="BR243" s="175"/>
      <c r="BS243" s="175">
        <f>'Advanced Inputs'!I248</f>
        <v>602</v>
      </c>
      <c r="BT243" s="175">
        <f>IF('Advanced Inputs'!J$19="Photon system",10^'Advanced Inputs'!J248,'Advanced Inputs'!J248)</f>
        <v>0</v>
      </c>
      <c r="BV243" s="175">
        <v>602</v>
      </c>
      <c r="BW243" s="73">
        <v>130.505</v>
      </c>
      <c r="BX243" s="73">
        <v>89.924800000000005</v>
      </c>
      <c r="CC243" s="73">
        <v>1</v>
      </c>
    </row>
    <row r="244" spans="8:81" hidden="1" x14ac:dyDescent="0.2">
      <c r="H244" s="73">
        <v>603</v>
      </c>
      <c r="I244" s="168"/>
      <c r="J244" s="168"/>
      <c r="K244" s="168"/>
      <c r="L244" s="168"/>
      <c r="M244" s="168"/>
      <c r="N244" s="168"/>
      <c r="O244" s="168"/>
      <c r="P244" s="168"/>
      <c r="Q244" s="168"/>
      <c r="R244" s="168"/>
      <c r="S244" s="168">
        <v>8.0470500000000005</v>
      </c>
      <c r="T244" s="168"/>
      <c r="V244" s="73">
        <v>603</v>
      </c>
      <c r="W244" s="168"/>
      <c r="X244" s="168"/>
      <c r="Y244" s="168"/>
      <c r="Z244" s="168"/>
      <c r="AA244" s="168"/>
      <c r="AB244" s="168"/>
      <c r="AC244" s="168"/>
      <c r="AD244" s="168"/>
      <c r="AF244" s="73">
        <v>603</v>
      </c>
      <c r="AG244" s="168"/>
      <c r="AH244" s="168"/>
      <c r="AI244" s="168"/>
      <c r="AJ244" s="168"/>
      <c r="AK244" s="168"/>
      <c r="AL244" s="168"/>
      <c r="AM244" s="168"/>
      <c r="AO244" s="74">
        <v>603</v>
      </c>
      <c r="AP244" s="169"/>
      <c r="AQ244" s="169"/>
      <c r="AR244" s="169">
        <v>16.404677777611699</v>
      </c>
      <c r="AS244" s="169"/>
      <c r="AT244" s="169"/>
      <c r="AU244" s="169"/>
      <c r="AV244" s="169"/>
      <c r="AW244" s="169"/>
      <c r="AX244" s="169"/>
      <c r="BP244" s="175">
        <f>Inputs!B247</f>
        <v>603</v>
      </c>
      <c r="BQ244" s="175">
        <f>IF(LEFT(Inputs!$C$11,6)="photon",10^Inputs!C247,Inputs!C247)</f>
        <v>1.1298912093502601E-3</v>
      </c>
      <c r="BR244" s="175"/>
      <c r="BS244" s="175">
        <f>'Advanced Inputs'!I249</f>
        <v>603</v>
      </c>
      <c r="BT244" s="175">
        <f>IF('Advanced Inputs'!J$19="Photon system",10^'Advanced Inputs'!J249,'Advanced Inputs'!J249)</f>
        <v>0</v>
      </c>
      <c r="BV244" s="175">
        <v>603</v>
      </c>
      <c r="BW244" s="73">
        <v>131.23599999999999</v>
      </c>
      <c r="BX244" s="73">
        <v>89.884100000000004</v>
      </c>
      <c r="CC244" s="73">
        <v>1</v>
      </c>
    </row>
    <row r="245" spans="8:81" hidden="1" x14ac:dyDescent="0.2">
      <c r="H245" s="73">
        <v>604</v>
      </c>
      <c r="I245" s="168"/>
      <c r="J245" s="168"/>
      <c r="K245" s="168"/>
      <c r="L245" s="168"/>
      <c r="M245" s="168"/>
      <c r="N245" s="168"/>
      <c r="O245" s="168"/>
      <c r="P245" s="168"/>
      <c r="Q245" s="168"/>
      <c r="R245" s="168"/>
      <c r="S245" s="168">
        <v>8.4639500000000005</v>
      </c>
      <c r="T245" s="168"/>
      <c r="V245" s="73">
        <v>604</v>
      </c>
      <c r="W245" s="168"/>
      <c r="X245" s="168"/>
      <c r="Y245" s="168"/>
      <c r="Z245" s="168"/>
      <c r="AA245" s="168"/>
      <c r="AB245" s="168"/>
      <c r="AC245" s="168"/>
      <c r="AD245" s="168"/>
      <c r="AF245" s="73">
        <v>604</v>
      </c>
      <c r="AG245" s="168"/>
      <c r="AH245" s="168"/>
      <c r="AI245" s="168"/>
      <c r="AJ245" s="168"/>
      <c r="AK245" s="168"/>
      <c r="AL245" s="168"/>
      <c r="AM245" s="168"/>
      <c r="AO245" s="74">
        <v>604</v>
      </c>
      <c r="AP245" s="169"/>
      <c r="AQ245" s="169"/>
      <c r="AR245" s="169">
        <v>16.364598387997152</v>
      </c>
      <c r="AS245" s="169"/>
      <c r="AT245" s="169"/>
      <c r="AU245" s="169"/>
      <c r="AV245" s="169"/>
      <c r="AW245" s="169"/>
      <c r="AX245" s="169"/>
      <c r="BP245" s="175">
        <f>Inputs!B248</f>
        <v>604</v>
      </c>
      <c r="BQ245" s="175">
        <f>IF(LEFT(Inputs!$C$11,6)="photon",10^Inputs!C248,Inputs!C248)</f>
        <v>1.13489072797571E-3</v>
      </c>
      <c r="BR245" s="175"/>
      <c r="BS245" s="175">
        <f>'Advanced Inputs'!I250</f>
        <v>604</v>
      </c>
      <c r="BT245" s="175">
        <f>IF('Advanced Inputs'!J$19="Photon system",10^'Advanced Inputs'!J250,'Advanced Inputs'!J250)</f>
        <v>0</v>
      </c>
      <c r="BV245" s="175">
        <v>604</v>
      </c>
      <c r="BW245" s="73">
        <v>131.96600000000001</v>
      </c>
      <c r="BX245" s="73">
        <v>89.843400000000003</v>
      </c>
      <c r="CC245" s="73">
        <v>1</v>
      </c>
    </row>
    <row r="246" spans="8:81" hidden="1" x14ac:dyDescent="0.2">
      <c r="H246" s="73">
        <v>605</v>
      </c>
      <c r="I246" s="168"/>
      <c r="J246" s="168"/>
      <c r="K246" s="168"/>
      <c r="L246" s="168"/>
      <c r="M246" s="168"/>
      <c r="N246" s="168"/>
      <c r="O246" s="168"/>
      <c r="P246" s="168"/>
      <c r="Q246" s="168"/>
      <c r="R246" s="168"/>
      <c r="S246" s="168">
        <v>8.9190625000000008</v>
      </c>
      <c r="T246" s="168"/>
      <c r="V246" s="73">
        <v>605</v>
      </c>
      <c r="W246" s="168"/>
      <c r="X246" s="168"/>
      <c r="Y246" s="168"/>
      <c r="Z246" s="168"/>
      <c r="AA246" s="168"/>
      <c r="AB246" s="168"/>
      <c r="AC246" s="168"/>
      <c r="AD246" s="168"/>
      <c r="AF246" s="73">
        <v>605</v>
      </c>
      <c r="AG246" s="168"/>
      <c r="AH246" s="168"/>
      <c r="AI246" s="168"/>
      <c r="AJ246" s="168"/>
      <c r="AK246" s="168"/>
      <c r="AL246" s="168"/>
      <c r="AM246" s="168"/>
      <c r="AO246" s="74">
        <v>605</v>
      </c>
      <c r="AP246" s="169"/>
      <c r="AQ246" s="169"/>
      <c r="AR246" s="169">
        <v>16.317769171219229</v>
      </c>
      <c r="AS246" s="169"/>
      <c r="AT246" s="169"/>
      <c r="AU246" s="169"/>
      <c r="AV246" s="169"/>
      <c r="AW246" s="169"/>
      <c r="AX246" s="169"/>
      <c r="BP246" s="175">
        <f>Inputs!B249</f>
        <v>605</v>
      </c>
      <c r="BQ246" s="175">
        <f>IF(LEFT(Inputs!$C$11,6)="photon",10^Inputs!C249,Inputs!C249)</f>
        <v>1.13989024660115E-3</v>
      </c>
      <c r="BR246" s="175"/>
      <c r="BS246" s="175">
        <f>'Advanced Inputs'!I251</f>
        <v>605</v>
      </c>
      <c r="BT246" s="175">
        <f>IF('Advanced Inputs'!J$19="Photon system",10^'Advanced Inputs'!J251,'Advanced Inputs'!J251)</f>
        <v>0</v>
      </c>
      <c r="BV246" s="175">
        <v>605</v>
      </c>
      <c r="BW246" s="73">
        <v>132.697</v>
      </c>
      <c r="BX246" s="73">
        <v>89.802599999999998</v>
      </c>
      <c r="CC246" s="73">
        <v>1</v>
      </c>
    </row>
    <row r="247" spans="8:81" hidden="1" x14ac:dyDescent="0.2">
      <c r="H247" s="73">
        <v>606</v>
      </c>
      <c r="I247" s="168"/>
      <c r="J247" s="168"/>
      <c r="K247" s="168"/>
      <c r="L247" s="168"/>
      <c r="M247" s="168"/>
      <c r="N247" s="168"/>
      <c r="O247" s="168"/>
      <c r="P247" s="168"/>
      <c r="Q247" s="168"/>
      <c r="R247" s="168"/>
      <c r="S247" s="168">
        <v>9.273579999999999</v>
      </c>
      <c r="T247" s="168"/>
      <c r="V247" s="73">
        <v>606</v>
      </c>
      <c r="W247" s="168"/>
      <c r="X247" s="168"/>
      <c r="Y247" s="168"/>
      <c r="Z247" s="168"/>
      <c r="AA247" s="168"/>
      <c r="AB247" s="168"/>
      <c r="AC247" s="168"/>
      <c r="AD247" s="168"/>
      <c r="AF247" s="73">
        <v>606</v>
      </c>
      <c r="AG247" s="168"/>
      <c r="AH247" s="168"/>
      <c r="AI247" s="168"/>
      <c r="AJ247" s="168"/>
      <c r="AK247" s="168"/>
      <c r="AL247" s="168"/>
      <c r="AM247" s="168"/>
      <c r="AO247" s="74">
        <v>606</v>
      </c>
      <c r="AP247" s="169"/>
      <c r="AQ247" s="169"/>
      <c r="AR247" s="169">
        <v>16.264104093694669</v>
      </c>
      <c r="AS247" s="169"/>
      <c r="AT247" s="169"/>
      <c r="AU247" s="169"/>
      <c r="AV247" s="169"/>
      <c r="AW247" s="169"/>
      <c r="AX247" s="169"/>
      <c r="BP247" s="175">
        <f>Inputs!B250</f>
        <v>606</v>
      </c>
      <c r="BQ247" s="175">
        <f>IF(LEFT(Inputs!$C$11,6)="photon",10^Inputs!C250,Inputs!C250)</f>
        <v>1.13989024660115E-3</v>
      </c>
      <c r="BR247" s="175"/>
      <c r="BS247" s="175">
        <f>'Advanced Inputs'!I252</f>
        <v>606</v>
      </c>
      <c r="BT247" s="175">
        <f>IF('Advanced Inputs'!J$19="Photon system",10^'Advanced Inputs'!J252,'Advanced Inputs'!J252)</f>
        <v>0</v>
      </c>
      <c r="BV247" s="175">
        <v>606</v>
      </c>
      <c r="BW247" s="73">
        <v>133.42699999999999</v>
      </c>
      <c r="BX247" s="73">
        <v>89.761899999999997</v>
      </c>
      <c r="CC247" s="73">
        <v>1</v>
      </c>
    </row>
    <row r="248" spans="8:81" hidden="1" x14ac:dyDescent="0.2">
      <c r="H248" s="73">
        <v>607</v>
      </c>
      <c r="I248" s="168"/>
      <c r="J248" s="168"/>
      <c r="K248" s="168"/>
      <c r="L248" s="168"/>
      <c r="M248" s="168"/>
      <c r="N248" s="168"/>
      <c r="O248" s="168"/>
      <c r="P248" s="168"/>
      <c r="Q248" s="168"/>
      <c r="R248" s="168"/>
      <c r="S248" s="168">
        <v>9.6325275000000019</v>
      </c>
      <c r="T248" s="168"/>
      <c r="V248" s="73">
        <v>607</v>
      </c>
      <c r="W248" s="168"/>
      <c r="X248" s="168"/>
      <c r="Y248" s="168"/>
      <c r="Z248" s="168"/>
      <c r="AA248" s="168"/>
      <c r="AB248" s="168"/>
      <c r="AC248" s="168"/>
      <c r="AD248" s="168"/>
      <c r="AF248" s="73">
        <v>607</v>
      </c>
      <c r="AG248" s="168"/>
      <c r="AH248" s="168"/>
      <c r="AI248" s="168"/>
      <c r="AJ248" s="168"/>
      <c r="AK248" s="168"/>
      <c r="AL248" s="168"/>
      <c r="AM248" s="168"/>
      <c r="AO248" s="74">
        <v>607</v>
      </c>
      <c r="AP248" s="169"/>
      <c r="AQ248" s="169"/>
      <c r="AR248" s="169">
        <v>16.204551914078372</v>
      </c>
      <c r="AS248" s="169"/>
      <c r="AT248" s="169"/>
      <c r="AU248" s="169"/>
      <c r="AV248" s="169"/>
      <c r="AW248" s="169"/>
      <c r="AX248" s="169"/>
      <c r="BP248" s="175">
        <f>Inputs!B251</f>
        <v>607</v>
      </c>
      <c r="BQ248" s="175">
        <f>IF(LEFT(Inputs!$C$11,6)="photon",10^Inputs!C251,Inputs!C251)</f>
        <v>1.13489072797571E-3</v>
      </c>
      <c r="BR248" s="175"/>
      <c r="BS248" s="175">
        <f>'Advanced Inputs'!I253</f>
        <v>607</v>
      </c>
      <c r="BT248" s="175">
        <f>IF('Advanced Inputs'!J$19="Photon system",10^'Advanced Inputs'!J253,'Advanced Inputs'!J253)</f>
        <v>0</v>
      </c>
      <c r="BV248" s="175">
        <v>607</v>
      </c>
      <c r="BW248" s="73">
        <v>134.15700000000001</v>
      </c>
      <c r="BX248" s="73">
        <v>89.721199999999996</v>
      </c>
      <c r="CC248" s="73">
        <v>1</v>
      </c>
    </row>
    <row r="249" spans="8:81" hidden="1" x14ac:dyDescent="0.2">
      <c r="H249" s="73">
        <v>608</v>
      </c>
      <c r="I249" s="168"/>
      <c r="J249" s="168"/>
      <c r="K249" s="168"/>
      <c r="L249" s="168"/>
      <c r="M249" s="168"/>
      <c r="N249" s="168"/>
      <c r="O249" s="168"/>
      <c r="P249" s="168"/>
      <c r="Q249" s="168"/>
      <c r="R249" s="168"/>
      <c r="S249" s="168">
        <v>9.992560000000001</v>
      </c>
      <c r="T249" s="168"/>
      <c r="V249" s="73">
        <v>608</v>
      </c>
      <c r="W249" s="168"/>
      <c r="X249" s="168"/>
      <c r="Y249" s="168"/>
      <c r="Z249" s="168"/>
      <c r="AA249" s="168"/>
      <c r="AB249" s="168"/>
      <c r="AC249" s="168"/>
      <c r="AD249" s="168"/>
      <c r="AF249" s="73">
        <v>608</v>
      </c>
      <c r="AG249" s="168"/>
      <c r="AH249" s="168"/>
      <c r="AI249" s="168"/>
      <c r="AJ249" s="168"/>
      <c r="AK249" s="168"/>
      <c r="AL249" s="168"/>
      <c r="AM249" s="168"/>
      <c r="AO249" s="74">
        <v>608</v>
      </c>
      <c r="AP249" s="169"/>
      <c r="AQ249" s="169"/>
      <c r="AR249" s="169">
        <v>16.140253556389794</v>
      </c>
      <c r="AS249" s="169"/>
      <c r="AT249" s="169"/>
      <c r="AU249" s="169"/>
      <c r="AV249" s="169"/>
      <c r="AW249" s="169"/>
      <c r="AX249" s="169"/>
      <c r="BP249" s="175">
        <f>Inputs!B252</f>
        <v>608</v>
      </c>
      <c r="BQ249" s="175">
        <f>IF(LEFT(Inputs!$C$11,6)="photon",10^Inputs!C252,Inputs!C252)</f>
        <v>1.1298912093502601E-3</v>
      </c>
      <c r="BR249" s="175"/>
      <c r="BS249" s="175">
        <f>'Advanced Inputs'!I254</f>
        <v>608</v>
      </c>
      <c r="BT249" s="175">
        <f>IF('Advanced Inputs'!J$19="Photon system",10^'Advanced Inputs'!J254,'Advanced Inputs'!J254)</f>
        <v>0</v>
      </c>
      <c r="BV249" s="175">
        <v>608</v>
      </c>
      <c r="BW249" s="73">
        <v>134.887</v>
      </c>
      <c r="BX249" s="73">
        <v>89.680499999999995</v>
      </c>
      <c r="CC249" s="73">
        <v>1</v>
      </c>
    </row>
    <row r="250" spans="8:81" hidden="1" x14ac:dyDescent="0.2">
      <c r="H250" s="73">
        <v>609</v>
      </c>
      <c r="I250" s="168"/>
      <c r="J250" s="168"/>
      <c r="K250" s="168"/>
      <c r="L250" s="168"/>
      <c r="M250" s="168"/>
      <c r="N250" s="168"/>
      <c r="O250" s="168"/>
      <c r="P250" s="168"/>
      <c r="Q250" s="168"/>
      <c r="R250" s="168"/>
      <c r="S250" s="168">
        <v>28.871440626966937</v>
      </c>
      <c r="T250" s="168"/>
      <c r="V250" s="73">
        <v>609</v>
      </c>
      <c r="W250" s="168"/>
      <c r="X250" s="168"/>
      <c r="Y250" s="168"/>
      <c r="Z250" s="168"/>
      <c r="AA250" s="168"/>
      <c r="AB250" s="168"/>
      <c r="AC250" s="168"/>
      <c r="AD250" s="168"/>
      <c r="AF250" s="73">
        <v>609</v>
      </c>
      <c r="AG250" s="168"/>
      <c r="AH250" s="168"/>
      <c r="AI250" s="168"/>
      <c r="AJ250" s="168"/>
      <c r="AK250" s="168"/>
      <c r="AL250" s="168"/>
      <c r="AM250" s="168"/>
      <c r="AO250" s="74">
        <v>609</v>
      </c>
      <c r="AP250" s="169"/>
      <c r="AQ250" s="169"/>
      <c r="AR250" s="169">
        <v>16.071348812379604</v>
      </c>
      <c r="AS250" s="169"/>
      <c r="AT250" s="169"/>
      <c r="AU250" s="169"/>
      <c r="AV250" s="169"/>
      <c r="AW250" s="169"/>
      <c r="AX250" s="169"/>
      <c r="BP250" s="175">
        <f>Inputs!B253</f>
        <v>609</v>
      </c>
      <c r="BQ250" s="175">
        <f>IF(LEFT(Inputs!$C$11,6)="photon",10^Inputs!C253,Inputs!C253)</f>
        <v>1.12489169072482E-3</v>
      </c>
      <c r="BR250" s="175"/>
      <c r="BS250" s="175">
        <f>'Advanced Inputs'!I255</f>
        <v>609</v>
      </c>
      <c r="BT250" s="175">
        <f>IF('Advanced Inputs'!J$19="Photon system",10^'Advanced Inputs'!J255,'Advanced Inputs'!J255)</f>
        <v>0</v>
      </c>
      <c r="BV250" s="175">
        <v>609</v>
      </c>
      <c r="BW250" s="73">
        <v>135.61699999999999</v>
      </c>
      <c r="BX250" s="73">
        <v>89.639799999999994</v>
      </c>
      <c r="CC250" s="73">
        <v>1</v>
      </c>
    </row>
    <row r="251" spans="8:81" hidden="1" x14ac:dyDescent="0.2">
      <c r="H251" s="73">
        <v>610</v>
      </c>
      <c r="I251" s="168"/>
      <c r="J251" s="168"/>
      <c r="K251" s="168"/>
      <c r="L251" s="168"/>
      <c r="M251" s="168"/>
      <c r="N251" s="168"/>
      <c r="O251" s="168"/>
      <c r="P251" s="168"/>
      <c r="Q251" s="168"/>
      <c r="R251" s="168"/>
      <c r="S251" s="168">
        <v>177.20630083640975</v>
      </c>
      <c r="T251" s="168"/>
      <c r="V251" s="73">
        <v>610</v>
      </c>
      <c r="W251" s="168"/>
      <c r="X251" s="168"/>
      <c r="Y251" s="168"/>
      <c r="Z251" s="168"/>
      <c r="AA251" s="168"/>
      <c r="AB251" s="168"/>
      <c r="AC251" s="168"/>
      <c r="AD251" s="168"/>
      <c r="AF251" s="73">
        <v>610</v>
      </c>
      <c r="AG251" s="168"/>
      <c r="AH251" s="168"/>
      <c r="AI251" s="168"/>
      <c r="AJ251" s="168"/>
      <c r="AK251" s="168"/>
      <c r="AL251" s="168"/>
      <c r="AM251" s="168"/>
      <c r="AO251" s="74">
        <v>610</v>
      </c>
      <c r="AP251" s="169"/>
      <c r="AQ251" s="169"/>
      <c r="AR251" s="169">
        <v>15.997548390242502</v>
      </c>
      <c r="AS251" s="169"/>
      <c r="AT251" s="169"/>
      <c r="AU251" s="169"/>
      <c r="AV251" s="169"/>
      <c r="AW251" s="169"/>
      <c r="AX251" s="169"/>
      <c r="BP251" s="175">
        <f>Inputs!B254</f>
        <v>610</v>
      </c>
      <c r="BQ251" s="175">
        <f>IF(LEFT(Inputs!$C$11,6)="photon",10^Inputs!C254,Inputs!C254)</f>
        <v>1.1148926534739301E-3</v>
      </c>
      <c r="BR251" s="175"/>
      <c r="BS251" s="175">
        <f>'Advanced Inputs'!I256</f>
        <v>610</v>
      </c>
      <c r="BT251" s="175">
        <f>IF('Advanced Inputs'!J$19="Photon system",10^'Advanced Inputs'!J256,'Advanced Inputs'!J256)</f>
        <v>0</v>
      </c>
      <c r="BV251" s="175">
        <v>610</v>
      </c>
      <c r="BW251" s="73">
        <v>136.346</v>
      </c>
      <c r="BX251" s="73">
        <v>89.599100000000007</v>
      </c>
      <c r="CC251" s="73">
        <v>1</v>
      </c>
    </row>
    <row r="252" spans="8:81" hidden="1" x14ac:dyDescent="0.2">
      <c r="H252" s="73">
        <v>611</v>
      </c>
      <c r="I252" s="168"/>
      <c r="J252" s="168"/>
      <c r="K252" s="168"/>
      <c r="L252" s="168"/>
      <c r="M252" s="168"/>
      <c r="N252" s="168"/>
      <c r="O252" s="168"/>
      <c r="P252" s="168"/>
      <c r="Q252" s="168"/>
      <c r="R252" s="168"/>
      <c r="S252" s="168">
        <v>11.045717503741859</v>
      </c>
      <c r="T252" s="168"/>
      <c r="V252" s="73">
        <v>611</v>
      </c>
      <c r="W252" s="168"/>
      <c r="X252" s="168"/>
      <c r="Y252" s="168"/>
      <c r="Z252" s="168"/>
      <c r="AA252" s="168"/>
      <c r="AB252" s="168"/>
      <c r="AC252" s="168"/>
      <c r="AD252" s="168"/>
      <c r="AF252" s="73">
        <v>611</v>
      </c>
      <c r="AG252" s="168"/>
      <c r="AH252" s="168"/>
      <c r="AI252" s="168"/>
      <c r="AJ252" s="168"/>
      <c r="AK252" s="168"/>
      <c r="AL252" s="168"/>
      <c r="AM252" s="168"/>
      <c r="AO252" s="74">
        <v>611</v>
      </c>
      <c r="AP252" s="169"/>
      <c r="AQ252" s="169"/>
      <c r="AR252" s="169">
        <v>15.917988850361604</v>
      </c>
      <c r="AS252" s="169"/>
      <c r="AT252" s="169"/>
      <c r="AU252" s="169"/>
      <c r="AV252" s="169"/>
      <c r="AW252" s="169"/>
      <c r="AX252" s="169"/>
      <c r="BP252" s="175">
        <f>Inputs!B255</f>
        <v>611</v>
      </c>
      <c r="BQ252" s="175">
        <f>IF(LEFT(Inputs!$C$11,6)="photon",10^Inputs!C255,Inputs!C255)</f>
        <v>1.10989313484849E-3</v>
      </c>
      <c r="BR252" s="175"/>
      <c r="BS252" s="175">
        <f>'Advanced Inputs'!I257</f>
        <v>611</v>
      </c>
      <c r="BT252" s="175">
        <f>IF('Advanced Inputs'!J$19="Photon system",10^'Advanced Inputs'!J257,'Advanced Inputs'!J257)</f>
        <v>0</v>
      </c>
      <c r="BV252" s="175">
        <v>611</v>
      </c>
      <c r="BW252" s="73">
        <v>137.07499999999999</v>
      </c>
      <c r="BX252" s="73">
        <v>89.409099999999995</v>
      </c>
      <c r="CC252" s="73">
        <v>1</v>
      </c>
    </row>
    <row r="253" spans="8:81" hidden="1" x14ac:dyDescent="0.2">
      <c r="H253" s="73">
        <v>612</v>
      </c>
      <c r="I253" s="168"/>
      <c r="J253" s="168"/>
      <c r="K253" s="168"/>
      <c r="L253" s="168"/>
      <c r="M253" s="168"/>
      <c r="N253" s="168"/>
      <c r="O253" s="168"/>
      <c r="P253" s="168"/>
      <c r="Q253" s="168"/>
      <c r="R253" s="168"/>
      <c r="S253" s="168">
        <v>11.376640001232143</v>
      </c>
      <c r="T253" s="168"/>
      <c r="V253" s="73">
        <v>612</v>
      </c>
      <c r="W253" s="168"/>
      <c r="X253" s="168"/>
      <c r="Y253" s="168"/>
      <c r="Z253" s="168"/>
      <c r="AA253" s="168"/>
      <c r="AB253" s="168"/>
      <c r="AC253" s="168"/>
      <c r="AD253" s="168"/>
      <c r="AF253" s="73">
        <v>612</v>
      </c>
      <c r="AG253" s="168"/>
      <c r="AH253" s="168"/>
      <c r="AI253" s="168"/>
      <c r="AJ253" s="168"/>
      <c r="AK253" s="168"/>
      <c r="AL253" s="168"/>
      <c r="AM253" s="168"/>
      <c r="AO253" s="74">
        <v>612</v>
      </c>
      <c r="AP253" s="169"/>
      <c r="AQ253" s="169"/>
      <c r="AR253" s="169">
        <v>15.832229446116292</v>
      </c>
      <c r="AS253" s="169"/>
      <c r="AT253" s="169"/>
      <c r="AU253" s="169"/>
      <c r="AV253" s="169"/>
      <c r="AW253" s="169"/>
      <c r="AX253" s="169"/>
      <c r="BP253" s="175">
        <f>Inputs!B256</f>
        <v>612</v>
      </c>
      <c r="BQ253" s="175">
        <f>IF(LEFT(Inputs!$C$11,6)="photon",10^Inputs!C256,Inputs!C256)</f>
        <v>1.10489361622305E-3</v>
      </c>
      <c r="BR253" s="175"/>
      <c r="BS253" s="175">
        <f>'Advanced Inputs'!I258</f>
        <v>612</v>
      </c>
      <c r="BT253" s="175">
        <f>IF('Advanced Inputs'!J$19="Photon system",10^'Advanced Inputs'!J258,'Advanced Inputs'!J258)</f>
        <v>0</v>
      </c>
      <c r="BV253" s="175">
        <v>612</v>
      </c>
      <c r="BW253" s="73">
        <v>137.804</v>
      </c>
      <c r="BX253" s="73">
        <v>89.218999999999994</v>
      </c>
      <c r="CC253" s="73">
        <v>1</v>
      </c>
    </row>
    <row r="254" spans="8:81" hidden="1" x14ac:dyDescent="0.2">
      <c r="H254" s="73">
        <v>613</v>
      </c>
      <c r="I254" s="168"/>
      <c r="J254" s="168"/>
      <c r="K254" s="168"/>
      <c r="L254" s="168"/>
      <c r="M254" s="168"/>
      <c r="N254" s="168"/>
      <c r="O254" s="168"/>
      <c r="P254" s="168"/>
      <c r="Q254" s="168"/>
      <c r="R254" s="168"/>
      <c r="S254" s="168">
        <v>32.721958214222006</v>
      </c>
      <c r="T254" s="168"/>
      <c r="V254" s="73">
        <v>613</v>
      </c>
      <c r="W254" s="168"/>
      <c r="X254" s="168"/>
      <c r="Y254" s="168"/>
      <c r="Z254" s="168"/>
      <c r="AA254" s="168"/>
      <c r="AB254" s="168"/>
      <c r="AC254" s="168"/>
      <c r="AD254" s="168"/>
      <c r="AF254" s="73">
        <v>613</v>
      </c>
      <c r="AG254" s="168"/>
      <c r="AH254" s="168"/>
      <c r="AI254" s="168"/>
      <c r="AJ254" s="168"/>
      <c r="AK254" s="168"/>
      <c r="AL254" s="168"/>
      <c r="AM254" s="168"/>
      <c r="AO254" s="74">
        <v>613</v>
      </c>
      <c r="AP254" s="169"/>
      <c r="AQ254" s="169"/>
      <c r="AR254" s="169">
        <v>15.740541985853083</v>
      </c>
      <c r="AS254" s="169"/>
      <c r="AT254" s="169"/>
      <c r="AU254" s="169"/>
      <c r="AV254" s="169"/>
      <c r="AW254" s="169"/>
      <c r="AX254" s="169"/>
      <c r="BP254" s="175">
        <f>Inputs!B257</f>
        <v>613</v>
      </c>
      <c r="BQ254" s="175">
        <f>IF(LEFT(Inputs!$C$11,6)="photon",10^Inputs!C257,Inputs!C257)</f>
        <v>1.0998940975976001E-3</v>
      </c>
      <c r="BR254" s="175"/>
      <c r="BS254" s="175">
        <f>'Advanced Inputs'!I259</f>
        <v>613</v>
      </c>
      <c r="BT254" s="175">
        <f>IF('Advanced Inputs'!J$19="Photon system",10^'Advanced Inputs'!J259,'Advanced Inputs'!J259)</f>
        <v>0</v>
      </c>
      <c r="BV254" s="175">
        <v>613</v>
      </c>
      <c r="BW254" s="73">
        <v>138.53200000000001</v>
      </c>
      <c r="BX254" s="73">
        <v>89.028999999999996</v>
      </c>
      <c r="CC254" s="73">
        <v>1</v>
      </c>
    </row>
    <row r="255" spans="8:81" hidden="1" x14ac:dyDescent="0.2">
      <c r="H255" s="73">
        <v>614</v>
      </c>
      <c r="I255" s="168"/>
      <c r="J255" s="168"/>
      <c r="K255" s="168"/>
      <c r="L255" s="168"/>
      <c r="M255" s="168"/>
      <c r="N255" s="168"/>
      <c r="O255" s="168"/>
      <c r="P255" s="168"/>
      <c r="Q255" s="168"/>
      <c r="R255" s="168"/>
      <c r="S255" s="168">
        <v>179.56295186129512</v>
      </c>
      <c r="T255" s="168"/>
      <c r="V255" s="73">
        <v>614</v>
      </c>
      <c r="W255" s="168"/>
      <c r="X255" s="168"/>
      <c r="Y255" s="168"/>
      <c r="Z255" s="168"/>
      <c r="AA255" s="168"/>
      <c r="AB255" s="168"/>
      <c r="AC255" s="168"/>
      <c r="AD255" s="168"/>
      <c r="AF255" s="73">
        <v>614</v>
      </c>
      <c r="AG255" s="168"/>
      <c r="AH255" s="168"/>
      <c r="AI255" s="168"/>
      <c r="AJ255" s="168"/>
      <c r="AK255" s="168"/>
      <c r="AL255" s="168"/>
      <c r="AM255" s="168"/>
      <c r="AO255" s="74">
        <v>614</v>
      </c>
      <c r="AP255" s="169"/>
      <c r="AQ255" s="169"/>
      <c r="AR255" s="169">
        <v>15.643805057706627</v>
      </c>
      <c r="AS255" s="169"/>
      <c r="AT255" s="169"/>
      <c r="AU255" s="169"/>
      <c r="AV255" s="169"/>
      <c r="AW255" s="169"/>
      <c r="AX255" s="169"/>
      <c r="BP255" s="175">
        <f>Inputs!B258</f>
        <v>614</v>
      </c>
      <c r="BQ255" s="175">
        <f>IF(LEFT(Inputs!$C$11,6)="photon",10^Inputs!C258,Inputs!C258)</f>
        <v>1.0998940975976001E-3</v>
      </c>
      <c r="BR255" s="175"/>
      <c r="BS255" s="175">
        <f>'Advanced Inputs'!I260</f>
        <v>614</v>
      </c>
      <c r="BT255" s="175">
        <f>IF('Advanced Inputs'!J$19="Photon system",10^'Advanced Inputs'!J260,'Advanced Inputs'!J260)</f>
        <v>0</v>
      </c>
      <c r="BV255" s="175">
        <v>614</v>
      </c>
      <c r="BW255" s="73">
        <v>139.26</v>
      </c>
      <c r="BX255" s="73">
        <v>88.838899999999995</v>
      </c>
      <c r="CC255" s="73">
        <v>1</v>
      </c>
    </row>
    <row r="256" spans="8:81" hidden="1" x14ac:dyDescent="0.2">
      <c r="H256" s="73">
        <v>615</v>
      </c>
      <c r="I256" s="168"/>
      <c r="J256" s="168"/>
      <c r="K256" s="168"/>
      <c r="L256" s="168"/>
      <c r="M256" s="168"/>
      <c r="N256" s="168"/>
      <c r="O256" s="168"/>
      <c r="P256" s="168"/>
      <c r="Q256" s="168"/>
      <c r="R256" s="168"/>
      <c r="S256" s="168">
        <v>17.44357547302014</v>
      </c>
      <c r="T256" s="168"/>
      <c r="V256" s="73">
        <v>615</v>
      </c>
      <c r="W256" s="168"/>
      <c r="X256" s="168"/>
      <c r="Y256" s="168"/>
      <c r="Z256" s="168"/>
      <c r="AA256" s="168"/>
      <c r="AB256" s="168"/>
      <c r="AC256" s="168"/>
      <c r="AD256" s="168"/>
      <c r="AF256" s="73">
        <v>615</v>
      </c>
      <c r="AG256" s="168"/>
      <c r="AH256" s="168"/>
      <c r="AI256" s="168"/>
      <c r="AJ256" s="168"/>
      <c r="AK256" s="168"/>
      <c r="AL256" s="168"/>
      <c r="AM256" s="168"/>
      <c r="AO256" s="74">
        <v>615</v>
      </c>
      <c r="AP256" s="169"/>
      <c r="AQ256" s="169"/>
      <c r="AR256" s="169">
        <v>15.542398659542348</v>
      </c>
      <c r="AS256" s="169"/>
      <c r="AT256" s="169"/>
      <c r="AU256" s="169"/>
      <c r="AV256" s="169"/>
      <c r="AW256" s="169"/>
      <c r="AX256" s="169"/>
      <c r="BP256" s="175">
        <f>Inputs!B259</f>
        <v>615</v>
      </c>
      <c r="BQ256" s="175">
        <f>IF(LEFT(Inputs!$C$11,6)="photon",10^Inputs!C259,Inputs!C259)</f>
        <v>1.09489457897216E-3</v>
      </c>
      <c r="BR256" s="175"/>
      <c r="BS256" s="175">
        <f>'Advanced Inputs'!I261</f>
        <v>615</v>
      </c>
      <c r="BT256" s="175">
        <f>IF('Advanced Inputs'!J$19="Photon system",10^'Advanced Inputs'!J261,'Advanced Inputs'!J261)</f>
        <v>0</v>
      </c>
      <c r="BV256" s="175">
        <v>615</v>
      </c>
      <c r="BW256" s="73">
        <v>139.988</v>
      </c>
      <c r="BX256" s="73">
        <v>88.648899999999998</v>
      </c>
      <c r="CC256" s="73">
        <v>1</v>
      </c>
    </row>
    <row r="257" spans="8:81" hidden="1" x14ac:dyDescent="0.2">
      <c r="H257" s="73">
        <v>616</v>
      </c>
      <c r="I257" s="168"/>
      <c r="J257" s="168"/>
      <c r="K257" s="168"/>
      <c r="L257" s="168"/>
      <c r="M257" s="168"/>
      <c r="N257" s="168"/>
      <c r="O257" s="168"/>
      <c r="P257" s="168"/>
      <c r="Q257" s="168"/>
      <c r="R257" s="168"/>
      <c r="S257" s="168">
        <v>12.506570000000558</v>
      </c>
      <c r="T257" s="168"/>
      <c r="V257" s="73">
        <v>616</v>
      </c>
      <c r="W257" s="168"/>
      <c r="X257" s="168"/>
      <c r="Y257" s="168"/>
      <c r="Z257" s="168"/>
      <c r="AA257" s="168"/>
      <c r="AB257" s="168"/>
      <c r="AC257" s="168"/>
      <c r="AD257" s="168"/>
      <c r="AF257" s="73">
        <v>616</v>
      </c>
      <c r="AG257" s="168"/>
      <c r="AH257" s="168"/>
      <c r="AI257" s="168"/>
      <c r="AJ257" s="168"/>
      <c r="AK257" s="168"/>
      <c r="AL257" s="168"/>
      <c r="AM257" s="168"/>
      <c r="AO257" s="74">
        <v>616</v>
      </c>
      <c r="AP257" s="169"/>
      <c r="AQ257" s="169"/>
      <c r="AR257" s="169">
        <v>15.436276353018886</v>
      </c>
      <c r="AS257" s="169"/>
      <c r="AT257" s="169"/>
      <c r="AU257" s="169"/>
      <c r="AV257" s="169"/>
      <c r="AW257" s="169"/>
      <c r="AX257" s="169"/>
      <c r="BP257" s="175">
        <f>Inputs!B260</f>
        <v>616</v>
      </c>
      <c r="BQ257" s="175">
        <f>IF(LEFT(Inputs!$C$11,6)="photon",10^Inputs!C260,Inputs!C260)</f>
        <v>1.08989506034672E-3</v>
      </c>
      <c r="BR257" s="175"/>
      <c r="BS257" s="175">
        <f>'Advanced Inputs'!I262</f>
        <v>616</v>
      </c>
      <c r="BT257" s="175">
        <f>IF('Advanced Inputs'!J$19="Photon system",10^'Advanced Inputs'!J262,'Advanced Inputs'!J262)</f>
        <v>0</v>
      </c>
      <c r="BV257" s="175">
        <v>616</v>
      </c>
      <c r="BW257" s="73">
        <v>140.715</v>
      </c>
      <c r="BX257" s="73">
        <v>88.4589</v>
      </c>
      <c r="CC257" s="73">
        <v>1</v>
      </c>
    </row>
    <row r="258" spans="8:81" hidden="1" x14ac:dyDescent="0.2">
      <c r="H258" s="73">
        <v>617</v>
      </c>
      <c r="I258" s="168"/>
      <c r="J258" s="168"/>
      <c r="K258" s="168"/>
      <c r="L258" s="168"/>
      <c r="M258" s="168"/>
      <c r="N258" s="168"/>
      <c r="O258" s="168"/>
      <c r="P258" s="168"/>
      <c r="Q258" s="168"/>
      <c r="R258" s="168"/>
      <c r="S258" s="168">
        <v>12.722909999999999</v>
      </c>
      <c r="T258" s="168"/>
      <c r="V258" s="73">
        <v>617</v>
      </c>
      <c r="W258" s="168"/>
      <c r="X258" s="168"/>
      <c r="Y258" s="168"/>
      <c r="Z258" s="168"/>
      <c r="AA258" s="168"/>
      <c r="AB258" s="168"/>
      <c r="AC258" s="168"/>
      <c r="AD258" s="168"/>
      <c r="AF258" s="73">
        <v>617</v>
      </c>
      <c r="AG258" s="168"/>
      <c r="AH258" s="168"/>
      <c r="AI258" s="168"/>
      <c r="AJ258" s="168"/>
      <c r="AK258" s="168"/>
      <c r="AL258" s="168"/>
      <c r="AM258" s="168"/>
      <c r="AO258" s="74">
        <v>617</v>
      </c>
      <c r="AP258" s="169"/>
      <c r="AQ258" s="169"/>
      <c r="AR258" s="169">
        <v>15.323895988617748</v>
      </c>
      <c r="AS258" s="169"/>
      <c r="AT258" s="169"/>
      <c r="AU258" s="169"/>
      <c r="AV258" s="169"/>
      <c r="AW258" s="169"/>
      <c r="AX258" s="169"/>
      <c r="BP258" s="175">
        <f>Inputs!B261</f>
        <v>617</v>
      </c>
      <c r="BQ258" s="175">
        <f>IF(LEFT(Inputs!$C$11,6)="photon",10^Inputs!C261,Inputs!C261)</f>
        <v>1.08989506034672E-3</v>
      </c>
      <c r="BR258" s="175"/>
      <c r="BS258" s="175">
        <f>'Advanced Inputs'!I263</f>
        <v>617</v>
      </c>
      <c r="BT258" s="175">
        <f>IF('Advanced Inputs'!J$19="Photon system",10^'Advanced Inputs'!J263,'Advanced Inputs'!J263)</f>
        <v>0</v>
      </c>
      <c r="BV258" s="175">
        <v>617</v>
      </c>
      <c r="BW258" s="73">
        <v>141.441</v>
      </c>
      <c r="BX258" s="73">
        <v>88.268799999999999</v>
      </c>
      <c r="CC258" s="73">
        <v>1</v>
      </c>
    </row>
    <row r="259" spans="8:81" hidden="1" x14ac:dyDescent="0.2">
      <c r="H259" s="73">
        <v>618</v>
      </c>
      <c r="I259" s="168"/>
      <c r="J259" s="168"/>
      <c r="K259" s="168"/>
      <c r="L259" s="168"/>
      <c r="M259" s="168"/>
      <c r="N259" s="168"/>
      <c r="O259" s="168"/>
      <c r="P259" s="168"/>
      <c r="Q259" s="168"/>
      <c r="R259" s="168"/>
      <c r="S259" s="168">
        <v>12.908840000000001</v>
      </c>
      <c r="T259" s="168"/>
      <c r="V259" s="73">
        <v>618</v>
      </c>
      <c r="W259" s="168"/>
      <c r="X259" s="168"/>
      <c r="Y259" s="168"/>
      <c r="Z259" s="168"/>
      <c r="AA259" s="168"/>
      <c r="AB259" s="168"/>
      <c r="AC259" s="168"/>
      <c r="AD259" s="168"/>
      <c r="AF259" s="73">
        <v>618</v>
      </c>
      <c r="AG259" s="168"/>
      <c r="AH259" s="168"/>
      <c r="AI259" s="168"/>
      <c r="AJ259" s="168"/>
      <c r="AK259" s="168"/>
      <c r="AL259" s="168"/>
      <c r="AM259" s="168"/>
      <c r="AO259" s="74">
        <v>618</v>
      </c>
      <c r="AP259" s="169"/>
      <c r="AQ259" s="169"/>
      <c r="AR259" s="169">
        <v>15.205896979980844</v>
      </c>
      <c r="AS259" s="169"/>
      <c r="AT259" s="169"/>
      <c r="AU259" s="169"/>
      <c r="AV259" s="169"/>
      <c r="AW259" s="169"/>
      <c r="AX259" s="169"/>
      <c r="BP259" s="175">
        <f>Inputs!B262</f>
        <v>618</v>
      </c>
      <c r="BQ259" s="175">
        <f>IF(LEFT(Inputs!$C$11,6)="photon",10^Inputs!C262,Inputs!C262)</f>
        <v>1.09489457897216E-3</v>
      </c>
      <c r="BR259" s="175"/>
      <c r="BS259" s="175">
        <f>'Advanced Inputs'!I264</f>
        <v>618</v>
      </c>
      <c r="BT259" s="175">
        <f>IF('Advanced Inputs'!J$19="Photon system",10^'Advanced Inputs'!J264,'Advanced Inputs'!J264)</f>
        <v>0</v>
      </c>
      <c r="BV259" s="175">
        <v>618</v>
      </c>
      <c r="BW259" s="73">
        <v>142.167</v>
      </c>
      <c r="BX259" s="73">
        <v>88.078800000000001</v>
      </c>
      <c r="CC259" s="73">
        <v>1</v>
      </c>
    </row>
    <row r="260" spans="8:81" hidden="1" x14ac:dyDescent="0.2">
      <c r="H260" s="73">
        <v>619</v>
      </c>
      <c r="I260" s="168"/>
      <c r="J260" s="168"/>
      <c r="K260" s="168"/>
      <c r="L260" s="168"/>
      <c r="M260" s="168"/>
      <c r="N260" s="168"/>
      <c r="O260" s="168"/>
      <c r="P260" s="168"/>
      <c r="Q260" s="168"/>
      <c r="R260" s="168"/>
      <c r="S260" s="168">
        <v>13.061992500000001</v>
      </c>
      <c r="T260" s="168"/>
      <c r="V260" s="73">
        <v>619</v>
      </c>
      <c r="W260" s="168"/>
      <c r="X260" s="168"/>
      <c r="Y260" s="168"/>
      <c r="Z260" s="168"/>
      <c r="AA260" s="168"/>
      <c r="AB260" s="168"/>
      <c r="AC260" s="168"/>
      <c r="AD260" s="168"/>
      <c r="AF260" s="73">
        <v>619</v>
      </c>
      <c r="AG260" s="168"/>
      <c r="AH260" s="168"/>
      <c r="AI260" s="168"/>
      <c r="AJ260" s="168"/>
      <c r="AK260" s="168"/>
      <c r="AL260" s="168"/>
      <c r="AM260" s="168"/>
      <c r="AO260" s="74">
        <v>619</v>
      </c>
      <c r="AP260" s="169"/>
      <c r="AQ260" s="169"/>
      <c r="AR260" s="169">
        <v>15.083063463722773</v>
      </c>
      <c r="AS260" s="169"/>
      <c r="AT260" s="169"/>
      <c r="AU260" s="169"/>
      <c r="AV260" s="169"/>
      <c r="AW260" s="169"/>
      <c r="AX260" s="169"/>
      <c r="BP260" s="175">
        <f>Inputs!B263</f>
        <v>619</v>
      </c>
      <c r="BQ260" s="175">
        <f>IF(LEFT(Inputs!$C$11,6)="photon",10^Inputs!C263,Inputs!C263)</f>
        <v>1.0998940975976001E-3</v>
      </c>
      <c r="BR260" s="175"/>
      <c r="BS260" s="175">
        <f>'Advanced Inputs'!I265</f>
        <v>619</v>
      </c>
      <c r="BT260" s="175">
        <f>IF('Advanced Inputs'!J$19="Photon system",10^'Advanced Inputs'!J265,'Advanced Inputs'!J265)</f>
        <v>0</v>
      </c>
      <c r="BV260" s="175">
        <v>619</v>
      </c>
      <c r="BW260" s="73">
        <v>142.893</v>
      </c>
      <c r="BX260" s="73">
        <v>87.8887</v>
      </c>
      <c r="CC260" s="73">
        <v>1</v>
      </c>
    </row>
    <row r="261" spans="8:81" hidden="1" x14ac:dyDescent="0.2">
      <c r="H261" s="73">
        <v>620</v>
      </c>
      <c r="I261" s="168"/>
      <c r="J261" s="168"/>
      <c r="K261" s="168"/>
      <c r="L261" s="168"/>
      <c r="M261" s="168"/>
      <c r="N261" s="168"/>
      <c r="O261" s="168"/>
      <c r="P261" s="168"/>
      <c r="Q261" s="168"/>
      <c r="R261" s="168"/>
      <c r="S261" s="168">
        <v>13.18</v>
      </c>
      <c r="T261" s="168"/>
      <c r="V261" s="73">
        <v>620</v>
      </c>
      <c r="W261" s="168"/>
      <c r="X261" s="168"/>
      <c r="Y261" s="168"/>
      <c r="Z261" s="168"/>
      <c r="AA261" s="168"/>
      <c r="AB261" s="168"/>
      <c r="AC261" s="168"/>
      <c r="AD261" s="168"/>
      <c r="AF261" s="73">
        <v>620</v>
      </c>
      <c r="AG261" s="168"/>
      <c r="AH261" s="168"/>
      <c r="AI261" s="168"/>
      <c r="AJ261" s="168"/>
      <c r="AK261" s="168"/>
      <c r="AL261" s="168"/>
      <c r="AM261" s="168"/>
      <c r="AO261" s="74">
        <v>620</v>
      </c>
      <c r="AP261" s="169"/>
      <c r="AQ261" s="169"/>
      <c r="AR261" s="169">
        <v>14.957667129231345</v>
      </c>
      <c r="AS261" s="169"/>
      <c r="AT261" s="169"/>
      <c r="AU261" s="169"/>
      <c r="AV261" s="169"/>
      <c r="AW261" s="169"/>
      <c r="AX261" s="169"/>
      <c r="BP261" s="175">
        <f>Inputs!B264</f>
        <v>620</v>
      </c>
      <c r="BQ261" s="175">
        <f>IF(LEFT(Inputs!$C$11,6)="photon",10^Inputs!C264,Inputs!C264)</f>
        <v>1.10489361622305E-3</v>
      </c>
      <c r="BR261" s="175"/>
      <c r="BS261" s="175">
        <f>'Advanced Inputs'!I266</f>
        <v>620</v>
      </c>
      <c r="BT261" s="175">
        <f>IF('Advanced Inputs'!J$19="Photon system",10^'Advanced Inputs'!J266,'Advanced Inputs'!J266)</f>
        <v>0</v>
      </c>
      <c r="BV261" s="175">
        <v>620</v>
      </c>
      <c r="BW261" s="73">
        <v>143.61799999999999</v>
      </c>
      <c r="BX261" s="73">
        <v>87.698700000000002</v>
      </c>
      <c r="CC261" s="73">
        <v>1</v>
      </c>
    </row>
    <row r="262" spans="8:81" hidden="1" x14ac:dyDescent="0.2">
      <c r="H262" s="73">
        <v>621</v>
      </c>
      <c r="I262" s="168"/>
      <c r="J262" s="168"/>
      <c r="K262" s="168"/>
      <c r="L262" s="168"/>
      <c r="M262" s="168"/>
      <c r="N262" s="168"/>
      <c r="O262" s="168"/>
      <c r="P262" s="168"/>
      <c r="Q262" s="168"/>
      <c r="R262" s="168"/>
      <c r="S262" s="168">
        <v>13.341839375000001</v>
      </c>
      <c r="T262" s="168"/>
      <c r="V262" s="73">
        <v>621</v>
      </c>
      <c r="W262" s="168"/>
      <c r="X262" s="168"/>
      <c r="Y262" s="168"/>
      <c r="Z262" s="168"/>
      <c r="AA262" s="168"/>
      <c r="AB262" s="168"/>
      <c r="AC262" s="168"/>
      <c r="AD262" s="168"/>
      <c r="AF262" s="73">
        <v>621</v>
      </c>
      <c r="AG262" s="168"/>
      <c r="AH262" s="168"/>
      <c r="AI262" s="168"/>
      <c r="AJ262" s="168"/>
      <c r="AK262" s="168"/>
      <c r="AL262" s="168"/>
      <c r="AM262" s="168"/>
      <c r="AO262" s="74">
        <v>621</v>
      </c>
      <c r="AP262" s="169"/>
      <c r="AQ262" s="169"/>
      <c r="AR262" s="169">
        <v>14.828813922991833</v>
      </c>
      <c r="AS262" s="169"/>
      <c r="AT262" s="169"/>
      <c r="AU262" s="169"/>
      <c r="AV262" s="169"/>
      <c r="AW262" s="169"/>
      <c r="AX262" s="169"/>
      <c r="BP262" s="175">
        <f>Inputs!B265</f>
        <v>621</v>
      </c>
      <c r="BQ262" s="175">
        <f>IF(LEFT(Inputs!$C$11,6)="photon",10^Inputs!C265,Inputs!C265)</f>
        <v>1.10489361622305E-3</v>
      </c>
      <c r="BR262" s="175"/>
      <c r="BS262" s="175">
        <f>'Advanced Inputs'!I267</f>
        <v>621</v>
      </c>
      <c r="BT262" s="175">
        <f>IF('Advanced Inputs'!J$19="Photon system",10^'Advanced Inputs'!J267,'Advanced Inputs'!J267)</f>
        <v>0</v>
      </c>
      <c r="BV262" s="175">
        <v>621</v>
      </c>
      <c r="BW262" s="73">
        <v>144.34299999999999</v>
      </c>
      <c r="BX262" s="73">
        <v>87.2577</v>
      </c>
      <c r="CC262" s="73">
        <v>1</v>
      </c>
    </row>
    <row r="263" spans="8:81" hidden="1" x14ac:dyDescent="0.2">
      <c r="H263" s="73">
        <v>622</v>
      </c>
      <c r="I263" s="168"/>
      <c r="J263" s="168"/>
      <c r="K263" s="168"/>
      <c r="L263" s="168"/>
      <c r="M263" s="168"/>
      <c r="N263" s="168"/>
      <c r="O263" s="168"/>
      <c r="P263" s="168"/>
      <c r="Q263" s="168"/>
      <c r="R263" s="168"/>
      <c r="S263" s="168">
        <v>13.443462656250002</v>
      </c>
      <c r="T263" s="168"/>
      <c r="V263" s="73">
        <v>622</v>
      </c>
      <c r="W263" s="168"/>
      <c r="X263" s="168"/>
      <c r="Y263" s="168"/>
      <c r="Z263" s="168"/>
      <c r="AA263" s="168"/>
      <c r="AB263" s="168"/>
      <c r="AC263" s="168"/>
      <c r="AD263" s="168"/>
      <c r="AF263" s="73">
        <v>622</v>
      </c>
      <c r="AG263" s="168"/>
      <c r="AH263" s="168"/>
      <c r="AI263" s="168"/>
      <c r="AJ263" s="168"/>
      <c r="AK263" s="168"/>
      <c r="AL263" s="168"/>
      <c r="AM263" s="168"/>
      <c r="AO263" s="74">
        <v>622</v>
      </c>
      <c r="AP263" s="169"/>
      <c r="AQ263" s="169"/>
      <c r="AR263" s="169">
        <v>14.695813776055157</v>
      </c>
      <c r="AS263" s="169"/>
      <c r="AT263" s="169"/>
      <c r="AU263" s="169"/>
      <c r="AV263" s="169"/>
      <c r="AW263" s="169"/>
      <c r="AX263" s="169"/>
      <c r="BP263" s="175">
        <f>Inputs!B266</f>
        <v>622</v>
      </c>
      <c r="BQ263" s="175">
        <f>IF(LEFT(Inputs!$C$11,6)="photon",10^Inputs!C266,Inputs!C266)</f>
        <v>1.09489457897216E-3</v>
      </c>
      <c r="BR263" s="175"/>
      <c r="BS263" s="175">
        <f>'Advanced Inputs'!I268</f>
        <v>622</v>
      </c>
      <c r="BT263" s="175">
        <f>IF('Advanced Inputs'!J$19="Photon system",10^'Advanced Inputs'!J268,'Advanced Inputs'!J268)</f>
        <v>0</v>
      </c>
      <c r="BV263" s="175">
        <v>622</v>
      </c>
      <c r="BW263" s="73">
        <v>145.06700000000001</v>
      </c>
      <c r="BX263" s="73">
        <v>86.816699999999997</v>
      </c>
      <c r="CC263" s="73">
        <v>1</v>
      </c>
    </row>
    <row r="264" spans="8:81" hidden="1" x14ac:dyDescent="0.2">
      <c r="H264" s="73">
        <v>623</v>
      </c>
      <c r="I264" s="168"/>
      <c r="J264" s="168"/>
      <c r="K264" s="168"/>
      <c r="L264" s="168"/>
      <c r="M264" s="168"/>
      <c r="N264" s="168"/>
      <c r="O264" s="168"/>
      <c r="P264" s="168"/>
      <c r="Q264" s="168"/>
      <c r="R264" s="168"/>
      <c r="S264" s="168">
        <v>13.462166249999999</v>
      </c>
      <c r="T264" s="168"/>
      <c r="V264" s="73">
        <v>623</v>
      </c>
      <c r="W264" s="168"/>
      <c r="X264" s="168"/>
      <c r="Y264" s="168"/>
      <c r="Z264" s="168"/>
      <c r="AA264" s="168"/>
      <c r="AB264" s="168"/>
      <c r="AC264" s="168"/>
      <c r="AD264" s="168"/>
      <c r="AF264" s="73">
        <v>623</v>
      </c>
      <c r="AG264" s="168"/>
      <c r="AH264" s="168"/>
      <c r="AI264" s="168"/>
      <c r="AJ264" s="168"/>
      <c r="AK264" s="168"/>
      <c r="AL264" s="168"/>
      <c r="AM264" s="168"/>
      <c r="AO264" s="74">
        <v>623</v>
      </c>
      <c r="AP264" s="169"/>
      <c r="AQ264" s="169"/>
      <c r="AR264" s="169">
        <v>14.55747912286099</v>
      </c>
      <c r="AS264" s="169"/>
      <c r="AT264" s="169"/>
      <c r="AU264" s="169"/>
      <c r="AV264" s="169"/>
      <c r="AW264" s="169"/>
      <c r="AX264" s="169"/>
      <c r="BP264" s="175">
        <f>Inputs!B267</f>
        <v>623</v>
      </c>
      <c r="BQ264" s="175">
        <f>IF(LEFT(Inputs!$C$11,6)="photon",10^Inputs!C267,Inputs!C267)</f>
        <v>1.0848955417212701E-3</v>
      </c>
      <c r="BR264" s="175"/>
      <c r="BS264" s="175">
        <f>'Advanced Inputs'!I269</f>
        <v>623</v>
      </c>
      <c r="BT264" s="175">
        <f>IF('Advanced Inputs'!J$19="Photon system",10^'Advanced Inputs'!J269,'Advanced Inputs'!J269)</f>
        <v>0</v>
      </c>
      <c r="BV264" s="175">
        <v>623</v>
      </c>
      <c r="BW264" s="73">
        <v>145.79</v>
      </c>
      <c r="BX264" s="73">
        <v>86.375699999999995</v>
      </c>
      <c r="CC264" s="73">
        <v>1</v>
      </c>
    </row>
    <row r="265" spans="8:81" hidden="1" x14ac:dyDescent="0.2">
      <c r="H265" s="73">
        <v>624</v>
      </c>
      <c r="I265" s="168"/>
      <c r="J265" s="168"/>
      <c r="K265" s="168"/>
      <c r="L265" s="168"/>
      <c r="M265" s="168"/>
      <c r="N265" s="168"/>
      <c r="O265" s="168"/>
      <c r="P265" s="168"/>
      <c r="Q265" s="168"/>
      <c r="R265" s="168"/>
      <c r="S265" s="168">
        <v>13.375246562500001</v>
      </c>
      <c r="T265" s="168"/>
      <c r="V265" s="73">
        <v>624</v>
      </c>
      <c r="W265" s="168"/>
      <c r="X265" s="168"/>
      <c r="Y265" s="168"/>
      <c r="Z265" s="168"/>
      <c r="AA265" s="168"/>
      <c r="AB265" s="168"/>
      <c r="AC265" s="168"/>
      <c r="AD265" s="168"/>
      <c r="AF265" s="73">
        <v>624</v>
      </c>
      <c r="AG265" s="168"/>
      <c r="AH265" s="168"/>
      <c r="AI265" s="168"/>
      <c r="AJ265" s="168"/>
      <c r="AK265" s="168"/>
      <c r="AL265" s="168"/>
      <c r="AM265" s="168"/>
      <c r="AO265" s="74">
        <v>624</v>
      </c>
      <c r="AP265" s="169"/>
      <c r="AQ265" s="169"/>
      <c r="AR265" s="169">
        <v>14.413922458461908</v>
      </c>
      <c r="AS265" s="169"/>
      <c r="AT265" s="169"/>
      <c r="AU265" s="169"/>
      <c r="AV265" s="169"/>
      <c r="AW265" s="169"/>
      <c r="AX265" s="169"/>
      <c r="BP265" s="175">
        <f>Inputs!B268</f>
        <v>624</v>
      </c>
      <c r="BQ265" s="175">
        <f>IF(LEFT(Inputs!$C$11,6)="photon",10^Inputs!C268,Inputs!C268)</f>
        <v>1.0698969858449401E-3</v>
      </c>
      <c r="BR265" s="175"/>
      <c r="BS265" s="175">
        <f>'Advanced Inputs'!I270</f>
        <v>624</v>
      </c>
      <c r="BT265" s="175">
        <f>IF('Advanced Inputs'!J$19="Photon system",10^'Advanced Inputs'!J270,'Advanced Inputs'!J270)</f>
        <v>0</v>
      </c>
      <c r="BV265" s="175">
        <v>624</v>
      </c>
      <c r="BW265" s="73">
        <v>146.51300000000001</v>
      </c>
      <c r="BX265" s="73">
        <v>85.934700000000007</v>
      </c>
      <c r="CC265" s="73">
        <v>1</v>
      </c>
    </row>
    <row r="266" spans="8:81" hidden="1" x14ac:dyDescent="0.2">
      <c r="H266" s="73">
        <v>625</v>
      </c>
      <c r="I266" s="168"/>
      <c r="J266" s="168"/>
      <c r="K266" s="168"/>
      <c r="L266" s="168"/>
      <c r="M266" s="168"/>
      <c r="N266" s="168"/>
      <c r="O266" s="168"/>
      <c r="P266" s="168"/>
      <c r="Q266" s="168"/>
      <c r="R266" s="168"/>
      <c r="S266" s="168">
        <v>13.16</v>
      </c>
      <c r="T266" s="168"/>
      <c r="V266" s="73">
        <v>625</v>
      </c>
      <c r="W266" s="168"/>
      <c r="X266" s="168"/>
      <c r="Y266" s="168"/>
      <c r="Z266" s="168"/>
      <c r="AA266" s="168"/>
      <c r="AB266" s="168"/>
      <c r="AC266" s="168"/>
      <c r="AD266" s="168"/>
      <c r="AF266" s="73">
        <v>625</v>
      </c>
      <c r="AG266" s="168"/>
      <c r="AH266" s="168"/>
      <c r="AI266" s="168"/>
      <c r="AJ266" s="168"/>
      <c r="AK266" s="168"/>
      <c r="AL266" s="168"/>
      <c r="AM266" s="168"/>
      <c r="AO266" s="74">
        <v>625</v>
      </c>
      <c r="AP266" s="169"/>
      <c r="AQ266" s="169"/>
      <c r="AR266" s="169">
        <v>14.265666836970972</v>
      </c>
      <c r="AS266" s="169"/>
      <c r="AT266" s="169"/>
      <c r="AU266" s="169"/>
      <c r="AV266" s="169"/>
      <c r="AW266" s="169"/>
      <c r="AX266" s="169"/>
      <c r="BP266" s="175">
        <f>Inputs!B269</f>
        <v>625</v>
      </c>
      <c r="BQ266" s="175">
        <f>IF(LEFT(Inputs!$C$11,6)="photon",10^Inputs!C269,Inputs!C269)</f>
        <v>1.0598979485940501E-3</v>
      </c>
      <c r="BR266" s="175"/>
      <c r="BS266" s="175">
        <f>'Advanced Inputs'!I271</f>
        <v>625</v>
      </c>
      <c r="BT266" s="175">
        <f>IF('Advanced Inputs'!J$19="Photon system",10^'Advanced Inputs'!J271,'Advanced Inputs'!J271)</f>
        <v>0</v>
      </c>
      <c r="BV266" s="175">
        <v>625</v>
      </c>
      <c r="BW266" s="73">
        <v>147.23500000000001</v>
      </c>
      <c r="BX266" s="73">
        <v>85.493600000000001</v>
      </c>
      <c r="CC266" s="73">
        <v>1</v>
      </c>
    </row>
    <row r="267" spans="8:81" hidden="1" x14ac:dyDescent="0.2">
      <c r="H267" s="73">
        <v>626</v>
      </c>
      <c r="I267" s="168"/>
      <c r="J267" s="168"/>
      <c r="K267" s="168"/>
      <c r="L267" s="168"/>
      <c r="M267" s="168"/>
      <c r="N267" s="168"/>
      <c r="O267" s="168"/>
      <c r="P267" s="168"/>
      <c r="Q267" s="168"/>
      <c r="R267" s="168"/>
      <c r="S267" s="168">
        <v>12.596755468750001</v>
      </c>
      <c r="T267" s="168"/>
      <c r="V267" s="73">
        <v>626</v>
      </c>
      <c r="W267" s="168"/>
      <c r="X267" s="168"/>
      <c r="Y267" s="168"/>
      <c r="Z267" s="168"/>
      <c r="AA267" s="168"/>
      <c r="AB267" s="168"/>
      <c r="AC267" s="168"/>
      <c r="AD267" s="168"/>
      <c r="AF267" s="73">
        <v>626</v>
      </c>
      <c r="AG267" s="168"/>
      <c r="AH267" s="168"/>
      <c r="AI267" s="168"/>
      <c r="AJ267" s="168"/>
      <c r="AK267" s="168"/>
      <c r="AL267" s="168"/>
      <c r="AM267" s="168"/>
      <c r="AO267" s="74">
        <v>626</v>
      </c>
      <c r="AP267" s="169"/>
      <c r="AQ267" s="169"/>
      <c r="AR267" s="169">
        <v>14.114503239279815</v>
      </c>
      <c r="AS267" s="169"/>
      <c r="AT267" s="169"/>
      <c r="AU267" s="169"/>
      <c r="AV267" s="169"/>
      <c r="AW267" s="169"/>
      <c r="AX267" s="169"/>
      <c r="BP267" s="175">
        <f>Inputs!B270</f>
        <v>626</v>
      </c>
      <c r="BQ267" s="175">
        <f>IF(LEFT(Inputs!$C$11,6)="photon",10^Inputs!C270,Inputs!C270)</f>
        <v>1.0448993927177201E-3</v>
      </c>
      <c r="BR267" s="175"/>
      <c r="BS267" s="175">
        <f>'Advanced Inputs'!I272</f>
        <v>626</v>
      </c>
      <c r="BT267" s="175">
        <f>IF('Advanced Inputs'!J$19="Photon system",10^'Advanced Inputs'!J272,'Advanced Inputs'!J272)</f>
        <v>0</v>
      </c>
      <c r="BV267" s="175">
        <v>626</v>
      </c>
      <c r="BW267" s="73">
        <v>147.95699999999999</v>
      </c>
      <c r="BX267" s="73">
        <v>85.052599999999998</v>
      </c>
      <c r="CC267" s="73">
        <v>1</v>
      </c>
    </row>
    <row r="268" spans="8:81" hidden="1" x14ac:dyDescent="0.2">
      <c r="H268" s="73">
        <v>627</v>
      </c>
      <c r="I268" s="168"/>
      <c r="J268" s="168"/>
      <c r="K268" s="168"/>
      <c r="L268" s="168"/>
      <c r="M268" s="168"/>
      <c r="N268" s="168"/>
      <c r="O268" s="168"/>
      <c r="P268" s="168"/>
      <c r="Q268" s="168"/>
      <c r="R268" s="168"/>
      <c r="S268" s="168">
        <v>11.90901875</v>
      </c>
      <c r="T268" s="168"/>
      <c r="V268" s="73">
        <v>627</v>
      </c>
      <c r="W268" s="168"/>
      <c r="X268" s="168"/>
      <c r="Y268" s="168"/>
      <c r="Z268" s="168"/>
      <c r="AA268" s="168"/>
      <c r="AB268" s="168"/>
      <c r="AC268" s="168"/>
      <c r="AD268" s="168"/>
      <c r="AF268" s="73">
        <v>627</v>
      </c>
      <c r="AG268" s="168"/>
      <c r="AH268" s="168"/>
      <c r="AI268" s="168"/>
      <c r="AJ268" s="168"/>
      <c r="AK268" s="168"/>
      <c r="AL268" s="168"/>
      <c r="AM268" s="168"/>
      <c r="AO268" s="74">
        <v>627</v>
      </c>
      <c r="AP268" s="169"/>
      <c r="AQ268" s="169"/>
      <c r="AR268" s="169">
        <v>13.961132394046073</v>
      </c>
      <c r="AS268" s="169"/>
      <c r="AT268" s="169"/>
      <c r="AU268" s="169"/>
      <c r="AV268" s="169"/>
      <c r="AW268" s="169"/>
      <c r="AX268" s="169"/>
      <c r="BP268" s="175">
        <f>Inputs!B271</f>
        <v>627</v>
      </c>
      <c r="BQ268" s="175">
        <f>IF(LEFT(Inputs!$C$11,6)="photon",10^Inputs!C271,Inputs!C271)</f>
        <v>1.0349003554668301E-3</v>
      </c>
      <c r="BR268" s="175"/>
      <c r="BS268" s="175">
        <f>'Advanced Inputs'!I273</f>
        <v>627</v>
      </c>
      <c r="BT268" s="175">
        <f>IF('Advanced Inputs'!J$19="Photon system",10^'Advanced Inputs'!J273,'Advanced Inputs'!J273)</f>
        <v>0</v>
      </c>
      <c r="BV268" s="175">
        <v>627</v>
      </c>
      <c r="BW268" s="73">
        <v>148.678</v>
      </c>
      <c r="BX268" s="73">
        <v>84.611599999999996</v>
      </c>
      <c r="CC268" s="73">
        <v>1</v>
      </c>
    </row>
    <row r="269" spans="8:81" hidden="1" x14ac:dyDescent="0.2">
      <c r="H269" s="73">
        <v>628</v>
      </c>
      <c r="I269" s="168"/>
      <c r="J269" s="168"/>
      <c r="K269" s="168"/>
      <c r="L269" s="168"/>
      <c r="M269" s="168"/>
      <c r="N269" s="168"/>
      <c r="O269" s="168"/>
      <c r="P269" s="168"/>
      <c r="Q269" s="168"/>
      <c r="R269" s="168"/>
      <c r="S269" s="168">
        <v>11.123328125</v>
      </c>
      <c r="T269" s="168"/>
      <c r="V269" s="73">
        <v>628</v>
      </c>
      <c r="W269" s="168"/>
      <c r="X269" s="168"/>
      <c r="Y269" s="168"/>
      <c r="Z269" s="168"/>
      <c r="AA269" s="168"/>
      <c r="AB269" s="168"/>
      <c r="AC269" s="168"/>
      <c r="AD269" s="168"/>
      <c r="AF269" s="73">
        <v>628</v>
      </c>
      <c r="AG269" s="168"/>
      <c r="AH269" s="168"/>
      <c r="AI269" s="168"/>
      <c r="AJ269" s="168"/>
      <c r="AK269" s="168"/>
      <c r="AL269" s="168"/>
      <c r="AM269" s="168"/>
      <c r="AO269" s="74">
        <v>628</v>
      </c>
      <c r="AP269" s="169"/>
      <c r="AQ269" s="169"/>
      <c r="AR269" s="169">
        <v>13.805271608006619</v>
      </c>
      <c r="AS269" s="169"/>
      <c r="AT269" s="169"/>
      <c r="AU269" s="169"/>
      <c r="AV269" s="169"/>
      <c r="AW269" s="169"/>
      <c r="AX269" s="169"/>
      <c r="BP269" s="175">
        <f>Inputs!B272</f>
        <v>628</v>
      </c>
      <c r="BQ269" s="175">
        <f>IF(LEFT(Inputs!$C$11,6)="photon",10^Inputs!C272,Inputs!C272)</f>
        <v>1.0249013182159501E-3</v>
      </c>
      <c r="BR269" s="175"/>
      <c r="BS269" s="175">
        <f>'Advanced Inputs'!I274</f>
        <v>628</v>
      </c>
      <c r="BT269" s="175">
        <f>IF('Advanced Inputs'!J$19="Photon system",10^'Advanced Inputs'!J274,'Advanced Inputs'!J274)</f>
        <v>0</v>
      </c>
      <c r="BV269" s="175">
        <v>628</v>
      </c>
      <c r="BW269" s="73">
        <v>149.398</v>
      </c>
      <c r="BX269" s="73">
        <v>84.170599999999993</v>
      </c>
      <c r="CC269" s="73">
        <v>1</v>
      </c>
    </row>
    <row r="270" spans="8:81" hidden="1" x14ac:dyDescent="0.2">
      <c r="H270" s="73">
        <v>629</v>
      </c>
      <c r="I270" s="168"/>
      <c r="J270" s="168"/>
      <c r="K270" s="168"/>
      <c r="L270" s="168"/>
      <c r="M270" s="168"/>
      <c r="N270" s="168"/>
      <c r="O270" s="168"/>
      <c r="P270" s="168"/>
      <c r="Q270" s="168"/>
      <c r="R270" s="168"/>
      <c r="S270" s="168">
        <v>10.5769982424011</v>
      </c>
      <c r="T270" s="168"/>
      <c r="V270" s="73">
        <v>629</v>
      </c>
      <c r="W270" s="168"/>
      <c r="X270" s="168"/>
      <c r="Y270" s="168"/>
      <c r="Z270" s="168"/>
      <c r="AA270" s="168"/>
      <c r="AB270" s="168"/>
      <c r="AC270" s="168"/>
      <c r="AD270" s="168"/>
      <c r="AF270" s="73">
        <v>629</v>
      </c>
      <c r="AG270" s="168"/>
      <c r="AH270" s="168"/>
      <c r="AI270" s="168"/>
      <c r="AJ270" s="168"/>
      <c r="AK270" s="168"/>
      <c r="AL270" s="168"/>
      <c r="AM270" s="168"/>
      <c r="AO270" s="74">
        <v>629</v>
      </c>
      <c r="AP270" s="169"/>
      <c r="AQ270" s="169"/>
      <c r="AR270" s="169">
        <v>13.646113836672912</v>
      </c>
      <c r="AS270" s="169"/>
      <c r="AT270" s="169"/>
      <c r="AU270" s="169"/>
      <c r="AV270" s="169"/>
      <c r="AW270" s="169"/>
      <c r="AX270" s="169"/>
      <c r="BP270" s="175">
        <f>Inputs!B273</f>
        <v>629</v>
      </c>
      <c r="BQ270" s="175">
        <f>IF(LEFT(Inputs!$C$11,6)="photon",10^Inputs!C273,Inputs!C273)</f>
        <v>1.0149022809650601E-3</v>
      </c>
      <c r="BR270" s="175"/>
      <c r="BS270" s="175">
        <f>'Advanced Inputs'!I275</f>
        <v>629</v>
      </c>
      <c r="BT270" s="175">
        <f>IF('Advanced Inputs'!J$19="Photon system",10^'Advanced Inputs'!J275,'Advanced Inputs'!J275)</f>
        <v>0</v>
      </c>
      <c r="BV270" s="175">
        <v>629</v>
      </c>
      <c r="BW270" s="73">
        <v>150.11699999999999</v>
      </c>
      <c r="BX270" s="73">
        <v>83.729600000000005</v>
      </c>
      <c r="CC270" s="73">
        <v>1</v>
      </c>
    </row>
    <row r="271" spans="8:81" hidden="1" x14ac:dyDescent="0.2">
      <c r="H271" s="73">
        <v>630</v>
      </c>
      <c r="I271" s="168"/>
      <c r="J271" s="168"/>
      <c r="K271" s="168"/>
      <c r="L271" s="168"/>
      <c r="M271" s="168"/>
      <c r="N271" s="168"/>
      <c r="O271" s="168"/>
      <c r="P271" s="168"/>
      <c r="Q271" s="168"/>
      <c r="R271" s="168"/>
      <c r="S271" s="168">
        <v>23.339533647131098</v>
      </c>
      <c r="T271" s="168"/>
      <c r="V271" s="73">
        <v>630</v>
      </c>
      <c r="W271" s="168"/>
      <c r="X271" s="168"/>
      <c r="Y271" s="168"/>
      <c r="Z271" s="168"/>
      <c r="AA271" s="168"/>
      <c r="AB271" s="168"/>
      <c r="AC271" s="168"/>
      <c r="AD271" s="168"/>
      <c r="AF271" s="73">
        <v>630</v>
      </c>
      <c r="AG271" s="168"/>
      <c r="AH271" s="168"/>
      <c r="AI271" s="168"/>
      <c r="AJ271" s="168"/>
      <c r="AK271" s="168"/>
      <c r="AL271" s="168"/>
      <c r="AM271" s="168"/>
      <c r="AO271" s="74">
        <v>630</v>
      </c>
      <c r="AP271" s="169"/>
      <c r="AQ271" s="169"/>
      <c r="AR271" s="169">
        <v>13.483608186061263</v>
      </c>
      <c r="AS271" s="169"/>
      <c r="AT271" s="169"/>
      <c r="AU271" s="169"/>
      <c r="AV271" s="169"/>
      <c r="AW271" s="169"/>
      <c r="AX271" s="169"/>
      <c r="BP271" s="175">
        <f>Inputs!B274</f>
        <v>630</v>
      </c>
      <c r="BQ271" s="175">
        <f>IF(LEFT(Inputs!$C$11,6)="photon",10^Inputs!C274,Inputs!C274)</f>
        <v>1.0149022809650601E-3</v>
      </c>
      <c r="BR271" s="175"/>
      <c r="BS271" s="175">
        <f>'Advanced Inputs'!I276</f>
        <v>630</v>
      </c>
      <c r="BT271" s="175">
        <f>IF('Advanced Inputs'!J$19="Photon system",10^'Advanced Inputs'!J276,'Advanced Inputs'!J276)</f>
        <v>0</v>
      </c>
      <c r="BV271" s="175">
        <v>630</v>
      </c>
      <c r="BW271" s="73">
        <v>150.83600000000001</v>
      </c>
      <c r="BX271" s="73">
        <v>83.288600000000002</v>
      </c>
      <c r="CC271" s="73">
        <v>1</v>
      </c>
    </row>
    <row r="272" spans="8:81" hidden="1" x14ac:dyDescent="0.2">
      <c r="H272" s="73">
        <v>631</v>
      </c>
      <c r="I272" s="168"/>
      <c r="J272" s="168"/>
      <c r="K272" s="168"/>
      <c r="L272" s="168"/>
      <c r="M272" s="168"/>
      <c r="N272" s="168"/>
      <c r="O272" s="168"/>
      <c r="P272" s="168"/>
      <c r="Q272" s="168"/>
      <c r="R272" s="168"/>
      <c r="S272" s="168">
        <v>8.8076770641931628</v>
      </c>
      <c r="T272" s="168"/>
      <c r="V272" s="73">
        <v>631</v>
      </c>
      <c r="W272" s="168"/>
      <c r="X272" s="168"/>
      <c r="Y272" s="168"/>
      <c r="Z272" s="168"/>
      <c r="AA272" s="168"/>
      <c r="AB272" s="168"/>
      <c r="AC272" s="168"/>
      <c r="AD272" s="168"/>
      <c r="AF272" s="73">
        <v>631</v>
      </c>
      <c r="AG272" s="168"/>
      <c r="AH272" s="168"/>
      <c r="AI272" s="168"/>
      <c r="AJ272" s="168"/>
      <c r="AK272" s="168"/>
      <c r="AL272" s="168"/>
      <c r="AM272" s="168"/>
      <c r="AO272" s="74">
        <v>631</v>
      </c>
      <c r="AP272" s="169"/>
      <c r="AQ272" s="169"/>
      <c r="AR272" s="169">
        <v>13.317521344349105</v>
      </c>
      <c r="AS272" s="169"/>
      <c r="AT272" s="169"/>
      <c r="AU272" s="169"/>
      <c r="AV272" s="169"/>
      <c r="AW272" s="169"/>
      <c r="AX272" s="169"/>
      <c r="BP272" s="175">
        <f>Inputs!B275</f>
        <v>631</v>
      </c>
      <c r="BQ272" s="175">
        <f>IF(LEFT(Inputs!$C$11,6)="photon",10^Inputs!C275,Inputs!C275)</f>
        <v>1.0199017995905001E-3</v>
      </c>
      <c r="BR272" s="175"/>
      <c r="BS272" s="175">
        <f>'Advanced Inputs'!I277</f>
        <v>631</v>
      </c>
      <c r="BT272" s="175">
        <f>IF('Advanced Inputs'!J$19="Photon system",10^'Advanced Inputs'!J277,'Advanced Inputs'!J277)</f>
        <v>0</v>
      </c>
      <c r="BV272" s="175">
        <v>631</v>
      </c>
      <c r="BW272" s="73">
        <v>151.554</v>
      </c>
      <c r="BX272" s="73">
        <v>83.329700000000003</v>
      </c>
      <c r="CC272" s="73">
        <v>1</v>
      </c>
    </row>
    <row r="273" spans="8:81" hidden="1" x14ac:dyDescent="0.2">
      <c r="H273" s="73">
        <v>632</v>
      </c>
      <c r="I273" s="168"/>
      <c r="J273" s="168"/>
      <c r="K273" s="168"/>
      <c r="L273" s="168"/>
      <c r="M273" s="168"/>
      <c r="N273" s="168"/>
      <c r="O273" s="168"/>
      <c r="P273" s="168"/>
      <c r="Q273" s="168"/>
      <c r="R273" s="168"/>
      <c r="S273" s="168">
        <v>7.6238881249999997</v>
      </c>
      <c r="T273" s="168"/>
      <c r="V273" s="73">
        <v>632</v>
      </c>
      <c r="W273" s="168"/>
      <c r="X273" s="168"/>
      <c r="Y273" s="168"/>
      <c r="Z273" s="168"/>
      <c r="AA273" s="168"/>
      <c r="AB273" s="168"/>
      <c r="AC273" s="168"/>
      <c r="AD273" s="168"/>
      <c r="AF273" s="73">
        <v>632</v>
      </c>
      <c r="AG273" s="168"/>
      <c r="AH273" s="168"/>
      <c r="AI273" s="168"/>
      <c r="AJ273" s="168"/>
      <c r="AK273" s="168"/>
      <c r="AL273" s="168"/>
      <c r="AM273" s="168"/>
      <c r="AO273" s="74">
        <v>632</v>
      </c>
      <c r="AP273" s="169"/>
      <c r="AQ273" s="169"/>
      <c r="AR273" s="169">
        <v>13.148170274121084</v>
      </c>
      <c r="AS273" s="169"/>
      <c r="AT273" s="169"/>
      <c r="AU273" s="169"/>
      <c r="AV273" s="169"/>
      <c r="AW273" s="169"/>
      <c r="AX273" s="169"/>
      <c r="BP273" s="175">
        <f>Inputs!B276</f>
        <v>632</v>
      </c>
      <c r="BQ273" s="175">
        <f>IF(LEFT(Inputs!$C$11,6)="photon",10^Inputs!C276,Inputs!C276)</f>
        <v>1.0299008368413901E-3</v>
      </c>
      <c r="BR273" s="175"/>
      <c r="BS273" s="175">
        <f>'Advanced Inputs'!I278</f>
        <v>632</v>
      </c>
      <c r="BT273" s="175">
        <f>IF('Advanced Inputs'!J$19="Photon system",10^'Advanced Inputs'!J278,'Advanced Inputs'!J278)</f>
        <v>0</v>
      </c>
      <c r="BV273" s="175">
        <v>632</v>
      </c>
      <c r="BW273" s="73">
        <v>152.27099999999999</v>
      </c>
      <c r="BX273" s="73">
        <v>83.370699999999999</v>
      </c>
      <c r="CC273" s="73">
        <v>1</v>
      </c>
    </row>
    <row r="274" spans="8:81" hidden="1" x14ac:dyDescent="0.2">
      <c r="H274" s="73">
        <v>633</v>
      </c>
      <c r="I274" s="168"/>
      <c r="J274" s="168"/>
      <c r="K274" s="168"/>
      <c r="L274" s="168"/>
      <c r="M274" s="168"/>
      <c r="N274" s="168"/>
      <c r="O274" s="168"/>
      <c r="P274" s="168"/>
      <c r="Q274" s="168"/>
      <c r="R274" s="168"/>
      <c r="S274" s="168">
        <v>6.7596587500000007</v>
      </c>
      <c r="T274" s="168"/>
      <c r="V274" s="73">
        <v>633</v>
      </c>
      <c r="W274" s="168"/>
      <c r="X274" s="168"/>
      <c r="Y274" s="168"/>
      <c r="Z274" s="168"/>
      <c r="AA274" s="168"/>
      <c r="AB274" s="168"/>
      <c r="AC274" s="168"/>
      <c r="AD274" s="168"/>
      <c r="AF274" s="73">
        <v>633</v>
      </c>
      <c r="AG274" s="168"/>
      <c r="AH274" s="168"/>
      <c r="AI274" s="168"/>
      <c r="AJ274" s="168"/>
      <c r="AK274" s="168"/>
      <c r="AL274" s="168"/>
      <c r="AM274" s="168"/>
      <c r="AO274" s="74">
        <v>633</v>
      </c>
      <c r="AP274" s="169"/>
      <c r="AQ274" s="169"/>
      <c r="AR274" s="169">
        <v>12.975107572429989</v>
      </c>
      <c r="AS274" s="169"/>
      <c r="AT274" s="169"/>
      <c r="AU274" s="169"/>
      <c r="AV274" s="169"/>
      <c r="AW274" s="169"/>
      <c r="AX274" s="169"/>
      <c r="BP274" s="175">
        <f>Inputs!B277</f>
        <v>633</v>
      </c>
      <c r="BQ274" s="175">
        <f>IF(LEFT(Inputs!$C$11,6)="photon",10^Inputs!C277,Inputs!C277)</f>
        <v>1.0398998740922801E-3</v>
      </c>
      <c r="BR274" s="175"/>
      <c r="BS274" s="175">
        <f>'Advanced Inputs'!I279</f>
        <v>633</v>
      </c>
      <c r="BT274" s="175">
        <f>IF('Advanced Inputs'!J$19="Photon system",10^'Advanced Inputs'!J279,'Advanced Inputs'!J279)</f>
        <v>0</v>
      </c>
      <c r="BV274" s="175">
        <v>633</v>
      </c>
      <c r="BW274" s="73">
        <v>152.988</v>
      </c>
      <c r="BX274" s="73">
        <v>83.411799999999999</v>
      </c>
      <c r="CC274" s="73">
        <v>1</v>
      </c>
    </row>
    <row r="275" spans="8:81" hidden="1" x14ac:dyDescent="0.2">
      <c r="H275" s="73">
        <v>634</v>
      </c>
      <c r="I275" s="168"/>
      <c r="J275" s="168"/>
      <c r="K275" s="168"/>
      <c r="L275" s="168"/>
      <c r="M275" s="168"/>
      <c r="N275" s="168"/>
      <c r="O275" s="168"/>
      <c r="P275" s="168"/>
      <c r="Q275" s="168"/>
      <c r="R275" s="168"/>
      <c r="S275" s="168">
        <v>5.9172354687500004</v>
      </c>
      <c r="T275" s="168"/>
      <c r="V275" s="73">
        <v>634</v>
      </c>
      <c r="W275" s="168"/>
      <c r="X275" s="168"/>
      <c r="Y275" s="168"/>
      <c r="Z275" s="168"/>
      <c r="AA275" s="168"/>
      <c r="AB275" s="168"/>
      <c r="AC275" s="168"/>
      <c r="AD275" s="168"/>
      <c r="AF275" s="73">
        <v>634</v>
      </c>
      <c r="AG275" s="168"/>
      <c r="AH275" s="168"/>
      <c r="AI275" s="168"/>
      <c r="AJ275" s="168"/>
      <c r="AK275" s="168"/>
      <c r="AL275" s="168"/>
      <c r="AM275" s="168"/>
      <c r="AO275" s="74">
        <v>634</v>
      </c>
      <c r="AP275" s="169"/>
      <c r="AQ275" s="169"/>
      <c r="AR275" s="169">
        <v>12.799661901741661</v>
      </c>
      <c r="AS275" s="169"/>
      <c r="AT275" s="169"/>
      <c r="AU275" s="169"/>
      <c r="AV275" s="169"/>
      <c r="AW275" s="169"/>
      <c r="AX275" s="169"/>
      <c r="BP275" s="175">
        <f>Inputs!B278</f>
        <v>634</v>
      </c>
      <c r="BQ275" s="175">
        <f>IF(LEFT(Inputs!$C$11,6)="photon",10^Inputs!C278,Inputs!C278)</f>
        <v>1.04989891134317E-3</v>
      </c>
      <c r="BR275" s="175"/>
      <c r="BS275" s="175">
        <f>'Advanced Inputs'!I280</f>
        <v>634</v>
      </c>
      <c r="BT275" s="175">
        <f>IF('Advanced Inputs'!J$19="Photon system",10^'Advanced Inputs'!J280,'Advanced Inputs'!J280)</f>
        <v>0</v>
      </c>
      <c r="BV275" s="175">
        <v>634</v>
      </c>
      <c r="BW275" s="73">
        <v>153.70400000000001</v>
      </c>
      <c r="BX275" s="73">
        <v>83.452799999999996</v>
      </c>
      <c r="CC275" s="73">
        <v>1</v>
      </c>
    </row>
    <row r="276" spans="8:81" hidden="1" x14ac:dyDescent="0.2">
      <c r="H276" s="73">
        <v>635</v>
      </c>
      <c r="I276" s="168"/>
      <c r="J276" s="168"/>
      <c r="K276" s="168"/>
      <c r="L276" s="168"/>
      <c r="M276" s="168"/>
      <c r="N276" s="168"/>
      <c r="O276" s="168"/>
      <c r="P276" s="168"/>
      <c r="Q276" s="168"/>
      <c r="R276" s="168"/>
      <c r="S276" s="168">
        <v>5.1100000000000003</v>
      </c>
      <c r="T276" s="168"/>
      <c r="V276" s="73">
        <v>635</v>
      </c>
      <c r="W276" s="168"/>
      <c r="X276" s="168"/>
      <c r="Y276" s="168"/>
      <c r="Z276" s="168"/>
      <c r="AA276" s="168"/>
      <c r="AB276" s="168"/>
      <c r="AC276" s="168"/>
      <c r="AD276" s="168"/>
      <c r="AF276" s="73">
        <v>635</v>
      </c>
      <c r="AG276" s="168"/>
      <c r="AH276" s="168"/>
      <c r="AI276" s="168"/>
      <c r="AJ276" s="168"/>
      <c r="AK276" s="168"/>
      <c r="AL276" s="168"/>
      <c r="AM276" s="168"/>
      <c r="AO276" s="74">
        <v>635</v>
      </c>
      <c r="AP276" s="169"/>
      <c r="AQ276" s="169"/>
      <c r="AR276" s="169">
        <v>12.622637256360349</v>
      </c>
      <c r="AS276" s="169"/>
      <c r="AT276" s="169"/>
      <c r="AU276" s="169"/>
      <c r="AV276" s="169"/>
      <c r="AW276" s="169"/>
      <c r="AX276" s="169"/>
      <c r="BP276" s="175">
        <f>Inputs!B279</f>
        <v>635</v>
      </c>
      <c r="BQ276" s="175">
        <f>IF(LEFT(Inputs!$C$11,6)="photon",10^Inputs!C279,Inputs!C279)</f>
        <v>1.0548984299686101E-3</v>
      </c>
      <c r="BR276" s="175"/>
      <c r="BS276" s="175">
        <f>'Advanced Inputs'!I281</f>
        <v>635</v>
      </c>
      <c r="BT276" s="175">
        <f>IF('Advanced Inputs'!J$19="Photon system",10^'Advanced Inputs'!J281,'Advanced Inputs'!J281)</f>
        <v>0</v>
      </c>
      <c r="BV276" s="175">
        <v>635</v>
      </c>
      <c r="BW276" s="73">
        <v>154.41800000000001</v>
      </c>
      <c r="BX276" s="73">
        <v>83.493899999999996</v>
      </c>
      <c r="CC276" s="73">
        <v>1</v>
      </c>
    </row>
    <row r="277" spans="8:81" hidden="1" x14ac:dyDescent="0.2">
      <c r="H277" s="73">
        <v>636</v>
      </c>
      <c r="I277" s="168"/>
      <c r="J277" s="168"/>
      <c r="K277" s="168"/>
      <c r="L277" s="168"/>
      <c r="M277" s="168"/>
      <c r="N277" s="168"/>
      <c r="O277" s="168"/>
      <c r="P277" s="168"/>
      <c r="Q277" s="168"/>
      <c r="R277" s="168"/>
      <c r="S277" s="168">
        <v>4.3377965624999995</v>
      </c>
      <c r="T277" s="168"/>
      <c r="V277" s="73">
        <v>636</v>
      </c>
      <c r="W277" s="168"/>
      <c r="X277" s="168"/>
      <c r="Y277" s="168"/>
      <c r="Z277" s="168"/>
      <c r="AA277" s="168"/>
      <c r="AB277" s="168"/>
      <c r="AC277" s="168"/>
      <c r="AD277" s="168"/>
      <c r="AF277" s="73">
        <v>636</v>
      </c>
      <c r="AG277" s="168"/>
      <c r="AH277" s="168"/>
      <c r="AI277" s="168"/>
      <c r="AJ277" s="168"/>
      <c r="AK277" s="168"/>
      <c r="AL277" s="168"/>
      <c r="AM277" s="168"/>
      <c r="AO277" s="74">
        <v>636</v>
      </c>
      <c r="AP277" s="169"/>
      <c r="AQ277" s="169"/>
      <c r="AR277" s="169">
        <v>12.44347636954846</v>
      </c>
      <c r="AS277" s="169"/>
      <c r="AT277" s="169"/>
      <c r="AU277" s="169"/>
      <c r="AV277" s="169"/>
      <c r="AW277" s="169"/>
      <c r="AX277" s="169"/>
      <c r="BP277" s="175">
        <f>Inputs!B280</f>
        <v>636</v>
      </c>
      <c r="BQ277" s="175">
        <f>IF(LEFT(Inputs!$C$11,6)="photon",10^Inputs!C280,Inputs!C280)</f>
        <v>1.0598979485940501E-3</v>
      </c>
      <c r="BR277" s="175"/>
      <c r="BS277" s="175">
        <f>'Advanced Inputs'!I282</f>
        <v>636</v>
      </c>
      <c r="BT277" s="175">
        <f>IF('Advanced Inputs'!J$19="Photon system",10^'Advanced Inputs'!J282,'Advanced Inputs'!J282)</f>
        <v>0</v>
      </c>
      <c r="BV277" s="175">
        <v>636</v>
      </c>
      <c r="BW277" s="73">
        <v>155.13200000000001</v>
      </c>
      <c r="BX277" s="73">
        <v>83.534999999999997</v>
      </c>
      <c r="CC277" s="73">
        <v>1</v>
      </c>
    </row>
    <row r="278" spans="8:81" hidden="1" x14ac:dyDescent="0.2">
      <c r="H278" s="73">
        <v>637</v>
      </c>
      <c r="I278" s="168"/>
      <c r="J278" s="168"/>
      <c r="K278" s="168"/>
      <c r="L278" s="168"/>
      <c r="M278" s="168"/>
      <c r="N278" s="168"/>
      <c r="O278" s="168"/>
      <c r="P278" s="168"/>
      <c r="Q278" s="168"/>
      <c r="R278" s="168"/>
      <c r="S278" s="168">
        <v>3.6309287500000003</v>
      </c>
      <c r="T278" s="168"/>
      <c r="V278" s="73">
        <v>637</v>
      </c>
      <c r="W278" s="168"/>
      <c r="X278" s="168"/>
      <c r="Y278" s="168"/>
      <c r="Z278" s="168"/>
      <c r="AA278" s="168"/>
      <c r="AB278" s="168"/>
      <c r="AC278" s="168"/>
      <c r="AD278" s="168"/>
      <c r="AF278" s="73">
        <v>637</v>
      </c>
      <c r="AG278" s="168"/>
      <c r="AH278" s="168"/>
      <c r="AI278" s="168"/>
      <c r="AJ278" s="168"/>
      <c r="AK278" s="168"/>
      <c r="AL278" s="168"/>
      <c r="AM278" s="168"/>
      <c r="AO278" s="74">
        <v>637</v>
      </c>
      <c r="AP278" s="169"/>
      <c r="AQ278" s="169"/>
      <c r="AR278" s="169">
        <v>12.26265531990304</v>
      </c>
      <c r="AS278" s="169"/>
      <c r="AT278" s="169"/>
      <c r="AU278" s="169"/>
      <c r="AV278" s="169"/>
      <c r="AW278" s="169"/>
      <c r="AX278" s="169"/>
      <c r="BP278" s="175">
        <f>Inputs!B281</f>
        <v>637</v>
      </c>
      <c r="BQ278" s="175">
        <f>IF(LEFT(Inputs!$C$11,6)="photon",10^Inputs!C281,Inputs!C281)</f>
        <v>1.0648974672195E-3</v>
      </c>
      <c r="BR278" s="175"/>
      <c r="BS278" s="175">
        <f>'Advanced Inputs'!I283</f>
        <v>637</v>
      </c>
      <c r="BT278" s="175">
        <f>IF('Advanced Inputs'!J$19="Photon system",10^'Advanced Inputs'!J283,'Advanced Inputs'!J283)</f>
        <v>0</v>
      </c>
      <c r="BV278" s="175">
        <v>637</v>
      </c>
      <c r="BW278" s="73">
        <v>155.845</v>
      </c>
      <c r="BX278" s="73">
        <v>83.575999999999993</v>
      </c>
      <c r="CC278" s="73">
        <v>1</v>
      </c>
    </row>
    <row r="279" spans="8:81" hidden="1" x14ac:dyDescent="0.2">
      <c r="H279" s="73">
        <v>638</v>
      </c>
      <c r="I279" s="168"/>
      <c r="J279" s="168"/>
      <c r="K279" s="168"/>
      <c r="L279" s="168"/>
      <c r="M279" s="168"/>
      <c r="N279" s="168"/>
      <c r="O279" s="168"/>
      <c r="P279" s="168"/>
      <c r="Q279" s="168"/>
      <c r="R279" s="168"/>
      <c r="S279" s="168">
        <v>3.0061626562500003</v>
      </c>
      <c r="T279" s="168"/>
      <c r="V279" s="73">
        <v>638</v>
      </c>
      <c r="W279" s="168"/>
      <c r="X279" s="168"/>
      <c r="Y279" s="168"/>
      <c r="Z279" s="168"/>
      <c r="AA279" s="168"/>
      <c r="AB279" s="168"/>
      <c r="AC279" s="168"/>
      <c r="AD279" s="168"/>
      <c r="AF279" s="73">
        <v>638</v>
      </c>
      <c r="AG279" s="168"/>
      <c r="AH279" s="168"/>
      <c r="AI279" s="168"/>
      <c r="AJ279" s="168"/>
      <c r="AK279" s="168"/>
      <c r="AL279" s="168"/>
      <c r="AM279" s="168"/>
      <c r="AO279" s="74">
        <v>638</v>
      </c>
      <c r="AP279" s="169"/>
      <c r="AQ279" s="169"/>
      <c r="AR279" s="169">
        <v>12.080015765749954</v>
      </c>
      <c r="AS279" s="169"/>
      <c r="AT279" s="169"/>
      <c r="AU279" s="169"/>
      <c r="AV279" s="169"/>
      <c r="AW279" s="169"/>
      <c r="AX279" s="169"/>
      <c r="BP279" s="175">
        <f>Inputs!B282</f>
        <v>638</v>
      </c>
      <c r="BQ279" s="175">
        <f>IF(LEFT(Inputs!$C$11,6)="photon",10^Inputs!C282,Inputs!C282)</f>
        <v>1.0698969858449401E-3</v>
      </c>
      <c r="BR279" s="175"/>
      <c r="BS279" s="175">
        <f>'Advanced Inputs'!I284</f>
        <v>638</v>
      </c>
      <c r="BT279" s="175">
        <f>IF('Advanced Inputs'!J$19="Photon system",10^'Advanced Inputs'!J284,'Advanced Inputs'!J284)</f>
        <v>0</v>
      </c>
      <c r="BV279" s="175">
        <v>638</v>
      </c>
      <c r="BW279" s="73">
        <v>156.55799999999999</v>
      </c>
      <c r="BX279" s="73">
        <v>83.617099999999994</v>
      </c>
      <c r="CC279" s="73">
        <v>1</v>
      </c>
    </row>
    <row r="280" spans="8:81" hidden="1" x14ac:dyDescent="0.2">
      <c r="H280" s="73">
        <v>639</v>
      </c>
      <c r="I280" s="168"/>
      <c r="J280" s="168"/>
      <c r="K280" s="168"/>
      <c r="L280" s="168"/>
      <c r="M280" s="168"/>
      <c r="N280" s="168"/>
      <c r="O280" s="168"/>
      <c r="P280" s="168"/>
      <c r="Q280" s="168"/>
      <c r="R280" s="168"/>
      <c r="S280" s="168">
        <v>2.480264375</v>
      </c>
      <c r="T280" s="168"/>
      <c r="V280" s="73">
        <v>639</v>
      </c>
      <c r="W280" s="168"/>
      <c r="X280" s="168"/>
      <c r="Y280" s="168"/>
      <c r="Z280" s="168"/>
      <c r="AA280" s="168"/>
      <c r="AB280" s="168"/>
      <c r="AC280" s="168"/>
      <c r="AD280" s="168"/>
      <c r="AF280" s="73">
        <v>639</v>
      </c>
      <c r="AG280" s="168"/>
      <c r="AH280" s="168"/>
      <c r="AI280" s="168"/>
      <c r="AJ280" s="168"/>
      <c r="AK280" s="168"/>
      <c r="AL280" s="168"/>
      <c r="AM280" s="168"/>
      <c r="AO280" s="74">
        <v>639</v>
      </c>
      <c r="AP280" s="169"/>
      <c r="AQ280" s="169"/>
      <c r="AR280" s="169">
        <v>11.896214535712694</v>
      </c>
      <c r="AS280" s="169"/>
      <c r="AT280" s="169"/>
      <c r="AU280" s="169"/>
      <c r="AV280" s="169"/>
      <c r="AW280" s="169"/>
      <c r="AX280" s="169"/>
      <c r="BP280" s="175">
        <f>Inputs!B283</f>
        <v>639</v>
      </c>
      <c r="BQ280" s="175">
        <f>IF(LEFT(Inputs!$C$11,6)="photon",10^Inputs!C283,Inputs!C283)</f>
        <v>1.0648974672195E-3</v>
      </c>
      <c r="BR280" s="175"/>
      <c r="BS280" s="175">
        <f>'Advanced Inputs'!I285</f>
        <v>639</v>
      </c>
      <c r="BT280" s="175">
        <f>IF('Advanced Inputs'!J$19="Photon system",10^'Advanced Inputs'!J285,'Advanced Inputs'!J285)</f>
        <v>0</v>
      </c>
      <c r="BV280" s="175">
        <v>639</v>
      </c>
      <c r="BW280" s="73">
        <v>157.26900000000001</v>
      </c>
      <c r="BX280" s="73">
        <v>83.658100000000005</v>
      </c>
      <c r="CC280" s="73">
        <v>1</v>
      </c>
    </row>
    <row r="281" spans="8:81" hidden="1" x14ac:dyDescent="0.2">
      <c r="H281" s="73">
        <v>640</v>
      </c>
      <c r="I281" s="168"/>
      <c r="J281" s="168"/>
      <c r="K281" s="168"/>
      <c r="L281" s="168"/>
      <c r="M281" s="168"/>
      <c r="N281" s="168"/>
      <c r="O281" s="168"/>
      <c r="P281" s="168"/>
      <c r="Q281" s="168"/>
      <c r="R281" s="168"/>
      <c r="S281" s="168">
        <v>2.0699999999999998</v>
      </c>
      <c r="T281" s="168"/>
      <c r="V281" s="73">
        <v>640</v>
      </c>
      <c r="W281" s="168"/>
      <c r="X281" s="168"/>
      <c r="Y281" s="168"/>
      <c r="Z281" s="168"/>
      <c r="AA281" s="168"/>
      <c r="AB281" s="168"/>
      <c r="AC281" s="168"/>
      <c r="AD281" s="168"/>
      <c r="AF281" s="73">
        <v>640</v>
      </c>
      <c r="AG281" s="168"/>
      <c r="AH281" s="168"/>
      <c r="AI281" s="168"/>
      <c r="AJ281" s="168"/>
      <c r="AK281" s="168"/>
      <c r="AL281" s="168"/>
      <c r="AM281" s="168"/>
      <c r="AO281" s="74">
        <v>640</v>
      </c>
      <c r="AP281" s="169"/>
      <c r="AQ281" s="169"/>
      <c r="AR281" s="169">
        <v>11.712204538193783</v>
      </c>
      <c r="AS281" s="169"/>
      <c r="AT281" s="169"/>
      <c r="AU281" s="169"/>
      <c r="AV281" s="169"/>
      <c r="AW281" s="169"/>
      <c r="AX281" s="169"/>
      <c r="BP281" s="175">
        <f>Inputs!B284</f>
        <v>640</v>
      </c>
      <c r="BQ281" s="175">
        <f>IF(LEFT(Inputs!$C$11,6)="photon",10^Inputs!C284,Inputs!C284)</f>
        <v>1.0648974672195E-3</v>
      </c>
      <c r="BR281" s="175"/>
      <c r="BS281" s="175">
        <f>'Advanced Inputs'!I286</f>
        <v>640</v>
      </c>
      <c r="BT281" s="175">
        <f>IF('Advanced Inputs'!J$19="Photon system",10^'Advanced Inputs'!J286,'Advanced Inputs'!J286)</f>
        <v>0</v>
      </c>
      <c r="BV281" s="175">
        <v>640</v>
      </c>
      <c r="BW281" s="73">
        <v>157.97900000000001</v>
      </c>
      <c r="BX281" s="73">
        <v>83.699200000000005</v>
      </c>
      <c r="CC281" s="73">
        <v>1</v>
      </c>
    </row>
    <row r="282" spans="8:81" hidden="1" x14ac:dyDescent="0.2">
      <c r="H282" s="73">
        <v>641</v>
      </c>
      <c r="I282" s="168"/>
      <c r="J282" s="168"/>
      <c r="K282" s="168"/>
      <c r="L282" s="168"/>
      <c r="M282" s="168"/>
      <c r="N282" s="168"/>
      <c r="O282" s="168"/>
      <c r="P282" s="168"/>
      <c r="Q282" s="168"/>
      <c r="R282" s="168"/>
      <c r="S282" s="168">
        <v>1.9340799999999998</v>
      </c>
      <c r="T282" s="168"/>
      <c r="V282" s="73">
        <v>641</v>
      </c>
      <c r="W282" s="168"/>
      <c r="X282" s="168"/>
      <c r="Y282" s="168"/>
      <c r="Z282" s="168"/>
      <c r="AA282" s="168"/>
      <c r="AB282" s="168"/>
      <c r="AC282" s="168"/>
      <c r="AD282" s="168"/>
      <c r="AF282" s="73">
        <v>641</v>
      </c>
      <c r="AG282" s="168"/>
      <c r="AH282" s="168"/>
      <c r="AI282" s="168"/>
      <c r="AJ282" s="168"/>
      <c r="AK282" s="168"/>
      <c r="AL282" s="168"/>
      <c r="AM282" s="168"/>
      <c r="AO282" s="74">
        <v>641</v>
      </c>
      <c r="AP282" s="169"/>
      <c r="AQ282" s="169"/>
      <c r="AR282" s="169">
        <v>11.526893572889284</v>
      </c>
      <c r="AS282" s="169"/>
      <c r="AT282" s="169"/>
      <c r="AU282" s="169"/>
      <c r="AV282" s="169"/>
      <c r="AW282" s="169"/>
      <c r="AX282" s="169"/>
      <c r="BP282" s="175">
        <f>Inputs!B285</f>
        <v>641</v>
      </c>
      <c r="BQ282" s="175">
        <f>IF(LEFT(Inputs!$C$11,6)="photon",10^Inputs!C285,Inputs!C285)</f>
        <v>1.0648974672195E-3</v>
      </c>
      <c r="BR282" s="175"/>
      <c r="BS282" s="175">
        <f>'Advanced Inputs'!I287</f>
        <v>641</v>
      </c>
      <c r="BT282" s="175">
        <f>IF('Advanced Inputs'!J$19="Photon system",10^'Advanced Inputs'!J287,'Advanced Inputs'!J287)</f>
        <v>0</v>
      </c>
      <c r="BV282" s="175">
        <v>641</v>
      </c>
      <c r="BW282" s="73">
        <v>158.68899999999999</v>
      </c>
      <c r="BX282" s="73">
        <v>83.331999999999994</v>
      </c>
      <c r="CC282" s="73">
        <v>1</v>
      </c>
    </row>
    <row r="283" spans="8:81" hidden="1" x14ac:dyDescent="0.2">
      <c r="H283" s="73">
        <v>642</v>
      </c>
      <c r="I283" s="168"/>
      <c r="J283" s="168"/>
      <c r="K283" s="168"/>
      <c r="L283" s="168"/>
      <c r="M283" s="168"/>
      <c r="N283" s="168"/>
      <c r="O283" s="168"/>
      <c r="P283" s="168"/>
      <c r="Q283" s="168"/>
      <c r="R283" s="168"/>
      <c r="S283" s="168">
        <v>1.91184</v>
      </c>
      <c r="T283" s="168"/>
      <c r="V283" s="73">
        <v>642</v>
      </c>
      <c r="W283" s="168"/>
      <c r="X283" s="168"/>
      <c r="Y283" s="168"/>
      <c r="Z283" s="168"/>
      <c r="AA283" s="168"/>
      <c r="AB283" s="168"/>
      <c r="AC283" s="168"/>
      <c r="AD283" s="168"/>
      <c r="AF283" s="73">
        <v>642</v>
      </c>
      <c r="AG283" s="168"/>
      <c r="AH283" s="168"/>
      <c r="AI283" s="168"/>
      <c r="AJ283" s="168"/>
      <c r="AK283" s="168"/>
      <c r="AL283" s="168"/>
      <c r="AM283" s="168"/>
      <c r="AO283" s="74">
        <v>642</v>
      </c>
      <c r="AP283" s="169"/>
      <c r="AQ283" s="169"/>
      <c r="AR283" s="169">
        <v>11.340979973374816</v>
      </c>
      <c r="AS283" s="169"/>
      <c r="AT283" s="169"/>
      <c r="AU283" s="169"/>
      <c r="AV283" s="169"/>
      <c r="AW283" s="169"/>
      <c r="AX283" s="169"/>
      <c r="BP283" s="175">
        <f>Inputs!B286</f>
        <v>642</v>
      </c>
      <c r="BQ283" s="175">
        <f>IF(LEFT(Inputs!$C$11,6)="photon",10^Inputs!C286,Inputs!C286)</f>
        <v>1.0648974672195E-3</v>
      </c>
      <c r="BR283" s="175"/>
      <c r="BS283" s="175">
        <f>'Advanced Inputs'!I288</f>
        <v>642</v>
      </c>
      <c r="BT283" s="175">
        <f>IF('Advanced Inputs'!J$19="Photon system",10^'Advanced Inputs'!J288,'Advanced Inputs'!J288)</f>
        <v>0</v>
      </c>
      <c r="BV283" s="175">
        <v>642</v>
      </c>
      <c r="BW283" s="73">
        <v>159.39699999999999</v>
      </c>
      <c r="BX283" s="73">
        <v>82.964699999999993</v>
      </c>
      <c r="CC283" s="73">
        <v>1</v>
      </c>
    </row>
    <row r="284" spans="8:81" hidden="1" x14ac:dyDescent="0.2">
      <c r="H284" s="73">
        <v>643</v>
      </c>
      <c r="I284" s="168"/>
      <c r="J284" s="168"/>
      <c r="K284" s="168"/>
      <c r="L284" s="168"/>
      <c r="M284" s="168"/>
      <c r="N284" s="168"/>
      <c r="O284" s="168"/>
      <c r="P284" s="168"/>
      <c r="Q284" s="168"/>
      <c r="R284" s="168"/>
      <c r="S284" s="168">
        <v>1.9845600000000001</v>
      </c>
      <c r="T284" s="168"/>
      <c r="V284" s="73">
        <v>643</v>
      </c>
      <c r="W284" s="168"/>
      <c r="X284" s="168"/>
      <c r="Y284" s="168"/>
      <c r="Z284" s="168"/>
      <c r="AA284" s="168"/>
      <c r="AB284" s="168"/>
      <c r="AC284" s="168"/>
      <c r="AD284" s="168"/>
      <c r="AF284" s="73">
        <v>643</v>
      </c>
      <c r="AG284" s="168"/>
      <c r="AH284" s="168"/>
      <c r="AI284" s="168"/>
      <c r="AJ284" s="168"/>
      <c r="AK284" s="168"/>
      <c r="AL284" s="168"/>
      <c r="AM284" s="168"/>
      <c r="AO284" s="74">
        <v>643</v>
      </c>
      <c r="AP284" s="169"/>
      <c r="AQ284" s="169"/>
      <c r="AR284" s="169">
        <v>11.15406885643119</v>
      </c>
      <c r="AS284" s="169"/>
      <c r="AT284" s="169"/>
      <c r="AU284" s="169"/>
      <c r="AV284" s="169"/>
      <c r="AW284" s="169"/>
      <c r="AX284" s="169"/>
      <c r="BP284" s="175">
        <f>Inputs!B287</f>
        <v>643</v>
      </c>
      <c r="BQ284" s="175">
        <f>IF(LEFT(Inputs!$C$11,6)="photon",10^Inputs!C287,Inputs!C287)</f>
        <v>1.0598979485940501E-3</v>
      </c>
      <c r="BR284" s="175"/>
      <c r="BS284" s="175">
        <f>'Advanced Inputs'!I289</f>
        <v>643</v>
      </c>
      <c r="BT284" s="175">
        <f>IF('Advanced Inputs'!J$19="Photon system",10^'Advanced Inputs'!J289,'Advanced Inputs'!J289)</f>
        <v>0</v>
      </c>
      <c r="BV284" s="175">
        <v>643</v>
      </c>
      <c r="BW284" s="73">
        <v>160.10400000000001</v>
      </c>
      <c r="BX284" s="73">
        <v>82.597499999999997</v>
      </c>
      <c r="CC284" s="73">
        <v>1</v>
      </c>
    </row>
    <row r="285" spans="8:81" hidden="1" x14ac:dyDescent="0.2">
      <c r="H285" s="73">
        <v>644</v>
      </c>
      <c r="I285" s="168"/>
      <c r="J285" s="168"/>
      <c r="K285" s="168"/>
      <c r="L285" s="168"/>
      <c r="M285" s="168"/>
      <c r="N285" s="168"/>
      <c r="O285" s="168"/>
      <c r="P285" s="168"/>
      <c r="Q285" s="168"/>
      <c r="R285" s="168"/>
      <c r="S285" s="168">
        <v>2.1335199999999999</v>
      </c>
      <c r="T285" s="168"/>
      <c r="V285" s="73">
        <v>644</v>
      </c>
      <c r="W285" s="168"/>
      <c r="X285" s="168"/>
      <c r="Y285" s="168"/>
      <c r="Z285" s="168"/>
      <c r="AA285" s="168"/>
      <c r="AB285" s="168"/>
      <c r="AC285" s="168"/>
      <c r="AD285" s="168"/>
      <c r="AF285" s="73">
        <v>644</v>
      </c>
      <c r="AG285" s="168"/>
      <c r="AH285" s="168"/>
      <c r="AI285" s="168"/>
      <c r="AJ285" s="168"/>
      <c r="AK285" s="168"/>
      <c r="AL285" s="168"/>
      <c r="AM285" s="168"/>
      <c r="AO285" s="74">
        <v>644</v>
      </c>
      <c r="AP285" s="169"/>
      <c r="AQ285" s="169"/>
      <c r="AR285" s="169">
        <v>10.966821105661623</v>
      </c>
      <c r="AS285" s="169"/>
      <c r="AT285" s="169"/>
      <c r="AU285" s="169"/>
      <c r="AV285" s="169"/>
      <c r="AW285" s="169"/>
      <c r="AX285" s="169"/>
      <c r="BP285" s="175">
        <f>Inputs!B288</f>
        <v>644</v>
      </c>
      <c r="BQ285" s="175">
        <f>IF(LEFT(Inputs!$C$11,6)="photon",10^Inputs!C288,Inputs!C288)</f>
        <v>1.0598979485940501E-3</v>
      </c>
      <c r="BR285" s="175"/>
      <c r="BS285" s="175">
        <f>'Advanced Inputs'!I290</f>
        <v>644</v>
      </c>
      <c r="BT285" s="175">
        <f>IF('Advanced Inputs'!J$19="Photon system",10^'Advanced Inputs'!J290,'Advanced Inputs'!J290)</f>
        <v>0</v>
      </c>
      <c r="BV285" s="175">
        <v>644</v>
      </c>
      <c r="BW285" s="73">
        <v>160.81100000000001</v>
      </c>
      <c r="BX285" s="73">
        <v>82.230199999999996</v>
      </c>
      <c r="CC285" s="73">
        <v>1</v>
      </c>
    </row>
    <row r="286" spans="8:81" hidden="1" x14ac:dyDescent="0.2">
      <c r="H286" s="73">
        <v>645</v>
      </c>
      <c r="I286" s="168"/>
      <c r="J286" s="168"/>
      <c r="K286" s="168"/>
      <c r="L286" s="168"/>
      <c r="M286" s="168"/>
      <c r="N286" s="168"/>
      <c r="O286" s="168"/>
      <c r="P286" s="168"/>
      <c r="Q286" s="168"/>
      <c r="R286" s="168"/>
      <c r="S286" s="168">
        <v>2.34</v>
      </c>
      <c r="T286" s="168"/>
      <c r="V286" s="73">
        <v>645</v>
      </c>
      <c r="W286" s="168"/>
      <c r="X286" s="168"/>
      <c r="Y286" s="168"/>
      <c r="Z286" s="168"/>
      <c r="AA286" s="168"/>
      <c r="AB286" s="168"/>
      <c r="AC286" s="168"/>
      <c r="AD286" s="168"/>
      <c r="AF286" s="73">
        <v>645</v>
      </c>
      <c r="AG286" s="168"/>
      <c r="AH286" s="168"/>
      <c r="AI286" s="168"/>
      <c r="AJ286" s="168"/>
      <c r="AK286" s="168"/>
      <c r="AL286" s="168"/>
      <c r="AM286" s="168"/>
      <c r="AO286" s="74">
        <v>645</v>
      </c>
      <c r="AP286" s="169"/>
      <c r="AQ286" s="169"/>
      <c r="AR286" s="169">
        <v>10.779414237021131</v>
      </c>
      <c r="AS286" s="169"/>
      <c r="AT286" s="169"/>
      <c r="AU286" s="169"/>
      <c r="AV286" s="169"/>
      <c r="AW286" s="169"/>
      <c r="AX286" s="169"/>
      <c r="BP286" s="175">
        <f>Inputs!B289</f>
        <v>645</v>
      </c>
      <c r="BQ286" s="175">
        <f>IF(LEFT(Inputs!$C$11,6)="photon",10^Inputs!C289,Inputs!C289)</f>
        <v>1.0548984299686101E-3</v>
      </c>
      <c r="BR286" s="175"/>
      <c r="BS286" s="175">
        <f>'Advanced Inputs'!I291</f>
        <v>645</v>
      </c>
      <c r="BT286" s="175">
        <f>IF('Advanced Inputs'!J$19="Photon system",10^'Advanced Inputs'!J291,'Advanced Inputs'!J291)</f>
        <v>0</v>
      </c>
      <c r="BV286" s="175">
        <v>645</v>
      </c>
      <c r="BW286" s="73">
        <v>161.51599999999999</v>
      </c>
      <c r="BX286" s="73">
        <v>81.863</v>
      </c>
      <c r="CC286" s="73">
        <v>1</v>
      </c>
    </row>
    <row r="287" spans="8:81" hidden="1" x14ac:dyDescent="0.2">
      <c r="H287" s="73">
        <v>646</v>
      </c>
      <c r="I287" s="168"/>
      <c r="J287" s="168"/>
      <c r="K287" s="168"/>
      <c r="L287" s="168"/>
      <c r="M287" s="168"/>
      <c r="N287" s="168"/>
      <c r="O287" s="168"/>
      <c r="P287" s="168"/>
      <c r="Q287" s="168"/>
      <c r="R287" s="168"/>
      <c r="S287" s="168">
        <v>2.5993600000000003</v>
      </c>
      <c r="T287" s="168"/>
      <c r="V287" s="73">
        <v>646</v>
      </c>
      <c r="W287" s="168"/>
      <c r="X287" s="168"/>
      <c r="Y287" s="168"/>
      <c r="Z287" s="168"/>
      <c r="AA287" s="168"/>
      <c r="AB287" s="168"/>
      <c r="AC287" s="168"/>
      <c r="AD287" s="168"/>
      <c r="AF287" s="73">
        <v>646</v>
      </c>
      <c r="AG287" s="168"/>
      <c r="AH287" s="168"/>
      <c r="AI287" s="168"/>
      <c r="AJ287" s="168"/>
      <c r="AK287" s="168"/>
      <c r="AL287" s="168"/>
      <c r="AM287" s="168"/>
      <c r="AO287" s="74">
        <v>646</v>
      </c>
      <c r="AP287" s="169"/>
      <c r="AQ287" s="169"/>
      <c r="AR287" s="169">
        <v>10.592219522824578</v>
      </c>
      <c r="AS287" s="169"/>
      <c r="AT287" s="169"/>
      <c r="AU287" s="169"/>
      <c r="AV287" s="169"/>
      <c r="AW287" s="169"/>
      <c r="AX287" s="169"/>
      <c r="BP287" s="175">
        <f>Inputs!B290</f>
        <v>646</v>
      </c>
      <c r="BQ287" s="175">
        <f>IF(LEFT(Inputs!$C$11,6)="photon",10^Inputs!C290,Inputs!C290)</f>
        <v>1.0448993927177201E-3</v>
      </c>
      <c r="BR287" s="175"/>
      <c r="BS287" s="175">
        <f>'Advanced Inputs'!I292</f>
        <v>646</v>
      </c>
      <c r="BT287" s="175">
        <f>IF('Advanced Inputs'!J$19="Photon system",10^'Advanced Inputs'!J292,'Advanced Inputs'!J292)</f>
        <v>0</v>
      </c>
      <c r="BV287" s="175">
        <v>646</v>
      </c>
      <c r="BW287" s="73">
        <v>162.221</v>
      </c>
      <c r="BX287" s="73">
        <v>81.495800000000003</v>
      </c>
      <c r="CC287" s="73">
        <v>1</v>
      </c>
    </row>
    <row r="288" spans="8:81" hidden="1" x14ac:dyDescent="0.2">
      <c r="H288" s="73">
        <v>647</v>
      </c>
      <c r="I288" s="168"/>
      <c r="J288" s="168"/>
      <c r="K288" s="168"/>
      <c r="L288" s="168"/>
      <c r="M288" s="168"/>
      <c r="N288" s="168"/>
      <c r="O288" s="168"/>
      <c r="P288" s="168"/>
      <c r="Q288" s="168"/>
      <c r="R288" s="168"/>
      <c r="S288" s="168">
        <v>2.8752800000000005</v>
      </c>
      <c r="T288" s="168"/>
      <c r="V288" s="73">
        <v>647</v>
      </c>
      <c r="W288" s="168"/>
      <c r="X288" s="168"/>
      <c r="Y288" s="168"/>
      <c r="Z288" s="168"/>
      <c r="AA288" s="168"/>
      <c r="AB288" s="168"/>
      <c r="AC288" s="168"/>
      <c r="AD288" s="168"/>
      <c r="AF288" s="73">
        <v>647</v>
      </c>
      <c r="AG288" s="168"/>
      <c r="AH288" s="168"/>
      <c r="AI288" s="168"/>
      <c r="AJ288" s="168"/>
      <c r="AK288" s="168"/>
      <c r="AL288" s="168"/>
      <c r="AM288" s="168"/>
      <c r="AO288" s="74">
        <v>647</v>
      </c>
      <c r="AP288" s="169"/>
      <c r="AQ288" s="169"/>
      <c r="AR288" s="169">
        <v>10.405595398493505</v>
      </c>
      <c r="AS288" s="169"/>
      <c r="AT288" s="169"/>
      <c r="AU288" s="169"/>
      <c r="AV288" s="169"/>
      <c r="AW288" s="169"/>
      <c r="AX288" s="169"/>
      <c r="BP288" s="175">
        <f>Inputs!B291</f>
        <v>647</v>
      </c>
      <c r="BQ288" s="175">
        <f>IF(LEFT(Inputs!$C$11,6)="photon",10^Inputs!C291,Inputs!C291)</f>
        <v>1.0398998740922801E-3</v>
      </c>
      <c r="BR288" s="175"/>
      <c r="BS288" s="175">
        <f>'Advanced Inputs'!I293</f>
        <v>647</v>
      </c>
      <c r="BT288" s="175">
        <f>IF('Advanced Inputs'!J$19="Photon system",10^'Advanced Inputs'!J293,'Advanced Inputs'!J293)</f>
        <v>0</v>
      </c>
      <c r="BV288" s="175">
        <v>647</v>
      </c>
      <c r="BW288" s="73">
        <v>162.92400000000001</v>
      </c>
      <c r="BX288" s="73">
        <v>81.128500000000003</v>
      </c>
      <c r="CC288" s="73">
        <v>1</v>
      </c>
    </row>
    <row r="289" spans="8:81" hidden="1" x14ac:dyDescent="0.2">
      <c r="H289" s="73">
        <v>648</v>
      </c>
      <c r="I289" s="168"/>
      <c r="J289" s="168"/>
      <c r="K289" s="168"/>
      <c r="L289" s="168"/>
      <c r="M289" s="168"/>
      <c r="N289" s="168"/>
      <c r="O289" s="168"/>
      <c r="P289" s="168"/>
      <c r="Q289" s="168"/>
      <c r="R289" s="168"/>
      <c r="S289" s="168">
        <v>3.1455200000000003</v>
      </c>
      <c r="T289" s="168"/>
      <c r="V289" s="73">
        <v>648</v>
      </c>
      <c r="W289" s="168"/>
      <c r="X289" s="168"/>
      <c r="Y289" s="168"/>
      <c r="Z289" s="168"/>
      <c r="AA289" s="168"/>
      <c r="AB289" s="168"/>
      <c r="AC289" s="168"/>
      <c r="AD289" s="168"/>
      <c r="AF289" s="73">
        <v>648</v>
      </c>
      <c r="AG289" s="168"/>
      <c r="AH289" s="168"/>
      <c r="AI289" s="168"/>
      <c r="AJ289" s="168"/>
      <c r="AK289" s="168"/>
      <c r="AL289" s="168"/>
      <c r="AM289" s="168"/>
      <c r="AO289" s="74">
        <v>648</v>
      </c>
      <c r="AP289" s="169"/>
      <c r="AQ289" s="169"/>
      <c r="AR289" s="169">
        <v>10.219999983237194</v>
      </c>
      <c r="AS289" s="169"/>
      <c r="AT289" s="169"/>
      <c r="AU289" s="169"/>
      <c r="AV289" s="169"/>
      <c r="AW289" s="169"/>
      <c r="AX289" s="169"/>
      <c r="BP289" s="175">
        <f>Inputs!B292</f>
        <v>648</v>
      </c>
      <c r="BQ289" s="175">
        <f>IF(LEFT(Inputs!$C$11,6)="photon",10^Inputs!C292,Inputs!C292)</f>
        <v>1.0299008368413901E-3</v>
      </c>
      <c r="BR289" s="175"/>
      <c r="BS289" s="175">
        <f>'Advanced Inputs'!I294</f>
        <v>648</v>
      </c>
      <c r="BT289" s="175">
        <f>IF('Advanced Inputs'!J$19="Photon system",10^'Advanced Inputs'!J294,'Advanced Inputs'!J294)</f>
        <v>0</v>
      </c>
      <c r="BV289" s="175">
        <v>648</v>
      </c>
      <c r="BW289" s="73">
        <v>163.626</v>
      </c>
      <c r="BX289" s="73">
        <v>80.761300000000006</v>
      </c>
      <c r="CC289" s="73">
        <v>1</v>
      </c>
    </row>
    <row r="290" spans="8:81" hidden="1" x14ac:dyDescent="0.2">
      <c r="H290" s="73">
        <v>649</v>
      </c>
      <c r="I290" s="168"/>
      <c r="J290" s="168"/>
      <c r="K290" s="168"/>
      <c r="L290" s="168"/>
      <c r="M290" s="168"/>
      <c r="N290" s="168"/>
      <c r="O290" s="168"/>
      <c r="P290" s="168"/>
      <c r="Q290" s="168"/>
      <c r="R290" s="168"/>
      <c r="S290" s="168">
        <v>3.3878399999999997</v>
      </c>
      <c r="T290" s="168"/>
      <c r="V290" s="73">
        <v>649</v>
      </c>
      <c r="W290" s="168"/>
      <c r="X290" s="168"/>
      <c r="Y290" s="168"/>
      <c r="Z290" s="168"/>
      <c r="AA290" s="168"/>
      <c r="AB290" s="168"/>
      <c r="AC290" s="168"/>
      <c r="AD290" s="168"/>
      <c r="AF290" s="73">
        <v>649</v>
      </c>
      <c r="AG290" s="168"/>
      <c r="AH290" s="168"/>
      <c r="AI290" s="168"/>
      <c r="AJ290" s="168"/>
      <c r="AK290" s="168"/>
      <c r="AL290" s="168"/>
      <c r="AM290" s="168"/>
      <c r="AO290" s="74">
        <v>649</v>
      </c>
      <c r="AP290" s="169"/>
      <c r="AQ290" s="169"/>
      <c r="AR290" s="169">
        <v>10.034016038460546</v>
      </c>
      <c r="AS290" s="169"/>
      <c r="AT290" s="169"/>
      <c r="AU290" s="169"/>
      <c r="AV290" s="169"/>
      <c r="AW290" s="169"/>
      <c r="AX290" s="169"/>
      <c r="BP290" s="175">
        <f>Inputs!B293</f>
        <v>649</v>
      </c>
      <c r="BQ290" s="175">
        <f>IF(LEFT(Inputs!$C$11,6)="photon",10^Inputs!C293,Inputs!C293)</f>
        <v>1.0249013182159501E-3</v>
      </c>
      <c r="BR290" s="175"/>
      <c r="BS290" s="175">
        <f>'Advanced Inputs'!I295</f>
        <v>649</v>
      </c>
      <c r="BT290" s="175">
        <f>IF('Advanced Inputs'!J$19="Photon system",10^'Advanced Inputs'!J295,'Advanced Inputs'!J295)</f>
        <v>0</v>
      </c>
      <c r="BV290" s="175">
        <v>649</v>
      </c>
      <c r="BW290" s="73">
        <v>164.327</v>
      </c>
      <c r="BX290" s="73">
        <v>80.394000000000005</v>
      </c>
      <c r="CC290" s="73">
        <v>1</v>
      </c>
    </row>
    <row r="291" spans="8:81" hidden="1" x14ac:dyDescent="0.2">
      <c r="H291" s="73">
        <v>650</v>
      </c>
      <c r="I291" s="168"/>
      <c r="J291" s="168"/>
      <c r="K291" s="168"/>
      <c r="L291" s="168"/>
      <c r="M291" s="168"/>
      <c r="N291" s="168"/>
      <c r="O291" s="168"/>
      <c r="P291" s="168"/>
      <c r="Q291" s="168"/>
      <c r="R291" s="168"/>
      <c r="S291" s="168">
        <v>3.58</v>
      </c>
      <c r="T291" s="168"/>
      <c r="V291" s="73">
        <v>650</v>
      </c>
      <c r="W291" s="168"/>
      <c r="X291" s="168"/>
      <c r="Y291" s="168"/>
      <c r="Z291" s="168"/>
      <c r="AA291" s="168"/>
      <c r="AB291" s="168"/>
      <c r="AC291" s="168"/>
      <c r="AD291" s="168"/>
      <c r="AF291" s="73">
        <v>650</v>
      </c>
      <c r="AG291" s="168"/>
      <c r="AH291" s="168"/>
      <c r="AI291" s="168"/>
      <c r="AJ291" s="168"/>
      <c r="AK291" s="168"/>
      <c r="AL291" s="168"/>
      <c r="AM291" s="168"/>
      <c r="AO291" s="74">
        <v>650</v>
      </c>
      <c r="AP291" s="169"/>
      <c r="AQ291" s="169"/>
      <c r="AR291" s="169">
        <v>9.8483691314220039</v>
      </c>
      <c r="AS291" s="169"/>
      <c r="AT291" s="169"/>
      <c r="AU291" s="169"/>
      <c r="AV291" s="169"/>
      <c r="AW291" s="169"/>
      <c r="AX291" s="169"/>
      <c r="BP291" s="175">
        <f>Inputs!B294</f>
        <v>650</v>
      </c>
      <c r="BQ291" s="175">
        <f>IF(LEFT(Inputs!$C$11,6)="photon",10^Inputs!C294,Inputs!C294)</f>
        <v>1.0249013182159501E-3</v>
      </c>
      <c r="BR291" s="175"/>
      <c r="BS291" s="175">
        <f>'Advanced Inputs'!I296</f>
        <v>650</v>
      </c>
      <c r="BT291" s="175">
        <f>IF('Advanced Inputs'!J$19="Photon system",10^'Advanced Inputs'!J296,'Advanced Inputs'!J296)</f>
        <v>0</v>
      </c>
      <c r="BV291" s="175">
        <v>650</v>
      </c>
      <c r="BW291" s="73">
        <v>165.02799999999999</v>
      </c>
      <c r="BX291" s="73">
        <v>80.026799999999994</v>
      </c>
      <c r="CC291" s="73">
        <v>1</v>
      </c>
    </row>
    <row r="292" spans="8:81" hidden="1" x14ac:dyDescent="0.2">
      <c r="H292" s="73">
        <v>651</v>
      </c>
      <c r="I292" s="168"/>
      <c r="J292" s="168"/>
      <c r="K292" s="168"/>
      <c r="L292" s="168"/>
      <c r="M292" s="168"/>
      <c r="N292" s="168"/>
      <c r="O292" s="168"/>
      <c r="P292" s="168"/>
      <c r="Q292" s="168"/>
      <c r="R292" s="168"/>
      <c r="S292" s="168">
        <v>3.5516000000000001</v>
      </c>
      <c r="T292" s="168"/>
      <c r="V292" s="73">
        <v>651</v>
      </c>
      <c r="W292" s="168"/>
      <c r="X292" s="168"/>
      <c r="Y292" s="168"/>
      <c r="Z292" s="168"/>
      <c r="AA292" s="168"/>
      <c r="AB292" s="168"/>
      <c r="AC292" s="168"/>
      <c r="AD292" s="168"/>
      <c r="AF292" s="73">
        <v>651</v>
      </c>
      <c r="AG292" s="168"/>
      <c r="AH292" s="168"/>
      <c r="AI292" s="168"/>
      <c r="AJ292" s="168"/>
      <c r="AK292" s="168"/>
      <c r="AL292" s="168"/>
      <c r="AM292" s="168"/>
      <c r="AO292" s="74">
        <v>651</v>
      </c>
      <c r="AP292" s="169"/>
      <c r="AQ292" s="169"/>
      <c r="AR292" s="169">
        <v>9.6621637441517709</v>
      </c>
      <c r="AS292" s="169"/>
      <c r="AT292" s="169"/>
      <c r="AU292" s="169"/>
      <c r="AV292" s="169"/>
      <c r="AW292" s="169"/>
      <c r="AX292" s="169"/>
      <c r="BP292" s="175">
        <f>Inputs!B295</f>
        <v>651</v>
      </c>
      <c r="BQ292" s="175">
        <f>IF(LEFT(Inputs!$C$11,6)="photon",10^Inputs!C295,Inputs!C295)</f>
        <v>1.0299008368413901E-3</v>
      </c>
      <c r="BR292" s="175"/>
      <c r="BS292" s="175">
        <f>'Advanced Inputs'!I297</f>
        <v>651</v>
      </c>
      <c r="BT292" s="175">
        <f>IF('Advanced Inputs'!J$19="Photon system",10^'Advanced Inputs'!J297,'Advanced Inputs'!J297)</f>
        <v>0</v>
      </c>
      <c r="BV292" s="175">
        <v>651</v>
      </c>
      <c r="BW292" s="73">
        <v>165.726</v>
      </c>
      <c r="BX292" s="73">
        <v>80.045599999999993</v>
      </c>
      <c r="CC292" s="73">
        <v>1</v>
      </c>
    </row>
    <row r="293" spans="8:81" hidden="1" x14ac:dyDescent="0.2">
      <c r="H293" s="73">
        <v>652</v>
      </c>
      <c r="I293" s="168"/>
      <c r="J293" s="168"/>
      <c r="K293" s="168"/>
      <c r="L293" s="168"/>
      <c r="M293" s="168"/>
      <c r="N293" s="168"/>
      <c r="O293" s="168"/>
      <c r="P293" s="168"/>
      <c r="Q293" s="168"/>
      <c r="R293" s="168"/>
      <c r="S293" s="168">
        <v>3.4656000000000002</v>
      </c>
      <c r="T293" s="168"/>
      <c r="V293" s="73">
        <v>652</v>
      </c>
      <c r="W293" s="168"/>
      <c r="X293" s="168"/>
      <c r="Y293" s="168"/>
      <c r="Z293" s="168"/>
      <c r="AA293" s="168"/>
      <c r="AB293" s="168"/>
      <c r="AC293" s="168"/>
      <c r="AD293" s="168"/>
      <c r="AF293" s="73">
        <v>652</v>
      </c>
      <c r="AG293" s="168"/>
      <c r="AH293" s="168"/>
      <c r="AI293" s="168"/>
      <c r="AJ293" s="168"/>
      <c r="AK293" s="168"/>
      <c r="AL293" s="168"/>
      <c r="AM293" s="168"/>
      <c r="AO293" s="74">
        <v>652</v>
      </c>
      <c r="AP293" s="169"/>
      <c r="AQ293" s="169"/>
      <c r="AR293" s="169">
        <v>9.4768708342760668</v>
      </c>
      <c r="AS293" s="169"/>
      <c r="AT293" s="169"/>
      <c r="AU293" s="169"/>
      <c r="AV293" s="169"/>
      <c r="AW293" s="169"/>
      <c r="AX293" s="169"/>
      <c r="BP293" s="175">
        <f>Inputs!B296</f>
        <v>652</v>
      </c>
      <c r="BQ293" s="175">
        <f>IF(LEFT(Inputs!$C$11,6)="photon",10^Inputs!C296,Inputs!C296)</f>
        <v>1.0299008368413901E-3</v>
      </c>
      <c r="BR293" s="175"/>
      <c r="BS293" s="175">
        <f>'Advanced Inputs'!I298</f>
        <v>652</v>
      </c>
      <c r="BT293" s="175">
        <f>IF('Advanced Inputs'!J$19="Photon system",10^'Advanced Inputs'!J298,'Advanced Inputs'!J298)</f>
        <v>0</v>
      </c>
      <c r="BV293" s="175">
        <v>652</v>
      </c>
      <c r="BW293" s="73">
        <v>166.42400000000001</v>
      </c>
      <c r="BX293" s="73">
        <v>80.064400000000006</v>
      </c>
      <c r="CC293" s="73">
        <v>1</v>
      </c>
    </row>
    <row r="294" spans="8:81" hidden="1" x14ac:dyDescent="0.2">
      <c r="H294" s="73">
        <v>653</v>
      </c>
      <c r="I294" s="168"/>
      <c r="J294" s="168"/>
      <c r="K294" s="168"/>
      <c r="L294" s="168"/>
      <c r="M294" s="168"/>
      <c r="N294" s="168"/>
      <c r="O294" s="168"/>
      <c r="P294" s="168"/>
      <c r="Q294" s="168"/>
      <c r="R294" s="168"/>
      <c r="S294" s="168">
        <v>3.3367999999999998</v>
      </c>
      <c r="T294" s="168"/>
      <c r="V294" s="73">
        <v>653</v>
      </c>
      <c r="W294" s="168"/>
      <c r="X294" s="168"/>
      <c r="Y294" s="168"/>
      <c r="Z294" s="168"/>
      <c r="AA294" s="168"/>
      <c r="AB294" s="168"/>
      <c r="AC294" s="168"/>
      <c r="AD294" s="168"/>
      <c r="AF294" s="73">
        <v>653</v>
      </c>
      <c r="AG294" s="168"/>
      <c r="AH294" s="168"/>
      <c r="AI294" s="168"/>
      <c r="AJ294" s="168"/>
      <c r="AK294" s="168"/>
      <c r="AL294" s="168"/>
      <c r="AM294" s="168"/>
      <c r="AO294" s="74">
        <v>653</v>
      </c>
      <c r="AP294" s="169"/>
      <c r="AQ294" s="169"/>
      <c r="AR294" s="169">
        <v>9.2918741158941298</v>
      </c>
      <c r="AS294" s="169"/>
      <c r="AT294" s="169"/>
      <c r="AU294" s="169"/>
      <c r="AV294" s="169"/>
      <c r="AW294" s="169"/>
      <c r="AX294" s="169"/>
      <c r="BP294" s="175">
        <f>Inputs!B297</f>
        <v>653</v>
      </c>
      <c r="BQ294" s="175">
        <f>IF(LEFT(Inputs!$C$11,6)="photon",10^Inputs!C297,Inputs!C297)</f>
        <v>1.0249013182159501E-3</v>
      </c>
      <c r="BR294" s="175"/>
      <c r="BS294" s="175">
        <f>'Advanced Inputs'!I299</f>
        <v>653</v>
      </c>
      <c r="BT294" s="175">
        <f>IF('Advanced Inputs'!J$19="Photon system",10^'Advanced Inputs'!J299,'Advanced Inputs'!J299)</f>
        <v>0</v>
      </c>
      <c r="BV294" s="175">
        <v>653</v>
      </c>
      <c r="BW294" s="73">
        <v>167.12100000000001</v>
      </c>
      <c r="BX294" s="73">
        <v>80.083100000000002</v>
      </c>
      <c r="CC294" s="73">
        <v>1</v>
      </c>
    </row>
    <row r="295" spans="8:81" hidden="1" x14ac:dyDescent="0.2">
      <c r="H295" s="73">
        <v>654</v>
      </c>
      <c r="I295" s="168"/>
      <c r="J295" s="168"/>
      <c r="K295" s="168"/>
      <c r="L295" s="168"/>
      <c r="M295" s="168"/>
      <c r="N295" s="168"/>
      <c r="O295" s="168"/>
      <c r="P295" s="168"/>
      <c r="Q295" s="168"/>
      <c r="R295" s="168"/>
      <c r="S295" s="168">
        <v>3.1799999999999997</v>
      </c>
      <c r="T295" s="168"/>
      <c r="V295" s="73">
        <v>654</v>
      </c>
      <c r="W295" s="168"/>
      <c r="X295" s="168"/>
      <c r="Y295" s="168"/>
      <c r="Z295" s="168"/>
      <c r="AA295" s="168"/>
      <c r="AB295" s="168"/>
      <c r="AC295" s="168"/>
      <c r="AD295" s="168"/>
      <c r="AF295" s="73">
        <v>654</v>
      </c>
      <c r="AG295" s="168"/>
      <c r="AH295" s="168"/>
      <c r="AI295" s="168"/>
      <c r="AJ295" s="168"/>
      <c r="AK295" s="168"/>
      <c r="AL295" s="168"/>
      <c r="AM295" s="168"/>
      <c r="AO295" s="74">
        <v>654</v>
      </c>
      <c r="AP295" s="169"/>
      <c r="AQ295" s="169"/>
      <c r="AR295" s="169">
        <v>9.1097102638501983</v>
      </c>
      <c r="AS295" s="169"/>
      <c r="AT295" s="169"/>
      <c r="AU295" s="169"/>
      <c r="AV295" s="169"/>
      <c r="AW295" s="169"/>
      <c r="AX295" s="169"/>
      <c r="BP295" s="175">
        <f>Inputs!B298</f>
        <v>654</v>
      </c>
      <c r="BQ295" s="175">
        <f>IF(LEFT(Inputs!$C$11,6)="photon",10^Inputs!C298,Inputs!C298)</f>
        <v>1.0049032437141701E-3</v>
      </c>
      <c r="BR295" s="175"/>
      <c r="BS295" s="175">
        <f>'Advanced Inputs'!I300</f>
        <v>654</v>
      </c>
      <c r="BT295" s="175">
        <f>IF('Advanced Inputs'!J$19="Photon system",10^'Advanced Inputs'!J300,'Advanced Inputs'!J300)</f>
        <v>0</v>
      </c>
      <c r="BV295" s="175">
        <v>654</v>
      </c>
      <c r="BW295" s="73">
        <v>167.816</v>
      </c>
      <c r="BX295" s="73">
        <v>80.101900000000001</v>
      </c>
      <c r="CC295" s="73">
        <v>1</v>
      </c>
    </row>
    <row r="296" spans="8:81" hidden="1" x14ac:dyDescent="0.2">
      <c r="H296" s="73">
        <v>655</v>
      </c>
      <c r="I296" s="168"/>
      <c r="J296" s="168"/>
      <c r="K296" s="168"/>
      <c r="L296" s="168"/>
      <c r="M296" s="168"/>
      <c r="N296" s="168"/>
      <c r="O296" s="168"/>
      <c r="P296" s="168"/>
      <c r="Q296" s="168"/>
      <c r="R296" s="168"/>
      <c r="S296" s="168">
        <v>3.01</v>
      </c>
      <c r="T296" s="168"/>
      <c r="V296" s="73">
        <v>655</v>
      </c>
      <c r="W296" s="168"/>
      <c r="X296" s="168"/>
      <c r="Y296" s="168"/>
      <c r="Z296" s="168"/>
      <c r="AA296" s="168"/>
      <c r="AB296" s="168"/>
      <c r="AC296" s="168"/>
      <c r="AD296" s="168"/>
      <c r="AF296" s="73">
        <v>655</v>
      </c>
      <c r="AG296" s="168"/>
      <c r="AH296" s="168"/>
      <c r="AI296" s="168"/>
      <c r="AJ296" s="168"/>
      <c r="AK296" s="168"/>
      <c r="AL296" s="168"/>
      <c r="AM296" s="168"/>
      <c r="AO296" s="74">
        <v>655</v>
      </c>
      <c r="AP296" s="169"/>
      <c r="AQ296" s="169"/>
      <c r="AR296" s="169">
        <v>8.928539268309704</v>
      </c>
      <c r="AS296" s="169"/>
      <c r="AT296" s="169"/>
      <c r="AU296" s="169"/>
      <c r="AV296" s="169"/>
      <c r="AW296" s="169"/>
      <c r="AX296" s="169"/>
      <c r="BP296" s="175">
        <f>Inputs!B299</f>
        <v>655</v>
      </c>
      <c r="BQ296" s="175">
        <f>IF(LEFT(Inputs!$C$11,6)="photon",10^Inputs!C299,Inputs!C299)</f>
        <v>9.7990565058695897E-4</v>
      </c>
      <c r="BR296" s="175"/>
      <c r="BS296" s="175">
        <f>'Advanced Inputs'!I301</f>
        <v>655</v>
      </c>
      <c r="BT296" s="175">
        <f>IF('Advanced Inputs'!J$19="Photon system",10^'Advanced Inputs'!J301,'Advanced Inputs'!J301)</f>
        <v>0</v>
      </c>
      <c r="BV296" s="175">
        <v>655</v>
      </c>
      <c r="BW296" s="73">
        <v>168.51</v>
      </c>
      <c r="BX296" s="73">
        <v>80.120699999999999</v>
      </c>
      <c r="CC296" s="73">
        <v>1</v>
      </c>
    </row>
    <row r="297" spans="8:81" hidden="1" x14ac:dyDescent="0.2">
      <c r="H297" s="73">
        <v>656</v>
      </c>
      <c r="I297" s="168"/>
      <c r="J297" s="168"/>
      <c r="K297" s="168"/>
      <c r="L297" s="168"/>
      <c r="M297" s="168"/>
      <c r="N297" s="168"/>
      <c r="O297" s="168"/>
      <c r="P297" s="168"/>
      <c r="Q297" s="168"/>
      <c r="R297" s="168"/>
      <c r="S297" s="168">
        <v>2.8959999999999999</v>
      </c>
      <c r="T297" s="168"/>
      <c r="V297" s="73">
        <v>656</v>
      </c>
      <c r="W297" s="168"/>
      <c r="X297" s="168"/>
      <c r="Y297" s="168"/>
      <c r="Z297" s="168"/>
      <c r="AA297" s="168"/>
      <c r="AB297" s="168"/>
      <c r="AC297" s="168"/>
      <c r="AD297" s="168"/>
      <c r="AF297" s="73">
        <v>656</v>
      </c>
      <c r="AG297" s="168"/>
      <c r="AH297" s="168"/>
      <c r="AI297" s="168"/>
      <c r="AJ297" s="168"/>
      <c r="AK297" s="168"/>
      <c r="AL297" s="168"/>
      <c r="AM297" s="168"/>
      <c r="AO297" s="74">
        <v>656</v>
      </c>
      <c r="AP297" s="169"/>
      <c r="AQ297" s="169"/>
      <c r="AR297" s="169">
        <v>8.7479661484541609</v>
      </c>
      <c r="AS297" s="169"/>
      <c r="AT297" s="169"/>
      <c r="AU297" s="169"/>
      <c r="AV297" s="169"/>
      <c r="AW297" s="169"/>
      <c r="AX297" s="169"/>
      <c r="BP297" s="175">
        <f>Inputs!B300</f>
        <v>656</v>
      </c>
      <c r="BQ297" s="175">
        <f>IF(LEFT(Inputs!$C$11,6)="photon",10^Inputs!C300,Inputs!C300)</f>
        <v>9.6990661333607104E-4</v>
      </c>
      <c r="BR297" s="175"/>
      <c r="BS297" s="175">
        <f>'Advanced Inputs'!I302</f>
        <v>656</v>
      </c>
      <c r="BT297" s="175">
        <f>IF('Advanced Inputs'!J$19="Photon system",10^'Advanced Inputs'!J302,'Advanced Inputs'!J302)</f>
        <v>0</v>
      </c>
      <c r="BV297" s="175">
        <v>656</v>
      </c>
      <c r="BW297" s="73">
        <v>169.203</v>
      </c>
      <c r="BX297" s="73">
        <v>80.139499999999998</v>
      </c>
      <c r="CC297" s="73">
        <v>1</v>
      </c>
    </row>
    <row r="298" spans="8:81" hidden="1" x14ac:dyDescent="0.2">
      <c r="H298" s="73">
        <v>657</v>
      </c>
      <c r="I298" s="168"/>
      <c r="J298" s="168"/>
      <c r="K298" s="168"/>
      <c r="L298" s="168"/>
      <c r="M298" s="168"/>
      <c r="N298" s="168"/>
      <c r="O298" s="168"/>
      <c r="P298" s="168"/>
      <c r="Q298" s="168"/>
      <c r="R298" s="168"/>
      <c r="S298" s="168">
        <v>2.7848000000000002</v>
      </c>
      <c r="T298" s="168"/>
      <c r="V298" s="73">
        <v>657</v>
      </c>
      <c r="W298" s="168"/>
      <c r="X298" s="168"/>
      <c r="Y298" s="168"/>
      <c r="Z298" s="168"/>
      <c r="AA298" s="168"/>
      <c r="AB298" s="168"/>
      <c r="AC298" s="168"/>
      <c r="AD298" s="168"/>
      <c r="AF298" s="73">
        <v>657</v>
      </c>
      <c r="AG298" s="168"/>
      <c r="AH298" s="168"/>
      <c r="AI298" s="168"/>
      <c r="AJ298" s="168"/>
      <c r="AK298" s="168"/>
      <c r="AL298" s="168"/>
      <c r="AM298" s="168"/>
      <c r="AO298" s="74">
        <v>657</v>
      </c>
      <c r="AP298" s="169"/>
      <c r="AQ298" s="169"/>
      <c r="AR298" s="169">
        <v>8.5693273424898511</v>
      </c>
      <c r="AS298" s="169"/>
      <c r="AT298" s="169"/>
      <c r="AU298" s="169"/>
      <c r="AV298" s="169"/>
      <c r="AW298" s="169"/>
      <c r="AX298" s="169"/>
      <c r="BP298" s="175">
        <f>Inputs!B301</f>
        <v>657</v>
      </c>
      <c r="BQ298" s="175">
        <f>IF(LEFT(Inputs!$C$11,6)="photon",10^Inputs!C301,Inputs!C301)</f>
        <v>9.7490613196151495E-4</v>
      </c>
      <c r="BR298" s="175"/>
      <c r="BS298" s="175">
        <f>'Advanced Inputs'!I303</f>
        <v>657</v>
      </c>
      <c r="BT298" s="175">
        <f>IF('Advanced Inputs'!J$19="Photon system",10^'Advanced Inputs'!J303,'Advanced Inputs'!J303)</f>
        <v>0</v>
      </c>
      <c r="BV298" s="175">
        <v>657</v>
      </c>
      <c r="BW298" s="73">
        <v>169.89500000000001</v>
      </c>
      <c r="BX298" s="73">
        <v>80.158299999999997</v>
      </c>
      <c r="CC298" s="73">
        <v>1</v>
      </c>
    </row>
    <row r="299" spans="8:81" hidden="1" x14ac:dyDescent="0.2">
      <c r="H299" s="73">
        <v>658</v>
      </c>
      <c r="I299" s="168"/>
      <c r="J299" s="168"/>
      <c r="K299" s="168"/>
      <c r="L299" s="168"/>
      <c r="M299" s="168"/>
      <c r="N299" s="168"/>
      <c r="O299" s="168"/>
      <c r="P299" s="168"/>
      <c r="Q299" s="168"/>
      <c r="R299" s="168"/>
      <c r="S299" s="168">
        <v>2.6776</v>
      </c>
      <c r="T299" s="168"/>
      <c r="V299" s="73">
        <v>658</v>
      </c>
      <c r="W299" s="168"/>
      <c r="X299" s="168"/>
      <c r="Y299" s="168"/>
      <c r="Z299" s="168"/>
      <c r="AA299" s="168"/>
      <c r="AB299" s="168"/>
      <c r="AC299" s="168"/>
      <c r="AD299" s="168"/>
      <c r="AF299" s="73">
        <v>658</v>
      </c>
      <c r="AG299" s="168"/>
      <c r="AH299" s="168"/>
      <c r="AI299" s="168"/>
      <c r="AJ299" s="168"/>
      <c r="AK299" s="168"/>
      <c r="AL299" s="168"/>
      <c r="AM299" s="168"/>
      <c r="AO299" s="74">
        <v>658</v>
      </c>
      <c r="AP299" s="169"/>
      <c r="AQ299" s="169"/>
      <c r="AR299" s="169">
        <v>8.3916610690810653</v>
      </c>
      <c r="AS299" s="169"/>
      <c r="AT299" s="169"/>
      <c r="AU299" s="169"/>
      <c r="AV299" s="169"/>
      <c r="AW299" s="169"/>
      <c r="AX299" s="169"/>
      <c r="BP299" s="175">
        <f>Inputs!B302</f>
        <v>658</v>
      </c>
      <c r="BQ299" s="175">
        <f>IF(LEFT(Inputs!$C$11,6)="photon",10^Inputs!C302,Inputs!C302)</f>
        <v>9.8990468783784593E-4</v>
      </c>
      <c r="BR299" s="175"/>
      <c r="BS299" s="175">
        <f>'Advanced Inputs'!I304</f>
        <v>658</v>
      </c>
      <c r="BT299" s="175">
        <f>IF('Advanced Inputs'!J$19="Photon system",10^'Advanced Inputs'!J304,'Advanced Inputs'!J304)</f>
        <v>0</v>
      </c>
      <c r="BV299" s="175">
        <v>658</v>
      </c>
      <c r="BW299" s="73">
        <v>170.58600000000001</v>
      </c>
      <c r="BX299" s="73">
        <v>80.177000000000007</v>
      </c>
      <c r="CC299" s="73">
        <v>1</v>
      </c>
    </row>
    <row r="300" spans="8:81" hidden="1" x14ac:dyDescent="0.2">
      <c r="H300" s="73">
        <v>659</v>
      </c>
      <c r="I300" s="168"/>
      <c r="J300" s="168"/>
      <c r="K300" s="168"/>
      <c r="L300" s="168"/>
      <c r="M300" s="168"/>
      <c r="N300" s="168"/>
      <c r="O300" s="168"/>
      <c r="P300" s="168"/>
      <c r="Q300" s="168"/>
      <c r="R300" s="168"/>
      <c r="S300" s="168">
        <v>2.5756000000000001</v>
      </c>
      <c r="T300" s="168"/>
      <c r="V300" s="73">
        <v>659</v>
      </c>
      <c r="W300" s="168"/>
      <c r="X300" s="168"/>
      <c r="Y300" s="168"/>
      <c r="Z300" s="168"/>
      <c r="AA300" s="168"/>
      <c r="AB300" s="168"/>
      <c r="AC300" s="168"/>
      <c r="AD300" s="168"/>
      <c r="AF300" s="73">
        <v>659</v>
      </c>
      <c r="AG300" s="168"/>
      <c r="AH300" s="168"/>
      <c r="AI300" s="168"/>
      <c r="AJ300" s="168"/>
      <c r="AK300" s="168"/>
      <c r="AL300" s="168"/>
      <c r="AM300" s="168"/>
      <c r="AO300" s="74">
        <v>659</v>
      </c>
      <c r="AP300" s="169"/>
      <c r="AQ300" s="169"/>
      <c r="AR300" s="169">
        <v>8.2161273801816304</v>
      </c>
      <c r="AS300" s="169"/>
      <c r="AT300" s="169"/>
      <c r="AU300" s="169"/>
      <c r="AV300" s="169"/>
      <c r="AW300" s="169"/>
      <c r="AX300" s="169"/>
      <c r="BP300" s="175">
        <f>Inputs!B303</f>
        <v>659</v>
      </c>
      <c r="BQ300" s="175">
        <f>IF(LEFT(Inputs!$C$11,6)="photon",10^Inputs!C303,Inputs!C303)</f>
        <v>1.0149022809650601E-3</v>
      </c>
      <c r="BR300" s="175"/>
      <c r="BS300" s="175">
        <f>'Advanced Inputs'!I305</f>
        <v>659</v>
      </c>
      <c r="BT300" s="175">
        <f>IF('Advanced Inputs'!J$19="Photon system",10^'Advanced Inputs'!J305,'Advanced Inputs'!J305)</f>
        <v>0</v>
      </c>
      <c r="BV300" s="175">
        <v>659</v>
      </c>
      <c r="BW300" s="73">
        <v>171.27500000000001</v>
      </c>
      <c r="BX300" s="73">
        <v>80.195800000000006</v>
      </c>
      <c r="CC300" s="73">
        <v>1</v>
      </c>
    </row>
    <row r="301" spans="8:81" hidden="1" x14ac:dyDescent="0.2">
      <c r="H301" s="73">
        <v>660</v>
      </c>
      <c r="I301" s="168"/>
      <c r="J301" s="168"/>
      <c r="K301" s="168"/>
      <c r="L301" s="168"/>
      <c r="M301" s="168"/>
      <c r="N301" s="168"/>
      <c r="O301" s="168"/>
      <c r="P301" s="168"/>
      <c r="Q301" s="168"/>
      <c r="R301" s="168"/>
      <c r="S301" s="168">
        <v>2.48</v>
      </c>
      <c r="T301" s="168"/>
      <c r="V301" s="73">
        <v>660</v>
      </c>
      <c r="W301" s="168"/>
      <c r="X301" s="168"/>
      <c r="Y301" s="168"/>
      <c r="Z301" s="168"/>
      <c r="AA301" s="168"/>
      <c r="AB301" s="168"/>
      <c r="AC301" s="168"/>
      <c r="AD301" s="168"/>
      <c r="AF301" s="73">
        <v>660</v>
      </c>
      <c r="AG301" s="168"/>
      <c r="AH301" s="168"/>
      <c r="AI301" s="168"/>
      <c r="AJ301" s="168"/>
      <c r="AK301" s="168"/>
      <c r="AL301" s="168"/>
      <c r="AM301" s="168"/>
      <c r="AO301" s="74">
        <v>660</v>
      </c>
      <c r="AP301" s="169"/>
      <c r="AQ301" s="169"/>
      <c r="AR301" s="169">
        <v>8.0419567483482002</v>
      </c>
      <c r="AS301" s="169"/>
      <c r="AT301" s="169"/>
      <c r="AU301" s="169"/>
      <c r="AV301" s="169"/>
      <c r="AW301" s="169"/>
      <c r="AX301" s="169"/>
      <c r="BP301" s="175">
        <f>Inputs!B304</f>
        <v>660</v>
      </c>
      <c r="BQ301" s="175">
        <f>IF(LEFT(Inputs!$C$11,6)="photon",10^Inputs!C304,Inputs!C304)</f>
        <v>1.0349003554668301E-3</v>
      </c>
      <c r="BR301" s="175"/>
      <c r="BS301" s="175">
        <f>'Advanced Inputs'!I306</f>
        <v>660</v>
      </c>
      <c r="BT301" s="175">
        <f>IF('Advanced Inputs'!J$19="Photon system",10^'Advanced Inputs'!J306,'Advanced Inputs'!J306)</f>
        <v>0</v>
      </c>
      <c r="BV301" s="175">
        <v>660</v>
      </c>
      <c r="BW301" s="73">
        <v>171.96299999999999</v>
      </c>
      <c r="BX301" s="73">
        <v>80.214600000000004</v>
      </c>
      <c r="CC301" s="73">
        <v>1</v>
      </c>
    </row>
    <row r="302" spans="8:81" hidden="1" x14ac:dyDescent="0.2">
      <c r="H302" s="73">
        <v>661</v>
      </c>
      <c r="I302" s="168"/>
      <c r="J302" s="168"/>
      <c r="K302" s="168"/>
      <c r="L302" s="168"/>
      <c r="M302" s="168"/>
      <c r="N302" s="168"/>
      <c r="O302" s="168"/>
      <c r="P302" s="168"/>
      <c r="Q302" s="168"/>
      <c r="R302" s="168"/>
      <c r="S302" s="168">
        <v>2.4112000000000005</v>
      </c>
      <c r="T302" s="168"/>
      <c r="V302" s="73">
        <v>661</v>
      </c>
      <c r="W302" s="168"/>
      <c r="X302" s="168"/>
      <c r="Y302" s="168"/>
      <c r="Z302" s="168"/>
      <c r="AA302" s="168"/>
      <c r="AB302" s="168"/>
      <c r="AC302" s="168"/>
      <c r="AD302" s="168"/>
      <c r="AF302" s="73">
        <v>661</v>
      </c>
      <c r="AG302" s="168"/>
      <c r="AH302" s="168"/>
      <c r="AI302" s="168"/>
      <c r="AJ302" s="168"/>
      <c r="AK302" s="168"/>
      <c r="AL302" s="168"/>
      <c r="AM302" s="168"/>
      <c r="AO302" s="74">
        <v>661</v>
      </c>
      <c r="AP302" s="169"/>
      <c r="AQ302" s="169"/>
      <c r="AR302" s="169">
        <v>7.869397969561768</v>
      </c>
      <c r="AS302" s="169"/>
      <c r="AT302" s="169"/>
      <c r="AU302" s="169"/>
      <c r="AV302" s="169"/>
      <c r="AW302" s="169"/>
      <c r="AX302" s="169"/>
      <c r="BP302" s="175">
        <f>Inputs!B305</f>
        <v>661</v>
      </c>
      <c r="BQ302" s="175">
        <f>IF(LEFT(Inputs!$C$11,6)="photon",10^Inputs!C305,Inputs!C305)</f>
        <v>1.0398998740922801E-3</v>
      </c>
      <c r="BR302" s="175"/>
      <c r="BS302" s="175">
        <f>'Advanced Inputs'!I307</f>
        <v>661</v>
      </c>
      <c r="BT302" s="175">
        <f>IF('Advanced Inputs'!J$19="Photon system",10^'Advanced Inputs'!J307,'Advanced Inputs'!J307)</f>
        <v>0</v>
      </c>
      <c r="BV302" s="175">
        <v>661</v>
      </c>
      <c r="BW302" s="73">
        <v>172.65</v>
      </c>
      <c r="BX302" s="73">
        <v>80.420900000000003</v>
      </c>
      <c r="CC302" s="73">
        <v>1</v>
      </c>
    </row>
    <row r="303" spans="8:81" hidden="1" x14ac:dyDescent="0.2">
      <c r="H303" s="73">
        <v>662</v>
      </c>
      <c r="I303" s="168"/>
      <c r="J303" s="168"/>
      <c r="K303" s="168"/>
      <c r="L303" s="168"/>
      <c r="M303" s="168"/>
      <c r="N303" s="168"/>
      <c r="O303" s="168"/>
      <c r="P303" s="168"/>
      <c r="Q303" s="168"/>
      <c r="R303" s="168"/>
      <c r="S303" s="168">
        <v>2.3464</v>
      </c>
      <c r="T303" s="168"/>
      <c r="V303" s="73">
        <v>662</v>
      </c>
      <c r="W303" s="168"/>
      <c r="X303" s="168"/>
      <c r="Y303" s="168"/>
      <c r="Z303" s="168"/>
      <c r="AA303" s="168"/>
      <c r="AB303" s="168"/>
      <c r="AC303" s="168"/>
      <c r="AD303" s="168"/>
      <c r="AF303" s="73">
        <v>662</v>
      </c>
      <c r="AG303" s="168"/>
      <c r="AH303" s="168"/>
      <c r="AI303" s="168"/>
      <c r="AJ303" s="168"/>
      <c r="AK303" s="168"/>
      <c r="AL303" s="168"/>
      <c r="AM303" s="168"/>
      <c r="AO303" s="74">
        <v>662</v>
      </c>
      <c r="AP303" s="169"/>
      <c r="AQ303" s="169"/>
      <c r="AR303" s="169">
        <v>7.6990842487613609</v>
      </c>
      <c r="AS303" s="169"/>
      <c r="AT303" s="169"/>
      <c r="AU303" s="169"/>
      <c r="AV303" s="169"/>
      <c r="AW303" s="169"/>
      <c r="AX303" s="169"/>
      <c r="BP303" s="175">
        <f>Inputs!B306</f>
        <v>662</v>
      </c>
      <c r="BQ303" s="175">
        <f>IF(LEFT(Inputs!$C$11,6)="photon",10^Inputs!C306,Inputs!C306)</f>
        <v>1.0448993927177201E-3</v>
      </c>
      <c r="BR303" s="175"/>
      <c r="BS303" s="175">
        <f>'Advanced Inputs'!I308</f>
        <v>662</v>
      </c>
      <c r="BT303" s="175">
        <f>IF('Advanced Inputs'!J$19="Photon system",10^'Advanced Inputs'!J308,'Advanced Inputs'!J308)</f>
        <v>0</v>
      </c>
      <c r="BV303" s="175">
        <v>662</v>
      </c>
      <c r="BW303" s="73">
        <v>173.33500000000001</v>
      </c>
      <c r="BX303" s="73">
        <v>80.627200000000002</v>
      </c>
      <c r="CC303" s="73">
        <v>1</v>
      </c>
    </row>
    <row r="304" spans="8:81" hidden="1" x14ac:dyDescent="0.2">
      <c r="H304" s="73">
        <v>663</v>
      </c>
      <c r="I304" s="168"/>
      <c r="J304" s="168"/>
      <c r="K304" s="168"/>
      <c r="L304" s="168"/>
      <c r="M304" s="168"/>
      <c r="N304" s="168"/>
      <c r="O304" s="168"/>
      <c r="P304" s="168"/>
      <c r="Q304" s="168"/>
      <c r="R304" s="168"/>
      <c r="S304" s="168">
        <v>2.282</v>
      </c>
      <c r="T304" s="168"/>
      <c r="V304" s="73">
        <v>663</v>
      </c>
      <c r="W304" s="168"/>
      <c r="X304" s="168"/>
      <c r="Y304" s="168"/>
      <c r="Z304" s="168"/>
      <c r="AA304" s="168"/>
      <c r="AB304" s="168"/>
      <c r="AC304" s="168"/>
      <c r="AD304" s="168"/>
      <c r="AF304" s="73">
        <v>663</v>
      </c>
      <c r="AG304" s="168"/>
      <c r="AH304" s="168"/>
      <c r="AI304" s="168"/>
      <c r="AJ304" s="168"/>
      <c r="AK304" s="168"/>
      <c r="AL304" s="168"/>
      <c r="AM304" s="168"/>
      <c r="AO304" s="74">
        <v>663</v>
      </c>
      <c r="AP304" s="169"/>
      <c r="AQ304" s="169"/>
      <c r="AR304" s="169">
        <v>7.5309854205273083</v>
      </c>
      <c r="AS304" s="169"/>
      <c r="AT304" s="169"/>
      <c r="AU304" s="169"/>
      <c r="AV304" s="169"/>
      <c r="AW304" s="169"/>
      <c r="AX304" s="169"/>
      <c r="BP304" s="175">
        <f>Inputs!B307</f>
        <v>663</v>
      </c>
      <c r="BQ304" s="175">
        <f>IF(LEFT(Inputs!$C$11,6)="photon",10^Inputs!C307,Inputs!C307)</f>
        <v>1.0398998740922801E-3</v>
      </c>
      <c r="BR304" s="175"/>
      <c r="BS304" s="175">
        <f>'Advanced Inputs'!I309</f>
        <v>663</v>
      </c>
      <c r="BT304" s="175">
        <f>IF('Advanced Inputs'!J$19="Photon system",10^'Advanced Inputs'!J309,'Advanced Inputs'!J309)</f>
        <v>0</v>
      </c>
      <c r="BV304" s="175">
        <v>663</v>
      </c>
      <c r="BW304" s="73">
        <v>174.01900000000001</v>
      </c>
      <c r="BX304" s="73">
        <v>80.833600000000004</v>
      </c>
      <c r="CC304" s="73">
        <v>1</v>
      </c>
    </row>
    <row r="305" spans="8:81" hidden="1" x14ac:dyDescent="0.2">
      <c r="H305" s="73">
        <v>664</v>
      </c>
      <c r="I305" s="168"/>
      <c r="J305" s="168"/>
      <c r="K305" s="168"/>
      <c r="L305" s="168"/>
      <c r="M305" s="168"/>
      <c r="N305" s="168"/>
      <c r="O305" s="168"/>
      <c r="P305" s="168"/>
      <c r="Q305" s="168"/>
      <c r="R305" s="168"/>
      <c r="S305" s="168">
        <v>2.2143999999999999</v>
      </c>
      <c r="T305" s="168"/>
      <c r="V305" s="73">
        <v>664</v>
      </c>
      <c r="W305" s="168"/>
      <c r="X305" s="168"/>
      <c r="Y305" s="168"/>
      <c r="Z305" s="168"/>
      <c r="AA305" s="168"/>
      <c r="AB305" s="168"/>
      <c r="AC305" s="168"/>
      <c r="AD305" s="168"/>
      <c r="AF305" s="73">
        <v>664</v>
      </c>
      <c r="AG305" s="168"/>
      <c r="AH305" s="168"/>
      <c r="AI305" s="168"/>
      <c r="AJ305" s="168"/>
      <c r="AK305" s="168"/>
      <c r="AL305" s="168"/>
      <c r="AM305" s="168"/>
      <c r="AO305" s="74">
        <v>664</v>
      </c>
      <c r="AP305" s="169"/>
      <c r="AQ305" s="169"/>
      <c r="AR305" s="169">
        <v>7.3652218279297941</v>
      </c>
      <c r="AS305" s="169"/>
      <c r="AT305" s="169"/>
      <c r="AU305" s="169"/>
      <c r="AV305" s="169"/>
      <c r="AW305" s="169"/>
      <c r="AX305" s="169"/>
      <c r="BP305" s="175">
        <f>Inputs!B308</f>
        <v>664</v>
      </c>
      <c r="BQ305" s="175">
        <f>IF(LEFT(Inputs!$C$11,6)="photon",10^Inputs!C308,Inputs!C308)</f>
        <v>1.0398998740922801E-3</v>
      </c>
      <c r="BR305" s="175"/>
      <c r="BS305" s="175">
        <f>'Advanced Inputs'!I310</f>
        <v>664</v>
      </c>
      <c r="BT305" s="175">
        <f>IF('Advanced Inputs'!J$19="Photon system",10^'Advanced Inputs'!J310,'Advanced Inputs'!J310)</f>
        <v>0</v>
      </c>
      <c r="BV305" s="175">
        <v>664</v>
      </c>
      <c r="BW305" s="73">
        <v>174.702</v>
      </c>
      <c r="BX305" s="73">
        <v>81.039900000000003</v>
      </c>
      <c r="CC305" s="73">
        <v>1</v>
      </c>
    </row>
    <row r="306" spans="8:81" hidden="1" x14ac:dyDescent="0.2">
      <c r="H306" s="73">
        <v>665</v>
      </c>
      <c r="I306" s="168"/>
      <c r="J306" s="168"/>
      <c r="K306" s="168"/>
      <c r="L306" s="168"/>
      <c r="M306" s="168"/>
      <c r="N306" s="168"/>
      <c r="O306" s="168"/>
      <c r="P306" s="168"/>
      <c r="Q306" s="168"/>
      <c r="R306" s="168"/>
      <c r="S306" s="168">
        <v>2.14</v>
      </c>
      <c r="T306" s="168"/>
      <c r="V306" s="73">
        <v>665</v>
      </c>
      <c r="W306" s="168"/>
      <c r="X306" s="168"/>
      <c r="Y306" s="168"/>
      <c r="Z306" s="168"/>
      <c r="AA306" s="168"/>
      <c r="AB306" s="168"/>
      <c r="AC306" s="168"/>
      <c r="AD306" s="168"/>
      <c r="AF306" s="73">
        <v>665</v>
      </c>
      <c r="AG306" s="168"/>
      <c r="AH306" s="168"/>
      <c r="AI306" s="168"/>
      <c r="AJ306" s="168"/>
      <c r="AK306" s="168"/>
      <c r="AL306" s="168"/>
      <c r="AM306" s="168"/>
      <c r="AO306" s="74">
        <v>665</v>
      </c>
      <c r="AP306" s="169"/>
      <c r="AQ306" s="169"/>
      <c r="AR306" s="169">
        <v>7.2009102277963999</v>
      </c>
      <c r="AS306" s="169"/>
      <c r="AT306" s="169"/>
      <c r="AU306" s="169"/>
      <c r="AV306" s="169"/>
      <c r="AW306" s="169"/>
      <c r="AX306" s="169"/>
      <c r="BP306" s="175">
        <f>Inputs!B309</f>
        <v>665</v>
      </c>
      <c r="BQ306" s="175">
        <f>IF(LEFT(Inputs!$C$11,6)="photon",10^Inputs!C309,Inputs!C309)</f>
        <v>1.0448993927177201E-3</v>
      </c>
      <c r="BR306" s="175"/>
      <c r="BS306" s="175">
        <f>'Advanced Inputs'!I311</f>
        <v>665</v>
      </c>
      <c r="BT306" s="175">
        <f>IF('Advanced Inputs'!J$19="Photon system",10^'Advanced Inputs'!J311,'Advanced Inputs'!J311)</f>
        <v>0</v>
      </c>
      <c r="BV306" s="175">
        <v>665</v>
      </c>
      <c r="BW306" s="73">
        <v>175.38300000000001</v>
      </c>
      <c r="BX306" s="73">
        <v>81.246200000000002</v>
      </c>
      <c r="CC306" s="73">
        <v>1</v>
      </c>
    </row>
    <row r="307" spans="8:81" hidden="1" x14ac:dyDescent="0.2">
      <c r="H307" s="73">
        <v>666</v>
      </c>
      <c r="I307" s="168"/>
      <c r="J307" s="168"/>
      <c r="K307" s="168"/>
      <c r="L307" s="168"/>
      <c r="M307" s="168"/>
      <c r="N307" s="168"/>
      <c r="O307" s="168"/>
      <c r="P307" s="168"/>
      <c r="Q307" s="168"/>
      <c r="R307" s="168"/>
      <c r="S307" s="168">
        <v>2.02</v>
      </c>
      <c r="T307" s="168"/>
      <c r="V307" s="73">
        <v>666</v>
      </c>
      <c r="W307" s="168"/>
      <c r="X307" s="168"/>
      <c r="Y307" s="168"/>
      <c r="Z307" s="168"/>
      <c r="AA307" s="168"/>
      <c r="AB307" s="168"/>
      <c r="AC307" s="168"/>
      <c r="AD307" s="168"/>
      <c r="AF307" s="73">
        <v>666</v>
      </c>
      <c r="AG307" s="168"/>
      <c r="AH307" s="168"/>
      <c r="AI307" s="168"/>
      <c r="AJ307" s="168"/>
      <c r="AK307" s="168"/>
      <c r="AL307" s="168"/>
      <c r="AM307" s="168"/>
      <c r="AO307" s="74">
        <v>666</v>
      </c>
      <c r="AP307" s="169"/>
      <c r="AQ307" s="169"/>
      <c r="AR307" s="169">
        <v>7.0388861545890515</v>
      </c>
      <c r="AS307" s="169"/>
      <c r="AT307" s="169"/>
      <c r="AU307" s="169"/>
      <c r="AV307" s="169"/>
      <c r="AW307" s="169"/>
      <c r="AX307" s="169"/>
      <c r="BP307" s="175">
        <f>Inputs!B310</f>
        <v>666</v>
      </c>
      <c r="BQ307" s="175">
        <f>IF(LEFT(Inputs!$C$11,6)="photon",10^Inputs!C310,Inputs!C310)</f>
        <v>1.0448993927177201E-3</v>
      </c>
      <c r="BR307" s="175"/>
      <c r="BS307" s="175">
        <f>'Advanced Inputs'!I312</f>
        <v>666</v>
      </c>
      <c r="BT307" s="175">
        <f>IF('Advanced Inputs'!J$19="Photon system",10^'Advanced Inputs'!J312,'Advanced Inputs'!J312)</f>
        <v>0</v>
      </c>
      <c r="BV307" s="175">
        <v>666</v>
      </c>
      <c r="BW307" s="73">
        <v>176.06299999999999</v>
      </c>
      <c r="BX307" s="73">
        <v>81.452500000000001</v>
      </c>
      <c r="CC307" s="73">
        <v>1</v>
      </c>
    </row>
    <row r="308" spans="8:81" hidden="1" x14ac:dyDescent="0.2">
      <c r="H308" s="73">
        <v>667</v>
      </c>
      <c r="I308" s="168"/>
      <c r="J308" s="168"/>
      <c r="K308" s="168"/>
      <c r="L308" s="168"/>
      <c r="M308" s="168"/>
      <c r="N308" s="168"/>
      <c r="O308" s="168"/>
      <c r="P308" s="168"/>
      <c r="Q308" s="168"/>
      <c r="R308" s="168"/>
      <c r="S308" s="168">
        <v>1.8948000000000003</v>
      </c>
      <c r="T308" s="168"/>
      <c r="V308" s="73">
        <v>667</v>
      </c>
      <c r="W308" s="168"/>
      <c r="X308" s="168"/>
      <c r="Y308" s="168"/>
      <c r="Z308" s="168"/>
      <c r="AA308" s="168"/>
      <c r="AB308" s="168"/>
      <c r="AC308" s="168"/>
      <c r="AD308" s="168"/>
      <c r="AF308" s="73">
        <v>667</v>
      </c>
      <c r="AG308" s="168"/>
      <c r="AH308" s="168"/>
      <c r="AI308" s="168"/>
      <c r="AJ308" s="168"/>
      <c r="AK308" s="168"/>
      <c r="AL308" s="168"/>
      <c r="AM308" s="168"/>
      <c r="AO308" s="74">
        <v>667</v>
      </c>
      <c r="AP308" s="169"/>
      <c r="AQ308" s="169"/>
      <c r="AR308" s="169">
        <v>6.8792936405876866</v>
      </c>
      <c r="AS308" s="169"/>
      <c r="AT308" s="169"/>
      <c r="AU308" s="169"/>
      <c r="AV308" s="169"/>
      <c r="AW308" s="169"/>
      <c r="AX308" s="169"/>
      <c r="BP308" s="175">
        <f>Inputs!B311</f>
        <v>667</v>
      </c>
      <c r="BQ308" s="175">
        <f>IF(LEFT(Inputs!$C$11,6)="photon",10^Inputs!C311,Inputs!C311)</f>
        <v>1.04989891134317E-3</v>
      </c>
      <c r="BR308" s="175"/>
      <c r="BS308" s="175">
        <f>'Advanced Inputs'!I313</f>
        <v>667</v>
      </c>
      <c r="BT308" s="175">
        <f>IF('Advanced Inputs'!J$19="Photon system",10^'Advanced Inputs'!J313,'Advanced Inputs'!J313)</f>
        <v>0</v>
      </c>
      <c r="BV308" s="175">
        <v>667</v>
      </c>
      <c r="BW308" s="73">
        <v>176.74100000000001</v>
      </c>
      <c r="BX308" s="73">
        <v>81.658799999999999</v>
      </c>
      <c r="CC308" s="73">
        <v>1</v>
      </c>
    </row>
    <row r="309" spans="8:81" hidden="1" x14ac:dyDescent="0.2">
      <c r="H309" s="73">
        <v>668</v>
      </c>
      <c r="I309" s="168"/>
      <c r="J309" s="168"/>
      <c r="K309" s="168"/>
      <c r="L309" s="168"/>
      <c r="M309" s="168"/>
      <c r="N309" s="168"/>
      <c r="O309" s="168"/>
      <c r="P309" s="168"/>
      <c r="Q309" s="168"/>
      <c r="R309" s="168"/>
      <c r="S309" s="168">
        <v>1.7696000000000001</v>
      </c>
      <c r="T309" s="168"/>
      <c r="V309" s="73">
        <v>668</v>
      </c>
      <c r="W309" s="168"/>
      <c r="X309" s="168"/>
      <c r="Y309" s="168"/>
      <c r="Z309" s="168"/>
      <c r="AA309" s="168"/>
      <c r="AB309" s="168"/>
      <c r="AC309" s="168"/>
      <c r="AD309" s="168"/>
      <c r="AF309" s="73">
        <v>668</v>
      </c>
      <c r="AG309" s="168"/>
      <c r="AH309" s="168"/>
      <c r="AI309" s="168"/>
      <c r="AJ309" s="168"/>
      <c r="AK309" s="168"/>
      <c r="AL309" s="168"/>
      <c r="AM309" s="168"/>
      <c r="AO309" s="74">
        <v>668</v>
      </c>
      <c r="AP309" s="169"/>
      <c r="AQ309" s="169"/>
      <c r="AR309" s="169">
        <v>6.7225523610308455</v>
      </c>
      <c r="AS309" s="169"/>
      <c r="AT309" s="169"/>
      <c r="AU309" s="169"/>
      <c r="AV309" s="169"/>
      <c r="AW309" s="169"/>
      <c r="AX309" s="169"/>
      <c r="BP309" s="175">
        <f>Inputs!B312</f>
        <v>668</v>
      </c>
      <c r="BQ309" s="175">
        <f>IF(LEFT(Inputs!$C$11,6)="photon",10^Inputs!C312,Inputs!C312)</f>
        <v>1.0448993927177201E-3</v>
      </c>
      <c r="BR309" s="175"/>
      <c r="BS309" s="175">
        <f>'Advanced Inputs'!I314</f>
        <v>668</v>
      </c>
      <c r="BT309" s="175">
        <f>IF('Advanced Inputs'!J$19="Photon system",10^'Advanced Inputs'!J314,'Advanced Inputs'!J314)</f>
        <v>0</v>
      </c>
      <c r="BV309" s="175">
        <v>668</v>
      </c>
      <c r="BW309" s="73">
        <v>177.41900000000001</v>
      </c>
      <c r="BX309" s="73">
        <v>81.865200000000002</v>
      </c>
      <c r="CC309" s="73">
        <v>1</v>
      </c>
    </row>
    <row r="310" spans="8:81" hidden="1" x14ac:dyDescent="0.2">
      <c r="H310" s="73">
        <v>669</v>
      </c>
      <c r="I310" s="168"/>
      <c r="J310" s="168"/>
      <c r="K310" s="168"/>
      <c r="L310" s="168"/>
      <c r="M310" s="168"/>
      <c r="N310" s="168"/>
      <c r="O310" s="168"/>
      <c r="P310" s="168"/>
      <c r="Q310" s="168"/>
      <c r="R310" s="168"/>
      <c r="S310" s="168">
        <v>1.6496</v>
      </c>
      <c r="T310" s="168"/>
      <c r="V310" s="73">
        <v>669</v>
      </c>
      <c r="W310" s="168"/>
      <c r="X310" s="168"/>
      <c r="Y310" s="168"/>
      <c r="Z310" s="168"/>
      <c r="AA310" s="168"/>
      <c r="AB310" s="168"/>
      <c r="AC310" s="168"/>
      <c r="AD310" s="168"/>
      <c r="AF310" s="73">
        <v>669</v>
      </c>
      <c r="AG310" s="168"/>
      <c r="AH310" s="168"/>
      <c r="AI310" s="168"/>
      <c r="AJ310" s="168"/>
      <c r="AK310" s="168"/>
      <c r="AL310" s="168"/>
      <c r="AM310" s="168"/>
      <c r="AO310" s="74">
        <v>669</v>
      </c>
      <c r="AP310" s="169"/>
      <c r="AQ310" s="169"/>
      <c r="AR310" s="169">
        <v>6.5682293179946534</v>
      </c>
      <c r="AS310" s="169"/>
      <c r="AT310" s="169"/>
      <c r="AU310" s="169"/>
      <c r="AV310" s="169"/>
      <c r="AW310" s="169"/>
      <c r="AX310" s="169"/>
      <c r="BP310" s="175">
        <f>Inputs!B313</f>
        <v>669</v>
      </c>
      <c r="BQ310" s="175">
        <f>IF(LEFT(Inputs!$C$11,6)="photon",10^Inputs!C313,Inputs!C313)</f>
        <v>1.0349003554668301E-3</v>
      </c>
      <c r="BR310" s="175"/>
      <c r="BS310" s="175">
        <f>'Advanced Inputs'!I315</f>
        <v>669</v>
      </c>
      <c r="BT310" s="175">
        <f>IF('Advanced Inputs'!J$19="Photon system",10^'Advanced Inputs'!J315,'Advanced Inputs'!J315)</f>
        <v>0</v>
      </c>
      <c r="BV310" s="175">
        <v>669</v>
      </c>
      <c r="BW310" s="73">
        <v>178.09399999999999</v>
      </c>
      <c r="BX310" s="73">
        <v>82.0715</v>
      </c>
      <c r="CC310" s="73">
        <v>1</v>
      </c>
    </row>
    <row r="311" spans="8:81" hidden="1" x14ac:dyDescent="0.2">
      <c r="H311" s="73">
        <v>670</v>
      </c>
      <c r="I311" s="168"/>
      <c r="J311" s="168"/>
      <c r="K311" s="168"/>
      <c r="L311" s="168"/>
      <c r="M311" s="168"/>
      <c r="N311" s="168"/>
      <c r="O311" s="168"/>
      <c r="P311" s="168"/>
      <c r="Q311" s="168"/>
      <c r="R311" s="168"/>
      <c r="S311" s="168">
        <v>1.54</v>
      </c>
      <c r="T311" s="168"/>
      <c r="V311" s="73">
        <v>670</v>
      </c>
      <c r="W311" s="168"/>
      <c r="X311" s="168"/>
      <c r="Y311" s="168"/>
      <c r="Z311" s="168"/>
      <c r="AA311" s="168"/>
      <c r="AB311" s="168"/>
      <c r="AC311" s="168"/>
      <c r="AD311" s="168"/>
      <c r="AF311" s="73">
        <v>670</v>
      </c>
      <c r="AG311" s="168"/>
      <c r="AH311" s="168"/>
      <c r="AI311" s="168"/>
      <c r="AJ311" s="168"/>
      <c r="AK311" s="168"/>
      <c r="AL311" s="168"/>
      <c r="AM311" s="168"/>
      <c r="AO311" s="74">
        <v>670</v>
      </c>
      <c r="AP311" s="169"/>
      <c r="AQ311" s="169"/>
      <c r="AR311" s="169">
        <v>6.4160283002598701</v>
      </c>
      <c r="AS311" s="169"/>
      <c r="AT311" s="169"/>
      <c r="AU311" s="169"/>
      <c r="AV311" s="169"/>
      <c r="AW311" s="169"/>
      <c r="AX311" s="169"/>
      <c r="BP311" s="175">
        <f>Inputs!B314</f>
        <v>670</v>
      </c>
      <c r="BQ311" s="175">
        <f>IF(LEFT(Inputs!$C$11,6)="photon",10^Inputs!C314,Inputs!C314)</f>
        <v>1.0349003554668301E-3</v>
      </c>
      <c r="BR311" s="175"/>
      <c r="BS311" s="175">
        <f>'Advanced Inputs'!I316</f>
        <v>670</v>
      </c>
      <c r="BT311" s="175">
        <f>IF('Advanced Inputs'!J$19="Photon system",10^'Advanced Inputs'!J316,'Advanced Inputs'!J316)</f>
        <v>0</v>
      </c>
      <c r="BV311" s="175">
        <v>670</v>
      </c>
      <c r="BW311" s="73">
        <v>178.76900000000001</v>
      </c>
      <c r="BX311" s="73">
        <v>82.277799999999999</v>
      </c>
      <c r="CC311" s="73">
        <v>1</v>
      </c>
    </row>
    <row r="312" spans="8:81" hidden="1" x14ac:dyDescent="0.2">
      <c r="H312" s="73">
        <v>671</v>
      </c>
      <c r="I312" s="168"/>
      <c r="J312" s="168"/>
      <c r="K312" s="168"/>
      <c r="L312" s="168"/>
      <c r="M312" s="168"/>
      <c r="N312" s="168"/>
      <c r="O312" s="168"/>
      <c r="P312" s="168"/>
      <c r="Q312" s="168"/>
      <c r="R312" s="168"/>
      <c r="S312" s="168">
        <v>1.4683999999999999</v>
      </c>
      <c r="T312" s="168"/>
      <c r="V312" s="73">
        <v>671</v>
      </c>
      <c r="W312" s="168"/>
      <c r="X312" s="168"/>
      <c r="Y312" s="168"/>
      <c r="Z312" s="168"/>
      <c r="AA312" s="168"/>
      <c r="AB312" s="168"/>
      <c r="AC312" s="168"/>
      <c r="AD312" s="168"/>
      <c r="AF312" s="73">
        <v>671</v>
      </c>
      <c r="AG312" s="168"/>
      <c r="AH312" s="168"/>
      <c r="AI312" s="168"/>
      <c r="AJ312" s="168"/>
      <c r="AK312" s="168"/>
      <c r="AL312" s="168"/>
      <c r="AM312" s="168"/>
      <c r="AO312" s="74">
        <v>671</v>
      </c>
      <c r="AP312" s="169"/>
      <c r="AQ312" s="169"/>
      <c r="AR312" s="169">
        <v>6.2656879917276003</v>
      </c>
      <c r="AS312" s="169"/>
      <c r="AT312" s="169"/>
      <c r="AU312" s="169"/>
      <c r="AV312" s="169"/>
      <c r="AW312" s="169"/>
      <c r="AX312" s="169"/>
      <c r="BP312" s="175">
        <f>Inputs!B315</f>
        <v>671</v>
      </c>
      <c r="BQ312" s="175">
        <f>IF(LEFT(Inputs!$C$11,6)="photon",10^Inputs!C315,Inputs!C315)</f>
        <v>1.0299008368413901E-3</v>
      </c>
      <c r="BR312" s="175"/>
      <c r="BS312" s="175">
        <f>'Advanced Inputs'!I317</f>
        <v>671</v>
      </c>
      <c r="BT312" s="175">
        <f>IF('Advanced Inputs'!J$19="Photon system",10^'Advanced Inputs'!J317,'Advanced Inputs'!J317)</f>
        <v>0</v>
      </c>
      <c r="BV312" s="175">
        <v>671</v>
      </c>
      <c r="BW312" s="73">
        <v>179.441</v>
      </c>
      <c r="BX312" s="73">
        <v>81.878399999999999</v>
      </c>
      <c r="CC312" s="73">
        <v>1</v>
      </c>
    </row>
    <row r="313" spans="8:81" hidden="1" x14ac:dyDescent="0.2">
      <c r="H313" s="73">
        <v>672</v>
      </c>
      <c r="I313" s="168"/>
      <c r="J313" s="168"/>
      <c r="K313" s="168"/>
      <c r="L313" s="168"/>
      <c r="M313" s="168"/>
      <c r="N313" s="168"/>
      <c r="O313" s="168"/>
      <c r="P313" s="168"/>
      <c r="Q313" s="168"/>
      <c r="R313" s="168"/>
      <c r="S313" s="168">
        <v>1.4119999999999999</v>
      </c>
      <c r="T313" s="168"/>
      <c r="V313" s="73">
        <v>672</v>
      </c>
      <c r="W313" s="168"/>
      <c r="X313" s="168"/>
      <c r="Y313" s="168"/>
      <c r="Z313" s="168"/>
      <c r="AA313" s="168"/>
      <c r="AB313" s="168"/>
      <c r="AC313" s="168"/>
      <c r="AD313" s="168"/>
      <c r="AF313" s="73">
        <v>672</v>
      </c>
      <c r="AG313" s="168"/>
      <c r="AH313" s="168"/>
      <c r="AI313" s="168"/>
      <c r="AJ313" s="168"/>
      <c r="AK313" s="168"/>
      <c r="AL313" s="168"/>
      <c r="AM313" s="168"/>
      <c r="AO313" s="74">
        <v>672</v>
      </c>
      <c r="AP313" s="169"/>
      <c r="AQ313" s="169"/>
      <c r="AR313" s="169">
        <v>6.1188019522086741</v>
      </c>
      <c r="AS313" s="169"/>
      <c r="AT313" s="169"/>
      <c r="AU313" s="169"/>
      <c r="AV313" s="169"/>
      <c r="AW313" s="169"/>
      <c r="AX313" s="169"/>
      <c r="BP313" s="175">
        <f>Inputs!B316</f>
        <v>672</v>
      </c>
      <c r="BQ313" s="175">
        <f>IF(LEFT(Inputs!$C$11,6)="photon",10^Inputs!C316,Inputs!C316)</f>
        <v>1.0299008368413901E-3</v>
      </c>
      <c r="BR313" s="175"/>
      <c r="BS313" s="175">
        <f>'Advanced Inputs'!I318</f>
        <v>672</v>
      </c>
      <c r="BT313" s="175">
        <f>IF('Advanced Inputs'!J$19="Photon system",10^'Advanced Inputs'!J318,'Advanced Inputs'!J318)</f>
        <v>0</v>
      </c>
      <c r="BV313" s="175">
        <v>672</v>
      </c>
      <c r="BW313" s="73">
        <v>180.113</v>
      </c>
      <c r="BX313" s="73">
        <v>81.479100000000003</v>
      </c>
      <c r="CC313" s="73">
        <v>1</v>
      </c>
    </row>
    <row r="314" spans="8:81" hidden="1" x14ac:dyDescent="0.2">
      <c r="H314" s="73">
        <v>673</v>
      </c>
      <c r="I314" s="168"/>
      <c r="J314" s="168"/>
      <c r="K314" s="168"/>
      <c r="L314" s="168"/>
      <c r="M314" s="168"/>
      <c r="N314" s="168"/>
      <c r="O314" s="168"/>
      <c r="P314" s="168"/>
      <c r="Q314" s="168"/>
      <c r="R314" s="168"/>
      <c r="S314" s="168">
        <v>1.3704000000000001</v>
      </c>
      <c r="T314" s="168"/>
      <c r="V314" s="73">
        <v>673</v>
      </c>
      <c r="W314" s="168"/>
      <c r="X314" s="168"/>
      <c r="Y314" s="168"/>
      <c r="Z314" s="168"/>
      <c r="AA314" s="168"/>
      <c r="AB314" s="168"/>
      <c r="AC314" s="168"/>
      <c r="AD314" s="168"/>
      <c r="AF314" s="73">
        <v>673</v>
      </c>
      <c r="AG314" s="168"/>
      <c r="AH314" s="168"/>
      <c r="AI314" s="168"/>
      <c r="AJ314" s="168"/>
      <c r="AK314" s="168"/>
      <c r="AL314" s="168"/>
      <c r="AM314" s="168"/>
      <c r="AO314" s="74">
        <v>673</v>
      </c>
      <c r="AP314" s="169"/>
      <c r="AQ314" s="169"/>
      <c r="AR314" s="169">
        <v>5.9743838011476038</v>
      </c>
      <c r="AS314" s="169"/>
      <c r="AT314" s="169"/>
      <c r="AU314" s="169"/>
      <c r="AV314" s="169"/>
      <c r="AW314" s="169"/>
      <c r="AX314" s="169"/>
      <c r="BP314" s="175">
        <f>Inputs!B317</f>
        <v>673</v>
      </c>
      <c r="BQ314" s="175">
        <f>IF(LEFT(Inputs!$C$11,6)="photon",10^Inputs!C317,Inputs!C317)</f>
        <v>1.0299008368413901E-3</v>
      </c>
      <c r="BR314" s="175"/>
      <c r="BS314" s="175">
        <f>'Advanced Inputs'!I319</f>
        <v>673</v>
      </c>
      <c r="BT314" s="175">
        <f>IF('Advanced Inputs'!J$19="Photon system",10^'Advanced Inputs'!J319,'Advanced Inputs'!J319)</f>
        <v>0</v>
      </c>
      <c r="BV314" s="175">
        <v>673</v>
      </c>
      <c r="BW314" s="73">
        <v>180.78299999999999</v>
      </c>
      <c r="BX314" s="73">
        <v>81.079700000000003</v>
      </c>
      <c r="CC314" s="73">
        <v>1</v>
      </c>
    </row>
    <row r="315" spans="8:81" hidden="1" x14ac:dyDescent="0.2">
      <c r="H315" s="73">
        <v>674</v>
      </c>
      <c r="I315" s="168"/>
      <c r="J315" s="168"/>
      <c r="K315" s="168"/>
      <c r="L315" s="168"/>
      <c r="M315" s="168"/>
      <c r="N315" s="168"/>
      <c r="O315" s="168"/>
      <c r="P315" s="168"/>
      <c r="Q315" s="168"/>
      <c r="R315" s="168"/>
      <c r="S315" s="168">
        <v>1.3432000000000002</v>
      </c>
      <c r="T315" s="168"/>
      <c r="V315" s="73">
        <v>674</v>
      </c>
      <c r="W315" s="168"/>
      <c r="X315" s="168"/>
      <c r="Y315" s="168"/>
      <c r="Z315" s="168"/>
      <c r="AA315" s="168"/>
      <c r="AB315" s="168"/>
      <c r="AC315" s="168"/>
      <c r="AD315" s="168"/>
      <c r="AF315" s="73">
        <v>674</v>
      </c>
      <c r="AG315" s="168"/>
      <c r="AH315" s="168"/>
      <c r="AI315" s="168"/>
      <c r="AJ315" s="168"/>
      <c r="AK315" s="168"/>
      <c r="AL315" s="168"/>
      <c r="AM315" s="168"/>
      <c r="AO315" s="74">
        <v>674</v>
      </c>
      <c r="AP315" s="169"/>
      <c r="AQ315" s="169"/>
      <c r="AR315" s="169">
        <v>5.832418873288538</v>
      </c>
      <c r="AS315" s="169"/>
      <c r="AT315" s="169"/>
      <c r="AU315" s="169"/>
      <c r="AV315" s="169"/>
      <c r="AW315" s="169"/>
      <c r="AX315" s="169"/>
      <c r="BP315" s="175">
        <f>Inputs!B318</f>
        <v>674</v>
      </c>
      <c r="BQ315" s="175">
        <f>IF(LEFT(Inputs!$C$11,6)="photon",10^Inputs!C318,Inputs!C318)</f>
        <v>1.0299008368413901E-3</v>
      </c>
      <c r="BR315" s="175"/>
      <c r="BS315" s="175">
        <f>'Advanced Inputs'!I320</f>
        <v>674</v>
      </c>
      <c r="BT315" s="175">
        <f>IF('Advanced Inputs'!J$19="Photon system",10^'Advanced Inputs'!J320,'Advanced Inputs'!J320)</f>
        <v>0</v>
      </c>
      <c r="BV315" s="175">
        <v>674</v>
      </c>
      <c r="BW315" s="73">
        <v>181.45099999999999</v>
      </c>
      <c r="BX315" s="73">
        <v>80.680400000000006</v>
      </c>
      <c r="CC315" s="73">
        <v>1</v>
      </c>
    </row>
    <row r="316" spans="8:81" hidden="1" x14ac:dyDescent="0.2">
      <c r="H316" s="73">
        <v>675</v>
      </c>
      <c r="I316" s="168"/>
      <c r="J316" s="168"/>
      <c r="K316" s="168"/>
      <c r="L316" s="168"/>
      <c r="M316" s="168"/>
      <c r="N316" s="168"/>
      <c r="O316" s="168"/>
      <c r="P316" s="168"/>
      <c r="Q316" s="168"/>
      <c r="R316" s="168"/>
      <c r="S316" s="168">
        <v>1.33</v>
      </c>
      <c r="T316" s="168"/>
      <c r="V316" s="73">
        <v>675</v>
      </c>
      <c r="W316" s="168"/>
      <c r="X316" s="168"/>
      <c r="Y316" s="168"/>
      <c r="Z316" s="168"/>
      <c r="AA316" s="168"/>
      <c r="AB316" s="168"/>
      <c r="AC316" s="168"/>
      <c r="AD316" s="168"/>
      <c r="AF316" s="73">
        <v>675</v>
      </c>
      <c r="AG316" s="168"/>
      <c r="AH316" s="168"/>
      <c r="AI316" s="168"/>
      <c r="AJ316" s="168"/>
      <c r="AK316" s="168"/>
      <c r="AL316" s="168"/>
      <c r="AM316" s="168"/>
      <c r="AO316" s="74">
        <v>675</v>
      </c>
      <c r="AP316" s="169"/>
      <c r="AQ316" s="169"/>
      <c r="AR316" s="169">
        <v>5.691266195642835</v>
      </c>
      <c r="AS316" s="169"/>
      <c r="AT316" s="169"/>
      <c r="AU316" s="169"/>
      <c r="AV316" s="169"/>
      <c r="AW316" s="169"/>
      <c r="AX316" s="169"/>
      <c r="BP316" s="175">
        <f>Inputs!B319</f>
        <v>675</v>
      </c>
      <c r="BQ316" s="175">
        <f>IF(LEFT(Inputs!$C$11,6)="photon",10^Inputs!C319,Inputs!C319)</f>
        <v>1.0249013182159501E-3</v>
      </c>
      <c r="BR316" s="175"/>
      <c r="BS316" s="175">
        <f>'Advanced Inputs'!I321</f>
        <v>675</v>
      </c>
      <c r="BT316" s="175">
        <f>IF('Advanced Inputs'!J$19="Photon system",10^'Advanced Inputs'!J321,'Advanced Inputs'!J321)</f>
        <v>0</v>
      </c>
      <c r="BV316" s="175">
        <v>675</v>
      </c>
      <c r="BW316" s="73">
        <v>182.11799999999999</v>
      </c>
      <c r="BX316" s="73">
        <v>80.281000000000006</v>
      </c>
      <c r="CC316" s="73">
        <v>1</v>
      </c>
    </row>
    <row r="317" spans="8:81" hidden="1" x14ac:dyDescent="0.2">
      <c r="H317" s="73">
        <v>676</v>
      </c>
      <c r="I317" s="168"/>
      <c r="J317" s="168"/>
      <c r="K317" s="168"/>
      <c r="L317" s="168"/>
      <c r="M317" s="168"/>
      <c r="N317" s="168"/>
      <c r="O317" s="168"/>
      <c r="P317" s="168"/>
      <c r="Q317" s="168"/>
      <c r="R317" s="168"/>
      <c r="S317" s="168">
        <v>1.3284800000000003</v>
      </c>
      <c r="T317" s="168"/>
      <c r="V317" s="73">
        <v>676</v>
      </c>
      <c r="W317" s="168"/>
      <c r="X317" s="168"/>
      <c r="Y317" s="168"/>
      <c r="Z317" s="168"/>
      <c r="AA317" s="168"/>
      <c r="AB317" s="168"/>
      <c r="AC317" s="168"/>
      <c r="AD317" s="168"/>
      <c r="AF317" s="73">
        <v>676</v>
      </c>
      <c r="AG317" s="168"/>
      <c r="AH317" s="168"/>
      <c r="AI317" s="168"/>
      <c r="AJ317" s="168"/>
      <c r="AK317" s="168"/>
      <c r="AL317" s="168"/>
      <c r="AM317" s="168"/>
      <c r="AO317" s="74">
        <v>676</v>
      </c>
      <c r="AP317" s="169"/>
      <c r="AQ317" s="169"/>
      <c r="AR317" s="169">
        <v>5.5526014401920785</v>
      </c>
      <c r="AS317" s="169"/>
      <c r="AT317" s="169"/>
      <c r="AU317" s="169"/>
      <c r="AV317" s="169"/>
      <c r="AW317" s="169"/>
      <c r="AX317" s="169"/>
      <c r="BP317" s="175">
        <f>Inputs!B320</f>
        <v>676</v>
      </c>
      <c r="BQ317" s="175">
        <f>IF(LEFT(Inputs!$C$11,6)="photon",10^Inputs!C320,Inputs!C320)</f>
        <v>1.0249013182159501E-3</v>
      </c>
      <c r="BR317" s="175"/>
      <c r="BS317" s="175">
        <f>'Advanced Inputs'!I322</f>
        <v>676</v>
      </c>
      <c r="BT317" s="175">
        <f>IF('Advanced Inputs'!J$19="Photon system",10^'Advanced Inputs'!J322,'Advanced Inputs'!J322)</f>
        <v>0</v>
      </c>
      <c r="BV317" s="175">
        <v>676</v>
      </c>
      <c r="BW317" s="73">
        <v>182.78299999999999</v>
      </c>
      <c r="BX317" s="73">
        <v>79.881600000000006</v>
      </c>
      <c r="CC317" s="73">
        <v>1</v>
      </c>
    </row>
    <row r="318" spans="8:81" hidden="1" x14ac:dyDescent="0.2">
      <c r="H318" s="73">
        <v>677</v>
      </c>
      <c r="I318" s="168"/>
      <c r="J318" s="168"/>
      <c r="K318" s="168"/>
      <c r="L318" s="168"/>
      <c r="M318" s="168"/>
      <c r="N318" s="168"/>
      <c r="O318" s="168"/>
      <c r="P318" s="168"/>
      <c r="Q318" s="168"/>
      <c r="R318" s="168"/>
      <c r="S318" s="168">
        <v>1.3406400000000001</v>
      </c>
      <c r="T318" s="168"/>
      <c r="V318" s="73">
        <v>677</v>
      </c>
      <c r="W318" s="168"/>
      <c r="X318" s="168"/>
      <c r="Y318" s="168"/>
      <c r="Z318" s="168"/>
      <c r="AA318" s="168"/>
      <c r="AB318" s="168"/>
      <c r="AC318" s="168"/>
      <c r="AD318" s="168"/>
      <c r="AF318" s="73">
        <v>677</v>
      </c>
      <c r="AG318" s="168"/>
      <c r="AH318" s="168"/>
      <c r="AI318" s="168"/>
      <c r="AJ318" s="168"/>
      <c r="AK318" s="168"/>
      <c r="AL318" s="168"/>
      <c r="AM318" s="168"/>
      <c r="AO318" s="74">
        <v>677</v>
      </c>
      <c r="AP318" s="169"/>
      <c r="AQ318" s="169"/>
      <c r="AR318" s="169">
        <v>5.4165808136415867</v>
      </c>
      <c r="AS318" s="169"/>
      <c r="AT318" s="169"/>
      <c r="AU318" s="169"/>
      <c r="AV318" s="169"/>
      <c r="AW318" s="169"/>
      <c r="AX318" s="169"/>
      <c r="BP318" s="175">
        <f>Inputs!B321</f>
        <v>677</v>
      </c>
      <c r="BQ318" s="175">
        <f>IF(LEFT(Inputs!$C$11,6)="photon",10^Inputs!C321,Inputs!C321)</f>
        <v>1.0249013182159501E-3</v>
      </c>
      <c r="BR318" s="175"/>
      <c r="BS318" s="175">
        <f>'Advanced Inputs'!I323</f>
        <v>677</v>
      </c>
      <c r="BT318" s="175">
        <f>IF('Advanced Inputs'!J$19="Photon system",10^'Advanced Inputs'!J323,'Advanced Inputs'!J323)</f>
        <v>0</v>
      </c>
      <c r="BV318" s="175">
        <v>677</v>
      </c>
      <c r="BW318" s="73">
        <v>183.447</v>
      </c>
      <c r="BX318" s="73">
        <v>79.482299999999995</v>
      </c>
      <c r="CC318" s="73">
        <v>1</v>
      </c>
    </row>
    <row r="319" spans="8:81" hidden="1" x14ac:dyDescent="0.2">
      <c r="H319" s="73">
        <v>678</v>
      </c>
      <c r="I319" s="168"/>
      <c r="J319" s="168"/>
      <c r="K319" s="168"/>
      <c r="L319" s="168"/>
      <c r="M319" s="168"/>
      <c r="N319" s="168"/>
      <c r="O319" s="168"/>
      <c r="P319" s="168"/>
      <c r="Q319" s="168"/>
      <c r="R319" s="168"/>
      <c r="S319" s="168">
        <v>1.36656</v>
      </c>
      <c r="T319" s="168"/>
      <c r="V319" s="73">
        <v>678</v>
      </c>
      <c r="W319" s="168"/>
      <c r="X319" s="168"/>
      <c r="Y319" s="168"/>
      <c r="Z319" s="168"/>
      <c r="AA319" s="168"/>
      <c r="AB319" s="168"/>
      <c r="AC319" s="168"/>
      <c r="AD319" s="168"/>
      <c r="AF319" s="73">
        <v>678</v>
      </c>
      <c r="AG319" s="168"/>
      <c r="AH319" s="168"/>
      <c r="AI319" s="168"/>
      <c r="AJ319" s="168"/>
      <c r="AK319" s="168"/>
      <c r="AL319" s="168"/>
      <c r="AM319" s="168"/>
      <c r="AO319" s="74">
        <v>678</v>
      </c>
      <c r="AP319" s="169"/>
      <c r="AQ319" s="169"/>
      <c r="AR319" s="169">
        <v>5.282893395188613</v>
      </c>
      <c r="AS319" s="169"/>
      <c r="AT319" s="169"/>
      <c r="AU319" s="169"/>
      <c r="AV319" s="169"/>
      <c r="AW319" s="169"/>
      <c r="AX319" s="169"/>
      <c r="BP319" s="175">
        <f>Inputs!B322</f>
        <v>678</v>
      </c>
      <c r="BQ319" s="175">
        <f>IF(LEFT(Inputs!$C$11,6)="photon",10^Inputs!C322,Inputs!C322)</f>
        <v>1.0249013182159501E-3</v>
      </c>
      <c r="BR319" s="175"/>
      <c r="BS319" s="175">
        <f>'Advanced Inputs'!I324</f>
        <v>678</v>
      </c>
      <c r="BT319" s="175">
        <f>IF('Advanced Inputs'!J$19="Photon system",10^'Advanced Inputs'!J324,'Advanced Inputs'!J324)</f>
        <v>0</v>
      </c>
      <c r="BV319" s="175">
        <v>678</v>
      </c>
      <c r="BW319" s="73">
        <v>184.10900000000001</v>
      </c>
      <c r="BX319" s="73">
        <v>79.082899999999995</v>
      </c>
      <c r="CC319" s="73">
        <v>1</v>
      </c>
    </row>
    <row r="320" spans="8:81" hidden="1" x14ac:dyDescent="0.2">
      <c r="H320" s="73">
        <v>679</v>
      </c>
      <c r="I320" s="168"/>
      <c r="J320" s="168"/>
      <c r="K320" s="168"/>
      <c r="L320" s="168"/>
      <c r="M320" s="168"/>
      <c r="N320" s="168"/>
      <c r="O320" s="168"/>
      <c r="P320" s="168"/>
      <c r="Q320" s="168"/>
      <c r="R320" s="168"/>
      <c r="S320" s="168">
        <v>1.4063199999999998</v>
      </c>
      <c r="T320" s="168"/>
      <c r="V320" s="73">
        <v>679</v>
      </c>
      <c r="W320" s="168"/>
      <c r="X320" s="168"/>
      <c r="Y320" s="168"/>
      <c r="Z320" s="168"/>
      <c r="AA320" s="168"/>
      <c r="AB320" s="168"/>
      <c r="AC320" s="168"/>
      <c r="AD320" s="168"/>
      <c r="AF320" s="73">
        <v>679</v>
      </c>
      <c r="AG320" s="168"/>
      <c r="AH320" s="168"/>
      <c r="AI320" s="168"/>
      <c r="AJ320" s="168"/>
      <c r="AK320" s="168"/>
      <c r="AL320" s="168"/>
      <c r="AM320" s="168"/>
      <c r="AO320" s="74">
        <v>679</v>
      </c>
      <c r="AP320" s="169"/>
      <c r="AQ320" s="169"/>
      <c r="AR320" s="169">
        <v>5.1516600018660226</v>
      </c>
      <c r="AS320" s="169"/>
      <c r="AT320" s="169"/>
      <c r="AU320" s="169"/>
      <c r="AV320" s="169"/>
      <c r="AW320" s="169"/>
      <c r="AX320" s="169"/>
      <c r="BP320" s="175">
        <f>Inputs!B323</f>
        <v>679</v>
      </c>
      <c r="BQ320" s="175">
        <f>IF(LEFT(Inputs!$C$11,6)="photon",10^Inputs!C323,Inputs!C323)</f>
        <v>1.0249013182159501E-3</v>
      </c>
      <c r="BR320" s="175"/>
      <c r="BS320" s="175">
        <f>'Advanced Inputs'!I325</f>
        <v>679</v>
      </c>
      <c r="BT320" s="175">
        <f>IF('Advanced Inputs'!J$19="Photon system",10^'Advanced Inputs'!J325,'Advanced Inputs'!J325)</f>
        <v>0</v>
      </c>
      <c r="BV320" s="175">
        <v>679</v>
      </c>
      <c r="BW320" s="73">
        <v>184.77</v>
      </c>
      <c r="BX320" s="73">
        <v>78.683599999999998</v>
      </c>
      <c r="CC320" s="73">
        <v>1</v>
      </c>
    </row>
    <row r="321" spans="8:81" hidden="1" x14ac:dyDescent="0.2">
      <c r="H321" s="73">
        <v>680</v>
      </c>
      <c r="I321" s="168"/>
      <c r="J321" s="168"/>
      <c r="K321" s="168"/>
      <c r="L321" s="168"/>
      <c r="M321" s="168"/>
      <c r="N321" s="168"/>
      <c r="O321" s="168"/>
      <c r="P321" s="168"/>
      <c r="Q321" s="168"/>
      <c r="R321" s="168"/>
      <c r="S321" s="168">
        <v>1.46</v>
      </c>
      <c r="T321" s="168"/>
      <c r="V321" s="73">
        <v>680</v>
      </c>
      <c r="W321" s="168"/>
      <c r="X321" s="168"/>
      <c r="Y321" s="168"/>
      <c r="Z321" s="168"/>
      <c r="AA321" s="168"/>
      <c r="AB321" s="168"/>
      <c r="AC321" s="168"/>
      <c r="AD321" s="168"/>
      <c r="AF321" s="73">
        <v>680</v>
      </c>
      <c r="AG321" s="168"/>
      <c r="AH321" s="168"/>
      <c r="AI321" s="168"/>
      <c r="AJ321" s="168"/>
      <c r="AK321" s="168"/>
      <c r="AL321" s="168"/>
      <c r="AM321" s="168"/>
      <c r="AO321" s="74">
        <v>680</v>
      </c>
      <c r="AP321" s="169"/>
      <c r="AQ321" s="169"/>
      <c r="AR321" s="169">
        <v>5.0225392615770019</v>
      </c>
      <c r="AS321" s="169"/>
      <c r="AT321" s="169"/>
      <c r="AU321" s="169"/>
      <c r="AV321" s="169"/>
      <c r="AW321" s="169"/>
      <c r="AX321" s="169"/>
      <c r="BP321" s="175">
        <f>Inputs!B324</f>
        <v>680</v>
      </c>
      <c r="BQ321" s="175">
        <f>IF(LEFT(Inputs!$C$11,6)="photon",10^Inputs!C324,Inputs!C324)</f>
        <v>1.0199017995905001E-3</v>
      </c>
      <c r="BR321" s="175"/>
      <c r="BS321" s="175">
        <f>'Advanced Inputs'!I326</f>
        <v>680</v>
      </c>
      <c r="BT321" s="175">
        <f>IF('Advanced Inputs'!J$19="Photon system",10^'Advanced Inputs'!J326,'Advanced Inputs'!J326)</f>
        <v>0</v>
      </c>
      <c r="BV321" s="175">
        <v>680</v>
      </c>
      <c r="BW321" s="73">
        <v>185.429</v>
      </c>
      <c r="BX321" s="73">
        <v>78.284199999999998</v>
      </c>
      <c r="CC321" s="73">
        <v>1</v>
      </c>
    </row>
    <row r="322" spans="8:81" hidden="1" x14ac:dyDescent="0.2">
      <c r="H322" s="73">
        <v>681</v>
      </c>
      <c r="I322" s="168"/>
      <c r="J322" s="168"/>
      <c r="K322" s="168"/>
      <c r="L322" s="168"/>
      <c r="M322" s="168"/>
      <c r="N322" s="168"/>
      <c r="O322" s="168"/>
      <c r="P322" s="168"/>
      <c r="Q322" s="168"/>
      <c r="R322" s="168"/>
      <c r="S322" s="168">
        <v>1.5526399999999998</v>
      </c>
      <c r="T322" s="168"/>
      <c r="V322" s="73">
        <v>681</v>
      </c>
      <c r="W322" s="168"/>
      <c r="X322" s="168"/>
      <c r="Y322" s="168"/>
      <c r="Z322" s="168"/>
      <c r="AA322" s="168"/>
      <c r="AB322" s="168"/>
      <c r="AC322" s="168"/>
      <c r="AD322" s="168"/>
      <c r="AF322" s="73">
        <v>681</v>
      </c>
      <c r="AG322" s="168"/>
      <c r="AH322" s="168"/>
      <c r="AI322" s="168"/>
      <c r="AJ322" s="168"/>
      <c r="AK322" s="168"/>
      <c r="AL322" s="168"/>
      <c r="AM322" s="168"/>
      <c r="AO322" s="74">
        <v>681</v>
      </c>
      <c r="AP322" s="169"/>
      <c r="AQ322" s="169"/>
      <c r="AR322" s="169">
        <v>4.8960181607097395</v>
      </c>
      <c r="AS322" s="169"/>
      <c r="AT322" s="169"/>
      <c r="AU322" s="169"/>
      <c r="AV322" s="169"/>
      <c r="AW322" s="169"/>
      <c r="AX322" s="169"/>
      <c r="BP322" s="175">
        <f>Inputs!B325</f>
        <v>681</v>
      </c>
      <c r="BQ322" s="175">
        <f>IF(LEFT(Inputs!$C$11,6)="photon",10^Inputs!C325,Inputs!C325)</f>
        <v>1.0199017995905001E-3</v>
      </c>
      <c r="BR322" s="175"/>
      <c r="BS322" s="175">
        <f>'Advanced Inputs'!I327</f>
        <v>681</v>
      </c>
      <c r="BT322" s="175">
        <f>IF('Advanced Inputs'!J$19="Photon system",10^'Advanced Inputs'!J327,'Advanced Inputs'!J327)</f>
        <v>0</v>
      </c>
      <c r="BV322" s="175">
        <v>681</v>
      </c>
      <c r="BW322" s="73">
        <v>186.08699999999999</v>
      </c>
      <c r="BX322" s="73">
        <v>77.427899999999994</v>
      </c>
      <c r="CC322" s="73">
        <v>1</v>
      </c>
    </row>
    <row r="323" spans="8:81" hidden="1" x14ac:dyDescent="0.2">
      <c r="H323" s="73">
        <v>682</v>
      </c>
      <c r="I323" s="168"/>
      <c r="J323" s="168"/>
      <c r="K323" s="168"/>
      <c r="L323" s="168"/>
      <c r="M323" s="168"/>
      <c r="N323" s="168"/>
      <c r="O323" s="168"/>
      <c r="P323" s="168"/>
      <c r="Q323" s="168"/>
      <c r="R323" s="168"/>
      <c r="S323" s="168">
        <v>1.6531199999999999</v>
      </c>
      <c r="T323" s="168"/>
      <c r="V323" s="73">
        <v>682</v>
      </c>
      <c r="W323" s="168"/>
      <c r="X323" s="168"/>
      <c r="Y323" s="168"/>
      <c r="Z323" s="168"/>
      <c r="AA323" s="168"/>
      <c r="AB323" s="168"/>
      <c r="AC323" s="168"/>
      <c r="AD323" s="168"/>
      <c r="AF323" s="73">
        <v>682</v>
      </c>
      <c r="AG323" s="168"/>
      <c r="AH323" s="168"/>
      <c r="AI323" s="168"/>
      <c r="AJ323" s="168"/>
      <c r="AK323" s="168"/>
      <c r="AL323" s="168"/>
      <c r="AM323" s="168"/>
      <c r="AO323" s="74">
        <v>682</v>
      </c>
      <c r="AP323" s="169"/>
      <c r="AQ323" s="169"/>
      <c r="AR323" s="169">
        <v>4.7725671208199421</v>
      </c>
      <c r="AS323" s="169"/>
      <c r="AT323" s="169"/>
      <c r="AU323" s="169"/>
      <c r="AV323" s="169"/>
      <c r="AW323" s="169"/>
      <c r="AX323" s="169"/>
      <c r="BP323" s="175">
        <f>Inputs!B326</f>
        <v>682</v>
      </c>
      <c r="BQ323" s="175">
        <f>IF(LEFT(Inputs!$C$11,6)="photon",10^Inputs!C326,Inputs!C326)</f>
        <v>1.0149022809650601E-3</v>
      </c>
      <c r="BR323" s="175"/>
      <c r="BS323" s="175">
        <f>'Advanced Inputs'!I328</f>
        <v>682</v>
      </c>
      <c r="BT323" s="175">
        <f>IF('Advanced Inputs'!J$19="Photon system",10^'Advanced Inputs'!J328,'Advanced Inputs'!J328)</f>
        <v>0</v>
      </c>
      <c r="BV323" s="175">
        <v>682</v>
      </c>
      <c r="BW323" s="73">
        <v>186.74299999999999</v>
      </c>
      <c r="BX323" s="73">
        <v>76.571600000000004</v>
      </c>
      <c r="CC323" s="73">
        <v>1</v>
      </c>
    </row>
    <row r="324" spans="8:81" hidden="1" x14ac:dyDescent="0.2">
      <c r="H324" s="73">
        <v>683</v>
      </c>
      <c r="I324" s="168"/>
      <c r="J324" s="168"/>
      <c r="K324" s="168"/>
      <c r="L324" s="168"/>
      <c r="M324" s="168"/>
      <c r="N324" s="168"/>
      <c r="O324" s="168"/>
      <c r="P324" s="168"/>
      <c r="Q324" s="168"/>
      <c r="R324" s="168"/>
      <c r="S324" s="168">
        <v>1.75528</v>
      </c>
      <c r="T324" s="168"/>
      <c r="V324" s="73">
        <v>683</v>
      </c>
      <c r="W324" s="168"/>
      <c r="X324" s="168"/>
      <c r="Y324" s="168"/>
      <c r="Z324" s="168"/>
      <c r="AA324" s="168"/>
      <c r="AB324" s="168"/>
      <c r="AC324" s="168"/>
      <c r="AD324" s="168"/>
      <c r="AF324" s="73">
        <v>683</v>
      </c>
      <c r="AG324" s="168"/>
      <c r="AH324" s="168"/>
      <c r="AI324" s="168"/>
      <c r="AJ324" s="168"/>
      <c r="AK324" s="168"/>
      <c r="AL324" s="168"/>
      <c r="AM324" s="168"/>
      <c r="AO324" s="74">
        <v>683</v>
      </c>
      <c r="AP324" s="169"/>
      <c r="AQ324" s="169"/>
      <c r="AR324" s="169">
        <v>4.6518494021071746</v>
      </c>
      <c r="AS324" s="169"/>
      <c r="AT324" s="169"/>
      <c r="AU324" s="169"/>
      <c r="AV324" s="169"/>
      <c r="AW324" s="169"/>
      <c r="AX324" s="169"/>
      <c r="BP324" s="175">
        <f>Inputs!B327</f>
        <v>683</v>
      </c>
      <c r="BQ324" s="175">
        <f>IF(LEFT(Inputs!$C$11,6)="photon",10^Inputs!C327,Inputs!C327)</f>
        <v>9.9990372508873397E-4</v>
      </c>
      <c r="BR324" s="175"/>
      <c r="BS324" s="175">
        <f>'Advanced Inputs'!I329</f>
        <v>683</v>
      </c>
      <c r="BT324" s="175">
        <f>IF('Advanced Inputs'!J$19="Photon system",10^'Advanced Inputs'!J329,'Advanced Inputs'!J329)</f>
        <v>0</v>
      </c>
      <c r="BV324" s="175">
        <v>683</v>
      </c>
      <c r="BW324" s="73">
        <v>187.39699999999999</v>
      </c>
      <c r="BX324" s="73">
        <v>75.715299999999999</v>
      </c>
      <c r="CC324" s="73">
        <v>1</v>
      </c>
    </row>
    <row r="325" spans="8:81" hidden="1" x14ac:dyDescent="0.2">
      <c r="H325" s="73">
        <v>684</v>
      </c>
      <c r="I325" s="168"/>
      <c r="J325" s="168"/>
      <c r="K325" s="168"/>
      <c r="L325" s="168"/>
      <c r="M325" s="168"/>
      <c r="N325" s="168"/>
      <c r="O325" s="168"/>
      <c r="P325" s="168"/>
      <c r="Q325" s="168"/>
      <c r="R325" s="168"/>
      <c r="S325" s="168">
        <v>1.8529599999999997</v>
      </c>
      <c r="T325" s="168"/>
      <c r="V325" s="73">
        <v>684</v>
      </c>
      <c r="W325" s="168"/>
      <c r="X325" s="168"/>
      <c r="Y325" s="168"/>
      <c r="Z325" s="168"/>
      <c r="AA325" s="168"/>
      <c r="AB325" s="168"/>
      <c r="AC325" s="168"/>
      <c r="AD325" s="168"/>
      <c r="AF325" s="73">
        <v>684</v>
      </c>
      <c r="AG325" s="168"/>
      <c r="AH325" s="168"/>
      <c r="AI325" s="168"/>
      <c r="AJ325" s="168"/>
      <c r="AK325" s="168"/>
      <c r="AL325" s="168"/>
      <c r="AM325" s="168"/>
      <c r="AO325" s="74">
        <v>684</v>
      </c>
      <c r="AP325" s="169"/>
      <c r="AQ325" s="169"/>
      <c r="AR325" s="169">
        <v>4.5329117279756641</v>
      </c>
      <c r="AS325" s="169"/>
      <c r="AT325" s="169"/>
      <c r="AU325" s="169"/>
      <c r="AV325" s="169"/>
      <c r="AW325" s="169"/>
      <c r="AX325" s="169"/>
      <c r="BP325" s="175">
        <f>Inputs!B328</f>
        <v>684</v>
      </c>
      <c r="BQ325" s="175">
        <f>IF(LEFT(Inputs!$C$11,6)="photon",10^Inputs!C328,Inputs!C328)</f>
        <v>9.7490613196151495E-4</v>
      </c>
      <c r="BR325" s="175"/>
      <c r="BS325" s="175">
        <f>'Advanced Inputs'!I330</f>
        <v>684</v>
      </c>
      <c r="BT325" s="175">
        <f>IF('Advanced Inputs'!J$19="Photon system",10^'Advanced Inputs'!J330,'Advanced Inputs'!J330)</f>
        <v>0</v>
      </c>
      <c r="BV325" s="175">
        <v>684</v>
      </c>
      <c r="BW325" s="73">
        <v>188.05</v>
      </c>
      <c r="BX325" s="73">
        <v>74.858999999999995</v>
      </c>
      <c r="CC325" s="73">
        <v>1</v>
      </c>
    </row>
    <row r="326" spans="8:81" hidden="1" x14ac:dyDescent="0.2">
      <c r="H326" s="73">
        <v>685</v>
      </c>
      <c r="I326" s="168"/>
      <c r="J326" s="168"/>
      <c r="K326" s="168"/>
      <c r="L326" s="168"/>
      <c r="M326" s="168"/>
      <c r="N326" s="168"/>
      <c r="O326" s="168"/>
      <c r="P326" s="168"/>
      <c r="Q326" s="168"/>
      <c r="R326" s="168"/>
      <c r="S326" s="168">
        <v>1.94</v>
      </c>
      <c r="T326" s="168"/>
      <c r="V326" s="73">
        <v>685</v>
      </c>
      <c r="W326" s="168"/>
      <c r="X326" s="168"/>
      <c r="Y326" s="168"/>
      <c r="Z326" s="168"/>
      <c r="AA326" s="168"/>
      <c r="AB326" s="168"/>
      <c r="AC326" s="168"/>
      <c r="AD326" s="168"/>
      <c r="AF326" s="73">
        <v>685</v>
      </c>
      <c r="AG326" s="168"/>
      <c r="AH326" s="168"/>
      <c r="AI326" s="168"/>
      <c r="AJ326" s="168"/>
      <c r="AK326" s="168"/>
      <c r="AL326" s="168"/>
      <c r="AM326" s="168"/>
      <c r="AO326" s="74">
        <v>685</v>
      </c>
      <c r="AP326" s="169"/>
      <c r="AQ326" s="169"/>
      <c r="AR326" s="169">
        <v>4.4171392656909028</v>
      </c>
      <c r="AS326" s="169"/>
      <c r="AT326" s="169"/>
      <c r="AU326" s="169"/>
      <c r="AV326" s="169"/>
      <c r="AW326" s="169"/>
      <c r="AX326" s="169"/>
      <c r="BP326" s="175">
        <f>Inputs!B329</f>
        <v>685</v>
      </c>
      <c r="BQ326" s="175">
        <f>IF(LEFT(Inputs!$C$11,6)="photon",10^Inputs!C329,Inputs!C329)</f>
        <v>9.1991142708163496E-4</v>
      </c>
      <c r="BR326" s="175"/>
      <c r="BS326" s="175">
        <f>'Advanced Inputs'!I331</f>
        <v>685</v>
      </c>
      <c r="BT326" s="175">
        <f>IF('Advanced Inputs'!J$19="Photon system",10^'Advanced Inputs'!J331,'Advanced Inputs'!J331)</f>
        <v>0</v>
      </c>
      <c r="BV326" s="175">
        <v>685</v>
      </c>
      <c r="BW326" s="73">
        <v>188.70099999999999</v>
      </c>
      <c r="BX326" s="73">
        <v>74.002700000000004</v>
      </c>
      <c r="CC326" s="73">
        <v>1</v>
      </c>
    </row>
    <row r="327" spans="8:81" hidden="1" x14ac:dyDescent="0.2">
      <c r="H327" s="73">
        <v>686</v>
      </c>
      <c r="I327" s="168"/>
      <c r="J327" s="168"/>
      <c r="K327" s="168"/>
      <c r="L327" s="168"/>
      <c r="M327" s="168"/>
      <c r="N327" s="168"/>
      <c r="O327" s="168"/>
      <c r="P327" s="168"/>
      <c r="Q327" s="168"/>
      <c r="R327" s="168"/>
      <c r="S327" s="168">
        <v>1.9996799999999999</v>
      </c>
      <c r="T327" s="168"/>
      <c r="V327" s="73">
        <v>686</v>
      </c>
      <c r="W327" s="168"/>
      <c r="X327" s="168"/>
      <c r="Y327" s="168"/>
      <c r="Z327" s="168"/>
      <c r="AA327" s="168"/>
      <c r="AB327" s="168"/>
      <c r="AC327" s="168"/>
      <c r="AD327" s="168"/>
      <c r="AF327" s="73">
        <v>686</v>
      </c>
      <c r="AG327" s="168"/>
      <c r="AH327" s="168"/>
      <c r="AI327" s="168"/>
      <c r="AJ327" s="168"/>
      <c r="AK327" s="168"/>
      <c r="AL327" s="168"/>
      <c r="AM327" s="168"/>
      <c r="AO327" s="74">
        <v>686</v>
      </c>
      <c r="AP327" s="169"/>
      <c r="AQ327" s="169"/>
      <c r="AR327" s="169">
        <v>4.3039794799259914</v>
      </c>
      <c r="AS327" s="169"/>
      <c r="AT327" s="169"/>
      <c r="AU327" s="169"/>
      <c r="AV327" s="169"/>
      <c r="AW327" s="169"/>
      <c r="AX327" s="169"/>
      <c r="BP327" s="175">
        <f>Inputs!B330</f>
        <v>686</v>
      </c>
      <c r="BQ327" s="175">
        <f>IF(LEFT(Inputs!$C$11,6)="photon",10^Inputs!C330,Inputs!C330)</f>
        <v>8.5491768495086704E-4</v>
      </c>
      <c r="BR327" s="175"/>
      <c r="BS327" s="175">
        <f>'Advanced Inputs'!I332</f>
        <v>686</v>
      </c>
      <c r="BT327" s="175">
        <f>IF('Advanced Inputs'!J$19="Photon system",10^'Advanced Inputs'!J332,'Advanced Inputs'!J332)</f>
        <v>0</v>
      </c>
      <c r="BV327" s="175">
        <v>686</v>
      </c>
      <c r="BW327" s="73">
        <v>189.35</v>
      </c>
      <c r="BX327" s="73">
        <v>73.146500000000003</v>
      </c>
      <c r="CC327" s="73">
        <v>1</v>
      </c>
    </row>
    <row r="328" spans="8:81" hidden="1" x14ac:dyDescent="0.2">
      <c r="H328" s="73">
        <v>687</v>
      </c>
      <c r="I328" s="168"/>
      <c r="J328" s="168"/>
      <c r="K328" s="168"/>
      <c r="L328" s="168"/>
      <c r="M328" s="168"/>
      <c r="N328" s="168"/>
      <c r="O328" s="168"/>
      <c r="P328" s="168"/>
      <c r="Q328" s="168"/>
      <c r="R328" s="168"/>
      <c r="S328" s="168">
        <v>2.03904</v>
      </c>
      <c r="T328" s="168"/>
      <c r="V328" s="73">
        <v>687</v>
      </c>
      <c r="W328" s="168"/>
      <c r="X328" s="168"/>
      <c r="Y328" s="168"/>
      <c r="Z328" s="168"/>
      <c r="AA328" s="168"/>
      <c r="AB328" s="168"/>
      <c r="AC328" s="168"/>
      <c r="AD328" s="168"/>
      <c r="AF328" s="73">
        <v>687</v>
      </c>
      <c r="AG328" s="168"/>
      <c r="AH328" s="168"/>
      <c r="AI328" s="168"/>
      <c r="AJ328" s="168"/>
      <c r="AK328" s="168"/>
      <c r="AL328" s="168"/>
      <c r="AM328" s="168"/>
      <c r="AO328" s="74">
        <v>687</v>
      </c>
      <c r="AP328" s="169"/>
      <c r="AQ328" s="169"/>
      <c r="AR328" s="169">
        <v>4.1932166383286988</v>
      </c>
      <c r="AS328" s="169"/>
      <c r="AT328" s="169"/>
      <c r="AU328" s="169"/>
      <c r="AV328" s="169"/>
      <c r="AW328" s="169"/>
      <c r="AX328" s="169"/>
      <c r="BP328" s="175">
        <f>Inputs!B331</f>
        <v>687</v>
      </c>
      <c r="BQ328" s="175">
        <f>IF(LEFT(Inputs!$C$11,6)="photon",10^Inputs!C331,Inputs!C331)</f>
        <v>7.9492346144554302E-4</v>
      </c>
      <c r="BR328" s="175"/>
      <c r="BS328" s="175">
        <f>'Advanced Inputs'!I333</f>
        <v>687</v>
      </c>
      <c r="BT328" s="175">
        <f>IF('Advanced Inputs'!J$19="Photon system",10^'Advanced Inputs'!J333,'Advanced Inputs'!J333)</f>
        <v>0</v>
      </c>
      <c r="BV328" s="175">
        <v>687</v>
      </c>
      <c r="BW328" s="73">
        <v>189.99799999999999</v>
      </c>
      <c r="BX328" s="73">
        <v>72.290199999999999</v>
      </c>
      <c r="CC328" s="73">
        <v>1</v>
      </c>
    </row>
    <row r="329" spans="8:81" hidden="1" x14ac:dyDescent="0.2">
      <c r="H329" s="73">
        <v>688</v>
      </c>
      <c r="I329" s="168"/>
      <c r="J329" s="168"/>
      <c r="K329" s="168"/>
      <c r="L329" s="168"/>
      <c r="M329" s="168"/>
      <c r="N329" s="168"/>
      <c r="O329" s="168"/>
      <c r="P329" s="168"/>
      <c r="Q329" s="168"/>
      <c r="R329" s="168"/>
      <c r="S329" s="168">
        <v>2.0545599999999999</v>
      </c>
      <c r="T329" s="168"/>
      <c r="V329" s="73">
        <v>688</v>
      </c>
      <c r="W329" s="168"/>
      <c r="X329" s="168"/>
      <c r="Y329" s="168"/>
      <c r="Z329" s="168"/>
      <c r="AA329" s="168"/>
      <c r="AB329" s="168"/>
      <c r="AC329" s="168"/>
      <c r="AD329" s="168"/>
      <c r="AF329" s="73">
        <v>688</v>
      </c>
      <c r="AG329" s="168"/>
      <c r="AH329" s="168"/>
      <c r="AI329" s="168"/>
      <c r="AJ329" s="168"/>
      <c r="AK329" s="168"/>
      <c r="AL329" s="168"/>
      <c r="AM329" s="168"/>
      <c r="AO329" s="74">
        <v>688</v>
      </c>
      <c r="AP329" s="169"/>
      <c r="AQ329" s="169"/>
      <c r="AR329" s="169">
        <v>4.0852821327849087</v>
      </c>
      <c r="AS329" s="169"/>
      <c r="AT329" s="169"/>
      <c r="AU329" s="169"/>
      <c r="AV329" s="169"/>
      <c r="AW329" s="169"/>
      <c r="AX329" s="169"/>
      <c r="BP329" s="175">
        <f>Inputs!B332</f>
        <v>688</v>
      </c>
      <c r="BQ329" s="175">
        <f>IF(LEFT(Inputs!$C$11,6)="photon",10^Inputs!C332,Inputs!C332)</f>
        <v>7.5992683106743705E-4</v>
      </c>
      <c r="BR329" s="175"/>
      <c r="BS329" s="175">
        <f>'Advanced Inputs'!I334</f>
        <v>688</v>
      </c>
      <c r="BT329" s="175">
        <f>IF('Advanced Inputs'!J$19="Photon system",10^'Advanced Inputs'!J334,'Advanced Inputs'!J334)</f>
        <v>0</v>
      </c>
      <c r="BV329" s="175">
        <v>688</v>
      </c>
      <c r="BW329" s="73">
        <v>190.64400000000001</v>
      </c>
      <c r="BX329" s="73">
        <v>71.433899999999994</v>
      </c>
      <c r="CC329" s="73">
        <v>1</v>
      </c>
    </row>
    <row r="330" spans="8:81" hidden="1" x14ac:dyDescent="0.2">
      <c r="H330" s="73">
        <v>689</v>
      </c>
      <c r="I330" s="168"/>
      <c r="J330" s="168"/>
      <c r="K330" s="168"/>
      <c r="L330" s="168"/>
      <c r="M330" s="168"/>
      <c r="N330" s="168"/>
      <c r="O330" s="168"/>
      <c r="P330" s="168"/>
      <c r="Q330" s="168"/>
      <c r="R330" s="168"/>
      <c r="S330" s="168">
        <v>2.0427200000000001</v>
      </c>
      <c r="T330" s="168"/>
      <c r="V330" s="73">
        <v>689</v>
      </c>
      <c r="W330" s="168"/>
      <c r="X330" s="168"/>
      <c r="Y330" s="168"/>
      <c r="Z330" s="168"/>
      <c r="AA330" s="168"/>
      <c r="AB330" s="168"/>
      <c r="AC330" s="168"/>
      <c r="AD330" s="168"/>
      <c r="AF330" s="73">
        <v>689</v>
      </c>
      <c r="AG330" s="168"/>
      <c r="AH330" s="168"/>
      <c r="AI330" s="168"/>
      <c r="AJ330" s="168"/>
      <c r="AK330" s="168"/>
      <c r="AL330" s="168"/>
      <c r="AM330" s="168"/>
      <c r="AO330" s="74">
        <v>689</v>
      </c>
      <c r="AP330" s="169"/>
      <c r="AQ330" s="169"/>
      <c r="AR330" s="169">
        <v>3.9797376018869599</v>
      </c>
      <c r="AS330" s="169"/>
      <c r="AT330" s="169"/>
      <c r="AU330" s="169"/>
      <c r="AV330" s="169"/>
      <c r="AW330" s="169"/>
      <c r="AX330" s="169"/>
      <c r="BP330" s="175">
        <f>Inputs!B333</f>
        <v>689</v>
      </c>
      <c r="BQ330" s="175">
        <f>IF(LEFT(Inputs!$C$11,6)="photon",10^Inputs!C333,Inputs!C333)</f>
        <v>7.6992586831832401E-4</v>
      </c>
      <c r="BR330" s="175"/>
      <c r="BS330" s="175">
        <f>'Advanced Inputs'!I335</f>
        <v>689</v>
      </c>
      <c r="BT330" s="175">
        <f>IF('Advanced Inputs'!J$19="Photon system",10^'Advanced Inputs'!J335,'Advanced Inputs'!J335)</f>
        <v>0</v>
      </c>
      <c r="BV330" s="175">
        <v>689</v>
      </c>
      <c r="BW330" s="73">
        <v>191.28800000000001</v>
      </c>
      <c r="BX330" s="73">
        <v>70.577600000000004</v>
      </c>
      <c r="CC330" s="73">
        <v>1</v>
      </c>
    </row>
    <row r="331" spans="8:81" hidden="1" x14ac:dyDescent="0.2">
      <c r="H331" s="73">
        <v>690</v>
      </c>
      <c r="I331" s="168"/>
      <c r="J331" s="168"/>
      <c r="K331" s="168"/>
      <c r="L331" s="168"/>
      <c r="M331" s="168"/>
      <c r="N331" s="168"/>
      <c r="O331" s="168"/>
      <c r="P331" s="168"/>
      <c r="Q331" s="168"/>
      <c r="R331" s="168"/>
      <c r="S331" s="168">
        <v>2</v>
      </c>
      <c r="T331" s="168"/>
      <c r="V331" s="73">
        <v>690</v>
      </c>
      <c r="W331" s="168"/>
      <c r="X331" s="168"/>
      <c r="Y331" s="168"/>
      <c r="Z331" s="168"/>
      <c r="AA331" s="168"/>
      <c r="AB331" s="168"/>
      <c r="AC331" s="168"/>
      <c r="AD331" s="168"/>
      <c r="AF331" s="73">
        <v>690</v>
      </c>
      <c r="AG331" s="168"/>
      <c r="AH331" s="168"/>
      <c r="AI331" s="168"/>
      <c r="AJ331" s="168"/>
      <c r="AK331" s="168"/>
      <c r="AL331" s="168"/>
      <c r="AM331" s="168"/>
      <c r="AO331" s="74">
        <v>690</v>
      </c>
      <c r="AP331" s="169"/>
      <c r="AQ331" s="169"/>
      <c r="AR331" s="169">
        <v>3.8761312309209113</v>
      </c>
      <c r="AS331" s="169"/>
      <c r="AT331" s="169"/>
      <c r="AU331" s="169"/>
      <c r="AV331" s="169"/>
      <c r="AW331" s="169"/>
      <c r="AX331" s="169"/>
      <c r="BP331" s="175">
        <f>Inputs!B334</f>
        <v>690</v>
      </c>
      <c r="BQ331" s="175">
        <f>IF(LEFT(Inputs!$C$11,6)="photon",10^Inputs!C334,Inputs!C334)</f>
        <v>8.09922017321874E-4</v>
      </c>
      <c r="BR331" s="175"/>
      <c r="BS331" s="175">
        <f>'Advanced Inputs'!I336</f>
        <v>690</v>
      </c>
      <c r="BT331" s="175">
        <f>IF('Advanced Inputs'!J$19="Photon system",10^'Advanced Inputs'!J336,'Advanced Inputs'!J336)</f>
        <v>0</v>
      </c>
      <c r="BV331" s="175">
        <v>690</v>
      </c>
      <c r="BW331" s="73">
        <v>191.93100000000001</v>
      </c>
      <c r="BX331" s="73">
        <v>69.721299999999999</v>
      </c>
      <c r="CC331" s="73">
        <v>1</v>
      </c>
    </row>
    <row r="332" spans="8:81" hidden="1" x14ac:dyDescent="0.2">
      <c r="H332" s="73">
        <v>691</v>
      </c>
      <c r="I332" s="168"/>
      <c r="J332" s="168"/>
      <c r="K332" s="168"/>
      <c r="L332" s="168"/>
      <c r="M332" s="168"/>
      <c r="N332" s="168"/>
      <c r="O332" s="168"/>
      <c r="P332" s="168"/>
      <c r="Q332" s="168"/>
      <c r="R332" s="168"/>
      <c r="S332" s="168">
        <v>1.8508799999999999</v>
      </c>
      <c r="T332" s="168"/>
      <c r="V332" s="73">
        <v>691</v>
      </c>
      <c r="W332" s="168"/>
      <c r="X332" s="168"/>
      <c r="Y332" s="168"/>
      <c r="Z332" s="168"/>
      <c r="AA332" s="168"/>
      <c r="AB332" s="168"/>
      <c r="AC332" s="168"/>
      <c r="AD332" s="168"/>
      <c r="AF332" s="73">
        <v>691</v>
      </c>
      <c r="AG332" s="168"/>
      <c r="AH332" s="168"/>
      <c r="AI332" s="168"/>
      <c r="AJ332" s="168"/>
      <c r="AK332" s="168"/>
      <c r="AL332" s="168"/>
      <c r="AM332" s="168"/>
      <c r="AO332" s="74">
        <v>691</v>
      </c>
      <c r="AP332" s="169"/>
      <c r="AQ332" s="169"/>
      <c r="AR332" s="169">
        <v>3.7745198956469994</v>
      </c>
      <c r="AS332" s="169"/>
      <c r="AT332" s="169"/>
      <c r="AU332" s="169"/>
      <c r="AV332" s="169"/>
      <c r="AW332" s="169"/>
      <c r="AX332" s="169"/>
      <c r="BP332" s="175">
        <f>Inputs!B335</f>
        <v>691</v>
      </c>
      <c r="BQ332" s="175">
        <f>IF(LEFT(Inputs!$C$11,6)="photon",10^Inputs!C335,Inputs!C335)</f>
        <v>8.4991816632542302E-4</v>
      </c>
      <c r="BR332" s="175"/>
      <c r="BS332" s="175">
        <f>'Advanced Inputs'!I337</f>
        <v>691</v>
      </c>
      <c r="BT332" s="175">
        <f>IF('Advanced Inputs'!J$19="Photon system",10^'Advanced Inputs'!J337,'Advanced Inputs'!J337)</f>
        <v>0</v>
      </c>
      <c r="BV332" s="175">
        <v>691</v>
      </c>
      <c r="BW332" s="73">
        <v>192.572</v>
      </c>
      <c r="BX332" s="73">
        <v>69.9101</v>
      </c>
      <c r="CC332" s="73">
        <v>1</v>
      </c>
    </row>
    <row r="333" spans="8:81" hidden="1" x14ac:dyDescent="0.2">
      <c r="H333" s="73">
        <v>692</v>
      </c>
      <c r="I333" s="168"/>
      <c r="J333" s="168"/>
      <c r="K333" s="168"/>
      <c r="L333" s="168"/>
      <c r="M333" s="168"/>
      <c r="N333" s="168"/>
      <c r="O333" s="168"/>
      <c r="P333" s="168"/>
      <c r="Q333" s="168"/>
      <c r="R333" s="168"/>
      <c r="S333" s="168">
        <v>1.6818399999999998</v>
      </c>
      <c r="T333" s="168"/>
      <c r="V333" s="73">
        <v>692</v>
      </c>
      <c r="W333" s="168"/>
      <c r="X333" s="168"/>
      <c r="Y333" s="168"/>
      <c r="Z333" s="168"/>
      <c r="AA333" s="168"/>
      <c r="AB333" s="168"/>
      <c r="AC333" s="168"/>
      <c r="AD333" s="168"/>
      <c r="AF333" s="73">
        <v>692</v>
      </c>
      <c r="AG333" s="168"/>
      <c r="AH333" s="168"/>
      <c r="AI333" s="168"/>
      <c r="AJ333" s="168"/>
      <c r="AK333" s="168"/>
      <c r="AL333" s="168"/>
      <c r="AM333" s="168"/>
      <c r="AO333" s="74">
        <v>692</v>
      </c>
      <c r="AP333" s="169"/>
      <c r="AQ333" s="169"/>
      <c r="AR333" s="169">
        <v>3.6756750577939856</v>
      </c>
      <c r="AS333" s="169"/>
      <c r="AT333" s="169"/>
      <c r="AU333" s="169"/>
      <c r="AV333" s="169"/>
      <c r="AW333" s="169"/>
      <c r="AX333" s="169"/>
      <c r="BP333" s="175">
        <f>Inputs!B336</f>
        <v>692</v>
      </c>
      <c r="BQ333" s="175">
        <f>IF(LEFT(Inputs!$C$11,6)="photon",10^Inputs!C336,Inputs!C336)</f>
        <v>8.7491575945264203E-4</v>
      </c>
      <c r="BR333" s="175"/>
      <c r="BS333" s="175">
        <f>'Advanced Inputs'!I338</f>
        <v>692</v>
      </c>
      <c r="BT333" s="175">
        <f>IF('Advanced Inputs'!J$19="Photon system",10^'Advanced Inputs'!J338,'Advanced Inputs'!J338)</f>
        <v>0</v>
      </c>
      <c r="BV333" s="175">
        <v>692</v>
      </c>
      <c r="BW333" s="73">
        <v>193.21100000000001</v>
      </c>
      <c r="BX333" s="73">
        <v>70.0989</v>
      </c>
      <c r="CC333" s="73">
        <v>1</v>
      </c>
    </row>
    <row r="334" spans="8:81" hidden="1" x14ac:dyDescent="0.2">
      <c r="H334" s="73">
        <v>693</v>
      </c>
      <c r="I334" s="168"/>
      <c r="J334" s="168"/>
      <c r="K334" s="168"/>
      <c r="L334" s="168"/>
      <c r="M334" s="168"/>
      <c r="N334" s="168"/>
      <c r="O334" s="168"/>
      <c r="P334" s="168"/>
      <c r="Q334" s="168"/>
      <c r="R334" s="168"/>
      <c r="S334" s="168">
        <v>1.50736</v>
      </c>
      <c r="T334" s="168"/>
      <c r="V334" s="73">
        <v>693</v>
      </c>
      <c r="W334" s="168"/>
      <c r="X334" s="168"/>
      <c r="Y334" s="168"/>
      <c r="Z334" s="168"/>
      <c r="AA334" s="168"/>
      <c r="AB334" s="168"/>
      <c r="AC334" s="168"/>
      <c r="AD334" s="168"/>
      <c r="AF334" s="73">
        <v>693</v>
      </c>
      <c r="AG334" s="168"/>
      <c r="AH334" s="168"/>
      <c r="AI334" s="168"/>
      <c r="AJ334" s="168"/>
      <c r="AK334" s="168"/>
      <c r="AL334" s="168"/>
      <c r="AM334" s="168"/>
      <c r="AO334" s="74">
        <v>693</v>
      </c>
      <c r="AP334" s="169"/>
      <c r="AQ334" s="169"/>
      <c r="AR334" s="169">
        <v>3.5778359808027687</v>
      </c>
      <c r="AS334" s="169"/>
      <c r="AT334" s="169"/>
      <c r="AU334" s="169"/>
      <c r="AV334" s="169"/>
      <c r="AW334" s="169"/>
      <c r="AX334" s="169"/>
      <c r="BP334" s="175">
        <f>Inputs!B337</f>
        <v>693</v>
      </c>
      <c r="BQ334" s="175">
        <f>IF(LEFT(Inputs!$C$11,6)="photon",10^Inputs!C337,Inputs!C337)</f>
        <v>8.9491383395441605E-4</v>
      </c>
      <c r="BR334" s="175"/>
      <c r="BS334" s="175">
        <f>'Advanced Inputs'!I339</f>
        <v>693</v>
      </c>
      <c r="BT334" s="175">
        <f>IF('Advanced Inputs'!J$19="Photon system",10^'Advanced Inputs'!J339,'Advanced Inputs'!J339)</f>
        <v>0</v>
      </c>
      <c r="BV334" s="175">
        <v>693</v>
      </c>
      <c r="BW334" s="73">
        <v>193.84899999999999</v>
      </c>
      <c r="BX334" s="73">
        <v>70.287599999999998</v>
      </c>
      <c r="CC334" s="73">
        <v>1</v>
      </c>
    </row>
    <row r="335" spans="8:81" hidden="1" x14ac:dyDescent="0.2">
      <c r="H335" s="73">
        <v>694</v>
      </c>
      <c r="I335" s="168"/>
      <c r="J335" s="168"/>
      <c r="K335" s="168"/>
      <c r="L335" s="168"/>
      <c r="M335" s="168"/>
      <c r="N335" s="168"/>
      <c r="O335" s="168"/>
      <c r="P335" s="168"/>
      <c r="Q335" s="168"/>
      <c r="R335" s="168"/>
      <c r="S335" s="168">
        <v>1.34192</v>
      </c>
      <c r="T335" s="168"/>
      <c r="V335" s="73">
        <v>694</v>
      </c>
      <c r="W335" s="168"/>
      <c r="X335" s="168"/>
      <c r="Y335" s="168"/>
      <c r="Z335" s="168"/>
      <c r="AA335" s="168"/>
      <c r="AB335" s="168"/>
      <c r="AC335" s="168"/>
      <c r="AD335" s="168"/>
      <c r="AF335" s="73">
        <v>694</v>
      </c>
      <c r="AG335" s="168"/>
      <c r="AH335" s="168"/>
      <c r="AI335" s="168"/>
      <c r="AJ335" s="168"/>
      <c r="AK335" s="168"/>
      <c r="AL335" s="168"/>
      <c r="AM335" s="168"/>
      <c r="AO335" s="74">
        <v>694</v>
      </c>
      <c r="AP335" s="169"/>
      <c r="AQ335" s="169"/>
      <c r="AR335" s="169">
        <v>3.4815599609570391</v>
      </c>
      <c r="AS335" s="169"/>
      <c r="AT335" s="169"/>
      <c r="AU335" s="169"/>
      <c r="AV335" s="169"/>
      <c r="AW335" s="169"/>
      <c r="AX335" s="169"/>
      <c r="BP335" s="175">
        <f>Inputs!B338</f>
        <v>694</v>
      </c>
      <c r="BQ335" s="175">
        <f>IF(LEFT(Inputs!$C$11,6)="photon",10^Inputs!C338,Inputs!C338)</f>
        <v>9.0991238983074703E-4</v>
      </c>
      <c r="BR335" s="175"/>
      <c r="BS335" s="175">
        <f>'Advanced Inputs'!I340</f>
        <v>694</v>
      </c>
      <c r="BT335" s="175">
        <f>IF('Advanced Inputs'!J$19="Photon system",10^'Advanced Inputs'!J340,'Advanced Inputs'!J340)</f>
        <v>0</v>
      </c>
      <c r="BV335" s="175">
        <v>694</v>
      </c>
      <c r="BW335" s="73">
        <v>194.48400000000001</v>
      </c>
      <c r="BX335" s="73">
        <v>70.476399999999998</v>
      </c>
      <c r="CC335" s="73">
        <v>1</v>
      </c>
    </row>
    <row r="336" spans="8:81" hidden="1" x14ac:dyDescent="0.2">
      <c r="H336" s="73">
        <v>695</v>
      </c>
      <c r="I336" s="168"/>
      <c r="J336" s="168"/>
      <c r="K336" s="168"/>
      <c r="L336" s="168"/>
      <c r="M336" s="168"/>
      <c r="N336" s="168"/>
      <c r="O336" s="168"/>
      <c r="P336" s="168"/>
      <c r="Q336" s="168"/>
      <c r="R336" s="168"/>
      <c r="S336" s="168">
        <v>1.2</v>
      </c>
      <c r="T336" s="168"/>
      <c r="V336" s="73">
        <v>695</v>
      </c>
      <c r="W336" s="168"/>
      <c r="X336" s="168"/>
      <c r="Y336" s="168"/>
      <c r="Z336" s="168"/>
      <c r="AA336" s="168"/>
      <c r="AB336" s="168"/>
      <c r="AC336" s="168"/>
      <c r="AD336" s="168"/>
      <c r="AF336" s="73">
        <v>695</v>
      </c>
      <c r="AG336" s="168"/>
      <c r="AH336" s="168"/>
      <c r="AI336" s="168"/>
      <c r="AJ336" s="168"/>
      <c r="AK336" s="168"/>
      <c r="AL336" s="168"/>
      <c r="AM336" s="168"/>
      <c r="AO336" s="74">
        <v>695</v>
      </c>
      <c r="AP336" s="169"/>
      <c r="AQ336" s="169"/>
      <c r="AR336" s="169">
        <v>3.3866782681422505</v>
      </c>
      <c r="AS336" s="169"/>
      <c r="AT336" s="169"/>
      <c r="AU336" s="169"/>
      <c r="AV336" s="169"/>
      <c r="AW336" s="169"/>
      <c r="AX336" s="169"/>
      <c r="BP336" s="175">
        <f>Inputs!B339</f>
        <v>695</v>
      </c>
      <c r="BQ336" s="175">
        <f>IF(LEFT(Inputs!$C$11,6)="photon",10^Inputs!C339,Inputs!C339)</f>
        <v>9.1991142708163496E-4</v>
      </c>
      <c r="BR336" s="175"/>
      <c r="BS336" s="175">
        <f>'Advanced Inputs'!I341</f>
        <v>695</v>
      </c>
      <c r="BT336" s="175">
        <f>IF('Advanced Inputs'!J$19="Photon system",10^'Advanced Inputs'!J341,'Advanced Inputs'!J341)</f>
        <v>0</v>
      </c>
      <c r="BV336" s="175">
        <v>695</v>
      </c>
      <c r="BW336" s="73">
        <v>195.11799999999999</v>
      </c>
      <c r="BX336" s="73">
        <v>70.665199999999999</v>
      </c>
      <c r="CC336" s="73">
        <v>1</v>
      </c>
    </row>
    <row r="337" spans="8:81" hidden="1" x14ac:dyDescent="0.2">
      <c r="H337" s="73">
        <v>696</v>
      </c>
      <c r="I337" s="168"/>
      <c r="J337" s="168"/>
      <c r="K337" s="168"/>
      <c r="L337" s="168"/>
      <c r="M337" s="168"/>
      <c r="N337" s="168"/>
      <c r="O337" s="168"/>
      <c r="P337" s="168"/>
      <c r="Q337" s="168"/>
      <c r="R337" s="168"/>
      <c r="S337" s="168">
        <v>1.1012</v>
      </c>
      <c r="T337" s="168"/>
      <c r="V337" s="73">
        <v>696</v>
      </c>
      <c r="W337" s="168"/>
      <c r="X337" s="168"/>
      <c r="Y337" s="168"/>
      <c r="Z337" s="168"/>
      <c r="AA337" s="168"/>
      <c r="AB337" s="168"/>
      <c r="AC337" s="168"/>
      <c r="AD337" s="168"/>
      <c r="AF337" s="73">
        <v>696</v>
      </c>
      <c r="AG337" s="168"/>
      <c r="AH337" s="168"/>
      <c r="AI337" s="168"/>
      <c r="AJ337" s="168"/>
      <c r="AK337" s="168"/>
      <c r="AL337" s="168"/>
      <c r="AM337" s="168"/>
      <c r="AO337" s="74">
        <v>696</v>
      </c>
      <c r="AP337" s="169"/>
      <c r="AQ337" s="169"/>
      <c r="AR337" s="169">
        <v>3.2948129354990736</v>
      </c>
      <c r="AS337" s="169"/>
      <c r="AT337" s="169"/>
      <c r="AU337" s="169"/>
      <c r="AV337" s="169"/>
      <c r="AW337" s="169"/>
      <c r="AX337" s="169"/>
      <c r="BP337" s="175">
        <f>Inputs!B340</f>
        <v>696</v>
      </c>
      <c r="BQ337" s="175">
        <f>IF(LEFT(Inputs!$C$11,6)="photon",10^Inputs!C340,Inputs!C340)</f>
        <v>9.2991046433252202E-4</v>
      </c>
      <c r="BR337" s="175"/>
      <c r="BS337" s="175">
        <f>'Advanced Inputs'!I342</f>
        <v>696</v>
      </c>
      <c r="BT337" s="175">
        <f>IF('Advanced Inputs'!J$19="Photon system",10^'Advanced Inputs'!J342,'Advanced Inputs'!J342)</f>
        <v>0</v>
      </c>
      <c r="BV337" s="175">
        <v>696</v>
      </c>
      <c r="BW337" s="73">
        <v>195.75</v>
      </c>
      <c r="BX337" s="73">
        <v>70.853999999999999</v>
      </c>
      <c r="CC337" s="73">
        <v>1</v>
      </c>
    </row>
    <row r="338" spans="8:81" hidden="1" x14ac:dyDescent="0.2">
      <c r="H338" s="73">
        <v>697</v>
      </c>
      <c r="I338" s="168"/>
      <c r="J338" s="168"/>
      <c r="K338" s="168"/>
      <c r="L338" s="168"/>
      <c r="M338" s="168"/>
      <c r="N338" s="168"/>
      <c r="O338" s="168"/>
      <c r="P338" s="168"/>
      <c r="Q338" s="168"/>
      <c r="R338" s="168"/>
      <c r="S338" s="168">
        <v>1.0535999999999999</v>
      </c>
      <c r="T338" s="168"/>
      <c r="V338" s="73">
        <v>697</v>
      </c>
      <c r="W338" s="168"/>
      <c r="X338" s="168"/>
      <c r="Y338" s="168"/>
      <c r="Z338" s="168"/>
      <c r="AA338" s="168"/>
      <c r="AB338" s="168"/>
      <c r="AC338" s="168"/>
      <c r="AD338" s="168"/>
      <c r="AF338" s="73">
        <v>697</v>
      </c>
      <c r="AG338" s="168"/>
      <c r="AH338" s="168"/>
      <c r="AI338" s="168"/>
      <c r="AJ338" s="168"/>
      <c r="AK338" s="168"/>
      <c r="AL338" s="168"/>
      <c r="AM338" s="168"/>
      <c r="AO338" s="74">
        <v>697</v>
      </c>
      <c r="AP338" s="169"/>
      <c r="AQ338" s="169"/>
      <c r="AR338" s="169">
        <v>3.2047842122867882</v>
      </c>
      <c r="AS338" s="169"/>
      <c r="AT338" s="169"/>
      <c r="AU338" s="169"/>
      <c r="AV338" s="169"/>
      <c r="AW338" s="169"/>
      <c r="AX338" s="169"/>
      <c r="BP338" s="175">
        <f>Inputs!B341</f>
        <v>697</v>
      </c>
      <c r="BQ338" s="175">
        <f>IF(LEFT(Inputs!$C$11,6)="photon",10^Inputs!C341,Inputs!C341)</f>
        <v>9.3990950158340898E-4</v>
      </c>
      <c r="BR338" s="175"/>
      <c r="BS338" s="175">
        <f>'Advanced Inputs'!I343</f>
        <v>697</v>
      </c>
      <c r="BT338" s="175">
        <f>IF('Advanced Inputs'!J$19="Photon system",10^'Advanced Inputs'!J343,'Advanced Inputs'!J343)</f>
        <v>0</v>
      </c>
      <c r="BV338" s="175">
        <v>697</v>
      </c>
      <c r="BW338" s="73">
        <v>196.381</v>
      </c>
      <c r="BX338" s="73">
        <v>71.0428</v>
      </c>
      <c r="CC338" s="73">
        <v>1</v>
      </c>
    </row>
    <row r="339" spans="8:81" hidden="1" x14ac:dyDescent="0.2">
      <c r="H339" s="73">
        <v>698</v>
      </c>
      <c r="I339" s="168"/>
      <c r="J339" s="168"/>
      <c r="K339" s="168"/>
      <c r="L339" s="168"/>
      <c r="M339" s="168"/>
      <c r="N339" s="168"/>
      <c r="O339" s="168"/>
      <c r="P339" s="168"/>
      <c r="Q339" s="168"/>
      <c r="R339" s="168"/>
      <c r="S339" s="168">
        <v>1.0704000000000002</v>
      </c>
      <c r="T339" s="168"/>
      <c r="V339" s="73">
        <v>698</v>
      </c>
      <c r="W339" s="168"/>
      <c r="X339" s="168"/>
      <c r="Y339" s="168"/>
      <c r="Z339" s="168"/>
      <c r="AA339" s="168"/>
      <c r="AB339" s="168"/>
      <c r="AC339" s="168"/>
      <c r="AD339" s="168"/>
      <c r="AF339" s="73">
        <v>698</v>
      </c>
      <c r="AG339" s="168"/>
      <c r="AH339" s="168"/>
      <c r="AI339" s="168"/>
      <c r="AJ339" s="168"/>
      <c r="AK339" s="168"/>
      <c r="AL339" s="168"/>
      <c r="AM339" s="168"/>
      <c r="AO339" s="74">
        <v>698</v>
      </c>
      <c r="AP339" s="169"/>
      <c r="AQ339" s="169"/>
      <c r="AR339" s="169">
        <v>3.1163557932274499</v>
      </c>
      <c r="AS339" s="169"/>
      <c r="AT339" s="169"/>
      <c r="AU339" s="169"/>
      <c r="AV339" s="169"/>
      <c r="AW339" s="169"/>
      <c r="AX339" s="169"/>
      <c r="BP339" s="175">
        <f>Inputs!B342</f>
        <v>698</v>
      </c>
      <c r="BQ339" s="175">
        <f>IF(LEFT(Inputs!$C$11,6)="photon",10^Inputs!C342,Inputs!C342)</f>
        <v>9.44909020208853E-4</v>
      </c>
      <c r="BR339" s="175"/>
      <c r="BS339" s="175">
        <f>'Advanced Inputs'!I344</f>
        <v>698</v>
      </c>
      <c r="BT339" s="175">
        <f>IF('Advanced Inputs'!J$19="Photon system",10^'Advanced Inputs'!J344,'Advanced Inputs'!J344)</f>
        <v>0</v>
      </c>
      <c r="BV339" s="175">
        <v>698</v>
      </c>
      <c r="BW339" s="73">
        <v>197.00899999999999</v>
      </c>
      <c r="BX339" s="73">
        <v>71.231499999999997</v>
      </c>
      <c r="CC339" s="73">
        <v>1</v>
      </c>
    </row>
    <row r="340" spans="8:81" hidden="1" x14ac:dyDescent="0.2">
      <c r="H340" s="73">
        <v>699</v>
      </c>
      <c r="I340" s="168"/>
      <c r="J340" s="168"/>
      <c r="K340" s="168"/>
      <c r="L340" s="168"/>
      <c r="M340" s="168"/>
      <c r="N340" s="168"/>
      <c r="O340" s="168"/>
      <c r="P340" s="168"/>
      <c r="Q340" s="168"/>
      <c r="R340" s="168"/>
      <c r="S340" s="168">
        <v>1.1648000000000001</v>
      </c>
      <c r="T340" s="168"/>
      <c r="V340" s="73">
        <v>699</v>
      </c>
      <c r="W340" s="168"/>
      <c r="X340" s="168"/>
      <c r="Y340" s="168"/>
      <c r="Z340" s="168"/>
      <c r="AA340" s="168"/>
      <c r="AB340" s="168"/>
      <c r="AC340" s="168"/>
      <c r="AD340" s="168"/>
      <c r="AF340" s="73">
        <v>699</v>
      </c>
      <c r="AG340" s="168"/>
      <c r="AH340" s="168"/>
      <c r="AI340" s="168"/>
      <c r="AJ340" s="168"/>
      <c r="AK340" s="168"/>
      <c r="AL340" s="168"/>
      <c r="AM340" s="168"/>
      <c r="AO340" s="74">
        <v>699</v>
      </c>
      <c r="AP340" s="169"/>
      <c r="AQ340" s="169"/>
      <c r="AR340" s="169">
        <v>3.0303580404798214</v>
      </c>
      <c r="AS340" s="169"/>
      <c r="AT340" s="169"/>
      <c r="AU340" s="169"/>
      <c r="AV340" s="169"/>
      <c r="AW340" s="169"/>
      <c r="AX340" s="169"/>
      <c r="BP340" s="175">
        <f>Inputs!B343</f>
        <v>699</v>
      </c>
      <c r="BQ340" s="175">
        <f>IF(LEFT(Inputs!$C$11,6)="photon",10^Inputs!C343,Inputs!C343)</f>
        <v>9.3990950158340898E-4</v>
      </c>
      <c r="BR340" s="175"/>
      <c r="BS340" s="175">
        <f>'Advanced Inputs'!I345</f>
        <v>699</v>
      </c>
      <c r="BT340" s="175">
        <f>IF('Advanced Inputs'!J$19="Photon system",10^'Advanced Inputs'!J345,'Advanced Inputs'!J345)</f>
        <v>0</v>
      </c>
      <c r="BV340" s="175">
        <v>699</v>
      </c>
      <c r="BW340" s="73">
        <v>197.636</v>
      </c>
      <c r="BX340" s="73">
        <v>71.420299999999997</v>
      </c>
      <c r="CC340" s="73">
        <v>1</v>
      </c>
    </row>
    <row r="341" spans="8:81" hidden="1" x14ac:dyDescent="0.2">
      <c r="H341" s="73">
        <v>700</v>
      </c>
      <c r="I341" s="168"/>
      <c r="J341" s="168"/>
      <c r="K341" s="168"/>
      <c r="L341" s="168"/>
      <c r="M341" s="168"/>
      <c r="N341" s="168"/>
      <c r="O341" s="168"/>
      <c r="P341" s="168"/>
      <c r="Q341" s="168"/>
      <c r="R341" s="168"/>
      <c r="S341" s="168">
        <v>1.35</v>
      </c>
      <c r="T341" s="168"/>
      <c r="V341" s="73">
        <v>700</v>
      </c>
      <c r="W341" s="168"/>
      <c r="X341" s="168"/>
      <c r="Y341" s="168"/>
      <c r="Z341" s="168"/>
      <c r="AA341" s="168"/>
      <c r="AB341" s="168"/>
      <c r="AC341" s="168"/>
      <c r="AD341" s="168"/>
      <c r="AF341" s="73">
        <v>700</v>
      </c>
      <c r="AG341" s="168"/>
      <c r="AH341" s="168"/>
      <c r="AI341" s="168"/>
      <c r="AJ341" s="168"/>
      <c r="AK341" s="168"/>
      <c r="AL341" s="168"/>
      <c r="AM341" s="168"/>
      <c r="AO341" s="74">
        <v>700</v>
      </c>
      <c r="AP341" s="169"/>
      <c r="AQ341" s="169"/>
      <c r="AR341" s="169">
        <v>2.9464363688856179</v>
      </c>
      <c r="AS341" s="169"/>
      <c r="AT341" s="169"/>
      <c r="AU341" s="169"/>
      <c r="AV341" s="169"/>
      <c r="AW341" s="169"/>
      <c r="AX341" s="169"/>
      <c r="BP341" s="175">
        <f>Inputs!B344</f>
        <v>700</v>
      </c>
      <c r="BQ341" s="175">
        <f>IF(LEFT(Inputs!$C$11,6)="photon",10^Inputs!C344,Inputs!C344)</f>
        <v>9.3490998295796496E-4</v>
      </c>
      <c r="BR341" s="175"/>
      <c r="BS341" s="175">
        <f>'Advanced Inputs'!I346</f>
        <v>700</v>
      </c>
      <c r="BT341" s="175">
        <f>IF('Advanced Inputs'!J$19="Photon system",10^'Advanced Inputs'!J346,'Advanced Inputs'!J346)</f>
        <v>0</v>
      </c>
      <c r="BV341" s="175">
        <v>700</v>
      </c>
      <c r="BW341" s="73">
        <v>198.261</v>
      </c>
      <c r="BX341" s="73">
        <v>71.609099999999998</v>
      </c>
      <c r="CC341" s="73">
        <v>1</v>
      </c>
    </row>
    <row r="342" spans="8:81" hidden="1" x14ac:dyDescent="0.2">
      <c r="H342" s="73">
        <v>701</v>
      </c>
      <c r="I342" s="168"/>
      <c r="J342" s="168"/>
      <c r="K342" s="168"/>
      <c r="L342" s="168"/>
      <c r="M342" s="168"/>
      <c r="N342" s="168"/>
      <c r="O342" s="168"/>
      <c r="P342" s="168"/>
      <c r="Q342" s="168"/>
      <c r="R342" s="168"/>
      <c r="S342" s="168">
        <v>1.8158399999999999</v>
      </c>
      <c r="T342" s="168"/>
      <c r="V342" s="73">
        <v>701</v>
      </c>
      <c r="W342" s="168"/>
      <c r="X342" s="168"/>
      <c r="Y342" s="168"/>
      <c r="Z342" s="168"/>
      <c r="AA342" s="168"/>
      <c r="AB342" s="168"/>
      <c r="AC342" s="168"/>
      <c r="AD342" s="168"/>
      <c r="AF342" s="73">
        <v>701</v>
      </c>
      <c r="AG342" s="168"/>
      <c r="AH342" s="168"/>
      <c r="AI342" s="168"/>
      <c r="AJ342" s="168"/>
      <c r="AK342" s="168"/>
      <c r="AL342" s="168"/>
      <c r="AM342" s="168"/>
      <c r="AO342" s="74">
        <v>701</v>
      </c>
      <c r="AP342" s="169"/>
      <c r="AQ342" s="169"/>
      <c r="AR342" s="169">
        <v>2.8649119208200329</v>
      </c>
      <c r="AS342" s="169"/>
      <c r="AT342" s="169"/>
      <c r="AU342" s="169"/>
      <c r="AV342" s="169"/>
      <c r="AW342" s="169"/>
      <c r="AX342" s="169"/>
      <c r="BP342" s="175">
        <f>Inputs!B345</f>
        <v>701</v>
      </c>
      <c r="BQ342" s="175">
        <f>IF(LEFT(Inputs!$C$11,6)="photon",10^Inputs!C345,Inputs!C345)</f>
        <v>9.2991046433252202E-4</v>
      </c>
      <c r="BR342" s="175"/>
      <c r="BS342" s="175">
        <f>'Advanced Inputs'!I347</f>
        <v>701</v>
      </c>
      <c r="BT342" s="175">
        <f>IF('Advanced Inputs'!J$19="Photon system",10^'Advanced Inputs'!J347,'Advanced Inputs'!J347)</f>
        <v>0</v>
      </c>
      <c r="BV342" s="175">
        <v>701</v>
      </c>
      <c r="BW342" s="73">
        <v>198.88399999999999</v>
      </c>
      <c r="BX342" s="73">
        <v>71.883099999999999</v>
      </c>
      <c r="CC342" s="73">
        <v>1</v>
      </c>
    </row>
    <row r="343" spans="8:81" hidden="1" x14ac:dyDescent="0.2">
      <c r="H343" s="73">
        <v>702</v>
      </c>
      <c r="I343" s="168"/>
      <c r="J343" s="168"/>
      <c r="K343" s="168"/>
      <c r="L343" s="168"/>
      <c r="M343" s="168"/>
      <c r="N343" s="168"/>
      <c r="O343" s="168"/>
      <c r="P343" s="168"/>
      <c r="Q343" s="168"/>
      <c r="R343" s="168"/>
      <c r="S343" s="168">
        <v>2.3547200000000004</v>
      </c>
      <c r="T343" s="168"/>
      <c r="V343" s="73">
        <v>702</v>
      </c>
      <c r="W343" s="168"/>
      <c r="X343" s="168"/>
      <c r="Y343" s="168"/>
      <c r="Z343" s="168"/>
      <c r="AA343" s="168"/>
      <c r="AB343" s="168"/>
      <c r="AC343" s="168"/>
      <c r="AD343" s="168"/>
      <c r="AF343" s="73">
        <v>702</v>
      </c>
      <c r="AG343" s="168"/>
      <c r="AH343" s="168"/>
      <c r="AI343" s="168"/>
      <c r="AJ343" s="168"/>
      <c r="AK343" s="168"/>
      <c r="AL343" s="168"/>
      <c r="AM343" s="168"/>
      <c r="AO343" s="74">
        <v>702</v>
      </c>
      <c r="AP343" s="169"/>
      <c r="AQ343" s="169"/>
      <c r="AR343" s="169">
        <v>2.7851366463503804</v>
      </c>
      <c r="AS343" s="169"/>
      <c r="AT343" s="169"/>
      <c r="AU343" s="169"/>
      <c r="AV343" s="169"/>
      <c r="AW343" s="169"/>
      <c r="AX343" s="169"/>
      <c r="BP343" s="175">
        <f>Inputs!B346</f>
        <v>702</v>
      </c>
      <c r="BQ343" s="175">
        <f>IF(LEFT(Inputs!$C$11,6)="photon",10^Inputs!C346,Inputs!C346)</f>
        <v>9.3490998295796496E-4</v>
      </c>
      <c r="BR343" s="175"/>
      <c r="BS343" s="175">
        <f>'Advanced Inputs'!I348</f>
        <v>702</v>
      </c>
      <c r="BT343" s="175">
        <f>IF('Advanced Inputs'!J$19="Photon system",10^'Advanced Inputs'!J348,'Advanced Inputs'!J348)</f>
        <v>0</v>
      </c>
      <c r="BV343" s="175">
        <v>702</v>
      </c>
      <c r="BW343" s="73">
        <v>199.506</v>
      </c>
      <c r="BX343" s="73">
        <v>72.1571</v>
      </c>
      <c r="CC343" s="73">
        <v>1</v>
      </c>
    </row>
    <row r="344" spans="8:81" hidden="1" x14ac:dyDescent="0.2">
      <c r="H344" s="73">
        <v>703</v>
      </c>
      <c r="I344" s="168"/>
      <c r="J344" s="168"/>
      <c r="K344" s="168"/>
      <c r="L344" s="168"/>
      <c r="M344" s="168"/>
      <c r="N344" s="168"/>
      <c r="O344" s="168"/>
      <c r="P344" s="168"/>
      <c r="Q344" s="168"/>
      <c r="R344" s="168"/>
      <c r="S344" s="168">
        <v>2.9356799999999996</v>
      </c>
      <c r="T344" s="168"/>
      <c r="V344" s="73">
        <v>703</v>
      </c>
      <c r="W344" s="168"/>
      <c r="X344" s="168"/>
      <c r="Y344" s="168"/>
      <c r="Z344" s="168"/>
      <c r="AA344" s="168"/>
      <c r="AB344" s="168"/>
      <c r="AC344" s="168"/>
      <c r="AD344" s="168"/>
      <c r="AF344" s="73">
        <v>703</v>
      </c>
      <c r="AG344" s="168"/>
      <c r="AH344" s="168"/>
      <c r="AI344" s="168"/>
      <c r="AJ344" s="168"/>
      <c r="AK344" s="168"/>
      <c r="AL344" s="168"/>
      <c r="AM344" s="168"/>
      <c r="AO344" s="74">
        <v>703</v>
      </c>
      <c r="AP344" s="169"/>
      <c r="AQ344" s="169"/>
      <c r="AR344" s="169">
        <v>2.7070428750565583</v>
      </c>
      <c r="AS344" s="169"/>
      <c r="AT344" s="169"/>
      <c r="AU344" s="169"/>
      <c r="AV344" s="169"/>
      <c r="AW344" s="169"/>
      <c r="AX344" s="169"/>
      <c r="BP344" s="175">
        <f>Inputs!B347</f>
        <v>703</v>
      </c>
      <c r="BQ344" s="175">
        <f>IF(LEFT(Inputs!$C$11,6)="photon",10^Inputs!C347,Inputs!C347)</f>
        <v>9.44909020208853E-4</v>
      </c>
      <c r="BR344" s="175"/>
      <c r="BS344" s="175">
        <f>'Advanced Inputs'!I349</f>
        <v>703</v>
      </c>
      <c r="BT344" s="175">
        <f>IF('Advanced Inputs'!J$19="Photon system",10^'Advanced Inputs'!J349,'Advanced Inputs'!J349)</f>
        <v>0</v>
      </c>
      <c r="BV344" s="175">
        <v>703</v>
      </c>
      <c r="BW344" s="73">
        <v>200.125</v>
      </c>
      <c r="BX344" s="73">
        <v>72.431100000000001</v>
      </c>
      <c r="CC344" s="73">
        <v>1</v>
      </c>
    </row>
    <row r="345" spans="8:81" hidden="1" x14ac:dyDescent="0.2">
      <c r="H345" s="73">
        <v>704</v>
      </c>
      <c r="I345" s="168"/>
      <c r="J345" s="168"/>
      <c r="K345" s="168"/>
      <c r="L345" s="168"/>
      <c r="M345" s="168"/>
      <c r="N345" s="168"/>
      <c r="O345" s="168"/>
      <c r="P345" s="168"/>
      <c r="Q345" s="168"/>
      <c r="R345" s="168"/>
      <c r="S345" s="168">
        <v>3.5277599999999998</v>
      </c>
      <c r="T345" s="168"/>
      <c r="V345" s="73">
        <v>704</v>
      </c>
      <c r="W345" s="168"/>
      <c r="X345" s="168"/>
      <c r="Y345" s="168"/>
      <c r="Z345" s="168"/>
      <c r="AA345" s="168"/>
      <c r="AB345" s="168"/>
      <c r="AC345" s="168"/>
      <c r="AD345" s="168"/>
      <c r="AF345" s="73">
        <v>704</v>
      </c>
      <c r="AG345" s="168"/>
      <c r="AH345" s="168"/>
      <c r="AI345" s="168"/>
      <c r="AJ345" s="168"/>
      <c r="AK345" s="168"/>
      <c r="AL345" s="168"/>
      <c r="AM345" s="168"/>
      <c r="AO345" s="74">
        <v>704</v>
      </c>
      <c r="AP345" s="169"/>
      <c r="AQ345" s="169"/>
      <c r="AR345" s="169">
        <v>2.6313411757831755</v>
      </c>
      <c r="AS345" s="169"/>
      <c r="AT345" s="169"/>
      <c r="AU345" s="169"/>
      <c r="AV345" s="169"/>
      <c r="AW345" s="169"/>
      <c r="AX345" s="169"/>
      <c r="BP345" s="175">
        <f>Inputs!B348</f>
        <v>704</v>
      </c>
      <c r="BQ345" s="175">
        <f>IF(LEFT(Inputs!$C$11,6)="photon",10^Inputs!C348,Inputs!C348)</f>
        <v>9.4990853883429604E-4</v>
      </c>
      <c r="BR345" s="175"/>
      <c r="BS345" s="175">
        <f>'Advanced Inputs'!I350</f>
        <v>704</v>
      </c>
      <c r="BT345" s="175">
        <f>IF('Advanced Inputs'!J$19="Photon system",10^'Advanced Inputs'!J350,'Advanced Inputs'!J350)</f>
        <v>0</v>
      </c>
      <c r="BV345" s="175">
        <v>704</v>
      </c>
      <c r="BW345" s="73">
        <v>200.74299999999999</v>
      </c>
      <c r="BX345" s="73">
        <v>72.705100000000002</v>
      </c>
      <c r="CC345" s="73">
        <v>1</v>
      </c>
    </row>
    <row r="346" spans="8:81" hidden="1" x14ac:dyDescent="0.2">
      <c r="H346" s="73">
        <v>705</v>
      </c>
      <c r="I346" s="168"/>
      <c r="J346" s="168"/>
      <c r="K346" s="168"/>
      <c r="L346" s="168"/>
      <c r="M346" s="168"/>
      <c r="N346" s="168"/>
      <c r="O346" s="168"/>
      <c r="P346" s="168"/>
      <c r="Q346" s="168"/>
      <c r="R346" s="168"/>
      <c r="S346" s="168">
        <v>4.0999999999999996</v>
      </c>
      <c r="T346" s="168"/>
      <c r="V346" s="73">
        <v>705</v>
      </c>
      <c r="W346" s="168"/>
      <c r="X346" s="168"/>
      <c r="Y346" s="168"/>
      <c r="Z346" s="168"/>
      <c r="AA346" s="168"/>
      <c r="AB346" s="168"/>
      <c r="AC346" s="168"/>
      <c r="AD346" s="168"/>
      <c r="AF346" s="73">
        <v>705</v>
      </c>
      <c r="AG346" s="168"/>
      <c r="AH346" s="168"/>
      <c r="AI346" s="168"/>
      <c r="AJ346" s="168"/>
      <c r="AK346" s="168"/>
      <c r="AL346" s="168"/>
      <c r="AM346" s="168"/>
      <c r="AO346" s="74">
        <v>705</v>
      </c>
      <c r="AP346" s="169"/>
      <c r="AQ346" s="169"/>
      <c r="AR346" s="169">
        <v>2.5585877312523584</v>
      </c>
      <c r="AS346" s="169"/>
      <c r="AT346" s="169"/>
      <c r="AU346" s="169"/>
      <c r="AV346" s="169"/>
      <c r="AW346" s="169"/>
      <c r="AX346" s="169"/>
      <c r="BP346" s="175">
        <f>Inputs!B349</f>
        <v>705</v>
      </c>
      <c r="BQ346" s="175">
        <f>IF(LEFT(Inputs!$C$11,6)="photon",10^Inputs!C349,Inputs!C349)</f>
        <v>9.5490805745973995E-4</v>
      </c>
      <c r="BR346" s="175"/>
      <c r="BS346" s="175">
        <f>'Advanced Inputs'!I351</f>
        <v>705</v>
      </c>
      <c r="BT346" s="175">
        <f>IF('Advanced Inputs'!J$19="Photon system",10^'Advanced Inputs'!J351,'Advanced Inputs'!J351)</f>
        <v>0</v>
      </c>
      <c r="BV346" s="175">
        <v>705</v>
      </c>
      <c r="BW346" s="73">
        <v>201.35900000000001</v>
      </c>
      <c r="BX346" s="73">
        <v>72.978999999999999</v>
      </c>
      <c r="CC346" s="73">
        <v>1</v>
      </c>
    </row>
    <row r="347" spans="8:81" hidden="1" x14ac:dyDescent="0.2">
      <c r="H347" s="73">
        <v>706</v>
      </c>
      <c r="I347" s="168"/>
      <c r="J347" s="168"/>
      <c r="K347" s="168"/>
      <c r="L347" s="168"/>
      <c r="M347" s="168"/>
      <c r="N347" s="168"/>
      <c r="O347" s="168"/>
      <c r="P347" s="168"/>
      <c r="Q347" s="168"/>
      <c r="R347" s="168"/>
      <c r="S347" s="168">
        <v>4.6025599999999995</v>
      </c>
      <c r="T347" s="168"/>
      <c r="V347" s="73">
        <v>706</v>
      </c>
      <c r="W347" s="168"/>
      <c r="X347" s="168"/>
      <c r="Y347" s="168"/>
      <c r="Z347" s="168"/>
      <c r="AA347" s="168"/>
      <c r="AB347" s="168"/>
      <c r="AC347" s="168"/>
      <c r="AD347" s="168"/>
      <c r="AF347" s="73">
        <v>706</v>
      </c>
      <c r="AG347" s="168"/>
      <c r="AH347" s="168"/>
      <c r="AI347" s="168"/>
      <c r="AJ347" s="168"/>
      <c r="AK347" s="168"/>
      <c r="AL347" s="168"/>
      <c r="AM347" s="168"/>
      <c r="AO347" s="74">
        <v>706</v>
      </c>
      <c r="AP347" s="169"/>
      <c r="AQ347" s="169"/>
      <c r="AR347" s="169">
        <v>2.4867934358655881</v>
      </c>
      <c r="AS347" s="169"/>
      <c r="AT347" s="169"/>
      <c r="AU347" s="169"/>
      <c r="AV347" s="169"/>
      <c r="AW347" s="169"/>
      <c r="AX347" s="169"/>
      <c r="BP347" s="175">
        <f>Inputs!B350</f>
        <v>706</v>
      </c>
      <c r="BQ347" s="175">
        <f>IF(LEFT(Inputs!$C$11,6)="photon",10^Inputs!C350,Inputs!C350)</f>
        <v>9.5990757608518397E-4</v>
      </c>
      <c r="BR347" s="175"/>
      <c r="BS347" s="175">
        <f>'Advanced Inputs'!I352</f>
        <v>706</v>
      </c>
      <c r="BT347" s="175">
        <f>IF('Advanced Inputs'!J$19="Photon system",10^'Advanced Inputs'!J352,'Advanced Inputs'!J352)</f>
        <v>0</v>
      </c>
      <c r="BV347" s="175">
        <v>706</v>
      </c>
      <c r="BW347" s="73">
        <v>201.97200000000001</v>
      </c>
      <c r="BX347" s="73">
        <v>73.253</v>
      </c>
      <c r="CC347" s="73">
        <v>1</v>
      </c>
    </row>
    <row r="348" spans="8:81" hidden="1" x14ac:dyDescent="0.2">
      <c r="H348" s="73">
        <v>707</v>
      </c>
      <c r="I348" s="168"/>
      <c r="J348" s="168"/>
      <c r="K348" s="168"/>
      <c r="L348" s="168"/>
      <c r="M348" s="168"/>
      <c r="N348" s="168"/>
      <c r="O348" s="168"/>
      <c r="P348" s="168"/>
      <c r="Q348" s="168"/>
      <c r="R348" s="168"/>
      <c r="S348" s="168">
        <v>5.0280800000000001</v>
      </c>
      <c r="T348" s="168"/>
      <c r="V348" s="73">
        <v>707</v>
      </c>
      <c r="W348" s="168"/>
      <c r="X348" s="168"/>
      <c r="Y348" s="168"/>
      <c r="Z348" s="168"/>
      <c r="AA348" s="168"/>
      <c r="AB348" s="168"/>
      <c r="AC348" s="168"/>
      <c r="AD348" s="168"/>
      <c r="AF348" s="73">
        <v>707</v>
      </c>
      <c r="AG348" s="168"/>
      <c r="AH348" s="168"/>
      <c r="AI348" s="168"/>
      <c r="AJ348" s="168"/>
      <c r="AK348" s="168"/>
      <c r="AL348" s="168"/>
      <c r="AM348" s="168"/>
      <c r="AO348" s="74">
        <v>707</v>
      </c>
      <c r="AP348" s="169"/>
      <c r="AQ348" s="169"/>
      <c r="AR348" s="169">
        <v>2.4168097469324059</v>
      </c>
      <c r="AS348" s="169"/>
      <c r="AT348" s="169"/>
      <c r="AU348" s="169"/>
      <c r="AV348" s="169"/>
      <c r="AW348" s="169"/>
      <c r="AX348" s="169"/>
      <c r="BP348" s="175">
        <f>Inputs!B351</f>
        <v>707</v>
      </c>
      <c r="BQ348" s="175">
        <f>IF(LEFT(Inputs!$C$11,6)="photon",10^Inputs!C351,Inputs!C351)</f>
        <v>9.6990661333607104E-4</v>
      </c>
      <c r="BR348" s="175"/>
      <c r="BS348" s="175">
        <f>'Advanced Inputs'!I353</f>
        <v>707</v>
      </c>
      <c r="BT348" s="175">
        <f>IF('Advanced Inputs'!J$19="Photon system",10^'Advanced Inputs'!J353,'Advanced Inputs'!J353)</f>
        <v>0</v>
      </c>
      <c r="BV348" s="175">
        <v>707</v>
      </c>
      <c r="BW348" s="73">
        <v>202.584</v>
      </c>
      <c r="BX348" s="73">
        <v>73.527000000000001</v>
      </c>
      <c r="CC348" s="73">
        <v>1</v>
      </c>
    </row>
    <row r="349" spans="8:81" hidden="1" x14ac:dyDescent="0.2">
      <c r="H349" s="73">
        <v>708</v>
      </c>
      <c r="I349" s="168"/>
      <c r="J349" s="168"/>
      <c r="K349" s="168"/>
      <c r="L349" s="168"/>
      <c r="M349" s="168"/>
      <c r="N349" s="168"/>
      <c r="O349" s="168"/>
      <c r="P349" s="168"/>
      <c r="Q349" s="168"/>
      <c r="R349" s="168"/>
      <c r="S349" s="168">
        <v>5.3503200000000009</v>
      </c>
      <c r="T349" s="168"/>
      <c r="V349" s="73">
        <v>708</v>
      </c>
      <c r="W349" s="168"/>
      <c r="X349" s="168"/>
      <c r="Y349" s="168"/>
      <c r="Z349" s="168"/>
      <c r="AA349" s="168"/>
      <c r="AB349" s="168"/>
      <c r="AC349" s="168"/>
      <c r="AD349" s="168"/>
      <c r="AF349" s="73">
        <v>708</v>
      </c>
      <c r="AG349" s="168"/>
      <c r="AH349" s="168"/>
      <c r="AI349" s="168"/>
      <c r="AJ349" s="168"/>
      <c r="AK349" s="168"/>
      <c r="AL349" s="168"/>
      <c r="AM349" s="168"/>
      <c r="AO349" s="74">
        <v>708</v>
      </c>
      <c r="AP349" s="169"/>
      <c r="AQ349" s="169"/>
      <c r="AR349" s="169">
        <v>2.3483043985653342</v>
      </c>
      <c r="AS349" s="169"/>
      <c r="AT349" s="169"/>
      <c r="AU349" s="169"/>
      <c r="AV349" s="169"/>
      <c r="AW349" s="169"/>
      <c r="AX349" s="169"/>
      <c r="BP349" s="175">
        <f>Inputs!B352</f>
        <v>708</v>
      </c>
      <c r="BQ349" s="175">
        <f>IF(LEFT(Inputs!$C$11,6)="photon",10^Inputs!C352,Inputs!C352)</f>
        <v>9.6990661333607104E-4</v>
      </c>
      <c r="BR349" s="175"/>
      <c r="BS349" s="175">
        <f>'Advanced Inputs'!I354</f>
        <v>708</v>
      </c>
      <c r="BT349" s="175">
        <f>IF('Advanced Inputs'!J$19="Photon system",10^'Advanced Inputs'!J354,'Advanced Inputs'!J354)</f>
        <v>0</v>
      </c>
      <c r="BV349" s="175">
        <v>708</v>
      </c>
      <c r="BW349" s="73">
        <v>203.19499999999999</v>
      </c>
      <c r="BX349" s="73">
        <v>73.801000000000002</v>
      </c>
      <c r="CC349" s="73">
        <v>1</v>
      </c>
    </row>
    <row r="350" spans="8:81" hidden="1" x14ac:dyDescent="0.2">
      <c r="H350" s="73">
        <v>709</v>
      </c>
      <c r="I350" s="168"/>
      <c r="J350" s="168"/>
      <c r="K350" s="168"/>
      <c r="L350" s="168"/>
      <c r="M350" s="168"/>
      <c r="N350" s="168"/>
      <c r="O350" s="168"/>
      <c r="P350" s="168"/>
      <c r="Q350" s="168"/>
      <c r="R350" s="168"/>
      <c r="S350" s="168">
        <v>5.5430399999999995</v>
      </c>
      <c r="T350" s="168"/>
      <c r="V350" s="73">
        <v>709</v>
      </c>
      <c r="W350" s="168"/>
      <c r="X350" s="168"/>
      <c r="Y350" s="168"/>
      <c r="Z350" s="168"/>
      <c r="AA350" s="168"/>
      <c r="AB350" s="168"/>
      <c r="AC350" s="168"/>
      <c r="AD350" s="168"/>
      <c r="AF350" s="73">
        <v>709</v>
      </c>
      <c r="AG350" s="168"/>
      <c r="AH350" s="168"/>
      <c r="AI350" s="168"/>
      <c r="AJ350" s="168"/>
      <c r="AK350" s="168"/>
      <c r="AL350" s="168"/>
      <c r="AM350" s="168"/>
      <c r="AO350" s="74">
        <v>709</v>
      </c>
      <c r="AP350" s="169"/>
      <c r="AQ350" s="169"/>
      <c r="AR350" s="169">
        <v>2.2817816075739699</v>
      </c>
      <c r="AS350" s="169"/>
      <c r="AT350" s="169"/>
      <c r="AU350" s="169"/>
      <c r="AV350" s="169"/>
      <c r="AW350" s="169"/>
      <c r="AX350" s="169"/>
      <c r="BP350" s="175">
        <f>Inputs!B353</f>
        <v>709</v>
      </c>
      <c r="BQ350" s="175">
        <f>IF(LEFT(Inputs!$C$11,6)="photon",10^Inputs!C353,Inputs!C353)</f>
        <v>9.6490709471062799E-4</v>
      </c>
      <c r="BR350" s="175"/>
      <c r="BS350" s="175">
        <f>'Advanced Inputs'!I355</f>
        <v>709</v>
      </c>
      <c r="BT350" s="175">
        <f>IF('Advanced Inputs'!J$19="Photon system",10^'Advanced Inputs'!J355,'Advanced Inputs'!J355)</f>
        <v>0</v>
      </c>
      <c r="BV350" s="175">
        <v>709</v>
      </c>
      <c r="BW350" s="73">
        <v>203.803</v>
      </c>
      <c r="BX350" s="73">
        <v>74.075000000000003</v>
      </c>
      <c r="CC350" s="73">
        <v>1</v>
      </c>
    </row>
    <row r="351" spans="8:81" hidden="1" x14ac:dyDescent="0.2">
      <c r="H351" s="73">
        <v>710</v>
      </c>
      <c r="I351" s="168"/>
      <c r="J351" s="168"/>
      <c r="K351" s="168"/>
      <c r="L351" s="168"/>
      <c r="M351" s="168"/>
      <c r="N351" s="168"/>
      <c r="O351" s="168"/>
      <c r="P351" s="168"/>
      <c r="Q351" s="168"/>
      <c r="R351" s="168"/>
      <c r="S351" s="168">
        <v>5.58</v>
      </c>
      <c r="T351" s="168"/>
      <c r="V351" s="73">
        <v>710</v>
      </c>
      <c r="W351" s="168"/>
      <c r="X351" s="168"/>
      <c r="Y351" s="168"/>
      <c r="Z351" s="168"/>
      <c r="AA351" s="168"/>
      <c r="AB351" s="168"/>
      <c r="AC351" s="168"/>
      <c r="AD351" s="168"/>
      <c r="AF351" s="73">
        <v>710</v>
      </c>
      <c r="AG351" s="168"/>
      <c r="AH351" s="168"/>
      <c r="AI351" s="168"/>
      <c r="AJ351" s="168"/>
      <c r="AK351" s="168"/>
      <c r="AL351" s="168"/>
      <c r="AM351" s="168"/>
      <c r="AO351" s="74">
        <v>710</v>
      </c>
      <c r="AP351" s="169"/>
      <c r="AQ351" s="169"/>
      <c r="AR351" s="169">
        <v>2.2167470334807837</v>
      </c>
      <c r="AS351" s="169"/>
      <c r="AT351" s="169"/>
      <c r="AU351" s="169"/>
      <c r="AV351" s="169"/>
      <c r="AW351" s="169"/>
      <c r="AX351" s="169"/>
      <c r="BP351" s="175">
        <f>Inputs!B354</f>
        <v>710</v>
      </c>
      <c r="BQ351" s="175">
        <f>IF(LEFT(Inputs!$C$11,6)="photon",10^Inputs!C354,Inputs!C354)</f>
        <v>9.6490709471062799E-4</v>
      </c>
      <c r="BR351" s="175"/>
      <c r="BS351" s="175">
        <f>'Advanced Inputs'!I356</f>
        <v>710</v>
      </c>
      <c r="BT351" s="175">
        <f>IF('Advanced Inputs'!J$19="Photon system",10^'Advanced Inputs'!J356,'Advanced Inputs'!J356)</f>
        <v>0</v>
      </c>
      <c r="BV351" s="175">
        <v>710</v>
      </c>
      <c r="BW351" s="73">
        <v>204.40899999999999</v>
      </c>
      <c r="BX351" s="73">
        <v>74.349000000000004</v>
      </c>
      <c r="CC351" s="73">
        <v>1</v>
      </c>
    </row>
    <row r="352" spans="8:81" hidden="1" x14ac:dyDescent="0.2">
      <c r="H352" s="73">
        <v>711</v>
      </c>
      <c r="I352" s="168"/>
      <c r="J352" s="168"/>
      <c r="K352" s="168"/>
      <c r="L352" s="168"/>
      <c r="M352" s="168"/>
      <c r="N352" s="168"/>
      <c r="O352" s="168"/>
      <c r="P352" s="168"/>
      <c r="Q352" s="168"/>
      <c r="R352" s="168"/>
      <c r="S352" s="168">
        <v>5.1482400000000004</v>
      </c>
      <c r="T352" s="168"/>
      <c r="V352" s="73">
        <v>711</v>
      </c>
      <c r="W352" s="168"/>
      <c r="X352" s="168"/>
      <c r="Y352" s="168"/>
      <c r="Z352" s="168"/>
      <c r="AA352" s="168"/>
      <c r="AB352" s="168"/>
      <c r="AC352" s="168"/>
      <c r="AD352" s="168"/>
      <c r="AF352" s="73">
        <v>711</v>
      </c>
      <c r="AG352" s="168"/>
      <c r="AH352" s="168"/>
      <c r="AI352" s="168"/>
      <c r="AJ352" s="168"/>
      <c r="AK352" s="168"/>
      <c r="AL352" s="168"/>
      <c r="AM352" s="168"/>
      <c r="AO352" s="74">
        <v>711</v>
      </c>
      <c r="AP352" s="169"/>
      <c r="AQ352" s="169"/>
      <c r="AR352" s="169">
        <v>2.1531434843580435</v>
      </c>
      <c r="AS352" s="169"/>
      <c r="AT352" s="169"/>
      <c r="AU352" s="169"/>
      <c r="AV352" s="169"/>
      <c r="AW352" s="169"/>
      <c r="AX352" s="169"/>
      <c r="BP352" s="175">
        <f>Inputs!B355</f>
        <v>711</v>
      </c>
      <c r="BQ352" s="175">
        <f>IF(LEFT(Inputs!$C$11,6)="photon",10^Inputs!C355,Inputs!C355)</f>
        <v>9.6990661333607104E-4</v>
      </c>
      <c r="BR352" s="175"/>
      <c r="BS352" s="175">
        <f>'Advanced Inputs'!I357</f>
        <v>711</v>
      </c>
      <c r="BT352" s="175">
        <f>IF('Advanced Inputs'!J$19="Photon system",10^'Advanced Inputs'!J357,'Advanced Inputs'!J357)</f>
        <v>0</v>
      </c>
      <c r="BV352" s="175">
        <v>711</v>
      </c>
      <c r="BW352" s="73">
        <v>205.01300000000001</v>
      </c>
      <c r="BX352" s="73">
        <v>73.0745</v>
      </c>
      <c r="CC352" s="73">
        <v>1</v>
      </c>
    </row>
    <row r="353" spans="8:81" hidden="1" x14ac:dyDescent="0.2">
      <c r="H353" s="73">
        <v>712</v>
      </c>
      <c r="I353" s="168"/>
      <c r="J353" s="168"/>
      <c r="K353" s="168"/>
      <c r="L353" s="168"/>
      <c r="M353" s="168"/>
      <c r="N353" s="168"/>
      <c r="O353" s="168"/>
      <c r="P353" s="168"/>
      <c r="Q353" s="168"/>
      <c r="R353" s="168"/>
      <c r="S353" s="168">
        <v>4.5799199999999995</v>
      </c>
      <c r="T353" s="168"/>
      <c r="V353" s="73">
        <v>712</v>
      </c>
      <c r="W353" s="168"/>
      <c r="X353" s="168"/>
      <c r="Y353" s="168"/>
      <c r="Z353" s="168"/>
      <c r="AA353" s="168"/>
      <c r="AB353" s="168"/>
      <c r="AC353" s="168"/>
      <c r="AD353" s="168"/>
      <c r="AF353" s="73">
        <v>712</v>
      </c>
      <c r="AG353" s="168"/>
      <c r="AH353" s="168"/>
      <c r="AI353" s="168"/>
      <c r="AJ353" s="168"/>
      <c r="AK353" s="168"/>
      <c r="AL353" s="168"/>
      <c r="AM353" s="168"/>
      <c r="AO353" s="74">
        <v>712</v>
      </c>
      <c r="AP353" s="169"/>
      <c r="AQ353" s="169"/>
      <c r="AR353" s="169">
        <v>2.0916020511087483</v>
      </c>
      <c r="AS353" s="169"/>
      <c r="AT353" s="169"/>
      <c r="AU353" s="169"/>
      <c r="AV353" s="169"/>
      <c r="AW353" s="169"/>
      <c r="AX353" s="169"/>
      <c r="BP353" s="175">
        <f>Inputs!B356</f>
        <v>712</v>
      </c>
      <c r="BQ353" s="175">
        <f>IF(LEFT(Inputs!$C$11,6)="photon",10^Inputs!C356,Inputs!C356)</f>
        <v>9.6490709471062799E-4</v>
      </c>
      <c r="BR353" s="175"/>
      <c r="BS353" s="175">
        <f>'Advanced Inputs'!I358</f>
        <v>712</v>
      </c>
      <c r="BT353" s="175">
        <f>IF('Advanced Inputs'!J$19="Photon system",10^'Advanced Inputs'!J358,'Advanced Inputs'!J358)</f>
        <v>0</v>
      </c>
      <c r="BV353" s="175">
        <v>712</v>
      </c>
      <c r="BW353" s="73">
        <v>205.61600000000001</v>
      </c>
      <c r="BX353" s="73">
        <v>71.8</v>
      </c>
      <c r="CC353" s="73">
        <v>1</v>
      </c>
    </row>
    <row r="354" spans="8:81" hidden="1" x14ac:dyDescent="0.2">
      <c r="H354" s="73">
        <v>713</v>
      </c>
      <c r="I354" s="168"/>
      <c r="J354" s="168"/>
      <c r="K354" s="168"/>
      <c r="L354" s="168"/>
      <c r="M354" s="168"/>
      <c r="N354" s="168"/>
      <c r="O354" s="168"/>
      <c r="P354" s="168"/>
      <c r="Q354" s="168"/>
      <c r="R354" s="168"/>
      <c r="S354" s="168">
        <v>3.9204800000000004</v>
      </c>
      <c r="T354" s="168"/>
      <c r="V354" s="73">
        <v>713</v>
      </c>
      <c r="W354" s="168"/>
      <c r="X354" s="168"/>
      <c r="Y354" s="168"/>
      <c r="Z354" s="168"/>
      <c r="AA354" s="168"/>
      <c r="AB354" s="168"/>
      <c r="AC354" s="168"/>
      <c r="AD354" s="168"/>
      <c r="AF354" s="73">
        <v>713</v>
      </c>
      <c r="AG354" s="168"/>
      <c r="AH354" s="168"/>
      <c r="AI354" s="168"/>
      <c r="AJ354" s="168"/>
      <c r="AK354" s="168"/>
      <c r="AL354" s="168"/>
      <c r="AM354" s="168"/>
      <c r="AO354" s="74">
        <v>713</v>
      </c>
      <c r="AP354" s="169"/>
      <c r="AQ354" s="169"/>
      <c r="AR354" s="169">
        <v>2.0312821220971986</v>
      </c>
      <c r="AS354" s="169"/>
      <c r="AT354" s="169"/>
      <c r="AU354" s="169"/>
      <c r="AV354" s="169"/>
      <c r="AW354" s="169"/>
      <c r="AX354" s="169"/>
      <c r="BP354" s="175">
        <f>Inputs!B357</f>
        <v>713</v>
      </c>
      <c r="BQ354" s="175">
        <f>IF(LEFT(Inputs!$C$11,6)="photon",10^Inputs!C357,Inputs!C357)</f>
        <v>9.5990757608518397E-4</v>
      </c>
      <c r="BR354" s="175"/>
      <c r="BS354" s="175">
        <f>'Advanced Inputs'!I359</f>
        <v>713</v>
      </c>
      <c r="BT354" s="175">
        <f>IF('Advanced Inputs'!J$19="Photon system",10^'Advanced Inputs'!J359,'Advanced Inputs'!J359)</f>
        <v>0</v>
      </c>
      <c r="BV354" s="175">
        <v>713</v>
      </c>
      <c r="BW354" s="73">
        <v>206.21600000000001</v>
      </c>
      <c r="BX354" s="73">
        <v>70.525499999999994</v>
      </c>
      <c r="CC354" s="73">
        <v>1</v>
      </c>
    </row>
    <row r="355" spans="8:81" hidden="1" x14ac:dyDescent="0.2">
      <c r="H355" s="73">
        <v>714</v>
      </c>
      <c r="I355" s="168"/>
      <c r="J355" s="168"/>
      <c r="K355" s="168"/>
      <c r="L355" s="168"/>
      <c r="M355" s="168"/>
      <c r="N355" s="168"/>
      <c r="O355" s="168"/>
      <c r="P355" s="168"/>
      <c r="Q355" s="168"/>
      <c r="R355" s="168"/>
      <c r="S355" s="168">
        <v>3.21536</v>
      </c>
      <c r="T355" s="168"/>
      <c r="V355" s="73">
        <v>714</v>
      </c>
      <c r="W355" s="168"/>
      <c r="X355" s="168"/>
      <c r="Y355" s="168"/>
      <c r="Z355" s="168"/>
      <c r="AA355" s="168"/>
      <c r="AB355" s="168"/>
      <c r="AC355" s="168"/>
      <c r="AD355" s="168"/>
      <c r="AF355" s="73">
        <v>714</v>
      </c>
      <c r="AG355" s="168"/>
      <c r="AH355" s="168"/>
      <c r="AI355" s="168"/>
      <c r="AJ355" s="168"/>
      <c r="AK355" s="168"/>
      <c r="AL355" s="168"/>
      <c r="AM355" s="168"/>
      <c r="AO355" s="74">
        <v>714</v>
      </c>
      <c r="AP355" s="169"/>
      <c r="AQ355" s="169"/>
      <c r="AR355" s="169">
        <v>1.9724965631860127</v>
      </c>
      <c r="AS355" s="169"/>
      <c r="AT355" s="169"/>
      <c r="AU355" s="169"/>
      <c r="AV355" s="169"/>
      <c r="AW355" s="169"/>
      <c r="AX355" s="169"/>
      <c r="BP355" s="175">
        <f>Inputs!B358</f>
        <v>714</v>
      </c>
      <c r="BQ355" s="175">
        <f>IF(LEFT(Inputs!$C$11,6)="photon",10^Inputs!C358,Inputs!C358)</f>
        <v>9.3990950158340898E-4</v>
      </c>
      <c r="BR355" s="175"/>
      <c r="BS355" s="175">
        <f>'Advanced Inputs'!I360</f>
        <v>714</v>
      </c>
      <c r="BT355" s="175">
        <f>IF('Advanced Inputs'!J$19="Photon system",10^'Advanced Inputs'!J360,'Advanced Inputs'!J360)</f>
        <v>0</v>
      </c>
      <c r="BV355" s="175">
        <v>714</v>
      </c>
      <c r="BW355" s="73">
        <v>206.815</v>
      </c>
      <c r="BX355" s="73">
        <v>69.251000000000005</v>
      </c>
      <c r="CC355" s="73">
        <v>1</v>
      </c>
    </row>
    <row r="356" spans="8:81" hidden="1" x14ac:dyDescent="0.2">
      <c r="H356" s="73">
        <v>715</v>
      </c>
      <c r="I356" s="168"/>
      <c r="J356" s="168"/>
      <c r="K356" s="168"/>
      <c r="L356" s="168"/>
      <c r="M356" s="168"/>
      <c r="N356" s="168"/>
      <c r="O356" s="168"/>
      <c r="P356" s="168"/>
      <c r="Q356" s="168"/>
      <c r="R356" s="168"/>
      <c r="S356" s="168">
        <v>2.5099999999999998</v>
      </c>
      <c r="T356" s="168"/>
      <c r="V356" s="73">
        <v>715</v>
      </c>
      <c r="W356" s="168"/>
      <c r="X356" s="168"/>
      <c r="Y356" s="168"/>
      <c r="Z356" s="168"/>
      <c r="AA356" s="168"/>
      <c r="AB356" s="168"/>
      <c r="AC356" s="168"/>
      <c r="AD356" s="168"/>
      <c r="AF356" s="73">
        <v>715</v>
      </c>
      <c r="AG356" s="168"/>
      <c r="AH356" s="168"/>
      <c r="AI356" s="168"/>
      <c r="AJ356" s="168"/>
      <c r="AK356" s="168"/>
      <c r="AL356" s="168"/>
      <c r="AM356" s="168"/>
      <c r="AO356" s="74">
        <v>715</v>
      </c>
      <c r="AP356" s="169"/>
      <c r="AQ356" s="169"/>
      <c r="AR356" s="169">
        <v>1.9155141905490209</v>
      </c>
      <c r="AS356" s="169"/>
      <c r="AT356" s="169"/>
      <c r="AU356" s="169"/>
      <c r="AV356" s="169"/>
      <c r="AW356" s="169"/>
      <c r="AX356" s="169"/>
      <c r="BP356" s="175">
        <f>Inputs!B359</f>
        <v>715</v>
      </c>
      <c r="BQ356" s="175">
        <f>IF(LEFT(Inputs!$C$11,6)="photon",10^Inputs!C359,Inputs!C359)</f>
        <v>9.0991238983074703E-4</v>
      </c>
      <c r="BR356" s="175"/>
      <c r="BS356" s="175">
        <f>'Advanced Inputs'!I361</f>
        <v>715</v>
      </c>
      <c r="BT356" s="175">
        <f>IF('Advanced Inputs'!J$19="Photon system",10^'Advanced Inputs'!J361,'Advanced Inputs'!J361)</f>
        <v>0</v>
      </c>
      <c r="BV356" s="175">
        <v>715</v>
      </c>
      <c r="BW356" s="73">
        <v>207.411</v>
      </c>
      <c r="BX356" s="73">
        <v>67.976500000000001</v>
      </c>
      <c r="CC356" s="73">
        <v>1</v>
      </c>
    </row>
    <row r="357" spans="8:81" hidden="1" x14ac:dyDescent="0.2">
      <c r="H357" s="73">
        <v>716</v>
      </c>
      <c r="I357" s="168"/>
      <c r="J357" s="168"/>
      <c r="K357" s="168"/>
      <c r="L357" s="168"/>
      <c r="M357" s="168"/>
      <c r="N357" s="168"/>
      <c r="O357" s="168"/>
      <c r="P357" s="168"/>
      <c r="Q357" s="168"/>
      <c r="R357" s="168"/>
      <c r="S357" s="168">
        <v>2.0152799999999997</v>
      </c>
      <c r="T357" s="168"/>
      <c r="V357" s="73">
        <v>716</v>
      </c>
      <c r="W357" s="168"/>
      <c r="X357" s="168"/>
      <c r="Y357" s="168"/>
      <c r="Z357" s="168"/>
      <c r="AA357" s="168"/>
      <c r="AB357" s="168"/>
      <c r="AC357" s="168"/>
      <c r="AD357" s="168"/>
      <c r="AF357" s="73">
        <v>716</v>
      </c>
      <c r="AG357" s="168"/>
      <c r="AH357" s="168"/>
      <c r="AI357" s="168"/>
      <c r="AJ357" s="168"/>
      <c r="AK357" s="168"/>
      <c r="AL357" s="168"/>
      <c r="AM357" s="168"/>
      <c r="AO357" s="74">
        <v>716</v>
      </c>
      <c r="AP357" s="169"/>
      <c r="AQ357" s="169"/>
      <c r="AR357" s="169">
        <v>1.8601527045256263</v>
      </c>
      <c r="AS357" s="169"/>
      <c r="AT357" s="169"/>
      <c r="AU357" s="169"/>
      <c r="AV357" s="169"/>
      <c r="AW357" s="169"/>
      <c r="AX357" s="169"/>
      <c r="BP357" s="175">
        <f>Inputs!B360</f>
        <v>716</v>
      </c>
      <c r="BQ357" s="175">
        <f>IF(LEFT(Inputs!$C$11,6)="photon",10^Inputs!C360,Inputs!C360)</f>
        <v>8.5491768495086704E-4</v>
      </c>
      <c r="BR357" s="175"/>
      <c r="BS357" s="175">
        <f>'Advanced Inputs'!I362</f>
        <v>716</v>
      </c>
      <c r="BT357" s="175">
        <f>IF('Advanced Inputs'!J$19="Photon system",10^'Advanced Inputs'!J362,'Advanced Inputs'!J362)</f>
        <v>0</v>
      </c>
      <c r="BV357" s="175">
        <v>716</v>
      </c>
      <c r="BW357" s="73">
        <v>208.006</v>
      </c>
      <c r="BX357" s="73">
        <v>66.701999999999998</v>
      </c>
      <c r="CC357" s="73">
        <v>1</v>
      </c>
    </row>
    <row r="358" spans="8:81" hidden="1" x14ac:dyDescent="0.2">
      <c r="H358" s="73">
        <v>717</v>
      </c>
      <c r="I358" s="168"/>
      <c r="J358" s="168"/>
      <c r="K358" s="168"/>
      <c r="L358" s="168"/>
      <c r="M358" s="168"/>
      <c r="N358" s="168"/>
      <c r="O358" s="168"/>
      <c r="P358" s="168"/>
      <c r="Q358" s="168"/>
      <c r="R358" s="168"/>
      <c r="S358" s="168">
        <v>1.5698400000000001</v>
      </c>
      <c r="T358" s="168"/>
      <c r="V358" s="73">
        <v>717</v>
      </c>
      <c r="W358" s="168"/>
      <c r="X358" s="168"/>
      <c r="Y358" s="168"/>
      <c r="Z358" s="168"/>
      <c r="AA358" s="168"/>
      <c r="AB358" s="168"/>
      <c r="AC358" s="168"/>
      <c r="AD358" s="168"/>
      <c r="AF358" s="73">
        <v>717</v>
      </c>
      <c r="AG358" s="168"/>
      <c r="AH358" s="168"/>
      <c r="AI358" s="168"/>
      <c r="AJ358" s="168"/>
      <c r="AK358" s="168"/>
      <c r="AL358" s="168"/>
      <c r="AM358" s="168"/>
      <c r="AO358" s="74">
        <v>717</v>
      </c>
      <c r="AP358" s="169"/>
      <c r="AQ358" s="169"/>
      <c r="AR358" s="169">
        <v>1.8058580491380951</v>
      </c>
      <c r="AS358" s="169"/>
      <c r="AT358" s="169"/>
      <c r="AU358" s="169"/>
      <c r="AV358" s="169"/>
      <c r="AW358" s="169"/>
      <c r="AX358" s="169"/>
      <c r="BP358" s="175">
        <f>Inputs!B361</f>
        <v>717</v>
      </c>
      <c r="BQ358" s="175">
        <f>IF(LEFT(Inputs!$C$11,6)="photon",10^Inputs!C361,Inputs!C361)</f>
        <v>7.9992298007098596E-4</v>
      </c>
      <c r="BR358" s="175"/>
      <c r="BS358" s="175">
        <f>'Advanced Inputs'!I363</f>
        <v>717</v>
      </c>
      <c r="BT358" s="175">
        <f>IF('Advanced Inputs'!J$19="Photon system",10^'Advanced Inputs'!J363,'Advanced Inputs'!J363)</f>
        <v>0</v>
      </c>
      <c r="BV358" s="175">
        <v>717</v>
      </c>
      <c r="BW358" s="73">
        <v>208.59899999999999</v>
      </c>
      <c r="BX358" s="73">
        <v>65.427499999999995</v>
      </c>
      <c r="CC358" s="73">
        <v>1</v>
      </c>
    </row>
    <row r="359" spans="8:81" hidden="1" x14ac:dyDescent="0.2">
      <c r="H359" s="73">
        <v>718</v>
      </c>
      <c r="I359" s="168"/>
      <c r="J359" s="168"/>
      <c r="K359" s="168"/>
      <c r="L359" s="168"/>
      <c r="M359" s="168"/>
      <c r="N359" s="168"/>
      <c r="O359" s="168"/>
      <c r="P359" s="168"/>
      <c r="Q359" s="168"/>
      <c r="R359" s="168"/>
      <c r="S359" s="168">
        <v>1.1777599999999999</v>
      </c>
      <c r="T359" s="168"/>
      <c r="V359" s="73">
        <v>718</v>
      </c>
      <c r="W359" s="168"/>
      <c r="X359" s="168"/>
      <c r="Y359" s="168"/>
      <c r="Z359" s="168"/>
      <c r="AA359" s="168"/>
      <c r="AB359" s="168"/>
      <c r="AC359" s="168"/>
      <c r="AD359" s="168"/>
      <c r="AF359" s="73">
        <v>718</v>
      </c>
      <c r="AG359" s="168"/>
      <c r="AH359" s="168"/>
      <c r="AI359" s="168"/>
      <c r="AJ359" s="168"/>
      <c r="AK359" s="168"/>
      <c r="AL359" s="168"/>
      <c r="AM359" s="168"/>
      <c r="AO359" s="74">
        <v>718</v>
      </c>
      <c r="AP359" s="169"/>
      <c r="AQ359" s="169"/>
      <c r="AR359" s="169">
        <v>1.7530600731221515</v>
      </c>
      <c r="AS359" s="169"/>
      <c r="AT359" s="169"/>
      <c r="AU359" s="169"/>
      <c r="AV359" s="169"/>
      <c r="AW359" s="169"/>
      <c r="AX359" s="169"/>
      <c r="BP359" s="175">
        <f>Inputs!B362</f>
        <v>718</v>
      </c>
      <c r="BQ359" s="175">
        <f>IF(LEFT(Inputs!$C$11,6)="photon",10^Inputs!C362,Inputs!C362)</f>
        <v>7.5992683106743705E-4</v>
      </c>
      <c r="BR359" s="175"/>
      <c r="BS359" s="175">
        <f>'Advanced Inputs'!I364</f>
        <v>718</v>
      </c>
      <c r="BT359" s="175">
        <f>IF('Advanced Inputs'!J$19="Photon system",10^'Advanced Inputs'!J364,'Advanced Inputs'!J364)</f>
        <v>0</v>
      </c>
      <c r="BV359" s="175">
        <v>718</v>
      </c>
      <c r="BW359" s="73">
        <v>209.18899999999999</v>
      </c>
      <c r="BX359" s="73">
        <v>64.153000000000006</v>
      </c>
      <c r="CC359" s="73">
        <v>1</v>
      </c>
    </row>
    <row r="360" spans="8:81" hidden="1" x14ac:dyDescent="0.2">
      <c r="H360" s="73">
        <v>719</v>
      </c>
      <c r="I360" s="168"/>
      <c r="J360" s="168"/>
      <c r="K360" s="168"/>
      <c r="L360" s="168"/>
      <c r="M360" s="168"/>
      <c r="N360" s="168"/>
      <c r="O360" s="168"/>
      <c r="P360" s="168"/>
      <c r="Q360" s="168"/>
      <c r="R360" s="168"/>
      <c r="S360" s="168">
        <v>0.84311999999999998</v>
      </c>
      <c r="T360" s="168"/>
      <c r="V360" s="73">
        <v>719</v>
      </c>
      <c r="W360" s="168"/>
      <c r="X360" s="168"/>
      <c r="Y360" s="168"/>
      <c r="Z360" s="168"/>
      <c r="AA360" s="168"/>
      <c r="AB360" s="168"/>
      <c r="AC360" s="168"/>
      <c r="AD360" s="168"/>
      <c r="AF360" s="73">
        <v>719</v>
      </c>
      <c r="AG360" s="168"/>
      <c r="AH360" s="168"/>
      <c r="AI360" s="168"/>
      <c r="AJ360" s="168"/>
      <c r="AK360" s="168"/>
      <c r="AL360" s="168"/>
      <c r="AM360" s="168"/>
      <c r="AO360" s="74">
        <v>719</v>
      </c>
      <c r="AP360" s="169"/>
      <c r="AQ360" s="169"/>
      <c r="AR360" s="169">
        <v>1.7017743287200737</v>
      </c>
      <c r="AS360" s="169"/>
      <c r="AT360" s="169"/>
      <c r="AU360" s="169"/>
      <c r="AV360" s="169"/>
      <c r="AW360" s="169"/>
      <c r="AX360" s="169"/>
      <c r="BP360" s="175">
        <f>Inputs!B363</f>
        <v>719</v>
      </c>
      <c r="BQ360" s="175">
        <f>IF(LEFT(Inputs!$C$11,6)="photon",10^Inputs!C363,Inputs!C363)</f>
        <v>7.4992779381654999E-4</v>
      </c>
      <c r="BR360" s="175"/>
      <c r="BS360" s="175">
        <f>'Advanced Inputs'!I365</f>
        <v>719</v>
      </c>
      <c r="BT360" s="175">
        <f>IF('Advanced Inputs'!J$19="Photon system",10^'Advanced Inputs'!J365,'Advanced Inputs'!J365)</f>
        <v>0</v>
      </c>
      <c r="BV360" s="175">
        <v>719</v>
      </c>
      <c r="BW360" s="73">
        <v>209.77799999999999</v>
      </c>
      <c r="BX360" s="73">
        <v>62.878500000000003</v>
      </c>
      <c r="CC360" s="73">
        <v>1</v>
      </c>
    </row>
    <row r="361" spans="8:81" hidden="1" x14ac:dyDescent="0.2">
      <c r="H361" s="73">
        <v>720</v>
      </c>
      <c r="I361" s="168"/>
      <c r="J361" s="168"/>
      <c r="K361" s="168"/>
      <c r="L361" s="168"/>
      <c r="M361" s="168"/>
      <c r="N361" s="168"/>
      <c r="O361" s="168"/>
      <c r="P361" s="168"/>
      <c r="Q361" s="168"/>
      <c r="R361" s="168"/>
      <c r="S361" s="168">
        <v>0.56999999999999995</v>
      </c>
      <c r="T361" s="168"/>
      <c r="V361" s="73">
        <v>720</v>
      </c>
      <c r="W361" s="168"/>
      <c r="X361" s="168"/>
      <c r="Y361" s="168"/>
      <c r="Z361" s="168"/>
      <c r="AA361" s="168"/>
      <c r="AB361" s="168"/>
      <c r="AC361" s="168"/>
      <c r="AD361" s="168"/>
      <c r="AF361" s="73">
        <v>720</v>
      </c>
      <c r="AG361" s="168"/>
      <c r="AH361" s="168"/>
      <c r="AI361" s="168"/>
      <c r="AJ361" s="168"/>
      <c r="AK361" s="168"/>
      <c r="AL361" s="168"/>
      <c r="AM361" s="168"/>
      <c r="AO361" s="74">
        <v>720</v>
      </c>
      <c r="AP361" s="169"/>
      <c r="AQ361" s="169"/>
      <c r="AR361" s="169">
        <v>1.6519985896073619</v>
      </c>
      <c r="AS361" s="169"/>
      <c r="AT361" s="169"/>
      <c r="AU361" s="169"/>
      <c r="AV361" s="169"/>
      <c r="AW361" s="169"/>
      <c r="AX361" s="169"/>
      <c r="BP361" s="175">
        <f>Inputs!B364</f>
        <v>720</v>
      </c>
      <c r="BQ361" s="175">
        <f>IF(LEFT(Inputs!$C$11,6)="photon",10^Inputs!C364,Inputs!C364)</f>
        <v>7.6992586831832401E-4</v>
      </c>
      <c r="BR361" s="175"/>
      <c r="BS361" s="175">
        <f>'Advanced Inputs'!I366</f>
        <v>720</v>
      </c>
      <c r="BT361" s="175">
        <f>IF('Advanced Inputs'!J$19="Photon system",10^'Advanced Inputs'!J366,'Advanced Inputs'!J366)</f>
        <v>0</v>
      </c>
      <c r="BV361" s="175">
        <v>720</v>
      </c>
      <c r="BW361" s="73">
        <v>210.36500000000001</v>
      </c>
      <c r="BX361" s="73">
        <v>61.603999999999999</v>
      </c>
      <c r="CC361" s="73">
        <v>1</v>
      </c>
    </row>
    <row r="362" spans="8:81" hidden="1" x14ac:dyDescent="0.2">
      <c r="H362" s="73">
        <v>721</v>
      </c>
      <c r="I362" s="168"/>
      <c r="J362" s="168"/>
      <c r="K362" s="168"/>
      <c r="L362" s="168"/>
      <c r="M362" s="168"/>
      <c r="N362" s="168"/>
      <c r="O362" s="168"/>
      <c r="P362" s="168"/>
      <c r="Q362" s="168"/>
      <c r="R362" s="168"/>
      <c r="S362" s="168">
        <v>0.42296</v>
      </c>
      <c r="T362" s="168"/>
      <c r="V362" s="73">
        <v>721</v>
      </c>
      <c r="W362" s="168"/>
      <c r="X362" s="168"/>
      <c r="Y362" s="168"/>
      <c r="Z362" s="168"/>
      <c r="AA362" s="168"/>
      <c r="AB362" s="168"/>
      <c r="AC362" s="168"/>
      <c r="AD362" s="168"/>
      <c r="AF362" s="73">
        <v>721</v>
      </c>
      <c r="AG362" s="168"/>
      <c r="AH362" s="168"/>
      <c r="AI362" s="168"/>
      <c r="AJ362" s="168"/>
      <c r="AK362" s="168"/>
      <c r="AL362" s="168"/>
      <c r="AM362" s="168"/>
      <c r="AO362" s="74">
        <v>721</v>
      </c>
      <c r="AP362" s="169"/>
      <c r="AQ362" s="169"/>
      <c r="AR362" s="169">
        <v>1.6040165821623604</v>
      </c>
      <c r="AS362" s="169"/>
      <c r="AT362" s="169"/>
      <c r="AU362" s="169"/>
      <c r="AV362" s="169"/>
      <c r="AW362" s="169"/>
      <c r="AX362" s="169"/>
      <c r="BP362" s="175">
        <f>Inputs!B365</f>
        <v>721</v>
      </c>
      <c r="BQ362" s="175">
        <f>IF(LEFT(Inputs!$C$11,6)="photon",10^Inputs!C365,Inputs!C365)</f>
        <v>7.9492346144554302E-4</v>
      </c>
      <c r="BR362" s="175"/>
      <c r="BS362" s="175">
        <f>'Advanced Inputs'!I367</f>
        <v>721</v>
      </c>
      <c r="BT362" s="175">
        <f>IF('Advanced Inputs'!J$19="Photon system",10^'Advanced Inputs'!J367,'Advanced Inputs'!J367)</f>
        <v>0</v>
      </c>
      <c r="BV362" s="175">
        <v>721</v>
      </c>
      <c r="BW362" s="73">
        <v>210.94900000000001</v>
      </c>
      <c r="BX362" s="73">
        <v>62.432200000000002</v>
      </c>
      <c r="CC362" s="73">
        <v>1</v>
      </c>
    </row>
    <row r="363" spans="8:81" hidden="1" x14ac:dyDescent="0.2">
      <c r="H363" s="73">
        <v>722</v>
      </c>
      <c r="I363" s="168"/>
      <c r="J363" s="168"/>
      <c r="K363" s="168"/>
      <c r="L363" s="168"/>
      <c r="M363" s="168"/>
      <c r="N363" s="168"/>
      <c r="O363" s="168"/>
      <c r="P363" s="168"/>
      <c r="Q363" s="168"/>
      <c r="R363" s="168"/>
      <c r="S363" s="168">
        <v>0.33048</v>
      </c>
      <c r="T363" s="168"/>
      <c r="V363" s="73">
        <v>722</v>
      </c>
      <c r="W363" s="168"/>
      <c r="X363" s="168"/>
      <c r="Y363" s="168"/>
      <c r="Z363" s="168"/>
      <c r="AA363" s="168"/>
      <c r="AB363" s="168"/>
      <c r="AC363" s="168"/>
      <c r="AD363" s="168"/>
      <c r="AF363" s="73">
        <v>722</v>
      </c>
      <c r="AG363" s="168"/>
      <c r="AH363" s="168"/>
      <c r="AI363" s="168"/>
      <c r="AJ363" s="168"/>
      <c r="AK363" s="168"/>
      <c r="AL363" s="168"/>
      <c r="AM363" s="168"/>
      <c r="AO363" s="74">
        <v>722</v>
      </c>
      <c r="AP363" s="169"/>
      <c r="AQ363" s="169"/>
      <c r="AR363" s="169">
        <v>1.5572551254138642</v>
      </c>
      <c r="AS363" s="169"/>
      <c r="AT363" s="169"/>
      <c r="AU363" s="169"/>
      <c r="AV363" s="169"/>
      <c r="AW363" s="169"/>
      <c r="AX363" s="169"/>
      <c r="BP363" s="175">
        <f>Inputs!B366</f>
        <v>722</v>
      </c>
      <c r="BQ363" s="175">
        <f>IF(LEFT(Inputs!$C$11,6)="photon",10^Inputs!C366,Inputs!C366)</f>
        <v>8.09922017321874E-4</v>
      </c>
      <c r="BR363" s="175"/>
      <c r="BS363" s="175">
        <f>'Advanced Inputs'!I368</f>
        <v>722</v>
      </c>
      <c r="BT363" s="175">
        <f>IF('Advanced Inputs'!J$19="Photon system",10^'Advanced Inputs'!J368,'Advanced Inputs'!J368)</f>
        <v>0</v>
      </c>
      <c r="BV363" s="175">
        <v>722</v>
      </c>
      <c r="BW363" s="73">
        <v>211.53200000000001</v>
      </c>
      <c r="BX363" s="73">
        <v>63.260300000000001</v>
      </c>
      <c r="CC363" s="73">
        <v>1</v>
      </c>
    </row>
    <row r="364" spans="8:81" hidden="1" x14ac:dyDescent="0.2">
      <c r="H364" s="73">
        <v>723</v>
      </c>
      <c r="I364" s="168"/>
      <c r="J364" s="168"/>
      <c r="K364" s="168"/>
      <c r="L364" s="168"/>
      <c r="M364" s="168"/>
      <c r="N364" s="168"/>
      <c r="O364" s="168"/>
      <c r="P364" s="168"/>
      <c r="Q364" s="168"/>
      <c r="R364" s="168"/>
      <c r="S364" s="168">
        <v>0.28151999999999999</v>
      </c>
      <c r="T364" s="168"/>
      <c r="V364" s="73">
        <v>723</v>
      </c>
      <c r="W364" s="168"/>
      <c r="X364" s="168"/>
      <c r="Y364" s="168"/>
      <c r="Z364" s="168"/>
      <c r="AA364" s="168"/>
      <c r="AB364" s="168"/>
      <c r="AC364" s="168"/>
      <c r="AD364" s="168"/>
      <c r="AF364" s="73">
        <v>723</v>
      </c>
      <c r="AG364" s="168"/>
      <c r="AH364" s="168"/>
      <c r="AI364" s="168"/>
      <c r="AJ364" s="168"/>
      <c r="AK364" s="168"/>
      <c r="AL364" s="168"/>
      <c r="AM364" s="168"/>
      <c r="AO364" s="74">
        <v>723</v>
      </c>
      <c r="AP364" s="169"/>
      <c r="AQ364" s="169"/>
      <c r="AR364" s="169">
        <v>1.5123384581601764</v>
      </c>
      <c r="AS364" s="169"/>
      <c r="AT364" s="169"/>
      <c r="AU364" s="169"/>
      <c r="AV364" s="169"/>
      <c r="AW364" s="169"/>
      <c r="AX364" s="169"/>
      <c r="BP364" s="175">
        <f>Inputs!B367</f>
        <v>723</v>
      </c>
      <c r="BQ364" s="175">
        <f>IF(LEFT(Inputs!$C$11,6)="photon",10^Inputs!C367,Inputs!C367)</f>
        <v>8.09922017321874E-4</v>
      </c>
      <c r="BR364" s="175"/>
      <c r="BS364" s="175">
        <f>'Advanced Inputs'!I369</f>
        <v>723</v>
      </c>
      <c r="BT364" s="175">
        <f>IF('Advanced Inputs'!J$19="Photon system",10^'Advanced Inputs'!J369,'Advanced Inputs'!J369)</f>
        <v>0</v>
      </c>
      <c r="BV364" s="175">
        <v>723</v>
      </c>
      <c r="BW364" s="73">
        <v>212.11199999999999</v>
      </c>
      <c r="BX364" s="73">
        <v>64.088499999999996</v>
      </c>
      <c r="CC364" s="73">
        <v>1</v>
      </c>
    </row>
    <row r="365" spans="8:81" hidden="1" x14ac:dyDescent="0.2">
      <c r="H365" s="73">
        <v>724</v>
      </c>
      <c r="I365" s="168"/>
      <c r="J365" s="168"/>
      <c r="K365" s="168"/>
      <c r="L365" s="168"/>
      <c r="M365" s="168"/>
      <c r="N365" s="168"/>
      <c r="O365" s="168"/>
      <c r="P365" s="168"/>
      <c r="Q365" s="168"/>
      <c r="R365" s="168"/>
      <c r="S365" s="168">
        <v>0.26504</v>
      </c>
      <c r="T365" s="168"/>
      <c r="V365" s="73">
        <v>724</v>
      </c>
      <c r="W365" s="168"/>
      <c r="X365" s="168"/>
      <c r="Y365" s="168"/>
      <c r="Z365" s="168"/>
      <c r="AA365" s="168"/>
      <c r="AB365" s="168"/>
      <c r="AC365" s="168"/>
      <c r="AD365" s="168"/>
      <c r="AF365" s="73">
        <v>724</v>
      </c>
      <c r="AG365" s="168"/>
      <c r="AH365" s="168"/>
      <c r="AI365" s="168"/>
      <c r="AJ365" s="168"/>
      <c r="AK365" s="168"/>
      <c r="AL365" s="168"/>
      <c r="AM365" s="168"/>
      <c r="AO365" s="74">
        <v>724</v>
      </c>
      <c r="AP365" s="169"/>
      <c r="AQ365" s="169"/>
      <c r="AR365" s="169">
        <v>1.468736222955328</v>
      </c>
      <c r="AS365" s="169"/>
      <c r="AT365" s="169"/>
      <c r="AU365" s="169"/>
      <c r="AV365" s="169"/>
      <c r="AW365" s="169"/>
      <c r="AX365" s="169"/>
      <c r="BP365" s="175">
        <f>Inputs!B368</f>
        <v>724</v>
      </c>
      <c r="BQ365" s="175">
        <f>IF(LEFT(Inputs!$C$11,6)="photon",10^Inputs!C368,Inputs!C368)</f>
        <v>7.9492346144554302E-4</v>
      </c>
      <c r="BR365" s="175"/>
      <c r="BS365" s="175">
        <f>'Advanced Inputs'!I370</f>
        <v>724</v>
      </c>
      <c r="BT365" s="175">
        <f>IF('Advanced Inputs'!J$19="Photon system",10^'Advanced Inputs'!J370,'Advanced Inputs'!J370)</f>
        <v>0</v>
      </c>
      <c r="BV365" s="175">
        <v>724</v>
      </c>
      <c r="BW365" s="73">
        <v>212.691</v>
      </c>
      <c r="BX365" s="73">
        <v>64.916600000000003</v>
      </c>
      <c r="CC365" s="73">
        <v>1</v>
      </c>
    </row>
    <row r="366" spans="8:81" hidden="1" x14ac:dyDescent="0.2">
      <c r="H366" s="73">
        <v>725</v>
      </c>
      <c r="I366" s="168"/>
      <c r="J366" s="168"/>
      <c r="K366" s="168"/>
      <c r="L366" s="168"/>
      <c r="M366" s="168"/>
      <c r="N366" s="168"/>
      <c r="O366" s="168"/>
      <c r="P366" s="168"/>
      <c r="Q366" s="168"/>
      <c r="R366" s="168"/>
      <c r="S366" s="168">
        <v>0.27</v>
      </c>
      <c r="T366" s="168"/>
      <c r="V366" s="73">
        <v>725</v>
      </c>
      <c r="W366" s="168"/>
      <c r="X366" s="168"/>
      <c r="Y366" s="168"/>
      <c r="Z366" s="168"/>
      <c r="AA366" s="168"/>
      <c r="AB366" s="168"/>
      <c r="AC366" s="168"/>
      <c r="AD366" s="168"/>
      <c r="AF366" s="73">
        <v>725</v>
      </c>
      <c r="AG366" s="168"/>
      <c r="AH366" s="168"/>
      <c r="AI366" s="168"/>
      <c r="AJ366" s="168"/>
      <c r="AK366" s="168"/>
      <c r="AL366" s="168"/>
      <c r="AM366" s="168"/>
      <c r="AO366" s="74">
        <v>725</v>
      </c>
      <c r="AP366" s="169"/>
      <c r="AQ366" s="169"/>
      <c r="AR366" s="169">
        <v>1.4263777598843266</v>
      </c>
      <c r="AS366" s="169"/>
      <c r="AT366" s="169"/>
      <c r="AU366" s="169"/>
      <c r="AV366" s="169"/>
      <c r="AW366" s="169"/>
      <c r="AX366" s="169"/>
      <c r="BP366" s="175">
        <f>Inputs!B369</f>
        <v>725</v>
      </c>
      <c r="BQ366" s="175">
        <f>IF(LEFT(Inputs!$C$11,6)="photon",10^Inputs!C369,Inputs!C369)</f>
        <v>7.8492442419465498E-4</v>
      </c>
      <c r="BR366" s="175"/>
      <c r="BS366" s="175">
        <f>'Advanced Inputs'!I371</f>
        <v>725</v>
      </c>
      <c r="BT366" s="175">
        <f>IF('Advanced Inputs'!J$19="Photon system",10^'Advanced Inputs'!J371,'Advanced Inputs'!J371)</f>
        <v>0</v>
      </c>
      <c r="BV366" s="175">
        <v>725</v>
      </c>
      <c r="BW366" s="73">
        <v>213.268</v>
      </c>
      <c r="BX366" s="73">
        <v>65.744799999999998</v>
      </c>
      <c r="CC366" s="73">
        <v>1</v>
      </c>
    </row>
    <row r="367" spans="8:81" hidden="1" x14ac:dyDescent="0.2">
      <c r="H367" s="73">
        <v>726</v>
      </c>
      <c r="I367" s="168"/>
      <c r="J367" s="168"/>
      <c r="K367" s="168"/>
      <c r="L367" s="168"/>
      <c r="M367" s="168"/>
      <c r="N367" s="168"/>
      <c r="O367" s="168"/>
      <c r="P367" s="168"/>
      <c r="Q367" s="168"/>
      <c r="R367" s="168"/>
      <c r="S367" s="168">
        <v>0.24888000000000005</v>
      </c>
      <c r="T367" s="168"/>
      <c r="V367" s="73">
        <v>726</v>
      </c>
      <c r="W367" s="168"/>
      <c r="X367" s="168"/>
      <c r="Y367" s="168"/>
      <c r="Z367" s="168"/>
      <c r="AA367" s="168"/>
      <c r="AB367" s="168"/>
      <c r="AC367" s="168"/>
      <c r="AD367" s="168"/>
      <c r="AF367" s="73">
        <v>726</v>
      </c>
      <c r="AG367" s="168"/>
      <c r="AH367" s="168"/>
      <c r="AI367" s="168"/>
      <c r="AJ367" s="168"/>
      <c r="AK367" s="168"/>
      <c r="AL367" s="168"/>
      <c r="AM367" s="168"/>
      <c r="AO367" s="74">
        <v>726</v>
      </c>
      <c r="AP367" s="169"/>
      <c r="AQ367" s="169"/>
      <c r="AR367" s="169">
        <v>1.3847599941185862</v>
      </c>
      <c r="AS367" s="169"/>
      <c r="AT367" s="169"/>
      <c r="AU367" s="169"/>
      <c r="AV367" s="169"/>
      <c r="AW367" s="169"/>
      <c r="AX367" s="169"/>
      <c r="BP367" s="175">
        <f>Inputs!B370</f>
        <v>726</v>
      </c>
      <c r="BQ367" s="175">
        <f>IF(LEFT(Inputs!$C$11,6)="photon",10^Inputs!C370,Inputs!C370)</f>
        <v>7.7992490556921205E-4</v>
      </c>
      <c r="BR367" s="175"/>
      <c r="BS367" s="175">
        <f>'Advanced Inputs'!I372</f>
        <v>726</v>
      </c>
      <c r="BT367" s="175">
        <f>IF('Advanced Inputs'!J$19="Photon system",10^'Advanced Inputs'!J372,'Advanced Inputs'!J372)</f>
        <v>0</v>
      </c>
      <c r="BV367" s="175">
        <v>726</v>
      </c>
      <c r="BW367" s="73">
        <v>213.84200000000001</v>
      </c>
      <c r="BX367" s="73">
        <v>66.572999999999993</v>
      </c>
      <c r="CC367" s="73">
        <v>1</v>
      </c>
    </row>
    <row r="368" spans="8:81" hidden="1" x14ac:dyDescent="0.2">
      <c r="H368" s="73">
        <v>727</v>
      </c>
      <c r="I368" s="168"/>
      <c r="J368" s="168"/>
      <c r="K368" s="168"/>
      <c r="L368" s="168"/>
      <c r="M368" s="168"/>
      <c r="N368" s="168"/>
      <c r="O368" s="168"/>
      <c r="P368" s="168"/>
      <c r="Q368" s="168"/>
      <c r="R368" s="168"/>
      <c r="S368" s="168">
        <v>0.23624000000000006</v>
      </c>
      <c r="T368" s="168"/>
      <c r="V368" s="73">
        <v>727</v>
      </c>
      <c r="W368" s="168"/>
      <c r="X368" s="168"/>
      <c r="Y368" s="168"/>
      <c r="Z368" s="168"/>
      <c r="AA368" s="168"/>
      <c r="AB368" s="168"/>
      <c r="AC368" s="168"/>
      <c r="AD368" s="168"/>
      <c r="AF368" s="73">
        <v>727</v>
      </c>
      <c r="AG368" s="168"/>
      <c r="AH368" s="168"/>
      <c r="AI368" s="168"/>
      <c r="AJ368" s="168"/>
      <c r="AK368" s="168"/>
      <c r="AL368" s="168"/>
      <c r="AM368" s="168"/>
      <c r="AO368" s="74">
        <v>727</v>
      </c>
      <c r="AP368" s="169"/>
      <c r="AQ368" s="169"/>
      <c r="AR368" s="169">
        <v>1.3444308277017798</v>
      </c>
      <c r="AS368" s="169"/>
      <c r="AT368" s="169"/>
      <c r="AU368" s="169"/>
      <c r="AV368" s="169"/>
      <c r="AW368" s="169"/>
      <c r="AX368" s="169"/>
      <c r="BP368" s="175">
        <f>Inputs!B371</f>
        <v>727</v>
      </c>
      <c r="BQ368" s="175">
        <f>IF(LEFT(Inputs!$C$11,6)="photon",10^Inputs!C371,Inputs!C371)</f>
        <v>7.8492442419465498E-4</v>
      </c>
      <c r="BR368" s="175"/>
      <c r="BS368" s="175">
        <f>'Advanced Inputs'!I373</f>
        <v>727</v>
      </c>
      <c r="BT368" s="175">
        <f>IF('Advanced Inputs'!J$19="Photon system",10^'Advanced Inputs'!J373,'Advanced Inputs'!J373)</f>
        <v>0</v>
      </c>
      <c r="BV368" s="175">
        <v>727</v>
      </c>
      <c r="BW368" s="73">
        <v>214.41499999999999</v>
      </c>
      <c r="BX368" s="73">
        <v>67.4011</v>
      </c>
      <c r="CC368" s="73">
        <v>1</v>
      </c>
    </row>
    <row r="369" spans="8:81" hidden="1" x14ac:dyDescent="0.2">
      <c r="H369" s="73">
        <v>728</v>
      </c>
      <c r="I369" s="168"/>
      <c r="J369" s="168"/>
      <c r="K369" s="168"/>
      <c r="L369" s="168"/>
      <c r="M369" s="168"/>
      <c r="N369" s="168"/>
      <c r="O369" s="168"/>
      <c r="P369" s="168"/>
      <c r="Q369" s="168"/>
      <c r="R369" s="168"/>
      <c r="S369" s="168">
        <v>0.23016</v>
      </c>
      <c r="T369" s="168"/>
      <c r="V369" s="73">
        <v>728</v>
      </c>
      <c r="W369" s="168"/>
      <c r="X369" s="168"/>
      <c r="Y369" s="168"/>
      <c r="Z369" s="168"/>
      <c r="AA369" s="168"/>
      <c r="AB369" s="168"/>
      <c r="AC369" s="168"/>
      <c r="AD369" s="168"/>
      <c r="AF369" s="73">
        <v>728</v>
      </c>
      <c r="AG369" s="168"/>
      <c r="AH369" s="168"/>
      <c r="AI369" s="168"/>
      <c r="AJ369" s="168"/>
      <c r="AK369" s="168"/>
      <c r="AL369" s="168"/>
      <c r="AM369" s="168"/>
      <c r="AO369" s="74">
        <v>728</v>
      </c>
      <c r="AP369" s="169"/>
      <c r="AQ369" s="169"/>
      <c r="AR369" s="169">
        <v>1.3050823675739041</v>
      </c>
      <c r="AS369" s="169"/>
      <c r="AT369" s="169"/>
      <c r="AU369" s="169"/>
      <c r="AV369" s="169"/>
      <c r="AW369" s="169"/>
      <c r="AX369" s="169"/>
      <c r="BP369" s="175">
        <f>Inputs!B372</f>
        <v>728</v>
      </c>
      <c r="BQ369" s="175">
        <f>IF(LEFT(Inputs!$C$11,6)="photon",10^Inputs!C372,Inputs!C372)</f>
        <v>7.89923942820099E-4</v>
      </c>
      <c r="BR369" s="175"/>
      <c r="BS369" s="175">
        <f>'Advanced Inputs'!I374</f>
        <v>728</v>
      </c>
      <c r="BT369" s="175">
        <f>IF('Advanced Inputs'!J$19="Photon system",10^'Advanced Inputs'!J374,'Advanced Inputs'!J374)</f>
        <v>0</v>
      </c>
      <c r="BV369" s="175">
        <v>728</v>
      </c>
      <c r="BW369" s="73">
        <v>214.98500000000001</v>
      </c>
      <c r="BX369" s="73">
        <v>68.229299999999995</v>
      </c>
      <c r="CC369" s="73">
        <v>1</v>
      </c>
    </row>
    <row r="370" spans="8:81" hidden="1" x14ac:dyDescent="0.2">
      <c r="H370" s="73">
        <v>729</v>
      </c>
      <c r="I370" s="168"/>
      <c r="J370" s="168"/>
      <c r="K370" s="168"/>
      <c r="L370" s="168"/>
      <c r="M370" s="168"/>
      <c r="N370" s="168"/>
      <c r="O370" s="168"/>
      <c r="P370" s="168"/>
      <c r="Q370" s="168"/>
      <c r="R370" s="168"/>
      <c r="S370" s="168">
        <v>0.22872000000000001</v>
      </c>
      <c r="T370" s="168"/>
      <c r="V370" s="73">
        <v>729</v>
      </c>
      <c r="W370" s="168"/>
      <c r="X370" s="168"/>
      <c r="Y370" s="168"/>
      <c r="Z370" s="168"/>
      <c r="AA370" s="168"/>
      <c r="AB370" s="168"/>
      <c r="AC370" s="168"/>
      <c r="AD370" s="168"/>
      <c r="AF370" s="73">
        <v>729</v>
      </c>
      <c r="AG370" s="168"/>
      <c r="AH370" s="168"/>
      <c r="AI370" s="168"/>
      <c r="AJ370" s="168"/>
      <c r="AK370" s="168"/>
      <c r="AL370" s="168"/>
      <c r="AM370" s="168"/>
      <c r="AO370" s="74">
        <v>729</v>
      </c>
      <c r="AP370" s="169"/>
      <c r="AQ370" s="169"/>
      <c r="AR370" s="169">
        <v>1.2671235951316711</v>
      </c>
      <c r="AS370" s="169"/>
      <c r="AT370" s="169"/>
      <c r="AU370" s="169"/>
      <c r="AV370" s="169"/>
      <c r="AW370" s="169"/>
      <c r="AX370" s="169"/>
      <c r="BP370" s="175">
        <f>Inputs!B373</f>
        <v>729</v>
      </c>
      <c r="BQ370" s="175">
        <f>IF(LEFT(Inputs!$C$11,6)="photon",10^Inputs!C373,Inputs!C373)</f>
        <v>7.9492346144554302E-4</v>
      </c>
      <c r="BR370" s="175"/>
      <c r="BS370" s="175">
        <f>'Advanced Inputs'!I375</f>
        <v>729</v>
      </c>
      <c r="BT370" s="175">
        <f>IF('Advanced Inputs'!J$19="Photon system",10^'Advanced Inputs'!J375,'Advanced Inputs'!J375)</f>
        <v>0</v>
      </c>
      <c r="BV370" s="175">
        <v>729</v>
      </c>
      <c r="BW370" s="73">
        <v>215.553</v>
      </c>
      <c r="BX370" s="73">
        <v>69.057400000000001</v>
      </c>
      <c r="CC370" s="73">
        <v>1</v>
      </c>
    </row>
    <row r="371" spans="8:81" hidden="1" x14ac:dyDescent="0.2">
      <c r="H371" s="73">
        <v>730</v>
      </c>
      <c r="I371" s="168"/>
      <c r="J371" s="168"/>
      <c r="K371" s="168"/>
      <c r="L371" s="168"/>
      <c r="M371" s="168"/>
      <c r="N371" s="168"/>
      <c r="O371" s="168"/>
      <c r="P371" s="168"/>
      <c r="Q371" s="168"/>
      <c r="R371" s="168"/>
      <c r="S371" s="168">
        <v>0.23</v>
      </c>
      <c r="T371" s="168"/>
      <c r="V371" s="73">
        <v>730</v>
      </c>
      <c r="W371" s="168"/>
      <c r="X371" s="168"/>
      <c r="Y371" s="168"/>
      <c r="Z371" s="168"/>
      <c r="AA371" s="168"/>
      <c r="AB371" s="168"/>
      <c r="AC371" s="168"/>
      <c r="AD371" s="168"/>
      <c r="AF371" s="73">
        <v>730</v>
      </c>
      <c r="AG371" s="168"/>
      <c r="AH371" s="168"/>
      <c r="AI371" s="168"/>
      <c r="AJ371" s="168"/>
      <c r="AK371" s="168"/>
      <c r="AL371" s="168"/>
      <c r="AM371" s="168"/>
      <c r="AO371" s="74">
        <v>730</v>
      </c>
      <c r="AP371" s="169"/>
      <c r="AQ371" s="169"/>
      <c r="AR371" s="169">
        <v>1.2298609186589133</v>
      </c>
      <c r="AS371" s="169"/>
      <c r="AT371" s="169"/>
      <c r="AU371" s="169"/>
      <c r="AV371" s="169"/>
      <c r="AW371" s="169"/>
      <c r="AX371" s="169"/>
      <c r="BP371" s="175">
        <f>Inputs!B374</f>
        <v>730</v>
      </c>
      <c r="BQ371" s="175">
        <f>IF(LEFT(Inputs!$C$11,6)="photon",10^Inputs!C374,Inputs!C374)</f>
        <v>8.09922017321874E-4</v>
      </c>
      <c r="BR371" s="175"/>
      <c r="BS371" s="175">
        <f>'Advanced Inputs'!I376</f>
        <v>730</v>
      </c>
      <c r="BT371" s="175">
        <f>IF('Advanced Inputs'!J$19="Photon system",10^'Advanced Inputs'!J376,'Advanced Inputs'!J376)</f>
        <v>0</v>
      </c>
      <c r="BV371" s="175">
        <v>730</v>
      </c>
      <c r="BW371" s="73">
        <v>216.12</v>
      </c>
      <c r="BX371" s="73">
        <v>69.885599999999997</v>
      </c>
      <c r="CC371" s="73">
        <v>1</v>
      </c>
    </row>
    <row r="372" spans="8:81" hidden="1" x14ac:dyDescent="0.2">
      <c r="H372" s="73">
        <v>731</v>
      </c>
      <c r="I372" s="168"/>
      <c r="J372" s="168"/>
      <c r="K372" s="168"/>
      <c r="L372" s="168"/>
      <c r="M372" s="168"/>
      <c r="N372" s="168"/>
      <c r="O372" s="168"/>
      <c r="P372" s="168"/>
      <c r="Q372" s="168"/>
      <c r="R372" s="168"/>
      <c r="S372" s="168">
        <v>0.22344</v>
      </c>
      <c r="T372" s="168"/>
      <c r="V372" s="73">
        <v>731</v>
      </c>
      <c r="W372" s="168"/>
      <c r="X372" s="168"/>
      <c r="Y372" s="168"/>
      <c r="Z372" s="168"/>
      <c r="AA372" s="168"/>
      <c r="AB372" s="168"/>
      <c r="AC372" s="168"/>
      <c r="AD372" s="168"/>
      <c r="AF372" s="73">
        <v>731</v>
      </c>
      <c r="AG372" s="168"/>
      <c r="AH372" s="168"/>
      <c r="AI372" s="168"/>
      <c r="AJ372" s="168"/>
      <c r="AK372" s="168"/>
      <c r="AL372" s="168"/>
      <c r="AM372" s="168"/>
      <c r="AO372" s="74">
        <v>731</v>
      </c>
      <c r="AP372" s="169"/>
      <c r="AQ372" s="169"/>
      <c r="AR372" s="169">
        <v>1.1936260903517391</v>
      </c>
      <c r="AS372" s="169"/>
      <c r="AT372" s="169"/>
      <c r="AU372" s="169"/>
      <c r="AV372" s="169"/>
      <c r="AW372" s="169"/>
      <c r="AX372" s="169"/>
      <c r="BP372" s="175">
        <f>Inputs!B375</f>
        <v>731</v>
      </c>
      <c r="BQ372" s="175">
        <f>IF(LEFT(Inputs!$C$11,6)="photon",10^Inputs!C375,Inputs!C375)</f>
        <v>8.3491961044909204E-4</v>
      </c>
      <c r="BR372" s="175"/>
      <c r="BS372" s="175">
        <f>'Advanced Inputs'!I377</f>
        <v>731</v>
      </c>
      <c r="BT372" s="175">
        <f>IF('Advanced Inputs'!J$19="Photon system",10^'Advanced Inputs'!J377,'Advanced Inputs'!J377)</f>
        <v>0</v>
      </c>
      <c r="BV372" s="175">
        <v>731</v>
      </c>
      <c r="BW372" s="73">
        <v>216.684</v>
      </c>
      <c r="BX372" s="73">
        <v>70.405699999999996</v>
      </c>
      <c r="CC372" s="73">
        <v>1</v>
      </c>
    </row>
    <row r="373" spans="8:81" hidden="1" x14ac:dyDescent="0.2">
      <c r="H373" s="73">
        <v>732</v>
      </c>
      <c r="I373" s="168"/>
      <c r="J373" s="168"/>
      <c r="K373" s="168"/>
      <c r="L373" s="168"/>
      <c r="M373" s="168"/>
      <c r="N373" s="168"/>
      <c r="O373" s="168"/>
      <c r="P373" s="168"/>
      <c r="Q373" s="168"/>
      <c r="R373" s="168"/>
      <c r="S373" s="168">
        <v>0.21792</v>
      </c>
      <c r="T373" s="168"/>
      <c r="V373" s="73">
        <v>732</v>
      </c>
      <c r="W373" s="168"/>
      <c r="X373" s="168"/>
      <c r="Y373" s="168"/>
      <c r="Z373" s="168"/>
      <c r="AA373" s="168"/>
      <c r="AB373" s="168"/>
      <c r="AC373" s="168"/>
      <c r="AD373" s="168"/>
      <c r="AF373" s="73">
        <v>732</v>
      </c>
      <c r="AG373" s="168"/>
      <c r="AH373" s="168"/>
      <c r="AI373" s="168"/>
      <c r="AJ373" s="168"/>
      <c r="AK373" s="168"/>
      <c r="AL373" s="168"/>
      <c r="AM373" s="168"/>
      <c r="AO373" s="74">
        <v>732</v>
      </c>
      <c r="AP373" s="169"/>
      <c r="AQ373" s="169"/>
      <c r="AR373" s="169">
        <v>1.1586780774324501</v>
      </c>
      <c r="AS373" s="169"/>
      <c r="AT373" s="169"/>
      <c r="AU373" s="169"/>
      <c r="AV373" s="169"/>
      <c r="AW373" s="169"/>
      <c r="AX373" s="169"/>
      <c r="BP373" s="175">
        <f>Inputs!B376</f>
        <v>732</v>
      </c>
      <c r="BQ373" s="175">
        <f>IF(LEFT(Inputs!$C$11,6)="photon",10^Inputs!C376,Inputs!C376)</f>
        <v>8.5991720357631095E-4</v>
      </c>
      <c r="BR373" s="175"/>
      <c r="BS373" s="175">
        <f>'Advanced Inputs'!I378</f>
        <v>732</v>
      </c>
      <c r="BT373" s="175">
        <f>IF('Advanced Inputs'!J$19="Photon system",10^'Advanced Inputs'!J378,'Advanced Inputs'!J378)</f>
        <v>0</v>
      </c>
      <c r="BV373" s="175">
        <v>732</v>
      </c>
      <c r="BW373" s="73">
        <v>217.24600000000001</v>
      </c>
      <c r="BX373" s="73">
        <v>70.925899999999999</v>
      </c>
      <c r="CC373" s="73">
        <v>1</v>
      </c>
    </row>
    <row r="374" spans="8:81" hidden="1" x14ac:dyDescent="0.2">
      <c r="H374" s="73">
        <v>733</v>
      </c>
      <c r="I374" s="168"/>
      <c r="J374" s="168"/>
      <c r="K374" s="168"/>
      <c r="L374" s="168"/>
      <c r="M374" s="168"/>
      <c r="N374" s="168"/>
      <c r="O374" s="168"/>
      <c r="P374" s="168"/>
      <c r="Q374" s="168"/>
      <c r="R374" s="168"/>
      <c r="S374" s="168">
        <v>0.21367999999999998</v>
      </c>
      <c r="T374" s="168"/>
      <c r="V374" s="73">
        <v>733</v>
      </c>
      <c r="W374" s="168"/>
      <c r="X374" s="168"/>
      <c r="Y374" s="168"/>
      <c r="Z374" s="168"/>
      <c r="AA374" s="168"/>
      <c r="AB374" s="168"/>
      <c r="AC374" s="168"/>
      <c r="AD374" s="168"/>
      <c r="AF374" s="73">
        <v>733</v>
      </c>
      <c r="AG374" s="168"/>
      <c r="AH374" s="168"/>
      <c r="AI374" s="168"/>
      <c r="AJ374" s="168"/>
      <c r="AK374" s="168"/>
      <c r="AL374" s="168"/>
      <c r="AM374" s="168"/>
      <c r="AO374" s="74">
        <v>733</v>
      </c>
      <c r="AP374" s="169"/>
      <c r="AQ374" s="169"/>
      <c r="AR374" s="169">
        <v>1.1247768096663384</v>
      </c>
      <c r="AS374" s="169"/>
      <c r="AT374" s="169"/>
      <c r="AU374" s="169"/>
      <c r="AV374" s="169"/>
      <c r="AW374" s="169"/>
      <c r="AX374" s="169"/>
      <c r="BP374" s="175">
        <f>Inputs!B377</f>
        <v>733</v>
      </c>
      <c r="BQ374" s="175">
        <f>IF(LEFT(Inputs!$C$11,6)="photon",10^Inputs!C377,Inputs!C377)</f>
        <v>8.8491479670352899E-4</v>
      </c>
      <c r="BR374" s="175"/>
      <c r="BS374" s="175">
        <f>'Advanced Inputs'!I379</f>
        <v>733</v>
      </c>
      <c r="BT374" s="175">
        <f>IF('Advanced Inputs'!J$19="Photon system",10^'Advanced Inputs'!J379,'Advanced Inputs'!J379)</f>
        <v>0</v>
      </c>
      <c r="BV374" s="175">
        <v>733</v>
      </c>
      <c r="BW374" s="73">
        <v>217.80600000000001</v>
      </c>
      <c r="BX374" s="73">
        <v>71.445999999999998</v>
      </c>
      <c r="CC374" s="73">
        <v>1</v>
      </c>
    </row>
    <row r="375" spans="8:81" hidden="1" x14ac:dyDescent="0.2">
      <c r="H375" s="73">
        <v>734</v>
      </c>
      <c r="I375" s="168"/>
      <c r="J375" s="168"/>
      <c r="K375" s="168"/>
      <c r="L375" s="168"/>
      <c r="M375" s="168"/>
      <c r="N375" s="168"/>
      <c r="O375" s="168"/>
      <c r="P375" s="168"/>
      <c r="Q375" s="168"/>
      <c r="R375" s="168"/>
      <c r="S375" s="168">
        <v>0.21095999999999998</v>
      </c>
      <c r="T375" s="168"/>
      <c r="V375" s="73">
        <v>734</v>
      </c>
      <c r="W375" s="168"/>
      <c r="X375" s="168"/>
      <c r="Y375" s="168"/>
      <c r="Z375" s="168"/>
      <c r="AA375" s="168"/>
      <c r="AB375" s="168"/>
      <c r="AC375" s="168"/>
      <c r="AD375" s="168"/>
      <c r="AF375" s="73">
        <v>734</v>
      </c>
      <c r="AG375" s="168"/>
      <c r="AH375" s="168"/>
      <c r="AI375" s="168"/>
      <c r="AJ375" s="168"/>
      <c r="AK375" s="168"/>
      <c r="AL375" s="168"/>
      <c r="AM375" s="168"/>
      <c r="AO375" s="74">
        <v>734</v>
      </c>
      <c r="AP375" s="169"/>
      <c r="AQ375" s="169"/>
      <c r="AR375" s="169">
        <v>1.0913656579950215</v>
      </c>
      <c r="AS375" s="169"/>
      <c r="AT375" s="169"/>
      <c r="AU375" s="169"/>
      <c r="AV375" s="169"/>
      <c r="AW375" s="169"/>
      <c r="AX375" s="169"/>
      <c r="BP375" s="175">
        <f>Inputs!B378</f>
        <v>734</v>
      </c>
      <c r="BQ375" s="175">
        <f>IF(LEFT(Inputs!$C$11,6)="photon",10^Inputs!C378,Inputs!C378)</f>
        <v>8.9991335257985996E-4</v>
      </c>
      <c r="BR375" s="175"/>
      <c r="BS375" s="175">
        <f>'Advanced Inputs'!I380</f>
        <v>734</v>
      </c>
      <c r="BT375" s="175">
        <f>IF('Advanced Inputs'!J$19="Photon system",10^'Advanced Inputs'!J380,'Advanced Inputs'!J380)</f>
        <v>0</v>
      </c>
      <c r="BV375" s="175">
        <v>734</v>
      </c>
      <c r="BW375" s="73">
        <v>218.364</v>
      </c>
      <c r="BX375" s="73">
        <v>71.966200000000001</v>
      </c>
      <c r="CC375" s="73">
        <v>1</v>
      </c>
    </row>
    <row r="376" spans="8:81" hidden="1" x14ac:dyDescent="0.2">
      <c r="H376" s="73">
        <v>735</v>
      </c>
      <c r="I376" s="168"/>
      <c r="J376" s="168"/>
      <c r="K376" s="168"/>
      <c r="L376" s="168"/>
      <c r="M376" s="168"/>
      <c r="N376" s="168"/>
      <c r="O376" s="168"/>
      <c r="P376" s="168"/>
      <c r="Q376" s="168"/>
      <c r="R376" s="168"/>
      <c r="S376" s="168">
        <v>0.21</v>
      </c>
      <c r="T376" s="168"/>
      <c r="V376" s="73">
        <v>735</v>
      </c>
      <c r="W376" s="168"/>
      <c r="X376" s="168"/>
      <c r="Y376" s="168"/>
      <c r="Z376" s="168"/>
      <c r="AA376" s="168"/>
      <c r="AB376" s="168"/>
      <c r="AC376" s="168"/>
      <c r="AD376" s="168"/>
      <c r="AF376" s="73">
        <v>735</v>
      </c>
      <c r="AG376" s="168"/>
      <c r="AH376" s="168"/>
      <c r="AI376" s="168"/>
      <c r="AJ376" s="168"/>
      <c r="AK376" s="168"/>
      <c r="AL376" s="168"/>
      <c r="AM376" s="168"/>
      <c r="AO376" s="74">
        <v>735</v>
      </c>
      <c r="AP376" s="169"/>
      <c r="AQ376" s="169"/>
      <c r="AR376" s="169">
        <v>1.0595610546503154</v>
      </c>
      <c r="AS376" s="169"/>
      <c r="AT376" s="169"/>
      <c r="AU376" s="169"/>
      <c r="AV376" s="169"/>
      <c r="AW376" s="169"/>
      <c r="AX376" s="169"/>
      <c r="BP376" s="175">
        <f>Inputs!B379</f>
        <v>735</v>
      </c>
      <c r="BQ376" s="175">
        <f>IF(LEFT(Inputs!$C$11,6)="photon",10^Inputs!C379,Inputs!C379)</f>
        <v>9.0991238983074703E-4</v>
      </c>
      <c r="BR376" s="175"/>
      <c r="BS376" s="175">
        <f>'Advanced Inputs'!I381</f>
        <v>735</v>
      </c>
      <c r="BT376" s="175">
        <f>IF('Advanced Inputs'!J$19="Photon system",10^'Advanced Inputs'!J381,'Advanced Inputs'!J381)</f>
        <v>0</v>
      </c>
      <c r="BV376" s="175">
        <v>735</v>
      </c>
      <c r="BW376" s="73">
        <v>218.92</v>
      </c>
      <c r="BX376" s="73">
        <v>72.4863</v>
      </c>
      <c r="CC376" s="73">
        <v>1</v>
      </c>
    </row>
    <row r="377" spans="8:81" hidden="1" x14ac:dyDescent="0.2">
      <c r="H377" s="73">
        <v>736</v>
      </c>
      <c r="I377" s="168"/>
      <c r="J377" s="168"/>
      <c r="K377" s="168"/>
      <c r="L377" s="168"/>
      <c r="M377" s="168"/>
      <c r="N377" s="168"/>
      <c r="O377" s="168"/>
      <c r="P377" s="168"/>
      <c r="Q377" s="168"/>
      <c r="R377" s="168"/>
      <c r="S377" s="168">
        <v>0.21456</v>
      </c>
      <c r="T377" s="168"/>
      <c r="V377" s="73">
        <v>736</v>
      </c>
      <c r="W377" s="168"/>
      <c r="X377" s="168"/>
      <c r="Y377" s="168"/>
      <c r="Z377" s="168"/>
      <c r="AA377" s="168"/>
      <c r="AB377" s="168"/>
      <c r="AC377" s="168"/>
      <c r="AD377" s="168"/>
      <c r="AF377" s="73">
        <v>736</v>
      </c>
      <c r="AG377" s="168"/>
      <c r="AH377" s="168"/>
      <c r="AI377" s="168"/>
      <c r="AJ377" s="168"/>
      <c r="AK377" s="168"/>
      <c r="AL377" s="168"/>
      <c r="AM377" s="168"/>
      <c r="AO377" s="74">
        <v>736</v>
      </c>
      <c r="AP377" s="169"/>
      <c r="AQ377" s="169"/>
      <c r="AR377" s="169">
        <v>1.0278096836796626</v>
      </c>
      <c r="AS377" s="169"/>
      <c r="AT377" s="169"/>
      <c r="AU377" s="169"/>
      <c r="AV377" s="169"/>
      <c r="AW377" s="169"/>
      <c r="AX377" s="169"/>
      <c r="BP377" s="175">
        <f>Inputs!B380</f>
        <v>736</v>
      </c>
      <c r="BQ377" s="175">
        <f>IF(LEFT(Inputs!$C$11,6)="photon",10^Inputs!C380,Inputs!C380)</f>
        <v>9.0991238983074703E-4</v>
      </c>
      <c r="BR377" s="175"/>
      <c r="BS377" s="175">
        <f>'Advanced Inputs'!I382</f>
        <v>736</v>
      </c>
      <c r="BT377" s="175">
        <f>IF('Advanced Inputs'!J$19="Photon system",10^'Advanced Inputs'!J382,'Advanced Inputs'!J382)</f>
        <v>0</v>
      </c>
      <c r="BV377" s="175">
        <v>736</v>
      </c>
      <c r="BW377" s="73">
        <v>219.47300000000001</v>
      </c>
      <c r="BX377" s="73">
        <v>73.006399999999999</v>
      </c>
      <c r="CC377" s="73">
        <v>1</v>
      </c>
    </row>
    <row r="378" spans="8:81" hidden="1" x14ac:dyDescent="0.2">
      <c r="H378" s="73">
        <v>737</v>
      </c>
      <c r="I378" s="168"/>
      <c r="J378" s="168"/>
      <c r="K378" s="168"/>
      <c r="L378" s="168"/>
      <c r="M378" s="168"/>
      <c r="N378" s="168"/>
      <c r="O378" s="168"/>
      <c r="P378" s="168"/>
      <c r="Q378" s="168"/>
      <c r="R378" s="168"/>
      <c r="S378" s="168">
        <v>0.22047999999999998</v>
      </c>
      <c r="T378" s="168"/>
      <c r="V378" s="73">
        <v>737</v>
      </c>
      <c r="W378" s="168"/>
      <c r="X378" s="168"/>
      <c r="Y378" s="168"/>
      <c r="Z378" s="168"/>
      <c r="AA378" s="168"/>
      <c r="AB378" s="168"/>
      <c r="AC378" s="168"/>
      <c r="AD378" s="168"/>
      <c r="AF378" s="73">
        <v>737</v>
      </c>
      <c r="AG378" s="168"/>
      <c r="AH378" s="168"/>
      <c r="AI378" s="168"/>
      <c r="AJ378" s="168"/>
      <c r="AK378" s="168"/>
      <c r="AL378" s="168"/>
      <c r="AM378" s="168"/>
      <c r="AO378" s="74">
        <v>737</v>
      </c>
      <c r="AP378" s="169"/>
      <c r="AQ378" s="169"/>
      <c r="AR378" s="169">
        <v>0.997212114456827</v>
      </c>
      <c r="AS378" s="169"/>
      <c r="AT378" s="169"/>
      <c r="AU378" s="169"/>
      <c r="AV378" s="169"/>
      <c r="AW378" s="169"/>
      <c r="AX378" s="169"/>
      <c r="BP378" s="175">
        <f>Inputs!B381</f>
        <v>737</v>
      </c>
      <c r="BQ378" s="175">
        <f>IF(LEFT(Inputs!$C$11,6)="photon",10^Inputs!C381,Inputs!C381)</f>
        <v>9.1491190845619105E-4</v>
      </c>
      <c r="BR378" s="175"/>
      <c r="BS378" s="175">
        <f>'Advanced Inputs'!I383</f>
        <v>737</v>
      </c>
      <c r="BT378" s="175">
        <f>IF('Advanced Inputs'!J$19="Photon system",10^'Advanced Inputs'!J383,'Advanced Inputs'!J383)</f>
        <v>0</v>
      </c>
      <c r="BV378" s="175">
        <v>737</v>
      </c>
      <c r="BW378" s="73">
        <v>220.02500000000001</v>
      </c>
      <c r="BX378" s="73">
        <v>73.526600000000002</v>
      </c>
      <c r="CC378" s="73">
        <v>1</v>
      </c>
    </row>
    <row r="379" spans="8:81" hidden="1" x14ac:dyDescent="0.2">
      <c r="H379" s="73">
        <v>738</v>
      </c>
      <c r="I379" s="168"/>
      <c r="J379" s="168"/>
      <c r="K379" s="168"/>
      <c r="L379" s="168"/>
      <c r="M379" s="168"/>
      <c r="N379" s="168"/>
      <c r="O379" s="168"/>
      <c r="P379" s="168"/>
      <c r="Q379" s="168"/>
      <c r="R379" s="168"/>
      <c r="S379" s="168">
        <v>0.22711999999999999</v>
      </c>
      <c r="T379" s="168"/>
      <c r="V379" s="73">
        <v>738</v>
      </c>
      <c r="W379" s="168"/>
      <c r="X379" s="168"/>
      <c r="Y379" s="168"/>
      <c r="Z379" s="168"/>
      <c r="AA379" s="168"/>
      <c r="AB379" s="168"/>
      <c r="AC379" s="168"/>
      <c r="AD379" s="168"/>
      <c r="AF379" s="73">
        <v>738</v>
      </c>
      <c r="AG379" s="168"/>
      <c r="AH379" s="168"/>
      <c r="AI379" s="168"/>
      <c r="AJ379" s="168"/>
      <c r="AK379" s="168"/>
      <c r="AL379" s="168"/>
      <c r="AM379" s="168"/>
      <c r="AO379" s="74">
        <v>738</v>
      </c>
      <c r="AP379" s="169"/>
      <c r="AQ379" s="169"/>
      <c r="AR379" s="169">
        <v>0.96755098890021174</v>
      </c>
      <c r="AS379" s="169"/>
      <c r="AT379" s="169"/>
      <c r="AU379" s="169"/>
      <c r="AV379" s="169"/>
      <c r="AW379" s="169"/>
      <c r="AX379" s="169"/>
      <c r="BP379" s="175">
        <f>Inputs!B382</f>
        <v>738</v>
      </c>
      <c r="BQ379" s="175">
        <f>IF(LEFT(Inputs!$C$11,6)="photon",10^Inputs!C382,Inputs!C382)</f>
        <v>9.1491190845619105E-4</v>
      </c>
      <c r="BR379" s="175"/>
      <c r="BS379" s="175">
        <f>'Advanced Inputs'!I384</f>
        <v>738</v>
      </c>
      <c r="BT379" s="175">
        <f>IF('Advanced Inputs'!J$19="Photon system",10^'Advanced Inputs'!J384,'Advanced Inputs'!J384)</f>
        <v>0</v>
      </c>
      <c r="BV379" s="175">
        <v>738</v>
      </c>
      <c r="BW379" s="73">
        <v>220.57400000000001</v>
      </c>
      <c r="BX379" s="73">
        <v>74.046700000000001</v>
      </c>
      <c r="CC379" s="73">
        <v>1</v>
      </c>
    </row>
    <row r="380" spans="8:81" hidden="1" x14ac:dyDescent="0.2">
      <c r="H380" s="73">
        <v>739</v>
      </c>
      <c r="I380" s="168"/>
      <c r="J380" s="168"/>
      <c r="K380" s="168"/>
      <c r="L380" s="168"/>
      <c r="M380" s="168"/>
      <c r="N380" s="168"/>
      <c r="O380" s="168"/>
      <c r="P380" s="168"/>
      <c r="Q380" s="168"/>
      <c r="R380" s="168"/>
      <c r="S380" s="168">
        <v>0.23383999999999999</v>
      </c>
      <c r="T380" s="168"/>
      <c r="V380" s="73">
        <v>739</v>
      </c>
      <c r="W380" s="168"/>
      <c r="X380" s="168"/>
      <c r="Y380" s="168"/>
      <c r="Z380" s="168"/>
      <c r="AA380" s="168"/>
      <c r="AB380" s="168"/>
      <c r="AC380" s="168"/>
      <c r="AD380" s="168"/>
      <c r="AF380" s="73">
        <v>739</v>
      </c>
      <c r="AG380" s="168"/>
      <c r="AH380" s="168"/>
      <c r="AI380" s="168"/>
      <c r="AJ380" s="168"/>
      <c r="AK380" s="168"/>
      <c r="AL380" s="168"/>
      <c r="AM380" s="168"/>
      <c r="AO380" s="74">
        <v>739</v>
      </c>
      <c r="AP380" s="169"/>
      <c r="AQ380" s="169"/>
      <c r="AR380" s="169">
        <v>0.93854553699622356</v>
      </c>
      <c r="AS380" s="169"/>
      <c r="AT380" s="169"/>
      <c r="AU380" s="169"/>
      <c r="AV380" s="169"/>
      <c r="AW380" s="169"/>
      <c r="AX380" s="169"/>
      <c r="BP380" s="175">
        <f>Inputs!B383</f>
        <v>739</v>
      </c>
      <c r="BQ380" s="175">
        <f>IF(LEFT(Inputs!$C$11,6)="photon",10^Inputs!C383,Inputs!C383)</f>
        <v>9.1991142708163496E-4</v>
      </c>
      <c r="BR380" s="175"/>
      <c r="BS380" s="175">
        <f>'Advanced Inputs'!I385</f>
        <v>739</v>
      </c>
      <c r="BT380" s="175">
        <f>IF('Advanced Inputs'!J$19="Photon system",10^'Advanced Inputs'!J385,'Advanced Inputs'!J385)</f>
        <v>0</v>
      </c>
      <c r="BV380" s="175">
        <v>739</v>
      </c>
      <c r="BW380" s="73">
        <v>221.12200000000001</v>
      </c>
      <c r="BX380" s="73">
        <v>74.566900000000004</v>
      </c>
      <c r="CC380" s="73">
        <v>1</v>
      </c>
    </row>
    <row r="381" spans="8:81" hidden="1" x14ac:dyDescent="0.2">
      <c r="H381" s="73">
        <v>740</v>
      </c>
      <c r="I381" s="168"/>
      <c r="J381" s="168"/>
      <c r="K381" s="168"/>
      <c r="L381" s="168"/>
      <c r="M381" s="168"/>
      <c r="N381" s="168"/>
      <c r="O381" s="168"/>
      <c r="P381" s="168"/>
      <c r="Q381" s="168"/>
      <c r="R381" s="168"/>
      <c r="S381" s="168">
        <v>0.24</v>
      </c>
      <c r="T381" s="168"/>
      <c r="V381" s="73">
        <v>740</v>
      </c>
      <c r="W381" s="168"/>
      <c r="X381" s="168"/>
      <c r="Y381" s="168"/>
      <c r="Z381" s="168"/>
      <c r="AA381" s="168"/>
      <c r="AB381" s="168"/>
      <c r="AC381" s="168"/>
      <c r="AD381" s="168"/>
      <c r="AF381" s="73">
        <v>740</v>
      </c>
      <c r="AG381" s="168"/>
      <c r="AH381" s="168"/>
      <c r="AI381" s="168"/>
      <c r="AJ381" s="168"/>
      <c r="AK381" s="168"/>
      <c r="AL381" s="168"/>
      <c r="AM381" s="168"/>
      <c r="AO381" s="74">
        <v>740</v>
      </c>
      <c r="AP381" s="169"/>
      <c r="AQ381" s="169"/>
      <c r="AR381" s="169">
        <v>0.91078176322531135</v>
      </c>
      <c r="AS381" s="169"/>
      <c r="AT381" s="169"/>
      <c r="AU381" s="169"/>
      <c r="AV381" s="169"/>
      <c r="AW381" s="169"/>
      <c r="AX381" s="169"/>
      <c r="BP381" s="175">
        <f>Inputs!B384</f>
        <v>740</v>
      </c>
      <c r="BQ381" s="175">
        <f>IF(LEFT(Inputs!$C$11,6)="photon",10^Inputs!C384,Inputs!C384)</f>
        <v>9.24910945707078E-4</v>
      </c>
      <c r="BR381" s="175"/>
      <c r="BS381" s="175">
        <f>'Advanced Inputs'!I386</f>
        <v>740</v>
      </c>
      <c r="BT381" s="175">
        <f>IF('Advanced Inputs'!J$19="Photon system",10^'Advanced Inputs'!J386,'Advanced Inputs'!J386)</f>
        <v>0</v>
      </c>
      <c r="BV381" s="175">
        <v>740</v>
      </c>
      <c r="BW381" s="73">
        <v>221.667</v>
      </c>
      <c r="BX381" s="73">
        <v>75.087000000000003</v>
      </c>
      <c r="CC381" s="73">
        <v>1</v>
      </c>
    </row>
    <row r="382" spans="8:81" hidden="1" x14ac:dyDescent="0.2">
      <c r="H382" s="73">
        <v>741</v>
      </c>
      <c r="I382" s="168"/>
      <c r="J382" s="168"/>
      <c r="K382" s="168"/>
      <c r="L382" s="168"/>
      <c r="M382" s="168"/>
      <c r="N382" s="168"/>
      <c r="O382" s="168"/>
      <c r="P382" s="168"/>
      <c r="Q382" s="168"/>
      <c r="R382" s="168"/>
      <c r="S382" s="168">
        <v>0.24271999999999999</v>
      </c>
      <c r="T382" s="168"/>
      <c r="V382" s="73">
        <v>741</v>
      </c>
      <c r="W382" s="168"/>
      <c r="X382" s="168"/>
      <c r="Y382" s="168"/>
      <c r="Z382" s="168"/>
      <c r="AA382" s="168"/>
      <c r="AB382" s="168"/>
      <c r="AC382" s="168"/>
      <c r="AD382" s="168"/>
      <c r="AF382" s="73">
        <v>741</v>
      </c>
      <c r="AG382" s="168"/>
      <c r="AH382" s="168"/>
      <c r="AI382" s="168"/>
      <c r="AJ382" s="168"/>
      <c r="AK382" s="168"/>
      <c r="AL382" s="168"/>
      <c r="AM382" s="168"/>
      <c r="AO382" s="74">
        <v>741</v>
      </c>
      <c r="AP382" s="169"/>
      <c r="AQ382" s="169"/>
      <c r="AR382" s="169">
        <v>0.88390431466239816</v>
      </c>
      <c r="AS382" s="169"/>
      <c r="AT382" s="169"/>
      <c r="AU382" s="169"/>
      <c r="AV382" s="169"/>
      <c r="AW382" s="169"/>
      <c r="AX382" s="169"/>
      <c r="BP382" s="175">
        <f>Inputs!B385</f>
        <v>741</v>
      </c>
      <c r="BQ382" s="175">
        <f>IF(LEFT(Inputs!$C$11,6)="photon",10^Inputs!C385,Inputs!C385)</f>
        <v>9.24910945707078E-4</v>
      </c>
      <c r="BR382" s="175"/>
      <c r="BS382" s="175">
        <f>'Advanced Inputs'!I387</f>
        <v>741</v>
      </c>
      <c r="BT382" s="175">
        <f>IF('Advanced Inputs'!J$19="Photon system",10^'Advanced Inputs'!J387,'Advanced Inputs'!J387)</f>
        <v>0</v>
      </c>
      <c r="BV382" s="175">
        <v>741</v>
      </c>
      <c r="BW382" s="73">
        <v>222.21</v>
      </c>
      <c r="BX382" s="73">
        <v>73.937600000000003</v>
      </c>
      <c r="CC382" s="73">
        <v>1</v>
      </c>
    </row>
    <row r="383" spans="8:81" hidden="1" x14ac:dyDescent="0.2">
      <c r="H383" s="73">
        <v>742</v>
      </c>
      <c r="I383" s="168"/>
      <c r="J383" s="168"/>
      <c r="K383" s="168"/>
      <c r="L383" s="168"/>
      <c r="M383" s="168"/>
      <c r="N383" s="168"/>
      <c r="O383" s="168"/>
      <c r="P383" s="168"/>
      <c r="Q383" s="168"/>
      <c r="R383" s="168"/>
      <c r="S383" s="168">
        <v>0.24416000000000004</v>
      </c>
      <c r="T383" s="168"/>
      <c r="V383" s="73">
        <v>742</v>
      </c>
      <c r="W383" s="168"/>
      <c r="X383" s="168"/>
      <c r="Y383" s="168"/>
      <c r="Z383" s="168"/>
      <c r="AA383" s="168"/>
      <c r="AB383" s="168"/>
      <c r="AC383" s="168"/>
      <c r="AD383" s="168"/>
      <c r="AF383" s="73">
        <v>742</v>
      </c>
      <c r="AG383" s="168"/>
      <c r="AH383" s="168"/>
      <c r="AI383" s="168"/>
      <c r="AJ383" s="168"/>
      <c r="AK383" s="168"/>
      <c r="AL383" s="168"/>
      <c r="AM383" s="168"/>
      <c r="AO383" s="74">
        <v>742</v>
      </c>
      <c r="AP383" s="169"/>
      <c r="AQ383" s="169"/>
      <c r="AR383" s="169">
        <v>0.85806095761714252</v>
      </c>
      <c r="AS383" s="169"/>
      <c r="AT383" s="169"/>
      <c r="AU383" s="169"/>
      <c r="AV383" s="169"/>
      <c r="AW383" s="169"/>
      <c r="AX383" s="169"/>
      <c r="BP383" s="175">
        <f>Inputs!B386</f>
        <v>742</v>
      </c>
      <c r="BQ383" s="175">
        <f>IF(LEFT(Inputs!$C$11,6)="photon",10^Inputs!C386,Inputs!C386)</f>
        <v>9.2991046433252202E-4</v>
      </c>
      <c r="BR383" s="175"/>
      <c r="BS383" s="175">
        <f>'Advanced Inputs'!I388</f>
        <v>742</v>
      </c>
      <c r="BT383" s="175">
        <f>IF('Advanced Inputs'!J$19="Photon system",10^'Advanced Inputs'!J388,'Advanced Inputs'!J388)</f>
        <v>0</v>
      </c>
      <c r="BV383" s="175">
        <v>742</v>
      </c>
      <c r="BW383" s="73">
        <v>222.751</v>
      </c>
      <c r="BX383" s="73">
        <v>72.7881</v>
      </c>
      <c r="CC383" s="73">
        <v>1</v>
      </c>
    </row>
    <row r="384" spans="8:81" hidden="1" x14ac:dyDescent="0.2">
      <c r="H384" s="73">
        <v>743</v>
      </c>
      <c r="I384" s="168"/>
      <c r="J384" s="168"/>
      <c r="K384" s="168"/>
      <c r="L384" s="168"/>
      <c r="M384" s="168"/>
      <c r="N384" s="168"/>
      <c r="O384" s="168"/>
      <c r="P384" s="168"/>
      <c r="Q384" s="168"/>
      <c r="R384" s="168"/>
      <c r="S384" s="168">
        <v>0.24424000000000004</v>
      </c>
      <c r="T384" s="168"/>
      <c r="V384" s="73">
        <v>743</v>
      </c>
      <c r="W384" s="168"/>
      <c r="X384" s="168"/>
      <c r="Y384" s="168"/>
      <c r="Z384" s="168"/>
      <c r="AA384" s="168"/>
      <c r="AB384" s="168"/>
      <c r="AC384" s="168"/>
      <c r="AD384" s="168"/>
      <c r="AF384" s="73">
        <v>743</v>
      </c>
      <c r="AG384" s="168"/>
      <c r="AH384" s="168"/>
      <c r="AI384" s="168"/>
      <c r="AJ384" s="168"/>
      <c r="AK384" s="168"/>
      <c r="AL384" s="168"/>
      <c r="AM384" s="168"/>
      <c r="AO384" s="74">
        <v>743</v>
      </c>
      <c r="AP384" s="169"/>
      <c r="AQ384" s="169"/>
      <c r="AR384" s="169">
        <v>0.832541054535332</v>
      </c>
      <c r="AS384" s="169"/>
      <c r="AT384" s="169"/>
      <c r="AU384" s="169"/>
      <c r="AV384" s="169"/>
      <c r="AW384" s="169"/>
      <c r="AX384" s="169"/>
      <c r="BP384" s="175">
        <f>Inputs!B387</f>
        <v>743</v>
      </c>
      <c r="BQ384" s="175">
        <f>IF(LEFT(Inputs!$C$11,6)="photon",10^Inputs!C387,Inputs!C387)</f>
        <v>9.3490998295796496E-4</v>
      </c>
      <c r="BR384" s="175"/>
      <c r="BS384" s="175">
        <f>'Advanced Inputs'!I389</f>
        <v>743</v>
      </c>
      <c r="BT384" s="175">
        <f>IF('Advanced Inputs'!J$19="Photon system",10^'Advanced Inputs'!J389,'Advanced Inputs'!J389)</f>
        <v>0</v>
      </c>
      <c r="BV384" s="175">
        <v>743</v>
      </c>
      <c r="BW384" s="73">
        <v>223.29</v>
      </c>
      <c r="BX384" s="73">
        <v>71.6387</v>
      </c>
      <c r="CC384" s="73">
        <v>1</v>
      </c>
    </row>
    <row r="385" spans="8:81" hidden="1" x14ac:dyDescent="0.2">
      <c r="H385" s="73">
        <v>744</v>
      </c>
      <c r="I385" s="168"/>
      <c r="J385" s="168"/>
      <c r="K385" s="168"/>
      <c r="L385" s="168"/>
      <c r="M385" s="168"/>
      <c r="N385" s="168"/>
      <c r="O385" s="168"/>
      <c r="P385" s="168"/>
      <c r="Q385" s="168"/>
      <c r="R385" s="168"/>
      <c r="S385" s="168">
        <v>0.24287999999999998</v>
      </c>
      <c r="T385" s="168"/>
      <c r="V385" s="73">
        <v>744</v>
      </c>
      <c r="W385" s="168"/>
      <c r="X385" s="168"/>
      <c r="Y385" s="168"/>
      <c r="Z385" s="168"/>
      <c r="AA385" s="168"/>
      <c r="AB385" s="168"/>
      <c r="AC385" s="168"/>
      <c r="AD385" s="168"/>
      <c r="AF385" s="73">
        <v>744</v>
      </c>
      <c r="AG385" s="168"/>
      <c r="AH385" s="168"/>
      <c r="AI385" s="168"/>
      <c r="AJ385" s="168"/>
      <c r="AK385" s="168"/>
      <c r="AL385" s="168"/>
      <c r="AM385" s="168"/>
      <c r="AO385" s="74">
        <v>744</v>
      </c>
      <c r="AP385" s="169"/>
      <c r="AQ385" s="169"/>
      <c r="AR385" s="169">
        <v>0.80776644005175802</v>
      </c>
      <c r="AS385" s="169"/>
      <c r="AT385" s="169"/>
      <c r="AU385" s="169"/>
      <c r="AV385" s="169"/>
      <c r="AW385" s="169"/>
      <c r="AX385" s="169"/>
      <c r="BP385" s="175">
        <f>Inputs!B388</f>
        <v>744</v>
      </c>
      <c r="BQ385" s="175">
        <f>IF(LEFT(Inputs!$C$11,6)="photon",10^Inputs!C388,Inputs!C388)</f>
        <v>9.3990950158340898E-4</v>
      </c>
      <c r="BR385" s="175"/>
      <c r="BS385" s="175">
        <f>'Advanced Inputs'!I390</f>
        <v>744</v>
      </c>
      <c r="BT385" s="175">
        <f>IF('Advanced Inputs'!J$19="Photon system",10^'Advanced Inputs'!J390,'Advanced Inputs'!J390)</f>
        <v>0</v>
      </c>
      <c r="BV385" s="175">
        <v>744</v>
      </c>
      <c r="BW385" s="73">
        <v>223.82599999999999</v>
      </c>
      <c r="BX385" s="73">
        <v>70.4893</v>
      </c>
      <c r="CC385" s="73">
        <v>1</v>
      </c>
    </row>
    <row r="386" spans="8:81" hidden="1" x14ac:dyDescent="0.2">
      <c r="H386" s="73">
        <v>745</v>
      </c>
      <c r="I386" s="168"/>
      <c r="J386" s="168"/>
      <c r="K386" s="168"/>
      <c r="L386" s="168"/>
      <c r="M386" s="168"/>
      <c r="N386" s="168"/>
      <c r="O386" s="168"/>
      <c r="P386" s="168"/>
      <c r="Q386" s="168"/>
      <c r="R386" s="168"/>
      <c r="S386" s="168">
        <v>0.24</v>
      </c>
      <c r="T386" s="168"/>
      <c r="V386" s="73">
        <v>745</v>
      </c>
      <c r="W386" s="168"/>
      <c r="X386" s="168"/>
      <c r="Y386" s="168"/>
      <c r="Z386" s="168"/>
      <c r="AA386" s="168"/>
      <c r="AB386" s="168"/>
      <c r="AC386" s="168"/>
      <c r="AD386" s="168"/>
      <c r="AF386" s="73">
        <v>745</v>
      </c>
      <c r="AG386" s="168"/>
      <c r="AH386" s="168"/>
      <c r="AI386" s="168"/>
      <c r="AJ386" s="168"/>
      <c r="AK386" s="168"/>
      <c r="AL386" s="168"/>
      <c r="AM386" s="168"/>
      <c r="AO386" s="74">
        <v>745</v>
      </c>
      <c r="AP386" s="169"/>
      <c r="AQ386" s="169"/>
      <c r="AR386" s="169">
        <v>0.78405008594673931</v>
      </c>
      <c r="AS386" s="169"/>
      <c r="AT386" s="169"/>
      <c r="AU386" s="169"/>
      <c r="AV386" s="169"/>
      <c r="AW386" s="169"/>
      <c r="AX386" s="169"/>
      <c r="BP386" s="175">
        <f>Inputs!B389</f>
        <v>745</v>
      </c>
      <c r="BQ386" s="175">
        <f>IF(LEFT(Inputs!$C$11,6)="photon",10^Inputs!C389,Inputs!C389)</f>
        <v>9.3990950158340898E-4</v>
      </c>
      <c r="BR386" s="175"/>
      <c r="BS386" s="175">
        <f>'Advanced Inputs'!I391</f>
        <v>745</v>
      </c>
      <c r="BT386" s="175">
        <f>IF('Advanced Inputs'!J$19="Photon system",10^'Advanced Inputs'!J391,'Advanced Inputs'!J391)</f>
        <v>0</v>
      </c>
      <c r="BV386" s="175">
        <v>745</v>
      </c>
      <c r="BW386" s="73">
        <v>224.36099999999999</v>
      </c>
      <c r="BX386" s="73">
        <v>69.339799999999997</v>
      </c>
      <c r="CC386" s="73">
        <v>1</v>
      </c>
    </row>
    <row r="387" spans="8:81" hidden="1" x14ac:dyDescent="0.2">
      <c r="H387" s="73">
        <v>746</v>
      </c>
      <c r="I387" s="168"/>
      <c r="J387" s="168"/>
      <c r="K387" s="168"/>
      <c r="L387" s="168"/>
      <c r="M387" s="168"/>
      <c r="N387" s="168"/>
      <c r="O387" s="168"/>
      <c r="P387" s="168"/>
      <c r="Q387" s="168"/>
      <c r="R387" s="168"/>
      <c r="S387" s="168">
        <v>0.23135999999999998</v>
      </c>
      <c r="T387" s="168"/>
      <c r="V387" s="73">
        <v>746</v>
      </c>
      <c r="W387" s="168"/>
      <c r="X387" s="168"/>
      <c r="Y387" s="168"/>
      <c r="Z387" s="168"/>
      <c r="AA387" s="168"/>
      <c r="AB387" s="168"/>
      <c r="AC387" s="168"/>
      <c r="AD387" s="168"/>
      <c r="AF387" s="73">
        <v>746</v>
      </c>
      <c r="AG387" s="168"/>
      <c r="AH387" s="168"/>
      <c r="AI387" s="168"/>
      <c r="AJ387" s="168"/>
      <c r="AK387" s="168"/>
      <c r="AL387" s="168"/>
      <c r="AM387" s="168"/>
      <c r="AO387" s="74">
        <v>746</v>
      </c>
      <c r="AP387" s="169"/>
      <c r="AQ387" s="169"/>
      <c r="AR387" s="169">
        <v>0.76113427302000836</v>
      </c>
      <c r="AS387" s="169"/>
      <c r="AT387" s="169"/>
      <c r="AU387" s="169"/>
      <c r="AV387" s="169"/>
      <c r="AW387" s="169"/>
      <c r="AX387" s="169"/>
      <c r="BP387" s="175">
        <f>Inputs!B390</f>
        <v>746</v>
      </c>
      <c r="BQ387" s="175">
        <f>IF(LEFT(Inputs!$C$11,6)="photon",10^Inputs!C390,Inputs!C390)</f>
        <v>9.3490998295796496E-4</v>
      </c>
      <c r="BR387" s="175"/>
      <c r="BS387" s="175">
        <f>'Advanced Inputs'!I392</f>
        <v>746</v>
      </c>
      <c r="BT387" s="175">
        <f>IF('Advanced Inputs'!J$19="Photon system",10^'Advanced Inputs'!J392,'Advanced Inputs'!J392)</f>
        <v>0</v>
      </c>
      <c r="BV387" s="175">
        <v>746</v>
      </c>
      <c r="BW387" s="73">
        <v>224.893</v>
      </c>
      <c r="BX387" s="73">
        <v>68.190399999999997</v>
      </c>
      <c r="CC387" s="73">
        <v>1</v>
      </c>
    </row>
    <row r="388" spans="8:81" hidden="1" x14ac:dyDescent="0.2">
      <c r="H388" s="73">
        <v>747</v>
      </c>
      <c r="I388" s="168"/>
      <c r="J388" s="168"/>
      <c r="K388" s="168"/>
      <c r="L388" s="168"/>
      <c r="M388" s="168"/>
      <c r="N388" s="168"/>
      <c r="O388" s="168"/>
      <c r="P388" s="168"/>
      <c r="Q388" s="168"/>
      <c r="R388" s="168"/>
      <c r="S388" s="168">
        <v>0.22208</v>
      </c>
      <c r="T388" s="168"/>
      <c r="V388" s="73">
        <v>747</v>
      </c>
      <c r="W388" s="168"/>
      <c r="X388" s="168"/>
      <c r="Y388" s="168"/>
      <c r="Z388" s="168"/>
      <c r="AA388" s="168"/>
      <c r="AB388" s="168"/>
      <c r="AC388" s="168"/>
      <c r="AD388" s="168"/>
      <c r="AF388" s="73">
        <v>747</v>
      </c>
      <c r="AG388" s="168"/>
      <c r="AH388" s="168"/>
      <c r="AI388" s="168"/>
      <c r="AJ388" s="168"/>
      <c r="AK388" s="168"/>
      <c r="AL388" s="168"/>
      <c r="AM388" s="168"/>
      <c r="AO388" s="74">
        <v>747</v>
      </c>
      <c r="AP388" s="169"/>
      <c r="AQ388" s="169"/>
      <c r="AR388" s="169">
        <v>0.73867155528335293</v>
      </c>
      <c r="AS388" s="169"/>
      <c r="AT388" s="169"/>
      <c r="AU388" s="169"/>
      <c r="AV388" s="169"/>
      <c r="AW388" s="169"/>
      <c r="AX388" s="169"/>
      <c r="BP388" s="175">
        <f>Inputs!B391</f>
        <v>747</v>
      </c>
      <c r="BQ388" s="175">
        <f>IF(LEFT(Inputs!$C$11,6)="photon",10^Inputs!C391,Inputs!C391)</f>
        <v>9.3490998295796496E-4</v>
      </c>
      <c r="BR388" s="175"/>
      <c r="BS388" s="175">
        <f>'Advanced Inputs'!I393</f>
        <v>747</v>
      </c>
      <c r="BT388" s="175">
        <f>IF('Advanced Inputs'!J$19="Photon system",10^'Advanced Inputs'!J393,'Advanced Inputs'!J393)</f>
        <v>0</v>
      </c>
      <c r="BV388" s="175">
        <v>747</v>
      </c>
      <c r="BW388" s="73">
        <v>225.423</v>
      </c>
      <c r="BX388" s="73">
        <v>67.040999999999997</v>
      </c>
      <c r="CC388" s="73">
        <v>1</v>
      </c>
    </row>
    <row r="389" spans="8:81" hidden="1" x14ac:dyDescent="0.2">
      <c r="H389" s="73">
        <v>748</v>
      </c>
      <c r="I389" s="168"/>
      <c r="J389" s="168"/>
      <c r="K389" s="168"/>
      <c r="L389" s="168"/>
      <c r="M389" s="168"/>
      <c r="N389" s="168"/>
      <c r="O389" s="168"/>
      <c r="P389" s="168"/>
      <c r="Q389" s="168"/>
      <c r="R389" s="168"/>
      <c r="S389" s="168">
        <v>0.21312</v>
      </c>
      <c r="T389" s="168"/>
      <c r="V389" s="73">
        <v>748</v>
      </c>
      <c r="W389" s="168"/>
      <c r="X389" s="168"/>
      <c r="Y389" s="168"/>
      <c r="Z389" s="168"/>
      <c r="AA389" s="168"/>
      <c r="AB389" s="168"/>
      <c r="AC389" s="168"/>
      <c r="AD389" s="168"/>
      <c r="AF389" s="73">
        <v>748</v>
      </c>
      <c r="AG389" s="168"/>
      <c r="AH389" s="168"/>
      <c r="AI389" s="168"/>
      <c r="AJ389" s="168"/>
      <c r="AK389" s="168"/>
      <c r="AL389" s="168"/>
      <c r="AM389" s="168"/>
      <c r="AO389" s="74">
        <v>748</v>
      </c>
      <c r="AP389" s="169"/>
      <c r="AQ389" s="169"/>
      <c r="AR389" s="169">
        <v>0.71680301140064973</v>
      </c>
      <c r="AS389" s="169"/>
      <c r="AT389" s="169"/>
      <c r="AU389" s="169"/>
      <c r="AV389" s="169"/>
      <c r="AW389" s="169"/>
      <c r="AX389" s="169"/>
      <c r="BP389" s="175">
        <f>Inputs!B392</f>
        <v>748</v>
      </c>
      <c r="BQ389" s="175">
        <f>IF(LEFT(Inputs!$C$11,6)="photon",10^Inputs!C392,Inputs!C392)</f>
        <v>9.2991046433252202E-4</v>
      </c>
      <c r="BR389" s="175"/>
      <c r="BS389" s="175">
        <f>'Advanced Inputs'!I394</f>
        <v>748</v>
      </c>
      <c r="BT389" s="175">
        <f>IF('Advanced Inputs'!J$19="Photon system",10^'Advanced Inputs'!J394,'Advanced Inputs'!J394)</f>
        <v>0</v>
      </c>
      <c r="BV389" s="175">
        <v>748</v>
      </c>
      <c r="BW389" s="73">
        <v>225.95099999999999</v>
      </c>
      <c r="BX389" s="73">
        <v>65.891599999999997</v>
      </c>
      <c r="CC389" s="73">
        <v>1</v>
      </c>
    </row>
    <row r="390" spans="8:81" hidden="1" x14ac:dyDescent="0.2">
      <c r="H390" s="73">
        <v>749</v>
      </c>
      <c r="I390" s="168"/>
      <c r="J390" s="168"/>
      <c r="K390" s="168"/>
      <c r="L390" s="168"/>
      <c r="M390" s="168"/>
      <c r="N390" s="168"/>
      <c r="O390" s="168"/>
      <c r="P390" s="168"/>
      <c r="Q390" s="168"/>
      <c r="R390" s="168"/>
      <c r="S390" s="168">
        <v>0.20544000000000001</v>
      </c>
      <c r="T390" s="168"/>
      <c r="V390" s="73">
        <v>749</v>
      </c>
      <c r="W390" s="168"/>
      <c r="X390" s="168"/>
      <c r="Y390" s="168"/>
      <c r="Z390" s="168"/>
      <c r="AA390" s="168"/>
      <c r="AB390" s="168"/>
      <c r="AC390" s="168"/>
      <c r="AD390" s="168"/>
      <c r="AF390" s="73">
        <v>749</v>
      </c>
      <c r="AG390" s="168"/>
      <c r="AH390" s="168"/>
      <c r="AI390" s="168"/>
      <c r="AJ390" s="168"/>
      <c r="AK390" s="168"/>
      <c r="AL390" s="168"/>
      <c r="AM390" s="168"/>
      <c r="AO390" s="74">
        <v>749</v>
      </c>
      <c r="AP390" s="169"/>
      <c r="AQ390" s="169"/>
      <c r="AR390" s="169">
        <v>0.69579738693615156</v>
      </c>
      <c r="AS390" s="169"/>
      <c r="AT390" s="169"/>
      <c r="AU390" s="169"/>
      <c r="AV390" s="169"/>
      <c r="AW390" s="169"/>
      <c r="AX390" s="169"/>
      <c r="BP390" s="175">
        <f>Inputs!B393</f>
        <v>749</v>
      </c>
      <c r="BQ390" s="175">
        <f>IF(LEFT(Inputs!$C$11,6)="photon",10^Inputs!C393,Inputs!C393)</f>
        <v>9.24910945707078E-4</v>
      </c>
      <c r="BR390" s="175"/>
      <c r="BS390" s="175">
        <f>'Advanced Inputs'!I395</f>
        <v>749</v>
      </c>
      <c r="BT390" s="175">
        <f>IF('Advanced Inputs'!J$19="Photon system",10^'Advanced Inputs'!J395,'Advanced Inputs'!J395)</f>
        <v>0</v>
      </c>
      <c r="BV390" s="175">
        <v>749</v>
      </c>
      <c r="BW390" s="73">
        <v>226.477</v>
      </c>
      <c r="BX390" s="73">
        <v>64.742099999999994</v>
      </c>
      <c r="CC390" s="73">
        <v>1</v>
      </c>
    </row>
    <row r="391" spans="8:81" hidden="1" x14ac:dyDescent="0.2">
      <c r="H391" s="73">
        <v>750</v>
      </c>
      <c r="I391" s="168"/>
      <c r="J391" s="168"/>
      <c r="K391" s="168"/>
      <c r="L391" s="168"/>
      <c r="M391" s="168"/>
      <c r="N391" s="168"/>
      <c r="O391" s="168"/>
      <c r="P391" s="168"/>
      <c r="Q391" s="168"/>
      <c r="R391" s="168"/>
      <c r="S391" s="168">
        <v>0.2</v>
      </c>
      <c r="T391" s="168"/>
      <c r="V391" s="73">
        <v>750</v>
      </c>
      <c r="W391" s="168"/>
      <c r="X391" s="168"/>
      <c r="Y391" s="168"/>
      <c r="Z391" s="168"/>
      <c r="AA391" s="168"/>
      <c r="AB391" s="168"/>
      <c r="AC391" s="168"/>
      <c r="AD391" s="168"/>
      <c r="AF391" s="73">
        <v>750</v>
      </c>
      <c r="AG391" s="168"/>
      <c r="AH391" s="168"/>
      <c r="AI391" s="168"/>
      <c r="AJ391" s="168"/>
      <c r="AK391" s="168"/>
      <c r="AL391" s="168"/>
      <c r="AM391" s="168"/>
      <c r="AO391" s="74">
        <v>750</v>
      </c>
      <c r="AP391" s="169"/>
      <c r="AQ391" s="169"/>
      <c r="AR391" s="169">
        <v>0.67550708782977531</v>
      </c>
      <c r="AS391" s="169"/>
      <c r="AT391" s="169"/>
      <c r="AU391" s="169"/>
      <c r="AV391" s="169"/>
      <c r="AW391" s="169"/>
      <c r="AX391" s="169"/>
      <c r="BP391" s="175">
        <f>Inputs!B394</f>
        <v>750</v>
      </c>
      <c r="BQ391" s="175">
        <f>IF(LEFT(Inputs!$C$11,6)="photon",10^Inputs!C394,Inputs!C394)</f>
        <v>9.24910945707078E-4</v>
      </c>
      <c r="BR391" s="175"/>
      <c r="BS391" s="175">
        <f>'Advanced Inputs'!I396</f>
        <v>750</v>
      </c>
      <c r="BT391" s="175">
        <f>IF('Advanced Inputs'!J$19="Photon system",10^'Advanced Inputs'!J396,'Advanced Inputs'!J396)</f>
        <v>0</v>
      </c>
      <c r="BV391" s="175">
        <v>750</v>
      </c>
      <c r="BW391" s="73">
        <v>227</v>
      </c>
      <c r="BX391" s="73">
        <v>63.592700000000001</v>
      </c>
      <c r="CC391" s="73">
        <v>1</v>
      </c>
    </row>
    <row r="392" spans="8:81" hidden="1" x14ac:dyDescent="0.2">
      <c r="H392" s="73">
        <v>751</v>
      </c>
      <c r="I392" s="168"/>
      <c r="J392" s="168"/>
      <c r="K392" s="168"/>
      <c r="L392" s="168"/>
      <c r="M392" s="168"/>
      <c r="N392" s="168"/>
      <c r="O392" s="168"/>
      <c r="P392" s="168"/>
      <c r="Q392" s="168"/>
      <c r="R392" s="168"/>
      <c r="S392" s="168">
        <v>0.20288</v>
      </c>
      <c r="T392" s="168"/>
      <c r="V392" s="73">
        <v>751</v>
      </c>
      <c r="W392" s="168"/>
      <c r="X392" s="168"/>
      <c r="Y392" s="168"/>
      <c r="Z392" s="168"/>
      <c r="AA392" s="168"/>
      <c r="AB392" s="168"/>
      <c r="AC392" s="168"/>
      <c r="AD392" s="168"/>
      <c r="AF392" s="73">
        <v>751</v>
      </c>
      <c r="AG392" s="168"/>
      <c r="AH392" s="168"/>
      <c r="AI392" s="168"/>
      <c r="AJ392" s="168"/>
      <c r="AK392" s="168"/>
      <c r="AL392" s="168"/>
      <c r="AM392" s="168"/>
      <c r="AO392" s="74">
        <v>751</v>
      </c>
      <c r="AP392" s="169"/>
      <c r="AQ392" s="169"/>
      <c r="AR392" s="169">
        <v>0.65580869155623556</v>
      </c>
      <c r="AS392" s="169"/>
      <c r="AT392" s="169"/>
      <c r="AU392" s="169"/>
      <c r="AV392" s="169"/>
      <c r="AW392" s="169"/>
      <c r="AX392" s="169"/>
      <c r="BP392" s="175">
        <f>Inputs!B395</f>
        <v>751</v>
      </c>
      <c r="BQ392" s="175">
        <f>IF(LEFT(Inputs!$C$11,6)="photon",10^Inputs!C395,Inputs!C395)</f>
        <v>9.24910945707078E-4</v>
      </c>
      <c r="BR392" s="175"/>
      <c r="BS392" s="175">
        <f>'Advanced Inputs'!I397</f>
        <v>751</v>
      </c>
      <c r="BT392" s="175">
        <f>IF('Advanced Inputs'!J$19="Photon system",10^'Advanced Inputs'!J397,'Advanced Inputs'!J397)</f>
        <v>0</v>
      </c>
      <c r="BV392" s="175">
        <v>751</v>
      </c>
      <c r="BW392" s="73">
        <v>227.52199999999999</v>
      </c>
      <c r="BX392" s="73">
        <v>61.8752</v>
      </c>
      <c r="CC392" s="73">
        <v>1</v>
      </c>
    </row>
    <row r="393" spans="8:81" hidden="1" x14ac:dyDescent="0.2">
      <c r="H393" s="73">
        <v>752</v>
      </c>
      <c r="I393" s="168"/>
      <c r="J393" s="168"/>
      <c r="K393" s="168"/>
      <c r="L393" s="168"/>
      <c r="M393" s="168"/>
      <c r="N393" s="168"/>
      <c r="O393" s="168"/>
      <c r="P393" s="168"/>
      <c r="Q393" s="168"/>
      <c r="R393" s="168"/>
      <c r="S393" s="168">
        <v>0.20864000000000005</v>
      </c>
      <c r="T393" s="168"/>
      <c r="V393" s="73">
        <v>752</v>
      </c>
      <c r="W393" s="168"/>
      <c r="X393" s="168"/>
      <c r="Y393" s="168"/>
      <c r="Z393" s="168"/>
      <c r="AA393" s="168"/>
      <c r="AB393" s="168"/>
      <c r="AC393" s="168"/>
      <c r="AD393" s="168"/>
      <c r="AF393" s="73">
        <v>752</v>
      </c>
      <c r="AG393" s="168"/>
      <c r="AH393" s="168"/>
      <c r="AI393" s="168"/>
      <c r="AJ393" s="168"/>
      <c r="AK393" s="168"/>
      <c r="AL393" s="168"/>
      <c r="AM393" s="168"/>
      <c r="AO393" s="74">
        <v>752</v>
      </c>
      <c r="AP393" s="169"/>
      <c r="AQ393" s="169"/>
      <c r="AR393" s="169">
        <v>0.63683081398863983</v>
      </c>
      <c r="AS393" s="169"/>
      <c r="AT393" s="169"/>
      <c r="AU393" s="169"/>
      <c r="AV393" s="169"/>
      <c r="AW393" s="169"/>
      <c r="AX393" s="169"/>
      <c r="BP393" s="175">
        <f>Inputs!B396</f>
        <v>752</v>
      </c>
      <c r="BQ393" s="175">
        <f>IF(LEFT(Inputs!$C$11,6)="photon",10^Inputs!C396,Inputs!C396)</f>
        <v>9.24910945707078E-4</v>
      </c>
      <c r="BR393" s="175"/>
      <c r="BS393" s="175">
        <f>'Advanced Inputs'!I398</f>
        <v>752</v>
      </c>
      <c r="BT393" s="175">
        <f>IF('Advanced Inputs'!J$19="Photon system",10^'Advanced Inputs'!J398,'Advanced Inputs'!J398)</f>
        <v>0</v>
      </c>
      <c r="BV393" s="175">
        <v>752</v>
      </c>
      <c r="BW393" s="73">
        <v>228.041</v>
      </c>
      <c r="BX393" s="73">
        <v>60.157800000000002</v>
      </c>
      <c r="CC393" s="73">
        <v>1</v>
      </c>
    </row>
    <row r="394" spans="8:81" hidden="1" x14ac:dyDescent="0.2">
      <c r="H394" s="73">
        <v>753</v>
      </c>
      <c r="I394" s="168"/>
      <c r="J394" s="168"/>
      <c r="K394" s="168"/>
      <c r="L394" s="168"/>
      <c r="M394" s="168"/>
      <c r="N394" s="168"/>
      <c r="O394" s="168"/>
      <c r="P394" s="168"/>
      <c r="Q394" s="168"/>
      <c r="R394" s="168"/>
      <c r="S394" s="168">
        <v>0.21696000000000001</v>
      </c>
      <c r="T394" s="168"/>
      <c r="V394" s="73">
        <v>753</v>
      </c>
      <c r="W394" s="168"/>
      <c r="X394" s="168"/>
      <c r="Y394" s="168"/>
      <c r="Z394" s="168"/>
      <c r="AA394" s="168"/>
      <c r="AB394" s="168"/>
      <c r="AC394" s="168"/>
      <c r="AD394" s="168"/>
      <c r="AF394" s="73">
        <v>753</v>
      </c>
      <c r="AG394" s="168"/>
      <c r="AH394" s="168"/>
      <c r="AI394" s="168"/>
      <c r="AJ394" s="168"/>
      <c r="AK394" s="168"/>
      <c r="AL394" s="168"/>
      <c r="AM394" s="168"/>
      <c r="AO394" s="74">
        <v>753</v>
      </c>
      <c r="AP394" s="169"/>
      <c r="AQ394" s="169"/>
      <c r="AR394" s="169">
        <v>0.61821311129492285</v>
      </c>
      <c r="AS394" s="169"/>
      <c r="AT394" s="169"/>
      <c r="AU394" s="169"/>
      <c r="AV394" s="169"/>
      <c r="AW394" s="169"/>
      <c r="AX394" s="169"/>
      <c r="BP394" s="175">
        <f>Inputs!B397</f>
        <v>753</v>
      </c>
      <c r="BQ394" s="175">
        <f>IF(LEFT(Inputs!$C$11,6)="photon",10^Inputs!C397,Inputs!C397)</f>
        <v>9.2991046433252202E-4</v>
      </c>
      <c r="BR394" s="175"/>
      <c r="BS394" s="175">
        <f>'Advanced Inputs'!I399</f>
        <v>753</v>
      </c>
      <c r="BT394" s="175">
        <f>IF('Advanced Inputs'!J$19="Photon system",10^'Advanced Inputs'!J399,'Advanced Inputs'!J399)</f>
        <v>0</v>
      </c>
      <c r="BV394" s="175">
        <v>753</v>
      </c>
      <c r="BW394" s="73">
        <v>228.55799999999999</v>
      </c>
      <c r="BX394" s="73">
        <v>58.440300000000001</v>
      </c>
      <c r="CC394" s="73">
        <v>1</v>
      </c>
    </row>
    <row r="395" spans="8:81" hidden="1" x14ac:dyDescent="0.2">
      <c r="H395" s="73">
        <v>754</v>
      </c>
      <c r="I395" s="168"/>
      <c r="J395" s="168"/>
      <c r="K395" s="168"/>
      <c r="L395" s="168"/>
      <c r="M395" s="168"/>
      <c r="N395" s="168"/>
      <c r="O395" s="168"/>
      <c r="P395" s="168"/>
      <c r="Q395" s="168"/>
      <c r="R395" s="168"/>
      <c r="S395" s="168">
        <v>0.22751999999999997</v>
      </c>
      <c r="T395" s="168"/>
      <c r="V395" s="73">
        <v>754</v>
      </c>
      <c r="W395" s="168"/>
      <c r="X395" s="168"/>
      <c r="Y395" s="168"/>
      <c r="Z395" s="168"/>
      <c r="AA395" s="168"/>
      <c r="AB395" s="168"/>
      <c r="AC395" s="168"/>
      <c r="AD395" s="168"/>
      <c r="AF395" s="73">
        <v>754</v>
      </c>
      <c r="AG395" s="168"/>
      <c r="AH395" s="168"/>
      <c r="AI395" s="168"/>
      <c r="AJ395" s="168"/>
      <c r="AK395" s="168"/>
      <c r="AL395" s="168"/>
      <c r="AM395" s="168"/>
      <c r="AO395" s="74">
        <v>754</v>
      </c>
      <c r="AP395" s="169"/>
      <c r="AQ395" s="169"/>
      <c r="AR395" s="169">
        <v>0.60031945422436606</v>
      </c>
      <c r="AS395" s="169"/>
      <c r="AT395" s="169"/>
      <c r="AU395" s="169"/>
      <c r="AV395" s="169"/>
      <c r="AW395" s="169"/>
      <c r="AX395" s="169"/>
      <c r="BP395" s="175">
        <f>Inputs!B398</f>
        <v>754</v>
      </c>
      <c r="BQ395" s="175">
        <f>IF(LEFT(Inputs!$C$11,6)="photon",10^Inputs!C398,Inputs!C398)</f>
        <v>9.2991046433252202E-4</v>
      </c>
      <c r="BR395" s="175"/>
      <c r="BS395" s="175">
        <f>'Advanced Inputs'!I400</f>
        <v>754</v>
      </c>
      <c r="BT395" s="175">
        <f>IF('Advanced Inputs'!J$19="Photon system",10^'Advanced Inputs'!J400,'Advanced Inputs'!J400)</f>
        <v>0</v>
      </c>
      <c r="BV395" s="175">
        <v>754</v>
      </c>
      <c r="BW395" s="73">
        <v>229.07300000000001</v>
      </c>
      <c r="BX395" s="73">
        <v>56.722900000000003</v>
      </c>
      <c r="CC395" s="73">
        <v>1</v>
      </c>
    </row>
    <row r="396" spans="8:81" hidden="1" x14ac:dyDescent="0.2">
      <c r="H396" s="73">
        <v>755</v>
      </c>
      <c r="I396" s="168"/>
      <c r="J396" s="168"/>
      <c r="K396" s="168"/>
      <c r="L396" s="168"/>
      <c r="M396" s="168"/>
      <c r="N396" s="168"/>
      <c r="O396" s="168"/>
      <c r="P396" s="168"/>
      <c r="Q396" s="168"/>
      <c r="R396" s="168"/>
      <c r="S396" s="168">
        <v>0.24</v>
      </c>
      <c r="T396" s="168"/>
      <c r="V396" s="73">
        <v>755</v>
      </c>
      <c r="W396" s="168"/>
      <c r="X396" s="168"/>
      <c r="Y396" s="168"/>
      <c r="Z396" s="168"/>
      <c r="AA396" s="168"/>
      <c r="AB396" s="168"/>
      <c r="AC396" s="168"/>
      <c r="AD396" s="168"/>
      <c r="AF396" s="73">
        <v>755</v>
      </c>
      <c r="AG396" s="168"/>
      <c r="AH396" s="168"/>
      <c r="AI396" s="168"/>
      <c r="AJ396" s="168"/>
      <c r="AK396" s="168"/>
      <c r="AL396" s="168"/>
      <c r="AM396" s="168"/>
      <c r="AO396" s="74">
        <v>755</v>
      </c>
      <c r="AP396" s="169"/>
      <c r="AQ396" s="169"/>
      <c r="AR396" s="169">
        <v>0.58310355901724531</v>
      </c>
      <c r="AS396" s="169"/>
      <c r="AT396" s="169"/>
      <c r="AU396" s="169"/>
      <c r="AV396" s="169"/>
      <c r="AW396" s="169"/>
      <c r="AX396" s="169"/>
      <c r="BP396" s="175">
        <f>Inputs!B399</f>
        <v>755</v>
      </c>
      <c r="BQ396" s="175">
        <f>IF(LEFT(Inputs!$C$11,6)="photon",10^Inputs!C399,Inputs!C399)</f>
        <v>9.3490998295796496E-4</v>
      </c>
      <c r="BR396" s="175"/>
      <c r="BS396" s="175">
        <f>'Advanced Inputs'!I401</f>
        <v>755</v>
      </c>
      <c r="BT396" s="175">
        <f>IF('Advanced Inputs'!J$19="Photon system",10^'Advanced Inputs'!J401,'Advanced Inputs'!J401)</f>
        <v>0</v>
      </c>
      <c r="BV396" s="175">
        <v>755</v>
      </c>
      <c r="BW396" s="73">
        <v>229.58500000000001</v>
      </c>
      <c r="BX396" s="73">
        <v>55.005400000000002</v>
      </c>
      <c r="CC396" s="73">
        <v>1</v>
      </c>
    </row>
    <row r="397" spans="8:81" hidden="1" x14ac:dyDescent="0.2">
      <c r="H397" s="73">
        <v>756</v>
      </c>
      <c r="I397" s="168"/>
      <c r="J397" s="168"/>
      <c r="K397" s="168"/>
      <c r="L397" s="168"/>
      <c r="M397" s="168"/>
      <c r="N397" s="168"/>
      <c r="O397" s="168"/>
      <c r="P397" s="168"/>
      <c r="Q397" s="168"/>
      <c r="R397" s="168"/>
      <c r="S397" s="168">
        <v>0.25856000000000001</v>
      </c>
      <c r="T397" s="168"/>
      <c r="V397" s="73">
        <v>756</v>
      </c>
      <c r="W397" s="168"/>
      <c r="X397" s="168"/>
      <c r="Y397" s="168"/>
      <c r="Z397" s="168"/>
      <c r="AA397" s="168"/>
      <c r="AB397" s="168"/>
      <c r="AC397" s="168"/>
      <c r="AD397" s="168"/>
      <c r="AF397" s="73">
        <v>756</v>
      </c>
      <c r="AG397" s="168"/>
      <c r="AH397" s="168"/>
      <c r="AI397" s="168"/>
      <c r="AJ397" s="168"/>
      <c r="AK397" s="168"/>
      <c r="AL397" s="168"/>
      <c r="AM397" s="168"/>
      <c r="AO397" s="74">
        <v>756</v>
      </c>
      <c r="AP397" s="169"/>
      <c r="AQ397" s="169"/>
      <c r="AR397" s="169">
        <v>0.56588639506030303</v>
      </c>
      <c r="AS397" s="169"/>
      <c r="AT397" s="169"/>
      <c r="AU397" s="169"/>
      <c r="AV397" s="169"/>
      <c r="AW397" s="169"/>
      <c r="AX397" s="169"/>
      <c r="BP397" s="175">
        <f>Inputs!B400</f>
        <v>756</v>
      </c>
      <c r="BQ397" s="175">
        <f>IF(LEFT(Inputs!$C$11,6)="photon",10^Inputs!C400,Inputs!C400)</f>
        <v>9.24910945707078E-4</v>
      </c>
      <c r="BR397" s="175"/>
      <c r="BS397" s="175">
        <f>'Advanced Inputs'!I402</f>
        <v>756</v>
      </c>
      <c r="BT397" s="175">
        <f>IF('Advanced Inputs'!J$19="Photon system",10^'Advanced Inputs'!J402,'Advanced Inputs'!J402)</f>
        <v>0</v>
      </c>
      <c r="BV397" s="175">
        <v>756</v>
      </c>
      <c r="BW397" s="73">
        <v>230.096</v>
      </c>
      <c r="BX397" s="73">
        <v>53.287999999999997</v>
      </c>
      <c r="CC397" s="73">
        <v>1</v>
      </c>
    </row>
    <row r="398" spans="8:81" hidden="1" x14ac:dyDescent="0.2">
      <c r="H398" s="73">
        <v>757</v>
      </c>
      <c r="I398" s="168"/>
      <c r="J398" s="168"/>
      <c r="K398" s="168"/>
      <c r="L398" s="168"/>
      <c r="M398" s="168"/>
      <c r="N398" s="168"/>
      <c r="O398" s="168"/>
      <c r="P398" s="168"/>
      <c r="Q398" s="168"/>
      <c r="R398" s="168"/>
      <c r="S398" s="168">
        <v>0.27727999999999997</v>
      </c>
      <c r="T398" s="168"/>
      <c r="V398" s="73">
        <v>757</v>
      </c>
      <c r="W398" s="168"/>
      <c r="X398" s="168"/>
      <c r="Y398" s="168"/>
      <c r="Z398" s="168"/>
      <c r="AA398" s="168"/>
      <c r="AB398" s="168"/>
      <c r="AC398" s="168"/>
      <c r="AD398" s="168"/>
      <c r="AF398" s="73">
        <v>757</v>
      </c>
      <c r="AG398" s="168"/>
      <c r="AH398" s="168"/>
      <c r="AI398" s="168"/>
      <c r="AJ398" s="168"/>
      <c r="AK398" s="168"/>
      <c r="AL398" s="168"/>
      <c r="AM398" s="168"/>
      <c r="AO398" s="74">
        <v>757</v>
      </c>
      <c r="AP398" s="169"/>
      <c r="AQ398" s="169"/>
      <c r="AR398" s="169">
        <v>0.54944551404379127</v>
      </c>
      <c r="AS398" s="169"/>
      <c r="AT398" s="169"/>
      <c r="AU398" s="169"/>
      <c r="AV398" s="169"/>
      <c r="AW398" s="169"/>
      <c r="AX398" s="169"/>
      <c r="BP398" s="175">
        <f>Inputs!B401</f>
        <v>757</v>
      </c>
      <c r="BQ398" s="175">
        <f>IF(LEFT(Inputs!$C$11,6)="photon",10^Inputs!C401,Inputs!C401)</f>
        <v>8.6491672220175399E-4</v>
      </c>
      <c r="BR398" s="175"/>
      <c r="BS398" s="175">
        <f>'Advanced Inputs'!I403</f>
        <v>757</v>
      </c>
      <c r="BT398" s="175">
        <f>IF('Advanced Inputs'!J$19="Photon system",10^'Advanced Inputs'!J403,'Advanced Inputs'!J403)</f>
        <v>0</v>
      </c>
      <c r="BV398" s="175">
        <v>757</v>
      </c>
      <c r="BW398" s="73">
        <v>230.60400000000001</v>
      </c>
      <c r="BX398" s="73">
        <v>51.570500000000003</v>
      </c>
      <c r="CC398" s="73">
        <v>1</v>
      </c>
    </row>
    <row r="399" spans="8:81" hidden="1" x14ac:dyDescent="0.2">
      <c r="H399" s="73">
        <v>758</v>
      </c>
      <c r="I399" s="168"/>
      <c r="J399" s="168"/>
      <c r="K399" s="168"/>
      <c r="L399" s="168"/>
      <c r="M399" s="168"/>
      <c r="N399" s="168"/>
      <c r="O399" s="168"/>
      <c r="P399" s="168"/>
      <c r="Q399" s="168"/>
      <c r="R399" s="168"/>
      <c r="S399" s="168">
        <v>0.29472000000000004</v>
      </c>
      <c r="T399" s="168"/>
      <c r="V399" s="73">
        <v>758</v>
      </c>
      <c r="W399" s="168"/>
      <c r="X399" s="168"/>
      <c r="Y399" s="168"/>
      <c r="Z399" s="168"/>
      <c r="AA399" s="168"/>
      <c r="AB399" s="168"/>
      <c r="AC399" s="168"/>
      <c r="AD399" s="168"/>
      <c r="AF399" s="73">
        <v>758</v>
      </c>
      <c r="AG399" s="168"/>
      <c r="AH399" s="168"/>
      <c r="AI399" s="168"/>
      <c r="AJ399" s="168"/>
      <c r="AK399" s="168"/>
      <c r="AL399" s="168"/>
      <c r="AM399" s="168"/>
      <c r="AO399" s="74">
        <v>758</v>
      </c>
      <c r="AP399" s="169"/>
      <c r="AQ399" s="169"/>
      <c r="AR399" s="169">
        <v>0.53349305172489614</v>
      </c>
      <c r="AS399" s="169"/>
      <c r="AT399" s="169"/>
      <c r="AU399" s="169"/>
      <c r="AV399" s="169"/>
      <c r="AW399" s="169"/>
      <c r="AX399" s="169"/>
      <c r="BP399" s="175">
        <f>Inputs!B402</f>
        <v>758</v>
      </c>
      <c r="BQ399" s="175">
        <f>IF(LEFT(Inputs!$C$11,6)="photon",10^Inputs!C402,Inputs!C402)</f>
        <v>7.4492827519110597E-4</v>
      </c>
      <c r="BR399" s="175"/>
      <c r="BS399" s="175">
        <f>'Advanced Inputs'!I404</f>
        <v>758</v>
      </c>
      <c r="BT399" s="175">
        <f>IF('Advanced Inputs'!J$19="Photon system",10^'Advanced Inputs'!J404,'Advanced Inputs'!J404)</f>
        <v>0</v>
      </c>
      <c r="BV399" s="175">
        <v>758</v>
      </c>
      <c r="BW399" s="73">
        <v>231.11</v>
      </c>
      <c r="BX399" s="73">
        <v>49.853099999999998</v>
      </c>
      <c r="CC399" s="73">
        <v>1</v>
      </c>
    </row>
    <row r="400" spans="8:81" hidden="1" x14ac:dyDescent="0.2">
      <c r="H400" s="73">
        <v>759</v>
      </c>
      <c r="I400" s="168"/>
      <c r="J400" s="168"/>
      <c r="K400" s="168"/>
      <c r="L400" s="168"/>
      <c r="M400" s="168"/>
      <c r="N400" s="168"/>
      <c r="O400" s="168"/>
      <c r="P400" s="168"/>
      <c r="Q400" s="168"/>
      <c r="R400" s="168"/>
      <c r="S400" s="168">
        <v>0.30943999999999999</v>
      </c>
      <c r="T400" s="168"/>
      <c r="V400" s="73">
        <v>759</v>
      </c>
      <c r="W400" s="168"/>
      <c r="X400" s="168"/>
      <c r="Y400" s="168"/>
      <c r="Z400" s="168"/>
      <c r="AA400" s="168"/>
      <c r="AB400" s="168"/>
      <c r="AC400" s="168"/>
      <c r="AD400" s="168"/>
      <c r="AF400" s="73">
        <v>759</v>
      </c>
      <c r="AG400" s="168"/>
      <c r="AH400" s="168"/>
      <c r="AI400" s="168"/>
      <c r="AJ400" s="168"/>
      <c r="AK400" s="168"/>
      <c r="AL400" s="168"/>
      <c r="AM400" s="168"/>
      <c r="AO400" s="74">
        <v>759</v>
      </c>
      <c r="AP400" s="169"/>
      <c r="AQ400" s="169"/>
      <c r="AR400" s="169">
        <v>0.51788274917248267</v>
      </c>
      <c r="AS400" s="169"/>
      <c r="AT400" s="169"/>
      <c r="AU400" s="169"/>
      <c r="AV400" s="169"/>
      <c r="AW400" s="169"/>
      <c r="AX400" s="169"/>
      <c r="BP400" s="175">
        <f>Inputs!B403</f>
        <v>759</v>
      </c>
      <c r="BQ400" s="175">
        <f>IF(LEFT(Inputs!$C$11,6)="photon",10^Inputs!C403,Inputs!C403)</f>
        <v>5.74944641926021E-4</v>
      </c>
      <c r="BR400" s="175"/>
      <c r="BS400" s="175">
        <f>'Advanced Inputs'!I405</f>
        <v>759</v>
      </c>
      <c r="BT400" s="175">
        <f>IF('Advanced Inputs'!J$19="Photon system",10^'Advanced Inputs'!J405,'Advanced Inputs'!J405)</f>
        <v>0</v>
      </c>
      <c r="BV400" s="175">
        <v>759</v>
      </c>
      <c r="BW400" s="73">
        <v>231.614</v>
      </c>
      <c r="BX400" s="73">
        <v>48.135599999999997</v>
      </c>
      <c r="CC400" s="73">
        <v>1</v>
      </c>
    </row>
    <row r="401" spans="8:81" hidden="1" x14ac:dyDescent="0.2">
      <c r="H401" s="73">
        <v>760</v>
      </c>
      <c r="I401" s="168"/>
      <c r="J401" s="168"/>
      <c r="K401" s="168"/>
      <c r="L401" s="168"/>
      <c r="M401" s="168"/>
      <c r="N401" s="168"/>
      <c r="O401" s="168"/>
      <c r="P401" s="168"/>
      <c r="Q401" s="168"/>
      <c r="R401" s="168"/>
      <c r="S401" s="168">
        <v>0.32</v>
      </c>
      <c r="T401" s="168"/>
      <c r="V401" s="73">
        <v>760</v>
      </c>
      <c r="W401" s="168"/>
      <c r="X401" s="168"/>
      <c r="Y401" s="168"/>
      <c r="Z401" s="168"/>
      <c r="AA401" s="168"/>
      <c r="AB401" s="168"/>
      <c r="AC401" s="168"/>
      <c r="AD401" s="168"/>
      <c r="AF401" s="73">
        <v>760</v>
      </c>
      <c r="AG401" s="168"/>
      <c r="AH401" s="168"/>
      <c r="AI401" s="168"/>
      <c r="AJ401" s="168"/>
      <c r="AK401" s="168"/>
      <c r="AL401" s="168"/>
      <c r="AM401" s="168"/>
      <c r="AO401" s="74">
        <v>760</v>
      </c>
      <c r="AP401" s="169"/>
      <c r="AQ401" s="169"/>
      <c r="AR401" s="169">
        <v>0.50292256532786006</v>
      </c>
      <c r="AS401" s="169"/>
      <c r="AT401" s="169"/>
      <c r="AU401" s="169"/>
      <c r="AV401" s="169"/>
      <c r="AW401" s="169"/>
      <c r="AX401" s="169"/>
      <c r="BP401" s="175">
        <f>Inputs!B404</f>
        <v>760</v>
      </c>
      <c r="BQ401" s="175">
        <f>IF(LEFT(Inputs!$C$11,6)="photon",10^Inputs!C404,Inputs!C404)</f>
        <v>4.0696081611111401E-4</v>
      </c>
      <c r="BR401" s="175"/>
      <c r="BS401" s="175">
        <f>'Advanced Inputs'!I406</f>
        <v>760</v>
      </c>
      <c r="BT401" s="175">
        <f>IF('Advanced Inputs'!J$19="Photon system",10^'Advanced Inputs'!J406,'Advanced Inputs'!J406)</f>
        <v>0</v>
      </c>
      <c r="BV401" s="175">
        <v>760</v>
      </c>
      <c r="BW401" s="73">
        <v>232.11500000000001</v>
      </c>
      <c r="BX401" s="73">
        <v>46.418199999999999</v>
      </c>
      <c r="CC401" s="73">
        <v>1</v>
      </c>
    </row>
    <row r="402" spans="8:81" hidden="1" x14ac:dyDescent="0.2">
      <c r="H402" s="73">
        <v>761</v>
      </c>
      <c r="I402" s="168"/>
      <c r="J402" s="168"/>
      <c r="K402" s="168"/>
      <c r="L402" s="168"/>
      <c r="M402" s="168"/>
      <c r="N402" s="168"/>
      <c r="O402" s="168"/>
      <c r="P402" s="168"/>
      <c r="Q402" s="168"/>
      <c r="R402" s="168"/>
      <c r="S402" s="168">
        <v>0.316</v>
      </c>
      <c r="T402" s="168"/>
      <c r="V402" s="73">
        <v>761</v>
      </c>
      <c r="W402" s="168"/>
      <c r="X402" s="168"/>
      <c r="Y402" s="168"/>
      <c r="Z402" s="168"/>
      <c r="AA402" s="168"/>
      <c r="AB402" s="168"/>
      <c r="AC402" s="168"/>
      <c r="AD402" s="168"/>
      <c r="AF402" s="73">
        <v>761</v>
      </c>
      <c r="AG402" s="168"/>
      <c r="AH402" s="168"/>
      <c r="AI402" s="168"/>
      <c r="AJ402" s="168"/>
      <c r="AK402" s="168"/>
      <c r="AL402" s="168"/>
      <c r="AM402" s="168"/>
      <c r="AO402" s="74">
        <v>761</v>
      </c>
      <c r="AP402" s="169"/>
      <c r="AQ402" s="169"/>
      <c r="AR402" s="169">
        <v>0.48820641814695559</v>
      </c>
      <c r="AS402" s="169"/>
      <c r="AT402" s="169"/>
      <c r="AU402" s="169"/>
      <c r="AV402" s="169"/>
      <c r="AW402" s="169"/>
      <c r="AX402" s="169"/>
      <c r="BP402" s="175">
        <f>Inputs!B405</f>
        <v>761</v>
      </c>
      <c r="BQ402" s="175">
        <f>IF(LEFT(Inputs!$C$11,6)="photon",10^Inputs!C405,Inputs!C405)</f>
        <v>3.00971021251708E-4</v>
      </c>
      <c r="BR402" s="175"/>
      <c r="BS402" s="175">
        <f>'Advanced Inputs'!I407</f>
        <v>761</v>
      </c>
      <c r="BT402" s="175">
        <f>IF('Advanced Inputs'!J$19="Photon system",10^'Advanced Inputs'!J407,'Advanced Inputs'!J407)</f>
        <v>0</v>
      </c>
      <c r="BV402" s="175">
        <v>761</v>
      </c>
      <c r="BW402" s="73">
        <v>232.61500000000001</v>
      </c>
      <c r="BX402" s="73">
        <v>48.456899999999997</v>
      </c>
      <c r="CC402" s="73">
        <v>1</v>
      </c>
    </row>
    <row r="403" spans="8:81" hidden="1" x14ac:dyDescent="0.2">
      <c r="H403" s="73">
        <v>762</v>
      </c>
      <c r="I403" s="168"/>
      <c r="J403" s="168"/>
      <c r="K403" s="168"/>
      <c r="L403" s="168"/>
      <c r="M403" s="168"/>
      <c r="N403" s="168"/>
      <c r="O403" s="168"/>
      <c r="P403" s="168"/>
      <c r="Q403" s="168"/>
      <c r="R403" s="168"/>
      <c r="S403" s="168">
        <v>0.30719999999999997</v>
      </c>
      <c r="T403" s="168"/>
      <c r="V403" s="73">
        <v>762</v>
      </c>
      <c r="W403" s="168"/>
      <c r="X403" s="168"/>
      <c r="Y403" s="168"/>
      <c r="Z403" s="168"/>
      <c r="AA403" s="168"/>
      <c r="AB403" s="168"/>
      <c r="AC403" s="168"/>
      <c r="AD403" s="168"/>
      <c r="AF403" s="73">
        <v>762</v>
      </c>
      <c r="AG403" s="168"/>
      <c r="AH403" s="168"/>
      <c r="AI403" s="168"/>
      <c r="AJ403" s="168"/>
      <c r="AK403" s="168"/>
      <c r="AL403" s="168"/>
      <c r="AM403" s="168"/>
      <c r="AO403" s="74">
        <v>762</v>
      </c>
      <c r="AP403" s="169"/>
      <c r="AQ403" s="169"/>
      <c r="AR403" s="169">
        <v>0.47401363800703716</v>
      </c>
      <c r="AS403" s="169"/>
      <c r="AT403" s="169"/>
      <c r="AU403" s="169"/>
      <c r="AV403" s="169"/>
      <c r="AW403" s="169"/>
      <c r="AX403" s="169"/>
      <c r="BP403" s="175">
        <f>Inputs!B406</f>
        <v>762</v>
      </c>
      <c r="BQ403" s="175">
        <f>IF(LEFT(Inputs!$C$11,6)="photon",10^Inputs!C406,Inputs!C406)</f>
        <v>2.6897410204886898E-4</v>
      </c>
      <c r="BR403" s="175"/>
      <c r="BS403" s="175">
        <f>'Advanced Inputs'!I408</f>
        <v>762</v>
      </c>
      <c r="BT403" s="175">
        <f>IF('Advanced Inputs'!J$19="Photon system",10^'Advanced Inputs'!J408,'Advanced Inputs'!J408)</f>
        <v>0</v>
      </c>
      <c r="BV403" s="175">
        <v>762</v>
      </c>
      <c r="BW403" s="73">
        <v>233.11199999999999</v>
      </c>
      <c r="BX403" s="73">
        <v>50.495600000000003</v>
      </c>
      <c r="CC403" s="73">
        <v>1</v>
      </c>
    </row>
    <row r="404" spans="8:81" hidden="1" x14ac:dyDescent="0.2">
      <c r="H404" s="73">
        <v>763</v>
      </c>
      <c r="I404" s="168"/>
      <c r="J404" s="168"/>
      <c r="K404" s="168"/>
      <c r="L404" s="168"/>
      <c r="M404" s="168"/>
      <c r="N404" s="168"/>
      <c r="O404" s="168"/>
      <c r="P404" s="168"/>
      <c r="Q404" s="168"/>
      <c r="R404" s="168"/>
      <c r="S404" s="168">
        <v>0.2944</v>
      </c>
      <c r="T404" s="168"/>
      <c r="V404" s="73">
        <v>763</v>
      </c>
      <c r="W404" s="168"/>
      <c r="X404" s="168"/>
      <c r="Y404" s="168"/>
      <c r="Z404" s="168"/>
      <c r="AA404" s="168"/>
      <c r="AB404" s="168"/>
      <c r="AC404" s="168"/>
      <c r="AD404" s="168"/>
      <c r="AF404" s="73">
        <v>763</v>
      </c>
      <c r="AG404" s="168"/>
      <c r="AH404" s="168"/>
      <c r="AI404" s="168"/>
      <c r="AJ404" s="168"/>
      <c r="AK404" s="168"/>
      <c r="AL404" s="168"/>
      <c r="AM404" s="168"/>
      <c r="AO404" s="74">
        <v>763</v>
      </c>
      <c r="AP404" s="169"/>
      <c r="AQ404" s="169"/>
      <c r="AR404" s="169">
        <v>0.45989352031936881</v>
      </c>
      <c r="AS404" s="169"/>
      <c r="AT404" s="169"/>
      <c r="AU404" s="169"/>
      <c r="AV404" s="169"/>
      <c r="AW404" s="169"/>
      <c r="AX404" s="169"/>
      <c r="BP404" s="175">
        <f>Inputs!B407</f>
        <v>763</v>
      </c>
      <c r="BQ404" s="175">
        <f>IF(LEFT(Inputs!$C$11,6)="photon",10^Inputs!C407,Inputs!C407)</f>
        <v>3.0247087683934099E-4</v>
      </c>
      <c r="BR404" s="175"/>
      <c r="BS404" s="175">
        <f>'Advanced Inputs'!I409</f>
        <v>763</v>
      </c>
      <c r="BT404" s="175">
        <f>IF('Advanced Inputs'!J$19="Photon system",10^'Advanced Inputs'!J409,'Advanced Inputs'!J409)</f>
        <v>0</v>
      </c>
      <c r="BV404" s="175">
        <v>763</v>
      </c>
      <c r="BW404" s="73">
        <v>233.60599999999999</v>
      </c>
      <c r="BX404" s="73">
        <v>52.534399999999998</v>
      </c>
      <c r="CC404" s="73">
        <v>1</v>
      </c>
    </row>
    <row r="405" spans="8:81" hidden="1" x14ac:dyDescent="0.2">
      <c r="H405" s="73">
        <v>764</v>
      </c>
      <c r="I405" s="168"/>
      <c r="J405" s="168"/>
      <c r="K405" s="168"/>
      <c r="L405" s="168"/>
      <c r="M405" s="168"/>
      <c r="N405" s="168"/>
      <c r="O405" s="168"/>
      <c r="P405" s="168"/>
      <c r="Q405" s="168"/>
      <c r="R405" s="168"/>
      <c r="S405" s="168">
        <v>0.27839999999999998</v>
      </c>
      <c r="T405" s="168"/>
      <c r="V405" s="73">
        <v>764</v>
      </c>
      <c r="W405" s="168"/>
      <c r="X405" s="168"/>
      <c r="Y405" s="168"/>
      <c r="Z405" s="168"/>
      <c r="AA405" s="168"/>
      <c r="AB405" s="168"/>
      <c r="AC405" s="168"/>
      <c r="AD405" s="168"/>
      <c r="AF405" s="73">
        <v>764</v>
      </c>
      <c r="AG405" s="168"/>
      <c r="AH405" s="168"/>
      <c r="AI405" s="168"/>
      <c r="AJ405" s="168"/>
      <c r="AK405" s="168"/>
      <c r="AL405" s="168"/>
      <c r="AM405" s="168"/>
      <c r="AO405" s="74">
        <v>764</v>
      </c>
      <c r="AP405" s="169"/>
      <c r="AQ405" s="169"/>
      <c r="AR405" s="169">
        <v>0.44673783451424581</v>
      </c>
      <c r="AS405" s="169"/>
      <c r="AT405" s="169"/>
      <c r="AU405" s="169"/>
      <c r="AV405" s="169"/>
      <c r="AW405" s="169"/>
      <c r="AX405" s="169"/>
      <c r="BP405" s="175">
        <f>Inputs!B408</f>
        <v>764</v>
      </c>
      <c r="BQ405" s="175">
        <f>IF(LEFT(Inputs!$C$11,6)="photon",10^Inputs!C408,Inputs!C408)</f>
        <v>3.7496389690827499E-4</v>
      </c>
      <c r="BR405" s="175"/>
      <c r="BS405" s="175">
        <f>'Advanced Inputs'!I410</f>
        <v>764</v>
      </c>
      <c r="BT405" s="175">
        <f>IF('Advanced Inputs'!J$19="Photon system",10^'Advanced Inputs'!J410,'Advanced Inputs'!J410)</f>
        <v>0</v>
      </c>
      <c r="BV405" s="175">
        <v>764</v>
      </c>
      <c r="BW405" s="73">
        <v>234.09899999999999</v>
      </c>
      <c r="BX405" s="73">
        <v>54.573099999999997</v>
      </c>
      <c r="CC405" s="73">
        <v>1</v>
      </c>
    </row>
    <row r="406" spans="8:81" hidden="1" x14ac:dyDescent="0.2">
      <c r="H406" s="73">
        <v>765</v>
      </c>
      <c r="I406" s="168"/>
      <c r="J406" s="168"/>
      <c r="K406" s="168"/>
      <c r="L406" s="168"/>
      <c r="M406" s="168"/>
      <c r="N406" s="168"/>
      <c r="O406" s="168"/>
      <c r="P406" s="168"/>
      <c r="Q406" s="168"/>
      <c r="R406" s="168"/>
      <c r="S406" s="168">
        <v>0.26</v>
      </c>
      <c r="T406" s="168"/>
      <c r="V406" s="73">
        <v>765</v>
      </c>
      <c r="W406" s="168"/>
      <c r="X406" s="168"/>
      <c r="Y406" s="168"/>
      <c r="Z406" s="168"/>
      <c r="AA406" s="168"/>
      <c r="AB406" s="168"/>
      <c r="AC406" s="168"/>
      <c r="AD406" s="168"/>
      <c r="AF406" s="73">
        <v>765</v>
      </c>
      <c r="AG406" s="168"/>
      <c r="AH406" s="168"/>
      <c r="AI406" s="168"/>
      <c r="AJ406" s="168"/>
      <c r="AK406" s="168"/>
      <c r="AL406" s="168"/>
      <c r="AM406" s="168"/>
      <c r="AO406" s="74">
        <v>765</v>
      </c>
      <c r="AP406" s="169"/>
      <c r="AQ406" s="169"/>
      <c r="AR406" s="169">
        <v>0.43389034639836016</v>
      </c>
      <c r="AS406" s="169"/>
      <c r="AT406" s="169"/>
      <c r="AU406" s="169"/>
      <c r="AV406" s="169"/>
      <c r="AW406" s="169"/>
      <c r="AX406" s="169"/>
      <c r="BP406" s="175">
        <f>Inputs!B409</f>
        <v>765</v>
      </c>
      <c r="BQ406" s="175">
        <f>IF(LEFT(Inputs!$C$11,6)="photon",10^Inputs!C409,Inputs!C409)</f>
        <v>4.70454702654249E-4</v>
      </c>
      <c r="BR406" s="175"/>
      <c r="BS406" s="175">
        <f>'Advanced Inputs'!I411</f>
        <v>765</v>
      </c>
      <c r="BT406" s="175">
        <f>IF('Advanced Inputs'!J$19="Photon system",10^'Advanced Inputs'!J411,'Advanced Inputs'!J411)</f>
        <v>0</v>
      </c>
      <c r="BV406" s="175">
        <v>765</v>
      </c>
      <c r="BW406" s="73">
        <v>234.589</v>
      </c>
      <c r="BX406" s="73">
        <v>56.611800000000002</v>
      </c>
      <c r="CC406" s="73">
        <v>1</v>
      </c>
    </row>
    <row r="407" spans="8:81" hidden="1" x14ac:dyDescent="0.2">
      <c r="H407" s="73">
        <v>766</v>
      </c>
      <c r="I407" s="168"/>
      <c r="J407" s="168"/>
      <c r="K407" s="168"/>
      <c r="L407" s="168"/>
      <c r="M407" s="168"/>
      <c r="N407" s="168"/>
      <c r="O407" s="168"/>
      <c r="P407" s="168"/>
      <c r="Q407" s="168"/>
      <c r="R407" s="168"/>
      <c r="S407" s="168">
        <v>0.24</v>
      </c>
      <c r="T407" s="168"/>
      <c r="V407" s="73">
        <v>766</v>
      </c>
      <c r="W407" s="168"/>
      <c r="X407" s="168"/>
      <c r="Y407" s="168"/>
      <c r="Z407" s="168"/>
      <c r="AA407" s="168"/>
      <c r="AB407" s="168"/>
      <c r="AC407" s="168"/>
      <c r="AD407" s="168"/>
      <c r="AF407" s="73">
        <v>766</v>
      </c>
      <c r="AG407" s="168"/>
      <c r="AH407" s="168"/>
      <c r="AI407" s="168"/>
      <c r="AJ407" s="168"/>
      <c r="AK407" s="168"/>
      <c r="AL407" s="168"/>
      <c r="AM407" s="168"/>
      <c r="AO407" s="74">
        <v>766</v>
      </c>
      <c r="AP407" s="169"/>
      <c r="AQ407" s="169"/>
      <c r="AR407" s="169">
        <v>0.42113988898951754</v>
      </c>
      <c r="AS407" s="169"/>
      <c r="AT407" s="169"/>
      <c r="AU407" s="169"/>
      <c r="AV407" s="169"/>
      <c r="AW407" s="169"/>
      <c r="AX407" s="169"/>
      <c r="BP407" s="175">
        <f>Inputs!B410</f>
        <v>766</v>
      </c>
      <c r="BQ407" s="175">
        <f>IF(LEFT(Inputs!$C$11,6)="photon",10^Inputs!C410,Inputs!C410)</f>
        <v>5.8494367917690904E-4</v>
      </c>
      <c r="BR407" s="175"/>
      <c r="BS407" s="175">
        <f>'Advanced Inputs'!I412</f>
        <v>766</v>
      </c>
      <c r="BT407" s="175">
        <f>IF('Advanced Inputs'!J$19="Photon system",10^'Advanced Inputs'!J412,'Advanced Inputs'!J412)</f>
        <v>0</v>
      </c>
      <c r="BV407" s="175">
        <v>766</v>
      </c>
      <c r="BW407" s="73">
        <v>235.078</v>
      </c>
      <c r="BX407" s="73">
        <v>58.650500000000001</v>
      </c>
      <c r="CC407" s="73">
        <v>1</v>
      </c>
    </row>
    <row r="408" spans="8:81" hidden="1" x14ac:dyDescent="0.2">
      <c r="H408" s="73">
        <v>767</v>
      </c>
      <c r="I408" s="168"/>
      <c r="J408" s="168"/>
      <c r="K408" s="168"/>
      <c r="L408" s="168"/>
      <c r="M408" s="168"/>
      <c r="N408" s="168"/>
      <c r="O408" s="168"/>
      <c r="P408" s="168"/>
      <c r="Q408" s="168"/>
      <c r="R408" s="168"/>
      <c r="S408" s="168">
        <v>0.21920000000000001</v>
      </c>
      <c r="T408" s="168"/>
      <c r="V408" s="73">
        <v>767</v>
      </c>
      <c r="W408" s="168"/>
      <c r="X408" s="168"/>
      <c r="Y408" s="168"/>
      <c r="Z408" s="168"/>
      <c r="AA408" s="168"/>
      <c r="AB408" s="168"/>
      <c r="AC408" s="168"/>
      <c r="AD408" s="168"/>
      <c r="AF408" s="73">
        <v>767</v>
      </c>
      <c r="AG408" s="168"/>
      <c r="AH408" s="168"/>
      <c r="AI408" s="168"/>
      <c r="AJ408" s="168"/>
      <c r="AK408" s="168"/>
      <c r="AL408" s="168"/>
      <c r="AM408" s="168"/>
      <c r="AO408" s="74">
        <v>767</v>
      </c>
      <c r="AP408" s="169"/>
      <c r="AQ408" s="169"/>
      <c r="AR408" s="169">
        <v>0.40866861691203676</v>
      </c>
      <c r="AS408" s="169"/>
      <c r="AT408" s="169"/>
      <c r="AU408" s="169"/>
      <c r="AV408" s="169"/>
      <c r="AW408" s="169"/>
      <c r="AX408" s="169"/>
      <c r="BP408" s="175">
        <f>Inputs!B411</f>
        <v>767</v>
      </c>
      <c r="BQ408" s="175">
        <f>IF(LEFT(Inputs!$C$11,6)="photon",10^Inputs!C411,Inputs!C411)</f>
        <v>6.9493308893667E-4</v>
      </c>
      <c r="BR408" s="175"/>
      <c r="BS408" s="175">
        <f>'Advanced Inputs'!I413</f>
        <v>767</v>
      </c>
      <c r="BT408" s="175">
        <f>IF('Advanced Inputs'!J$19="Photon system",10^'Advanced Inputs'!J413,'Advanced Inputs'!J413)</f>
        <v>0</v>
      </c>
      <c r="BV408" s="175">
        <v>767</v>
      </c>
      <c r="BW408" s="73">
        <v>235.56399999999999</v>
      </c>
      <c r="BX408" s="73">
        <v>60.6892</v>
      </c>
      <c r="CC408" s="73">
        <v>1</v>
      </c>
    </row>
    <row r="409" spans="8:81" hidden="1" x14ac:dyDescent="0.2">
      <c r="H409" s="73">
        <v>768</v>
      </c>
      <c r="I409" s="168"/>
      <c r="J409" s="168"/>
      <c r="K409" s="168"/>
      <c r="L409" s="168"/>
      <c r="M409" s="168"/>
      <c r="N409" s="168"/>
      <c r="O409" s="168"/>
      <c r="P409" s="168"/>
      <c r="Q409" s="168"/>
      <c r="R409" s="168"/>
      <c r="S409" s="168">
        <v>0.19839999999999999</v>
      </c>
      <c r="T409" s="168"/>
      <c r="V409" s="73">
        <v>768</v>
      </c>
      <c r="W409" s="168"/>
      <c r="X409" s="168"/>
      <c r="Y409" s="168"/>
      <c r="Z409" s="168"/>
      <c r="AA409" s="168"/>
      <c r="AB409" s="168"/>
      <c r="AC409" s="168"/>
      <c r="AD409" s="168"/>
      <c r="AF409" s="73">
        <v>768</v>
      </c>
      <c r="AG409" s="168"/>
      <c r="AH409" s="168"/>
      <c r="AI409" s="168"/>
      <c r="AJ409" s="168"/>
      <c r="AK409" s="168"/>
      <c r="AL409" s="168"/>
      <c r="AM409" s="168"/>
      <c r="AO409" s="74">
        <v>768</v>
      </c>
      <c r="AP409" s="169"/>
      <c r="AQ409" s="169"/>
      <c r="AR409" s="169">
        <v>0.39680083367990232</v>
      </c>
      <c r="AS409" s="169"/>
      <c r="AT409" s="169"/>
      <c r="AU409" s="169"/>
      <c r="AV409" s="169"/>
      <c r="AW409" s="169"/>
      <c r="AX409" s="169"/>
      <c r="BP409" s="175">
        <f>Inputs!B412</f>
        <v>768</v>
      </c>
      <c r="BQ409" s="175">
        <f>IF(LEFT(Inputs!$C$11,6)="photon",10^Inputs!C412,Inputs!C412)</f>
        <v>7.7492538694376803E-4</v>
      </c>
      <c r="BR409" s="175"/>
      <c r="BS409" s="175">
        <f>'Advanced Inputs'!I414</f>
        <v>768</v>
      </c>
      <c r="BT409" s="175">
        <f>IF('Advanced Inputs'!J$19="Photon system",10^'Advanced Inputs'!J414,'Advanced Inputs'!J414)</f>
        <v>0</v>
      </c>
      <c r="BV409" s="175">
        <v>768</v>
      </c>
      <c r="BW409" s="73">
        <v>236.047</v>
      </c>
      <c r="BX409" s="73">
        <v>62.728000000000002</v>
      </c>
      <c r="CC409" s="73">
        <v>1</v>
      </c>
    </row>
    <row r="410" spans="8:81" hidden="1" x14ac:dyDescent="0.2">
      <c r="H410" s="73">
        <v>769</v>
      </c>
      <c r="I410" s="168"/>
      <c r="J410" s="168"/>
      <c r="K410" s="168"/>
      <c r="L410" s="168"/>
      <c r="M410" s="168"/>
      <c r="N410" s="168"/>
      <c r="O410" s="168"/>
      <c r="P410" s="168"/>
      <c r="Q410" s="168"/>
      <c r="R410" s="168"/>
      <c r="S410" s="168">
        <v>0.1784</v>
      </c>
      <c r="T410" s="168"/>
      <c r="V410" s="73">
        <v>769</v>
      </c>
      <c r="W410" s="168"/>
      <c r="X410" s="168"/>
      <c r="Y410" s="168"/>
      <c r="Z410" s="168"/>
      <c r="AA410" s="168"/>
      <c r="AB410" s="168"/>
      <c r="AC410" s="168"/>
      <c r="AD410" s="168"/>
      <c r="AF410" s="73">
        <v>769</v>
      </c>
      <c r="AG410" s="168"/>
      <c r="AH410" s="168"/>
      <c r="AI410" s="168"/>
      <c r="AJ410" s="168"/>
      <c r="AK410" s="168"/>
      <c r="AL410" s="168"/>
      <c r="AM410" s="168"/>
      <c r="AO410" s="74">
        <v>769</v>
      </c>
      <c r="AP410" s="169"/>
      <c r="AQ410" s="169"/>
      <c r="AR410" s="169">
        <v>0.38533571284324802</v>
      </c>
      <c r="AS410" s="169"/>
      <c r="AT410" s="169"/>
      <c r="AU410" s="169"/>
      <c r="AV410" s="169"/>
      <c r="AW410" s="169"/>
      <c r="AX410" s="169"/>
      <c r="BP410" s="175">
        <f>Inputs!B413</f>
        <v>769</v>
      </c>
      <c r="BQ410" s="175">
        <f>IF(LEFT(Inputs!$C$11,6)="photon",10^Inputs!C413,Inputs!C413)</f>
        <v>8.2992009182364899E-4</v>
      </c>
      <c r="BR410" s="175"/>
      <c r="BS410" s="175">
        <f>'Advanced Inputs'!I415</f>
        <v>769</v>
      </c>
      <c r="BT410" s="175">
        <f>IF('Advanced Inputs'!J$19="Photon system",10^'Advanced Inputs'!J415,'Advanced Inputs'!J415)</f>
        <v>0</v>
      </c>
      <c r="BV410" s="175">
        <v>769</v>
      </c>
      <c r="BW410" s="73">
        <v>236.529</v>
      </c>
      <c r="BX410" s="73">
        <v>64.7667</v>
      </c>
      <c r="CC410" s="73">
        <v>1</v>
      </c>
    </row>
    <row r="411" spans="8:81" hidden="1" x14ac:dyDescent="0.2">
      <c r="H411" s="73">
        <v>770</v>
      </c>
      <c r="I411" s="168"/>
      <c r="J411" s="168"/>
      <c r="K411" s="168"/>
      <c r="L411" s="168"/>
      <c r="M411" s="168"/>
      <c r="N411" s="168"/>
      <c r="O411" s="168"/>
      <c r="P411" s="168"/>
      <c r="Q411" s="168"/>
      <c r="R411" s="168"/>
      <c r="S411" s="168">
        <v>0.16</v>
      </c>
      <c r="T411" s="168"/>
      <c r="V411" s="73">
        <v>770</v>
      </c>
      <c r="W411" s="168"/>
      <c r="X411" s="168"/>
      <c r="Y411" s="168"/>
      <c r="Z411" s="168"/>
      <c r="AA411" s="168"/>
      <c r="AB411" s="168"/>
      <c r="AC411" s="168"/>
      <c r="AD411" s="168"/>
      <c r="AF411" s="73">
        <v>770</v>
      </c>
      <c r="AG411" s="168"/>
      <c r="AH411" s="168"/>
      <c r="AI411" s="168"/>
      <c r="AJ411" s="168"/>
      <c r="AK411" s="168"/>
      <c r="AL411" s="168"/>
      <c r="AM411" s="168"/>
      <c r="AO411" s="74">
        <v>770</v>
      </c>
      <c r="AP411" s="169"/>
      <c r="AQ411" s="169"/>
      <c r="AR411" s="169">
        <v>0.37446616263597821</v>
      </c>
      <c r="AS411" s="169"/>
      <c r="AT411" s="169"/>
      <c r="AU411" s="169"/>
      <c r="AV411" s="169"/>
      <c r="AW411" s="169"/>
      <c r="AX411" s="169"/>
      <c r="BP411" s="175">
        <f>Inputs!B414</f>
        <v>770</v>
      </c>
      <c r="BQ411" s="175">
        <f>IF(LEFT(Inputs!$C$11,6)="photon",10^Inputs!C414,Inputs!C414)</f>
        <v>8.6491672220175399E-4</v>
      </c>
      <c r="BR411" s="175"/>
      <c r="BS411" s="175">
        <f>'Advanced Inputs'!I416</f>
        <v>770</v>
      </c>
      <c r="BT411" s="175">
        <f>IF('Advanced Inputs'!J$19="Photon system",10^'Advanced Inputs'!J416,'Advanced Inputs'!J416)</f>
        <v>0</v>
      </c>
      <c r="BV411" s="175">
        <v>770</v>
      </c>
      <c r="BW411" s="73">
        <v>237.00800000000001</v>
      </c>
      <c r="BX411" s="73">
        <v>66.805400000000006</v>
      </c>
      <c r="CC411" s="73">
        <v>1</v>
      </c>
    </row>
    <row r="412" spans="8:81" hidden="1" x14ac:dyDescent="0.2">
      <c r="H412" s="73">
        <v>771</v>
      </c>
      <c r="I412" s="168"/>
      <c r="J412" s="168"/>
      <c r="K412" s="168"/>
      <c r="L412" s="168"/>
      <c r="M412" s="168"/>
      <c r="N412" s="168"/>
      <c r="O412" s="168"/>
      <c r="P412" s="168"/>
      <c r="Q412" s="168"/>
      <c r="R412" s="168"/>
      <c r="S412" s="168">
        <v>0.14880000000000002</v>
      </c>
      <c r="T412" s="168"/>
      <c r="V412" s="73">
        <v>771</v>
      </c>
      <c r="W412" s="168"/>
      <c r="X412" s="168"/>
      <c r="Y412" s="168"/>
      <c r="Z412" s="168"/>
      <c r="AA412" s="168"/>
      <c r="AB412" s="168"/>
      <c r="AC412" s="168"/>
      <c r="AD412" s="168"/>
      <c r="AF412" s="73">
        <v>771</v>
      </c>
      <c r="AG412" s="168"/>
      <c r="AH412" s="168"/>
      <c r="AI412" s="168"/>
      <c r="AJ412" s="168"/>
      <c r="AK412" s="168"/>
      <c r="AL412" s="168"/>
      <c r="AM412" s="168"/>
      <c r="AO412" s="74">
        <v>771</v>
      </c>
      <c r="AP412" s="169"/>
      <c r="AQ412" s="169"/>
      <c r="AR412" s="169">
        <v>0.36367132224617527</v>
      </c>
      <c r="AS412" s="169"/>
      <c r="AT412" s="169"/>
      <c r="AU412" s="169"/>
      <c r="AV412" s="169"/>
      <c r="AW412" s="169"/>
      <c r="AX412" s="169"/>
      <c r="BP412" s="175">
        <f>Inputs!B415</f>
        <v>771</v>
      </c>
      <c r="BQ412" s="175">
        <f>IF(LEFT(Inputs!$C$11,6)="photon",10^Inputs!C415,Inputs!C415)</f>
        <v>8.8491479670352899E-4</v>
      </c>
      <c r="BR412" s="175"/>
      <c r="BS412" s="175">
        <f>'Advanced Inputs'!I417</f>
        <v>771</v>
      </c>
      <c r="BT412" s="175">
        <f>IF('Advanced Inputs'!J$19="Photon system",10^'Advanced Inputs'!J417,'Advanced Inputs'!J417)</f>
        <v>0</v>
      </c>
      <c r="BV412" s="175">
        <v>771</v>
      </c>
      <c r="BW412" s="73">
        <v>237.48500000000001</v>
      </c>
      <c r="BX412" s="73">
        <v>66.463099999999997</v>
      </c>
      <c r="CC412" s="73">
        <v>1</v>
      </c>
    </row>
    <row r="413" spans="8:81" hidden="1" x14ac:dyDescent="0.2">
      <c r="H413" s="73">
        <v>772</v>
      </c>
      <c r="I413" s="168"/>
      <c r="J413" s="168"/>
      <c r="K413" s="168"/>
      <c r="L413" s="168"/>
      <c r="M413" s="168"/>
      <c r="N413" s="168"/>
      <c r="O413" s="168"/>
      <c r="P413" s="168"/>
      <c r="Q413" s="168"/>
      <c r="R413" s="168"/>
      <c r="S413" s="168">
        <v>0.1396</v>
      </c>
      <c r="T413" s="168"/>
      <c r="V413" s="73">
        <v>772</v>
      </c>
      <c r="W413" s="168"/>
      <c r="X413" s="168"/>
      <c r="Y413" s="168"/>
      <c r="Z413" s="168"/>
      <c r="AA413" s="168"/>
      <c r="AB413" s="168"/>
      <c r="AC413" s="168"/>
      <c r="AD413" s="168"/>
      <c r="AF413" s="73">
        <v>772</v>
      </c>
      <c r="AG413" s="168"/>
      <c r="AH413" s="168"/>
      <c r="AI413" s="168"/>
      <c r="AJ413" s="168"/>
      <c r="AK413" s="168"/>
      <c r="AL413" s="168"/>
      <c r="AM413" s="168"/>
      <c r="AO413" s="74">
        <v>772</v>
      </c>
      <c r="AP413" s="169"/>
      <c r="AQ413" s="169"/>
      <c r="AR413" s="169">
        <v>0.35319855165293462</v>
      </c>
      <c r="AS413" s="169"/>
      <c r="AT413" s="169"/>
      <c r="AU413" s="169"/>
      <c r="AV413" s="169"/>
      <c r="AW413" s="169"/>
      <c r="AX413" s="169"/>
      <c r="BP413" s="175">
        <f>Inputs!B416</f>
        <v>772</v>
      </c>
      <c r="BQ413" s="175">
        <f>IF(LEFT(Inputs!$C$11,6)="photon",10^Inputs!C416,Inputs!C416)</f>
        <v>8.8491479670352899E-4</v>
      </c>
      <c r="BR413" s="175"/>
      <c r="BS413" s="175">
        <f>'Advanced Inputs'!I418</f>
        <v>772</v>
      </c>
      <c r="BT413" s="175">
        <f>IF('Advanced Inputs'!J$19="Photon system",10^'Advanced Inputs'!J418,'Advanced Inputs'!J418)</f>
        <v>0</v>
      </c>
      <c r="BV413" s="175">
        <v>772</v>
      </c>
      <c r="BW413" s="73">
        <v>237.959</v>
      </c>
      <c r="BX413" s="73">
        <v>66.120900000000006</v>
      </c>
      <c r="CC413" s="73">
        <v>1</v>
      </c>
    </row>
    <row r="414" spans="8:81" hidden="1" x14ac:dyDescent="0.2">
      <c r="H414" s="73">
        <v>773</v>
      </c>
      <c r="I414" s="168"/>
      <c r="J414" s="168"/>
      <c r="K414" s="168"/>
      <c r="L414" s="168"/>
      <c r="M414" s="168"/>
      <c r="N414" s="168"/>
      <c r="O414" s="168"/>
      <c r="P414" s="168"/>
      <c r="Q414" s="168"/>
      <c r="R414" s="168"/>
      <c r="S414" s="168">
        <v>0.13200000000000001</v>
      </c>
      <c r="T414" s="168"/>
      <c r="V414" s="73">
        <v>773</v>
      </c>
      <c r="W414" s="168"/>
      <c r="X414" s="168"/>
      <c r="Y414" s="168"/>
      <c r="Z414" s="168"/>
      <c r="AA414" s="168"/>
      <c r="AB414" s="168"/>
      <c r="AC414" s="168"/>
      <c r="AD414" s="168"/>
      <c r="AF414" s="73">
        <v>773</v>
      </c>
      <c r="AG414" s="168"/>
      <c r="AH414" s="168"/>
      <c r="AI414" s="168"/>
      <c r="AJ414" s="168"/>
      <c r="AK414" s="168"/>
      <c r="AL414" s="168"/>
      <c r="AM414" s="168"/>
      <c r="AO414" s="74">
        <v>773</v>
      </c>
      <c r="AP414" s="169"/>
      <c r="AQ414" s="169"/>
      <c r="AR414" s="169">
        <v>0.3430381943585793</v>
      </c>
      <c r="AS414" s="169"/>
      <c r="AT414" s="169"/>
      <c r="AU414" s="169"/>
      <c r="AV414" s="169"/>
      <c r="AW414" s="169"/>
      <c r="AX414" s="169"/>
      <c r="BP414" s="175">
        <f>Inputs!B417</f>
        <v>773</v>
      </c>
      <c r="BQ414" s="175">
        <f>IF(LEFT(Inputs!$C$11,6)="photon",10^Inputs!C417,Inputs!C417)</f>
        <v>8.8491479670352899E-4</v>
      </c>
      <c r="BR414" s="175"/>
      <c r="BS414" s="175">
        <f>'Advanced Inputs'!I419</f>
        <v>773</v>
      </c>
      <c r="BT414" s="175">
        <f>IF('Advanced Inputs'!J$19="Photon system",10^'Advanced Inputs'!J419,'Advanced Inputs'!J419)</f>
        <v>0</v>
      </c>
      <c r="BV414" s="175">
        <v>773</v>
      </c>
      <c r="BW414" s="73">
        <v>238.43199999999999</v>
      </c>
      <c r="BX414" s="73">
        <v>65.778599999999997</v>
      </c>
      <c r="CC414" s="73">
        <v>1</v>
      </c>
    </row>
    <row r="415" spans="8:81" hidden="1" x14ac:dyDescent="0.2">
      <c r="H415" s="73">
        <v>774</v>
      </c>
      <c r="I415" s="168"/>
      <c r="J415" s="168"/>
      <c r="K415" s="168"/>
      <c r="L415" s="168"/>
      <c r="M415" s="168"/>
      <c r="N415" s="168"/>
      <c r="O415" s="168"/>
      <c r="P415" s="168"/>
      <c r="Q415" s="168"/>
      <c r="R415" s="168"/>
      <c r="S415" s="168">
        <v>0.12559999999999999</v>
      </c>
      <c r="T415" s="168"/>
      <c r="V415" s="73">
        <v>774</v>
      </c>
      <c r="W415" s="168"/>
      <c r="X415" s="168"/>
      <c r="Y415" s="168"/>
      <c r="Z415" s="168"/>
      <c r="AA415" s="168"/>
      <c r="AB415" s="168"/>
      <c r="AC415" s="168"/>
      <c r="AD415" s="168"/>
      <c r="AF415" s="73">
        <v>774</v>
      </c>
      <c r="AG415" s="168"/>
      <c r="AH415" s="168"/>
      <c r="AI415" s="168"/>
      <c r="AJ415" s="168"/>
      <c r="AK415" s="168"/>
      <c r="AL415" s="168"/>
      <c r="AM415" s="168"/>
      <c r="AO415" s="74">
        <v>774</v>
      </c>
      <c r="AP415" s="169"/>
      <c r="AQ415" s="169"/>
      <c r="AR415" s="169">
        <v>0.33318059386542065</v>
      </c>
      <c r="AS415" s="169"/>
      <c r="AT415" s="169"/>
      <c r="AU415" s="169"/>
      <c r="AV415" s="169"/>
      <c r="AW415" s="169"/>
      <c r="AX415" s="169"/>
      <c r="BP415" s="175">
        <f>Inputs!B418</f>
        <v>774</v>
      </c>
      <c r="BQ415" s="175">
        <f>IF(LEFT(Inputs!$C$11,6)="photon",10^Inputs!C418,Inputs!C418)</f>
        <v>8.8991431532897203E-4</v>
      </c>
      <c r="BR415" s="175"/>
      <c r="BS415" s="175">
        <f>'Advanced Inputs'!I420</f>
        <v>774</v>
      </c>
      <c r="BT415" s="175">
        <f>IF('Advanced Inputs'!J$19="Photon system",10^'Advanced Inputs'!J420,'Advanced Inputs'!J420)</f>
        <v>0</v>
      </c>
      <c r="BV415" s="175">
        <v>774</v>
      </c>
      <c r="BW415" s="73">
        <v>238.90199999999999</v>
      </c>
      <c r="BX415" s="73">
        <v>65.436400000000006</v>
      </c>
      <c r="CC415" s="73">
        <v>1</v>
      </c>
    </row>
    <row r="416" spans="8:81" hidden="1" x14ac:dyDescent="0.2">
      <c r="H416" s="73">
        <v>775</v>
      </c>
      <c r="I416" s="168"/>
      <c r="J416" s="168"/>
      <c r="K416" s="168"/>
      <c r="L416" s="168"/>
      <c r="M416" s="168"/>
      <c r="N416" s="168"/>
      <c r="O416" s="168"/>
      <c r="P416" s="168"/>
      <c r="Q416" s="168"/>
      <c r="R416" s="168"/>
      <c r="S416" s="168">
        <v>0.12</v>
      </c>
      <c r="T416" s="168"/>
      <c r="V416" s="73">
        <v>775</v>
      </c>
      <c r="W416" s="168"/>
      <c r="X416" s="168"/>
      <c r="Y416" s="168"/>
      <c r="Z416" s="168"/>
      <c r="AA416" s="168"/>
      <c r="AB416" s="168"/>
      <c r="AC416" s="168"/>
      <c r="AD416" s="168"/>
      <c r="AF416" s="73">
        <v>775</v>
      </c>
      <c r="AG416" s="168"/>
      <c r="AH416" s="168"/>
      <c r="AI416" s="168"/>
      <c r="AJ416" s="168"/>
      <c r="AK416" s="168"/>
      <c r="AL416" s="168"/>
      <c r="AM416" s="168"/>
      <c r="AO416" s="74">
        <v>775</v>
      </c>
      <c r="AP416" s="169"/>
      <c r="AQ416" s="169"/>
      <c r="AR416" s="169">
        <v>0.32361609367577565</v>
      </c>
      <c r="AS416" s="169"/>
      <c r="AT416" s="169"/>
      <c r="AU416" s="169"/>
      <c r="AV416" s="169"/>
      <c r="AW416" s="169"/>
      <c r="AX416" s="169"/>
      <c r="BP416" s="175">
        <f>Inputs!B419</f>
        <v>775</v>
      </c>
      <c r="BQ416" s="175">
        <f>IF(LEFT(Inputs!$C$11,6)="photon",10^Inputs!C419,Inputs!C419)</f>
        <v>8.8991431532897203E-4</v>
      </c>
      <c r="BR416" s="175"/>
      <c r="BS416" s="175">
        <f>'Advanced Inputs'!I421</f>
        <v>775</v>
      </c>
      <c r="BT416" s="175">
        <f>IF('Advanced Inputs'!J$19="Photon system",10^'Advanced Inputs'!J421,'Advanced Inputs'!J421)</f>
        <v>0</v>
      </c>
      <c r="BV416" s="175">
        <v>775</v>
      </c>
      <c r="BW416" s="73">
        <v>239.37</v>
      </c>
      <c r="BX416" s="73">
        <v>65.094099999999997</v>
      </c>
      <c r="CC416" s="73">
        <v>1</v>
      </c>
    </row>
    <row r="417" spans="8:81" hidden="1" x14ac:dyDescent="0.2">
      <c r="H417" s="73">
        <v>776</v>
      </c>
      <c r="I417" s="168"/>
      <c r="J417" s="168"/>
      <c r="K417" s="168"/>
      <c r="L417" s="168"/>
      <c r="M417" s="168"/>
      <c r="N417" s="168"/>
      <c r="O417" s="168"/>
      <c r="P417" s="168"/>
      <c r="Q417" s="168"/>
      <c r="R417" s="168"/>
      <c r="S417" s="168">
        <v>0.11373333333333334</v>
      </c>
      <c r="T417" s="168"/>
      <c r="V417" s="73">
        <v>776</v>
      </c>
      <c r="W417" s="168"/>
      <c r="X417" s="168"/>
      <c r="Y417" s="168"/>
      <c r="Z417" s="168"/>
      <c r="AA417" s="168"/>
      <c r="AB417" s="168"/>
      <c r="AC417" s="168"/>
      <c r="AD417" s="168"/>
      <c r="AF417" s="73">
        <v>776</v>
      </c>
      <c r="AG417" s="168"/>
      <c r="AH417" s="168"/>
      <c r="AI417" s="168"/>
      <c r="AJ417" s="168"/>
      <c r="AK417" s="168"/>
      <c r="AL417" s="168"/>
      <c r="AM417" s="168"/>
      <c r="AO417" s="74">
        <v>776</v>
      </c>
      <c r="AP417" s="169"/>
      <c r="AQ417" s="169"/>
      <c r="AR417" s="169">
        <v>0.31433503729195567</v>
      </c>
      <c r="AS417" s="169"/>
      <c r="AT417" s="169"/>
      <c r="AU417" s="169"/>
      <c r="AV417" s="169"/>
      <c r="AW417" s="169"/>
      <c r="AX417" s="169"/>
      <c r="BP417" s="175">
        <f>Inputs!B420</f>
        <v>776</v>
      </c>
      <c r="BQ417" s="175">
        <f>IF(LEFT(Inputs!$C$11,6)="photon",10^Inputs!C420,Inputs!C420)</f>
        <v>8.8491479670352899E-4</v>
      </c>
      <c r="BR417" s="175"/>
      <c r="BS417" s="175">
        <f>'Advanced Inputs'!I422</f>
        <v>776</v>
      </c>
      <c r="BT417" s="175">
        <f>IF('Advanced Inputs'!J$19="Photon system",10^'Advanced Inputs'!J422,'Advanced Inputs'!J422)</f>
        <v>0</v>
      </c>
      <c r="BV417" s="175">
        <v>776</v>
      </c>
      <c r="BW417" s="73">
        <v>239.83600000000001</v>
      </c>
      <c r="BX417" s="73">
        <v>64.751800000000003</v>
      </c>
      <c r="CC417" s="73">
        <v>1</v>
      </c>
    </row>
    <row r="418" spans="8:81" hidden="1" x14ac:dyDescent="0.2">
      <c r="H418" s="73">
        <v>777</v>
      </c>
      <c r="I418" s="168"/>
      <c r="J418" s="168"/>
      <c r="K418" s="168"/>
      <c r="L418" s="168"/>
      <c r="M418" s="168"/>
      <c r="N418" s="168"/>
      <c r="O418" s="168"/>
      <c r="P418" s="168"/>
      <c r="Q418" s="168"/>
      <c r="R418" s="168"/>
      <c r="S418" s="168">
        <v>0.10773333333333338</v>
      </c>
      <c r="T418" s="168"/>
      <c r="V418" s="73">
        <v>777</v>
      </c>
      <c r="W418" s="168"/>
      <c r="X418" s="168"/>
      <c r="Y418" s="168"/>
      <c r="Z418" s="168"/>
      <c r="AA418" s="168"/>
      <c r="AB418" s="168"/>
      <c r="AC418" s="168"/>
      <c r="AD418" s="168"/>
      <c r="AF418" s="73">
        <v>777</v>
      </c>
      <c r="AG418" s="168"/>
      <c r="AH418" s="168"/>
      <c r="AI418" s="168"/>
      <c r="AJ418" s="168"/>
      <c r="AK418" s="168"/>
      <c r="AL418" s="168"/>
      <c r="AM418" s="168"/>
      <c r="AO418" s="74">
        <v>777</v>
      </c>
      <c r="AP418" s="169"/>
      <c r="AQ418" s="169"/>
      <c r="AR418" s="169">
        <v>0.30532776821627627</v>
      </c>
      <c r="AS418" s="169"/>
      <c r="AT418" s="169"/>
      <c r="AU418" s="169"/>
      <c r="AV418" s="169"/>
      <c r="AW418" s="169"/>
      <c r="AX418" s="169"/>
      <c r="BP418" s="175">
        <f>Inputs!B421</f>
        <v>777</v>
      </c>
      <c r="BQ418" s="175">
        <f>IF(LEFT(Inputs!$C$11,6)="photon",10^Inputs!C421,Inputs!C421)</f>
        <v>8.8991431532897203E-4</v>
      </c>
      <c r="BR418" s="175"/>
      <c r="BS418" s="175">
        <f>'Advanced Inputs'!I423</f>
        <v>777</v>
      </c>
      <c r="BT418" s="175">
        <f>IF('Advanced Inputs'!J$19="Photon system",10^'Advanced Inputs'!J423,'Advanced Inputs'!J423)</f>
        <v>0</v>
      </c>
      <c r="BV418" s="175">
        <v>777</v>
      </c>
      <c r="BW418" s="73">
        <v>240.29900000000001</v>
      </c>
      <c r="BX418" s="73">
        <v>64.409599999999998</v>
      </c>
      <c r="CC418" s="73">
        <v>1</v>
      </c>
    </row>
    <row r="419" spans="8:81" hidden="1" x14ac:dyDescent="0.2">
      <c r="H419" s="73">
        <v>778</v>
      </c>
      <c r="I419" s="168"/>
      <c r="J419" s="168"/>
      <c r="K419" s="168"/>
      <c r="L419" s="168"/>
      <c r="M419" s="168"/>
      <c r="N419" s="168"/>
      <c r="O419" s="168"/>
      <c r="P419" s="168"/>
      <c r="Q419" s="168"/>
      <c r="R419" s="168"/>
      <c r="S419" s="168">
        <v>0.1018666666666667</v>
      </c>
      <c r="T419" s="168"/>
      <c r="V419" s="73">
        <v>778</v>
      </c>
      <c r="W419" s="168"/>
      <c r="X419" s="168"/>
      <c r="Y419" s="168"/>
      <c r="Z419" s="168"/>
      <c r="AA419" s="168"/>
      <c r="AB419" s="168"/>
      <c r="AC419" s="168"/>
      <c r="AD419" s="168"/>
      <c r="AF419" s="73">
        <v>778</v>
      </c>
      <c r="AG419" s="168"/>
      <c r="AH419" s="168"/>
      <c r="AI419" s="168"/>
      <c r="AJ419" s="168"/>
      <c r="AK419" s="168"/>
      <c r="AL419" s="168"/>
      <c r="AM419" s="168"/>
      <c r="AO419" s="74">
        <v>778</v>
      </c>
      <c r="AP419" s="169"/>
      <c r="AQ419" s="169"/>
      <c r="AR419" s="169">
        <v>0.29658462995105039</v>
      </c>
      <c r="AS419" s="169"/>
      <c r="AT419" s="169"/>
      <c r="AU419" s="169"/>
      <c r="AV419" s="169"/>
      <c r="AW419" s="169"/>
      <c r="AX419" s="169"/>
      <c r="BP419" s="175">
        <f>Inputs!B422</f>
        <v>778</v>
      </c>
      <c r="BQ419" s="175">
        <f>IF(LEFT(Inputs!$C$11,6)="photon",10^Inputs!C422,Inputs!C422)</f>
        <v>8.9491383395441605E-4</v>
      </c>
      <c r="BR419" s="175"/>
      <c r="BS419" s="175">
        <f>'Advanced Inputs'!I424</f>
        <v>778</v>
      </c>
      <c r="BT419" s="175">
        <f>IF('Advanced Inputs'!J$19="Photon system",10^'Advanced Inputs'!J424,'Advanced Inputs'!J424)</f>
        <v>0</v>
      </c>
      <c r="BV419" s="175">
        <v>778</v>
      </c>
      <c r="BW419" s="73">
        <v>240.76</v>
      </c>
      <c r="BX419" s="73">
        <v>64.067300000000003</v>
      </c>
      <c r="CC419" s="73">
        <v>1</v>
      </c>
    </row>
    <row r="420" spans="8:81" hidden="1" x14ac:dyDescent="0.2">
      <c r="H420" s="73">
        <v>779</v>
      </c>
      <c r="I420" s="168"/>
      <c r="J420" s="168"/>
      <c r="K420" s="168"/>
      <c r="L420" s="168"/>
      <c r="M420" s="168"/>
      <c r="N420" s="168"/>
      <c r="O420" s="168"/>
      <c r="P420" s="168"/>
      <c r="Q420" s="168"/>
      <c r="R420" s="168"/>
      <c r="S420" s="168">
        <v>9.6000000000000016E-2</v>
      </c>
      <c r="T420" s="168"/>
      <c r="V420" s="73">
        <v>779</v>
      </c>
      <c r="W420" s="168"/>
      <c r="X420" s="168"/>
      <c r="Y420" s="168"/>
      <c r="Z420" s="168"/>
      <c r="AA420" s="168"/>
      <c r="AB420" s="168"/>
      <c r="AC420" s="168"/>
      <c r="AD420" s="168"/>
      <c r="AF420" s="73">
        <v>779</v>
      </c>
      <c r="AG420" s="168"/>
      <c r="AH420" s="168"/>
      <c r="AI420" s="168"/>
      <c r="AJ420" s="168"/>
      <c r="AK420" s="168"/>
      <c r="AL420" s="168"/>
      <c r="AM420" s="168"/>
      <c r="AO420" s="74">
        <v>779</v>
      </c>
      <c r="AP420" s="169"/>
      <c r="AQ420" s="169"/>
      <c r="AR420" s="169">
        <v>0.288095965998592</v>
      </c>
      <c r="AS420" s="169"/>
      <c r="AT420" s="169"/>
      <c r="AU420" s="169"/>
      <c r="AV420" s="169"/>
      <c r="AW420" s="169"/>
      <c r="AX420" s="169"/>
      <c r="BP420" s="175">
        <f>Inputs!B423</f>
        <v>779</v>
      </c>
      <c r="BQ420" s="175">
        <f>IF(LEFT(Inputs!$C$11,6)="photon",10^Inputs!C423,Inputs!C423)</f>
        <v>8.9991335257985996E-4</v>
      </c>
      <c r="BR420" s="175"/>
      <c r="BS420" s="175">
        <f>'Advanced Inputs'!I425</f>
        <v>779</v>
      </c>
      <c r="BT420" s="175">
        <f>IF('Advanced Inputs'!J$19="Photon system",10^'Advanced Inputs'!J425,'Advanced Inputs'!J425)</f>
        <v>0</v>
      </c>
      <c r="BV420" s="175">
        <v>779</v>
      </c>
      <c r="BW420" s="73">
        <v>241.21899999999999</v>
      </c>
      <c r="BX420" s="73">
        <v>63.725099999999998</v>
      </c>
      <c r="CC420" s="73">
        <v>1</v>
      </c>
    </row>
    <row r="421" spans="8:81" hidden="1" x14ac:dyDescent="0.2">
      <c r="H421" s="73">
        <v>780</v>
      </c>
      <c r="I421" s="168"/>
      <c r="J421" s="168"/>
      <c r="K421" s="168"/>
      <c r="L421" s="168"/>
      <c r="M421" s="168"/>
      <c r="N421" s="168"/>
      <c r="O421" s="168"/>
      <c r="P421" s="168"/>
      <c r="Q421" s="168"/>
      <c r="R421" s="168"/>
      <c r="S421" s="168">
        <v>0.09</v>
      </c>
      <c r="T421" s="168"/>
      <c r="V421" s="73">
        <v>780</v>
      </c>
      <c r="W421" s="168"/>
      <c r="X421" s="168"/>
      <c r="Y421" s="168"/>
      <c r="Z421" s="168"/>
      <c r="AA421" s="168"/>
      <c r="AB421" s="168"/>
      <c r="AC421" s="168"/>
      <c r="AD421" s="168"/>
      <c r="AF421" s="73">
        <v>780</v>
      </c>
      <c r="AG421" s="168"/>
      <c r="AH421" s="168"/>
      <c r="AI421" s="168"/>
      <c r="AJ421" s="168"/>
      <c r="AK421" s="168"/>
      <c r="AL421" s="168"/>
      <c r="AM421" s="168"/>
      <c r="AO421" s="74">
        <v>780</v>
      </c>
      <c r="AP421" s="169"/>
      <c r="AQ421" s="169"/>
      <c r="AR421" s="169">
        <v>0.27985211986121677</v>
      </c>
      <c r="AS421" s="169"/>
      <c r="AT421" s="169"/>
      <c r="AU421" s="169"/>
      <c r="AV421" s="169"/>
      <c r="AW421" s="169"/>
      <c r="AX421" s="169"/>
      <c r="BP421" s="175">
        <f>Inputs!B424</f>
        <v>780</v>
      </c>
      <c r="BQ421" s="175">
        <f>IF(LEFT(Inputs!$C$11,6)="photon",10^Inputs!C424,Inputs!C424)</f>
        <v>8.9991335257985996E-4</v>
      </c>
      <c r="BR421" s="175"/>
      <c r="BS421" s="175">
        <f>'Advanced Inputs'!I426</f>
        <v>780</v>
      </c>
      <c r="BT421" s="175">
        <f>IF('Advanced Inputs'!J$19="Photon system",10^'Advanced Inputs'!J426,'Advanced Inputs'!J426)</f>
        <v>0</v>
      </c>
      <c r="BV421" s="175">
        <v>780</v>
      </c>
      <c r="BW421" s="73">
        <v>241.67500000000001</v>
      </c>
      <c r="BX421" s="73">
        <v>63.382800000000003</v>
      </c>
      <c r="CC421" s="73">
        <v>1</v>
      </c>
    </row>
  </sheetData>
  <sheetProtection password="CAB0" sheet="1" objects="1" scenarios="1"/>
  <sortState xmlns:xlrd2="http://schemas.microsoft.com/office/spreadsheetml/2017/richdata2" ref="B23:B53">
    <sortCondition ref="B20:B50"/>
  </sortState>
  <conditionalFormatting sqref="AP21:AT421">
    <cfRule type="containsText" dxfId="19" priority="5" operator="containsText" text="FAUX">
      <formula>NOT(ISERROR(SEARCH("FAUX",AP21)))</formula>
    </cfRule>
  </conditionalFormatting>
  <conditionalFormatting sqref="AU21:AX421">
    <cfRule type="containsText" dxfId="18" priority="4" operator="containsText" text="FAUX">
      <formula>NOT(ISERROR(SEARCH("FAUX",AU21)))</formula>
    </cfRule>
  </conditionalFormatting>
  <conditionalFormatting sqref="CA21:CB42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7" tint="-0.249977111117893"/>
  </sheetPr>
  <dimension ref="A1:H88"/>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8" width="15.5" style="73" hidden="1" customWidth="1"/>
    <col min="9" max="16384" width="9.1640625" style="73" hidden="1"/>
  </cols>
  <sheetData>
    <row r="1" spans="2:8" ht="25" customHeight="1" x14ac:dyDescent="0.3">
      <c r="B1" s="72" t="str">
        <f>LEFT(Disclaimer!B1,Maintenance!I3)</f>
        <v>CIE S 026 α-opic Toolbox - v1.049a - 2020/11</v>
      </c>
    </row>
    <row r="2" spans="2:8" x14ac:dyDescent="0.2"/>
    <row r="3" spans="2:8" x14ac:dyDescent="0.2">
      <c r="B3" s="145" t="s">
        <v>292</v>
      </c>
      <c r="C3" s="146" t="s">
        <v>234</v>
      </c>
    </row>
    <row r="4" spans="2:8" ht="15" customHeight="1" x14ac:dyDescent="0.2">
      <c r="C4" s="146" t="s">
        <v>235</v>
      </c>
    </row>
    <row r="5" spans="2:8" ht="15" customHeight="1" x14ac:dyDescent="0.2"/>
    <row r="6" spans="2:8" ht="15" hidden="1" customHeight="1" x14ac:dyDescent="0.2">
      <c r="B6" s="73" t="s">
        <v>101</v>
      </c>
    </row>
    <row r="8" spans="2:8" ht="15" hidden="1" customHeight="1" x14ac:dyDescent="0.2">
      <c r="B8" s="73" t="s">
        <v>311</v>
      </c>
      <c r="E8" s="73" t="s">
        <v>178</v>
      </c>
    </row>
    <row r="9" spans="2:8" ht="15" hidden="1" customHeight="1" x14ac:dyDescent="0.25">
      <c r="B9" s="176" t="s">
        <v>5</v>
      </c>
      <c r="C9" s="73">
        <v>6.6260701499999998E-34</v>
      </c>
      <c r="D9" s="73" t="s">
        <v>6</v>
      </c>
      <c r="E9" s="73" t="s">
        <v>255</v>
      </c>
      <c r="F9" s="73">
        <v>683</v>
      </c>
      <c r="G9" s="73" t="s">
        <v>99</v>
      </c>
    </row>
    <row r="10" spans="2:8" ht="15" hidden="1" customHeight="1" x14ac:dyDescent="0.25">
      <c r="B10" s="176" t="s">
        <v>9</v>
      </c>
      <c r="C10" s="73">
        <v>299792458</v>
      </c>
      <c r="D10" s="73" t="s">
        <v>10</v>
      </c>
      <c r="E10" s="73" t="s">
        <v>256</v>
      </c>
      <c r="F10" s="168">
        <f>$C$10/(540000000000000*$C$11*$C$12)</f>
        <v>555.01581409057303</v>
      </c>
      <c r="G10" s="73" t="s">
        <v>12</v>
      </c>
      <c r="H10" s="168"/>
    </row>
    <row r="11" spans="2:8" ht="15" hidden="1" customHeight="1" x14ac:dyDescent="0.25">
      <c r="B11" s="73" t="s">
        <v>11</v>
      </c>
      <c r="C11" s="73">
        <f t="array" ref="C11">INDEX($E$23:$E$35,MATCH(TRUE,EXACT($B$11,$C$23:$C$35),0),0)</f>
        <v>1.0000000000000001E-9</v>
      </c>
      <c r="D11" s="73" t="str">
        <f>" 1"</f>
        <v xml:space="preserve"> 1</v>
      </c>
      <c r="E11" s="73" t="s">
        <v>257</v>
      </c>
      <c r="F11" s="73">
        <f>(F10-555)*Photobiology!J197+(556-F10)</f>
        <v>0.99999773384082091</v>
      </c>
    </row>
    <row r="12" spans="2:8" ht="15" hidden="1" customHeight="1" x14ac:dyDescent="0.25">
      <c r="B12" s="73" t="s">
        <v>258</v>
      </c>
      <c r="C12" s="73">
        <v>1.0002800000000001</v>
      </c>
      <c r="D12" s="73" t="str">
        <f>" 1"</f>
        <v xml:space="preserve"> 1</v>
      </c>
      <c r="E12" s="73" t="s">
        <v>259</v>
      </c>
      <c r="F12" s="73">
        <f>F9/F11</f>
        <v>683.00154779022682</v>
      </c>
      <c r="G12" s="73" t="s">
        <v>99</v>
      </c>
    </row>
    <row r="14" spans="2:8" ht="15" hidden="1" customHeight="1" x14ac:dyDescent="0.2">
      <c r="B14" s="73" t="s">
        <v>172</v>
      </c>
    </row>
    <row r="15" spans="2:8" ht="15" hidden="1" customHeight="1" x14ac:dyDescent="0.2">
      <c r="B15" s="73" t="s">
        <v>21</v>
      </c>
      <c r="C15" s="73" t="s">
        <v>299</v>
      </c>
      <c r="D15" s="73" t="s">
        <v>7</v>
      </c>
      <c r="E15" s="73" t="s">
        <v>22</v>
      </c>
      <c r="G15" s="177"/>
    </row>
    <row r="16" spans="2:8" ht="15" hidden="1" customHeight="1" x14ac:dyDescent="0.2">
      <c r="C16" s="181"/>
      <c r="E16" s="178">
        <v>1</v>
      </c>
    </row>
    <row r="17" spans="2:5" ht="15" hidden="1" customHeight="1" x14ac:dyDescent="0.2">
      <c r="B17" s="73">
        <v>99</v>
      </c>
      <c r="C17" s="181" t="s">
        <v>9</v>
      </c>
      <c r="D17" s="73" t="s">
        <v>106</v>
      </c>
      <c r="E17" s="178">
        <v>0.01</v>
      </c>
    </row>
    <row r="18" spans="2:5" ht="15" hidden="1" customHeight="1" x14ac:dyDescent="0.2">
      <c r="B18" s="73">
        <v>109</v>
      </c>
      <c r="C18" s="181" t="s">
        <v>8</v>
      </c>
      <c r="D18" s="73" t="s">
        <v>35</v>
      </c>
      <c r="E18" s="178">
        <v>1E-3</v>
      </c>
    </row>
    <row r="19" spans="2:5" ht="15" hidden="1" customHeight="1" x14ac:dyDescent="0.2">
      <c r="B19" s="73">
        <v>181</v>
      </c>
      <c r="C19" s="181" t="s">
        <v>36</v>
      </c>
      <c r="D19" s="73" t="s">
        <v>37</v>
      </c>
      <c r="E19" s="178">
        <v>9.9999999999999995E-7</v>
      </c>
    </row>
    <row r="21" spans="2:5" ht="15" hidden="1" customHeight="1" x14ac:dyDescent="0.2">
      <c r="B21" s="73" t="s">
        <v>18</v>
      </c>
    </row>
    <row r="22" spans="2:5" ht="15" hidden="1" customHeight="1" x14ac:dyDescent="0.2">
      <c r="B22" s="73" t="s">
        <v>21</v>
      </c>
      <c r="C22" s="73" t="s">
        <v>300</v>
      </c>
      <c r="D22" s="73" t="s">
        <v>7</v>
      </c>
      <c r="E22" s="73" t="s">
        <v>22</v>
      </c>
    </row>
    <row r="23" spans="2:5" ht="15" hidden="1" customHeight="1" x14ac:dyDescent="0.2">
      <c r="B23" s="73">
        <v>69</v>
      </c>
      <c r="C23" s="181" t="s">
        <v>23</v>
      </c>
      <c r="D23" s="73" t="s">
        <v>24</v>
      </c>
      <c r="E23" s="178">
        <v>1E+18</v>
      </c>
    </row>
    <row r="24" spans="2:5" ht="15" hidden="1" customHeight="1" x14ac:dyDescent="0.2">
      <c r="B24" s="73">
        <v>80</v>
      </c>
      <c r="C24" s="181" t="s">
        <v>25</v>
      </c>
      <c r="D24" s="73" t="s">
        <v>26</v>
      </c>
      <c r="E24" s="178">
        <v>1000000000000000</v>
      </c>
    </row>
    <row r="25" spans="2:5" ht="15" hidden="1" customHeight="1" x14ac:dyDescent="0.2">
      <c r="B25" s="73">
        <v>84</v>
      </c>
      <c r="C25" s="181" t="s">
        <v>27</v>
      </c>
      <c r="D25" s="73" t="s">
        <v>28</v>
      </c>
      <c r="E25" s="178">
        <v>1000000000000</v>
      </c>
    </row>
    <row r="26" spans="2:5" ht="15" hidden="1" customHeight="1" x14ac:dyDescent="0.2">
      <c r="B26" s="73">
        <v>71</v>
      </c>
      <c r="C26" s="181" t="s">
        <v>29</v>
      </c>
      <c r="D26" s="73" t="s">
        <v>30</v>
      </c>
      <c r="E26" s="178">
        <v>1000000000</v>
      </c>
    </row>
    <row r="27" spans="2:5" ht="15" hidden="1" customHeight="1" x14ac:dyDescent="0.2">
      <c r="B27" s="73">
        <v>77</v>
      </c>
      <c r="C27" s="181" t="s">
        <v>31</v>
      </c>
      <c r="D27" s="73" t="s">
        <v>32</v>
      </c>
      <c r="E27" s="178">
        <v>1000000</v>
      </c>
    </row>
    <row r="28" spans="2:5" ht="15" hidden="1" customHeight="1" x14ac:dyDescent="0.2">
      <c r="B28" s="73">
        <v>107</v>
      </c>
      <c r="C28" s="181" t="s">
        <v>33</v>
      </c>
      <c r="D28" s="73" t="s">
        <v>34</v>
      </c>
      <c r="E28" s="178">
        <v>1000</v>
      </c>
    </row>
    <row r="29" spans="2:5" ht="15" hidden="1" customHeight="1" x14ac:dyDescent="0.2">
      <c r="C29" s="181"/>
      <c r="E29" s="178">
        <v>1</v>
      </c>
    </row>
    <row r="30" spans="2:5" ht="15" hidden="1" customHeight="1" x14ac:dyDescent="0.2">
      <c r="B30" s="73">
        <v>109</v>
      </c>
      <c r="C30" s="181" t="s">
        <v>8</v>
      </c>
      <c r="D30" s="73" t="s">
        <v>35</v>
      </c>
      <c r="E30" s="178">
        <v>1E-3</v>
      </c>
    </row>
    <row r="31" spans="2:5" ht="15" hidden="1" customHeight="1" x14ac:dyDescent="0.2">
      <c r="B31" s="73">
        <v>181</v>
      </c>
      <c r="C31" s="181" t="s">
        <v>36</v>
      </c>
      <c r="D31" s="73" t="s">
        <v>37</v>
      </c>
      <c r="E31" s="178">
        <v>9.9999999999999995E-7</v>
      </c>
    </row>
    <row r="32" spans="2:5" ht="15" hidden="1" customHeight="1" x14ac:dyDescent="0.2">
      <c r="B32" s="73">
        <v>110</v>
      </c>
      <c r="C32" s="181" t="s">
        <v>11</v>
      </c>
      <c r="D32" s="73" t="s">
        <v>38</v>
      </c>
      <c r="E32" s="178">
        <v>1.0000000000000001E-9</v>
      </c>
    </row>
    <row r="33" spans="2:7" ht="15" hidden="1" customHeight="1" x14ac:dyDescent="0.2">
      <c r="B33" s="73">
        <v>112</v>
      </c>
      <c r="C33" s="181" t="s">
        <v>39</v>
      </c>
      <c r="D33" s="73" t="s">
        <v>40</v>
      </c>
      <c r="E33" s="178">
        <v>9.9999999999999998E-13</v>
      </c>
    </row>
    <row r="34" spans="2:7" ht="15" hidden="1" customHeight="1" x14ac:dyDescent="0.2">
      <c r="B34" s="73">
        <v>102</v>
      </c>
      <c r="C34" s="181" t="s">
        <v>41</v>
      </c>
      <c r="D34" s="73" t="s">
        <v>42</v>
      </c>
      <c r="E34" s="178">
        <v>1.0000000000000001E-15</v>
      </c>
    </row>
    <row r="35" spans="2:7" ht="15" hidden="1" customHeight="1" x14ac:dyDescent="0.2">
      <c r="B35" s="73">
        <v>97</v>
      </c>
      <c r="C35" s="181" t="s">
        <v>43</v>
      </c>
      <c r="D35" s="73" t="s">
        <v>44</v>
      </c>
      <c r="E35" s="178">
        <v>1.0000000000000001E-18</v>
      </c>
    </row>
    <row r="37" spans="2:7" ht="15" hidden="1" customHeight="1" x14ac:dyDescent="0.2">
      <c r="B37" s="73" t="s">
        <v>211</v>
      </c>
    </row>
    <row r="38" spans="2:7" ht="15" hidden="1" customHeight="1" x14ac:dyDescent="0.2">
      <c r="B38" s="73" t="s">
        <v>45</v>
      </c>
      <c r="C38" s="73" t="s">
        <v>46</v>
      </c>
      <c r="D38" s="73" t="s">
        <v>45</v>
      </c>
      <c r="E38" s="73" t="s">
        <v>46</v>
      </c>
      <c r="F38" s="73" t="s">
        <v>45</v>
      </c>
      <c r="G38" s="73" t="s">
        <v>46</v>
      </c>
    </row>
    <row r="39" spans="2:7" ht="15" hidden="1" customHeight="1" x14ac:dyDescent="0.2">
      <c r="B39" s="73" t="s">
        <v>92</v>
      </c>
      <c r="C39" s="73" t="s">
        <v>85</v>
      </c>
      <c r="D39" s="73" t="s">
        <v>47</v>
      </c>
      <c r="E39" s="73" t="s">
        <v>48</v>
      </c>
      <c r="F39" s="73" t="s">
        <v>49</v>
      </c>
      <c r="G39" s="73" t="s">
        <v>50</v>
      </c>
    </row>
    <row r="40" spans="2:7" ht="15" hidden="1" customHeight="1" x14ac:dyDescent="0.2">
      <c r="B40" s="73" t="s">
        <v>90</v>
      </c>
      <c r="C40" s="73" t="s">
        <v>86</v>
      </c>
      <c r="D40" s="73" t="s">
        <v>4</v>
      </c>
      <c r="E40" s="73" t="s">
        <v>51</v>
      </c>
      <c r="F40" s="73" t="s">
        <v>52</v>
      </c>
      <c r="G40" s="73" t="s">
        <v>53</v>
      </c>
    </row>
    <row r="41" spans="2:7" ht="15" hidden="1" customHeight="1" x14ac:dyDescent="0.2">
      <c r="B41" s="73" t="s">
        <v>91</v>
      </c>
      <c r="C41" s="73" t="s">
        <v>87</v>
      </c>
      <c r="D41" s="73" t="s">
        <v>54</v>
      </c>
      <c r="E41" s="73" t="s">
        <v>55</v>
      </c>
      <c r="F41" s="73" t="s">
        <v>56</v>
      </c>
      <c r="G41" s="73" t="s">
        <v>57</v>
      </c>
    </row>
    <row r="42" spans="2:7" ht="15" hidden="1" customHeight="1" x14ac:dyDescent="0.2">
      <c r="B42" s="73" t="s">
        <v>94</v>
      </c>
      <c r="C42" s="73" t="s">
        <v>88</v>
      </c>
      <c r="D42" s="73" t="s">
        <v>58</v>
      </c>
      <c r="E42" s="73" t="s">
        <v>59</v>
      </c>
      <c r="F42" s="73" t="s">
        <v>60</v>
      </c>
      <c r="G42" s="73" t="s">
        <v>61</v>
      </c>
    </row>
    <row r="43" spans="2:7" ht="15" hidden="1" customHeight="1" x14ac:dyDescent="0.2">
      <c r="B43" s="73" t="s">
        <v>93</v>
      </c>
      <c r="C43" s="73" t="s">
        <v>89</v>
      </c>
      <c r="D43" s="73" t="s">
        <v>62</v>
      </c>
      <c r="E43" s="73" t="s">
        <v>63</v>
      </c>
      <c r="F43" s="73" t="s">
        <v>64</v>
      </c>
      <c r="G43" s="73" t="s">
        <v>65</v>
      </c>
    </row>
    <row r="44" spans="2:7" ht="15" hidden="1" customHeight="1" x14ac:dyDescent="0.2">
      <c r="B44" s="73" t="s">
        <v>95</v>
      </c>
      <c r="C44" s="73">
        <v>1</v>
      </c>
      <c r="D44" s="73" t="s">
        <v>66</v>
      </c>
      <c r="E44" s="73" t="s">
        <v>19</v>
      </c>
      <c r="F44" s="73" t="s">
        <v>67</v>
      </c>
      <c r="G44" s="73" t="s">
        <v>68</v>
      </c>
    </row>
    <row r="46" spans="2:7" ht="15" hidden="1" customHeight="1" x14ac:dyDescent="0.2">
      <c r="B46" s="73" t="s">
        <v>324</v>
      </c>
    </row>
    <row r="47" spans="2:7" ht="15" hidden="1" customHeight="1" x14ac:dyDescent="0.2">
      <c r="B47" s="73" t="str">
        <f t="shared" ref="B47:G47" si="0">INDEX(B$39:B$44,$C$63,1)</f>
        <v>photon irradiance</v>
      </c>
      <c r="C47" s="73" t="str">
        <f t="shared" si="0"/>
        <v>s-1.m-2</v>
      </c>
      <c r="D47" s="73" t="str">
        <f t="shared" si="0"/>
        <v>irradiance</v>
      </c>
      <c r="E47" s="73" t="str">
        <f t="shared" si="0"/>
        <v>W.m-2</v>
      </c>
      <c r="F47" s="73" t="str">
        <f t="shared" si="0"/>
        <v>illuminance</v>
      </c>
      <c r="G47" s="73" t="str">
        <f t="shared" si="0"/>
        <v>lx</v>
      </c>
    </row>
    <row r="48" spans="2:7" ht="15" hidden="1" customHeight="1" x14ac:dyDescent="0.2">
      <c r="B48" s="73" t="str">
        <f>B47</f>
        <v>photon irradiance</v>
      </c>
      <c r="C48" s="73" t="str">
        <f>SUBSTITUTE(C47,"m-2",'Advanced Outputs'!$J$11&amp;"m-2")</f>
        <v>s-1.cm-2</v>
      </c>
      <c r="D48" s="73" t="str">
        <f>D47</f>
        <v>irradiance</v>
      </c>
      <c r="E48" s="73" t="str">
        <f>SUBSTITUTE(SUBSTITUTE('Advanced Outputs'!$F$10,0,"")&amp;E47,"m-2",'Advanced Outputs'!$F$11&amp;"m-2")</f>
        <v>µW.cm-2</v>
      </c>
      <c r="F48" s="73" t="str">
        <f>F47</f>
        <v>illuminance</v>
      </c>
      <c r="G48" s="73" t="str">
        <f>SUBSTITUTE(SUBSTITUTE('Advanced Outputs'!$H$10,0,"")&amp;G47,"m-2",'Advanced Outputs'!$H$11&amp;"m-2")</f>
        <v>klx</v>
      </c>
    </row>
    <row r="50" spans="2:6" ht="15" hidden="1" customHeight="1" x14ac:dyDescent="0.2">
      <c r="B50" s="73" t="s">
        <v>214</v>
      </c>
    </row>
    <row r="51" spans="2:6" ht="15" hidden="1" customHeight="1" x14ac:dyDescent="0.2">
      <c r="B51" s="73" t="s">
        <v>298</v>
      </c>
      <c r="C51" s="73" t="s">
        <v>180</v>
      </c>
      <c r="D51" s="73" t="s">
        <v>179</v>
      </c>
      <c r="E51" s="73" t="s">
        <v>168</v>
      </c>
      <c r="F51" s="73" t="s">
        <v>184</v>
      </c>
    </row>
    <row r="52" spans="2:6" ht="15" hidden="1" customHeight="1" x14ac:dyDescent="0.2">
      <c r="B52" s="181" t="s">
        <v>90</v>
      </c>
      <c r="C52" s="73" t="s">
        <v>86</v>
      </c>
      <c r="D52" s="73" t="str">
        <f>"log ("&amp;SUBSTITUTE($C$61&amp;$C52,"m-2",$C$62&amp;"m-2")&amp;")"</f>
        <v>log (s-1.m-2.sr-1)</v>
      </c>
      <c r="E52" s="73" t="s">
        <v>167</v>
      </c>
      <c r="F52" s="73" t="str">
        <f>SUBSTITUTE($C$61&amp;$C52,"m-2",$C$62&amp;"m-2")&amp;".nm-1"</f>
        <v>s-1.m-2.sr-1.nm-1</v>
      </c>
    </row>
    <row r="53" spans="2:6" ht="15" hidden="1" customHeight="1" x14ac:dyDescent="0.2">
      <c r="B53" s="181" t="s">
        <v>91</v>
      </c>
      <c r="C53" s="73" t="s">
        <v>87</v>
      </c>
      <c r="D53" s="73" t="str">
        <f>"log ("&amp;SUBSTITUTE($C$61&amp;$C53,"m-2",$C$62&amp;"m-2")&amp;")"</f>
        <v>log (s-1.m-2)</v>
      </c>
      <c r="E53" s="73" t="s">
        <v>167</v>
      </c>
      <c r="F53" s="73" t="str">
        <f>SUBSTITUTE($C$61&amp;$C53,"m-2",$C$62&amp;"m-2")&amp;".nm-1"</f>
        <v>s-1.m-2.nm-1</v>
      </c>
    </row>
    <row r="54" spans="2:6" ht="15" hidden="1" customHeight="1" x14ac:dyDescent="0.2">
      <c r="B54" s="181" t="s">
        <v>4</v>
      </c>
      <c r="C54" s="73" t="s">
        <v>51</v>
      </c>
      <c r="D54" s="73" t="str">
        <f>SUBSTITUTE($C$61&amp;$C54,"m-2",$C$62&amp;"m-2")</f>
        <v>W.m-2.sr-1</v>
      </c>
      <c r="E54" s="73" t="s">
        <v>165</v>
      </c>
      <c r="F54" s="73" t="str">
        <f>SUBSTITUTE($C$61&amp;$C54,"m-2",$C$62&amp;"m-2")&amp;".nm-1"</f>
        <v>W.m-2.sr-1.nm-1</v>
      </c>
    </row>
    <row r="55" spans="2:6" ht="15" hidden="1" customHeight="1" x14ac:dyDescent="0.2">
      <c r="B55" s="181" t="s">
        <v>54</v>
      </c>
      <c r="C55" s="73" t="s">
        <v>55</v>
      </c>
      <c r="D55" s="73" t="str">
        <f>SUBSTITUTE($C$61&amp;$C55,"m-2",$C$62&amp;"m-2")</f>
        <v>W.m-2</v>
      </c>
      <c r="E55" s="73" t="s">
        <v>165</v>
      </c>
      <c r="F55" s="73" t="str">
        <f>SUBSTITUTE($C$61&amp;$C55,"m-2",$C$62&amp;"m-2")&amp;".nm-1"</f>
        <v>W.m-2.nm-1</v>
      </c>
    </row>
    <row r="56" spans="2:6" ht="15" hidden="1" customHeight="1" x14ac:dyDescent="0.2">
      <c r="B56" s="181" t="s">
        <v>52</v>
      </c>
      <c r="C56" s="73" t="s">
        <v>53</v>
      </c>
      <c r="D56" s="73" t="str">
        <f>SUBSTITUTE($C$61&amp;$C56,"m-2",$C$62&amp;"m-2")</f>
        <v>cd.m-2</v>
      </c>
      <c r="E56" s="73" t="s">
        <v>171</v>
      </c>
      <c r="F56" s="73" t="s">
        <v>70</v>
      </c>
    </row>
    <row r="57" spans="2:6" ht="15" hidden="1" customHeight="1" x14ac:dyDescent="0.2">
      <c r="B57" s="181" t="s">
        <v>56</v>
      </c>
      <c r="C57" s="73" t="s">
        <v>57</v>
      </c>
      <c r="D57" s="73" t="str">
        <f>SUBSTITUTE($C$61&amp;$C57,"m-2",$C$62&amp;"m-2")</f>
        <v>lx</v>
      </c>
      <c r="E57" s="73" t="s">
        <v>171</v>
      </c>
      <c r="F57" s="73" t="s">
        <v>70</v>
      </c>
    </row>
    <row r="59" spans="2:6" ht="15" hidden="1" customHeight="1" x14ac:dyDescent="0.2">
      <c r="B59" s="73" t="s">
        <v>212</v>
      </c>
      <c r="C59" s="73" t="s">
        <v>183</v>
      </c>
      <c r="E59" s="73" t="s">
        <v>213</v>
      </c>
    </row>
    <row r="60" spans="2:6" ht="15" hidden="1" customHeight="1" x14ac:dyDescent="0.2">
      <c r="B60" s="73" t="s">
        <v>3</v>
      </c>
      <c r="C60" s="74" t="str">
        <f>SUBSTITUTE(Inputs!$C11,0,"")</f>
        <v>irradiance</v>
      </c>
      <c r="E60" s="181" t="s">
        <v>167</v>
      </c>
      <c r="F60" s="73" t="str">
        <f>INDEX($F$52:$F$57,$C$63-1,1)</f>
        <v>s-1.m-2.nm-1</v>
      </c>
    </row>
    <row r="61" spans="2:6" ht="15" hidden="1" customHeight="1" x14ac:dyDescent="0.2">
      <c r="B61" s="73" t="s">
        <v>7</v>
      </c>
      <c r="C61" s="74" t="str">
        <f>SUBSTITUTE(IF(LEFT(Inputs!$C$11,6)="photon","",Inputs!$C12),0,"")</f>
        <v/>
      </c>
      <c r="E61" s="181" t="s">
        <v>165</v>
      </c>
      <c r="F61" s="73" t="str">
        <f>INDEX($F$52:$F$57,$C$63+1,1)</f>
        <v>W.m-2.nm-1</v>
      </c>
    </row>
    <row r="62" spans="2:6" ht="15" hidden="1" customHeight="1" x14ac:dyDescent="0.2">
      <c r="B62" s="73" t="s">
        <v>105</v>
      </c>
      <c r="C62" s="74" t="str">
        <f>SUBSTITUTE(IF(Inputs!C$11="illuminance","",Inputs!$C13),0,"")</f>
        <v/>
      </c>
      <c r="E62" s="73" t="s">
        <v>171</v>
      </c>
    </row>
    <row r="63" spans="2:6" ht="15" hidden="1" customHeight="1" x14ac:dyDescent="0.2">
      <c r="B63" s="73" t="s">
        <v>185</v>
      </c>
      <c r="C63" s="73">
        <f>MAX(2,1+LEN(SUBSTITUTE($C60,"i","ii"))-LEN($C60))</f>
        <v>3</v>
      </c>
      <c r="D63" s="73" t="s">
        <v>186</v>
      </c>
    </row>
    <row r="64" spans="2:6" ht="15" hidden="1" customHeight="1" x14ac:dyDescent="0.2">
      <c r="B64" s="73" t="s">
        <v>189</v>
      </c>
      <c r="C64" s="74" t="str">
        <f>VLOOKUP($C$60,$B$52:$E$57,4,0)</f>
        <v>Radiometric</v>
      </c>
    </row>
    <row r="65" spans="2:4" ht="15" hidden="1" customHeight="1" x14ac:dyDescent="0.2">
      <c r="B65" s="73" t="s">
        <v>188</v>
      </c>
      <c r="C65" s="74" t="str">
        <f>IF(LEFT($C$60,6)="photon","Photon system","Radiometric")</f>
        <v>Radiometric</v>
      </c>
    </row>
    <row r="66" spans="2:4" ht="15" hidden="1" customHeight="1" x14ac:dyDescent="0.2">
      <c r="B66" s="73" t="s">
        <v>173</v>
      </c>
      <c r="C66" s="74" t="str">
        <f>IF('Advanced Inputs'!$J$15="UserRef",'Advanced Inputs'!$J$19,"Radiometric")</f>
        <v>Radiometric</v>
      </c>
    </row>
    <row r="67" spans="2:4" ht="15" hidden="1" customHeight="1" x14ac:dyDescent="0.2">
      <c r="B67" s="73" t="s">
        <v>297</v>
      </c>
      <c r="C67" s="73" t="str">
        <f>Inputs!$C$11</f>
        <v>irradiance</v>
      </c>
      <c r="D67" s="73" t="str">
        <f>VLOOKUP(C67,$B$52:$D$57,3,0)</f>
        <v>W.m-2</v>
      </c>
    </row>
    <row r="83" spans="2:2" ht="15" hidden="1" customHeight="1" x14ac:dyDescent="0.3">
      <c r="B83" s="162"/>
    </row>
    <row r="84" spans="2:2" ht="15" hidden="1" customHeight="1" x14ac:dyDescent="0.3">
      <c r="B84" s="162"/>
    </row>
    <row r="85" spans="2:2" ht="15" hidden="1" customHeight="1" x14ac:dyDescent="0.3">
      <c r="B85" s="162"/>
    </row>
    <row r="87" spans="2:2" ht="15" hidden="1" customHeight="1" x14ac:dyDescent="0.3">
      <c r="B87" s="162"/>
    </row>
    <row r="88" spans="2:2" ht="15" hidden="1" customHeight="1" x14ac:dyDescent="0.3">
      <c r="B88" s="162"/>
    </row>
  </sheetData>
  <sheetProtection password="CAB0" sheet="1" objects="1" scenario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7" tint="-0.249977111117893"/>
  </sheetPr>
  <dimension ref="A1:AT421"/>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46" width="5.6640625" style="73" hidden="1" customWidth="1"/>
    <col min="47" max="16384" width="8.6640625" style="73" hidden="1"/>
  </cols>
  <sheetData>
    <row r="1" spans="2:40" ht="25" customHeight="1" x14ac:dyDescent="0.3">
      <c r="B1" s="72" t="str">
        <f>LEFT(Disclaimer!B1,Maintenance!I3)</f>
        <v>CIE S 026 α-opic Toolbox - v1.049a - 2020/11</v>
      </c>
    </row>
    <row r="2" spans="2:40" x14ac:dyDescent="0.2">
      <c r="I2" s="73" t="s">
        <v>291</v>
      </c>
      <c r="L2" s="73" t="s">
        <v>295</v>
      </c>
    </row>
    <row r="3" spans="2:40" x14ac:dyDescent="0.2">
      <c r="B3" s="145" t="s">
        <v>293</v>
      </c>
      <c r="C3" s="146" t="s">
        <v>234</v>
      </c>
      <c r="L3" s="181" t="s">
        <v>195</v>
      </c>
    </row>
    <row r="4" spans="2:40" ht="15" customHeight="1" x14ac:dyDescent="0.2">
      <c r="C4" s="146" t="s">
        <v>235</v>
      </c>
      <c r="L4" s="181" t="s">
        <v>306</v>
      </c>
    </row>
    <row r="5" spans="2:40" ht="15" customHeight="1" x14ac:dyDescent="0.2">
      <c r="O5" s="76"/>
      <c r="P5" s="76"/>
      <c r="Q5" s="76"/>
      <c r="V5" s="76"/>
      <c r="W5" s="76"/>
      <c r="X5" s="76"/>
      <c r="AC5" s="76"/>
      <c r="AD5" s="76"/>
      <c r="AE5" s="76"/>
    </row>
    <row r="6" spans="2:40" ht="15" hidden="1" customHeight="1" x14ac:dyDescent="0.2">
      <c r="I6" s="73" t="s">
        <v>97</v>
      </c>
      <c r="L6" s="73" t="s">
        <v>96</v>
      </c>
      <c r="O6" s="76"/>
      <c r="P6" s="76"/>
      <c r="Q6" s="76"/>
      <c r="S6" s="73" t="s">
        <v>96</v>
      </c>
      <c r="V6" s="76"/>
      <c r="W6" s="76"/>
      <c r="X6" s="76"/>
      <c r="Z6" s="73" t="s">
        <v>96</v>
      </c>
      <c r="AC6" s="76"/>
      <c r="AD6" s="76"/>
      <c r="AE6" s="76"/>
      <c r="AG6" s="73" t="s">
        <v>1</v>
      </c>
      <c r="AN6" s="73" t="s">
        <v>2</v>
      </c>
    </row>
    <row r="7" spans="2:40" ht="15" hidden="1" customHeight="1" x14ac:dyDescent="0.2">
      <c r="L7" s="73" t="s">
        <v>175</v>
      </c>
      <c r="S7" s="73" t="s">
        <v>306</v>
      </c>
      <c r="Z7" s="73" t="s">
        <v>192</v>
      </c>
      <c r="AA7" s="73" t="str">
        <f>'Advanced Inputs'!J11</f>
        <v>CIE S 026</v>
      </c>
    </row>
    <row r="8" spans="2:40" ht="15" hidden="1" customHeight="1" x14ac:dyDescent="0.2">
      <c r="Z8" s="73" t="s">
        <v>193</v>
      </c>
      <c r="AA8" s="73">
        <f>IF($AA$7=Photobiology!$L$4,COLUMN(S1)-COLUMN(L1),0)</f>
        <v>0</v>
      </c>
    </row>
    <row r="9" spans="2:40" ht="15" hidden="1" customHeight="1" x14ac:dyDescent="0.25">
      <c r="C9" s="73" t="s">
        <v>348</v>
      </c>
      <c r="S9" s="73" t="s">
        <v>177</v>
      </c>
    </row>
    <row r="10" spans="2:40" ht="15" hidden="1" customHeight="1" x14ac:dyDescent="0.2">
      <c r="C10" s="216" t="s">
        <v>73</v>
      </c>
      <c r="D10" s="215">
        <v>0.81728964488321343</v>
      </c>
      <c r="E10" s="146" t="s">
        <v>347</v>
      </c>
    </row>
    <row r="11" spans="2:40" ht="15" hidden="1" customHeight="1" x14ac:dyDescent="0.25">
      <c r="C11" s="217" t="s">
        <v>74</v>
      </c>
      <c r="D11" s="215">
        <v>1.4558263388165291</v>
      </c>
      <c r="E11" s="146" t="s">
        <v>347</v>
      </c>
      <c r="L11" s="73" t="s">
        <v>104</v>
      </c>
      <c r="S11" s="73" t="s">
        <v>176</v>
      </c>
      <c r="Z11" s="73" t="s">
        <v>104</v>
      </c>
      <c r="AG11" s="73" t="s">
        <v>98</v>
      </c>
      <c r="AH11" s="136">
        <f ca="1">MAX(AH21:AH421)</f>
        <v>2.2349843400447426E-3</v>
      </c>
      <c r="AI11" s="136">
        <f ca="1">MAX(AI21:AI421)</f>
        <v>1.8498722222222222E-3</v>
      </c>
      <c r="AJ11" s="136">
        <f ca="1">MAX(AJ21:AJ421)</f>
        <v>1.7645646017699114E-3</v>
      </c>
      <c r="AK11" s="136">
        <f ca="1">MAX(AK21:AK421)</f>
        <v>1.9781746031746032E-3</v>
      </c>
      <c r="AL11" s="136">
        <f ca="1">MAX(AL21:AL421)</f>
        <v>2.0450983606557379E-3</v>
      </c>
      <c r="AN11" s="73" t="s">
        <v>301</v>
      </c>
    </row>
    <row r="12" spans="2:40" ht="15" hidden="1" customHeight="1" x14ac:dyDescent="0.2">
      <c r="C12" s="218" t="s">
        <v>75</v>
      </c>
      <c r="D12" s="215">
        <v>1.6289077658903899</v>
      </c>
      <c r="E12" s="146" t="s">
        <v>347</v>
      </c>
    </row>
    <row r="13" spans="2:40" ht="15" hidden="1" customHeight="1" x14ac:dyDescent="0.2">
      <c r="C13" s="219" t="s">
        <v>76</v>
      </c>
      <c r="D13" s="215">
        <v>1.4497035760558958</v>
      </c>
      <c r="E13" s="146" t="s">
        <v>347</v>
      </c>
    </row>
    <row r="14" spans="2:40" ht="15" hidden="1" customHeight="1" x14ac:dyDescent="0.2">
      <c r="C14" s="220" t="s">
        <v>77</v>
      </c>
      <c r="D14" s="215">
        <v>1.32621318911359</v>
      </c>
      <c r="E14" s="146" t="s">
        <v>347</v>
      </c>
    </row>
    <row r="18" spans="6:45" ht="15" hidden="1" customHeight="1" x14ac:dyDescent="0.2">
      <c r="M18" s="73" t="s">
        <v>73</v>
      </c>
      <c r="N18" s="73" t="s">
        <v>74</v>
      </c>
      <c r="O18" s="73" t="s">
        <v>75</v>
      </c>
      <c r="P18" s="73" t="s">
        <v>76</v>
      </c>
      <c r="Q18" s="73" t="s">
        <v>77</v>
      </c>
      <c r="T18" s="73" t="s">
        <v>302</v>
      </c>
      <c r="U18" s="73" t="s">
        <v>303</v>
      </c>
      <c r="V18" s="73" t="s">
        <v>304</v>
      </c>
      <c r="W18" s="73" t="s">
        <v>76</v>
      </c>
      <c r="X18" s="73" t="s">
        <v>77</v>
      </c>
      <c r="AA18" s="73" t="str">
        <f ca="1">IF(OFFSET(M18,0,$AA$8)=0,"",OFFSET(M18,0,$AA$8))</f>
        <v>S-cone-opic</v>
      </c>
      <c r="AB18" s="73" t="str">
        <f ca="1">IF(OFFSET(N18,0,$AA$8)=0,"",OFFSET(N18,0,$AA$8))</f>
        <v>M-cone-opic</v>
      </c>
      <c r="AC18" s="73" t="str">
        <f ca="1">IF(OFFSET(O18,0,$AA$8)=0,"",OFFSET(O18,0,$AA$8))</f>
        <v>L-cone-opic</v>
      </c>
      <c r="AD18" s="73" t="str">
        <f ca="1">IF(OFFSET(P18,0,$AA$8)=0,"",OFFSET(P18,0,$AA$8))</f>
        <v>Rhodopic</v>
      </c>
      <c r="AE18" s="73" t="str">
        <f ca="1">IF(OFFSET(Q18,0,$AA$8)=0,"",OFFSET(Q18,0,$AA$8))</f>
        <v>Melanopic</v>
      </c>
    </row>
    <row r="20" spans="6:45" ht="15" hidden="1" customHeight="1" x14ac:dyDescent="0.2">
      <c r="F20" s="135"/>
      <c r="I20" s="74" t="s">
        <v>12</v>
      </c>
      <c r="J20" s="73" t="s">
        <v>100</v>
      </c>
      <c r="L20" s="74" t="s">
        <v>12</v>
      </c>
      <c r="M20" s="73" t="s">
        <v>13</v>
      </c>
      <c r="N20" s="73" t="s">
        <v>14</v>
      </c>
      <c r="O20" s="73" t="s">
        <v>15</v>
      </c>
      <c r="P20" s="73" t="s">
        <v>16</v>
      </c>
      <c r="Q20" s="73" t="s">
        <v>17</v>
      </c>
      <c r="S20" s="74" t="s">
        <v>12</v>
      </c>
      <c r="T20" s="73" t="s">
        <v>13</v>
      </c>
      <c r="U20" s="73" t="s">
        <v>14</v>
      </c>
      <c r="V20" s="73" t="s">
        <v>15</v>
      </c>
      <c r="W20" s="73" t="s">
        <v>191</v>
      </c>
      <c r="X20" s="73" t="s">
        <v>190</v>
      </c>
      <c r="Z20" s="74" t="s">
        <v>12</v>
      </c>
      <c r="AA20" s="73" t="str">
        <f ca="1">IF(OFFSET(M20,0,$AA$8)=0,"",OFFSET(M20,0,$AA$8))</f>
        <v>sc</v>
      </c>
      <c r="AB20" s="73" t="str">
        <f ca="1">IF(OFFSET(N20,0,$AA$8)=0,"",OFFSET(N20,0,$AA$8))</f>
        <v>mc</v>
      </c>
      <c r="AC20" s="73" t="str">
        <f ca="1">IF(OFFSET(O20,0,$AA$8)=0,"",OFFSET(O20,0,$AA$8))</f>
        <v>lc</v>
      </c>
      <c r="AD20" s="73" t="str">
        <f ca="1">IF(OFFSET(P20,0,$AA$8)=0,"",OFFSET(P20,0,$AA$8))</f>
        <v>rh</v>
      </c>
      <c r="AE20" s="73" t="str">
        <f ca="1">IF(OFFSET(Q20,0,$AA$8)=0,"",OFFSET(Q20,0,$AA$8))</f>
        <v>mel</v>
      </c>
      <c r="AG20" s="74" t="s">
        <v>12</v>
      </c>
      <c r="AH20" s="73" t="str">
        <f ca="1">AA20</f>
        <v>sc</v>
      </c>
      <c r="AI20" s="73" t="str">
        <f ca="1">AB20</f>
        <v>mc</v>
      </c>
      <c r="AJ20" s="73" t="str">
        <f ca="1">AC20</f>
        <v>lc</v>
      </c>
      <c r="AK20" s="73" t="str">
        <f ca="1">AD20</f>
        <v>rh</v>
      </c>
      <c r="AL20" s="73" t="str">
        <f ca="1">AE20</f>
        <v>mel</v>
      </c>
      <c r="AN20" s="74" t="s">
        <v>12</v>
      </c>
      <c r="AO20" s="73" t="s">
        <v>13</v>
      </c>
      <c r="AP20" s="73" t="s">
        <v>14</v>
      </c>
      <c r="AQ20" s="73" t="s">
        <v>15</v>
      </c>
      <c r="AR20" s="73" t="s">
        <v>16</v>
      </c>
      <c r="AS20" s="73" t="s">
        <v>17</v>
      </c>
    </row>
    <row r="21" spans="6:45" ht="15" hidden="1" customHeight="1" x14ac:dyDescent="0.2">
      <c r="I21" s="74">
        <v>380</v>
      </c>
      <c r="J21" s="137">
        <v>3.8999999999999999E-5</v>
      </c>
      <c r="L21" s="74">
        <v>380</v>
      </c>
      <c r="M21" s="137"/>
      <c r="N21" s="137"/>
      <c r="O21" s="137"/>
      <c r="P21" s="136">
        <v>5.8900000000000001E-4</v>
      </c>
      <c r="Q21" s="137">
        <v>9.1816499999999998E-4</v>
      </c>
      <c r="S21" s="74">
        <v>380</v>
      </c>
      <c r="T21" s="137">
        <v>5.359299155607249E-3</v>
      </c>
      <c r="U21" s="137">
        <v>9.2458320448953336E-4</v>
      </c>
      <c r="V21" s="137">
        <v>8.541752825465223E-4</v>
      </c>
      <c r="W21" s="136">
        <v>1.0657418005009145E-3</v>
      </c>
      <c r="X21" s="137">
        <v>9.1816556309926099E-4</v>
      </c>
      <c r="Z21" s="74">
        <v>380</v>
      </c>
      <c r="AA21" s="137">
        <f t="shared" ref="AA21:AA84" ca="1" si="0">OFFSET(M21,0,$AA$8)</f>
        <v>0</v>
      </c>
      <c r="AB21" s="137">
        <f t="shared" ref="AB21:AB84" ca="1" si="1">OFFSET(N21,0,$AA$8)</f>
        <v>0</v>
      </c>
      <c r="AC21" s="137">
        <f t="shared" ref="AC21:AC84" ca="1" si="2">OFFSET(O21,0,$AA$8)</f>
        <v>0</v>
      </c>
      <c r="AD21" s="137">
        <f t="shared" ref="AD21:AD84" ca="1" si="3">OFFSET(P21,0,$AA$8)</f>
        <v>5.8900000000000001E-4</v>
      </c>
      <c r="AE21" s="137">
        <f t="shared" ref="AE21:AE84" ca="1" si="4">OFFSET(Q21,0,$AA$8)</f>
        <v>9.1816499999999998E-4</v>
      </c>
      <c r="AG21" s="74">
        <v>380</v>
      </c>
      <c r="AH21" s="136">
        <f t="shared" ref="AH21:AH84" ca="1" si="5">AA21/$Z21</f>
        <v>0</v>
      </c>
      <c r="AI21" s="136">
        <f t="shared" ref="AI21:AI84" ca="1" si="6">AB21/$Z21</f>
        <v>0</v>
      </c>
      <c r="AJ21" s="136">
        <f t="shared" ref="AJ21:AJ84" ca="1" si="7">AC21/$Z21</f>
        <v>0</v>
      </c>
      <c r="AK21" s="136">
        <f t="shared" ref="AK21:AK84" ca="1" si="8">AD21/$Z21</f>
        <v>1.55E-6</v>
      </c>
      <c r="AL21" s="136">
        <f t="shared" ref="AL21:AL84" ca="1" si="9">AE21/$Z21</f>
        <v>2.4162236842105264E-6</v>
      </c>
      <c r="AN21" s="74">
        <v>380</v>
      </c>
      <c r="AO21" s="136" t="str">
        <f t="shared" ref="AO21:AO84" ca="1" si="10">IF(AH21=0,"",AH21/AH$11)</f>
        <v/>
      </c>
      <c r="AP21" s="136" t="str">
        <f t="shared" ref="AP21:AP84" ca="1" si="11">IF(AI21=0,"",AI21/AI$11)</f>
        <v/>
      </c>
      <c r="AQ21" s="136" t="str">
        <f t="shared" ref="AQ21:AQ84" ca="1" si="12">IF(AJ21=0,"",AJ21/AJ$11)</f>
        <v/>
      </c>
      <c r="AR21" s="136">
        <f t="shared" ref="AR21:AR84" ca="1" si="13">IF(AK21=0,"",AK21/AK$11)</f>
        <v>7.8355065195586759E-4</v>
      </c>
      <c r="AS21" s="136">
        <f t="shared" ref="AS21:AS84" ca="1" si="14">IF(AL21=0,"",AL21/AL$11)</f>
        <v>1.1814706474244062E-3</v>
      </c>
    </row>
    <row r="22" spans="6:45" ht="15" hidden="1" customHeight="1" x14ac:dyDescent="0.2">
      <c r="I22" s="74">
        <v>381</v>
      </c>
      <c r="J22" s="137">
        <v>4.28264E-5</v>
      </c>
      <c r="L22" s="74">
        <v>381</v>
      </c>
      <c r="M22" s="137"/>
      <c r="N22" s="137"/>
      <c r="O22" s="137"/>
      <c r="P22" s="136">
        <v>6.6500000000000001E-4</v>
      </c>
      <c r="Q22" s="137">
        <v>1.04557E-3</v>
      </c>
      <c r="S22" s="74">
        <v>381</v>
      </c>
      <c r="T22" s="137">
        <v>6.1262258005494313E-3</v>
      </c>
      <c r="U22" s="137">
        <v>1.0321029039633812E-3</v>
      </c>
      <c r="V22" s="137">
        <v>9.5616975009227159E-4</v>
      </c>
      <c r="W22" s="136">
        <v>1.1917824890113943E-3</v>
      </c>
      <c r="X22" s="137">
        <v>1.0328803136570304E-3</v>
      </c>
      <c r="Z22" s="74">
        <v>381</v>
      </c>
      <c r="AA22" s="137">
        <f t="shared" ca="1" si="0"/>
        <v>0</v>
      </c>
      <c r="AB22" s="137">
        <f t="shared" ca="1" si="1"/>
        <v>0</v>
      </c>
      <c r="AC22" s="137">
        <f t="shared" ca="1" si="2"/>
        <v>0</v>
      </c>
      <c r="AD22" s="137">
        <f t="shared" ca="1" si="3"/>
        <v>6.6500000000000001E-4</v>
      </c>
      <c r="AE22" s="137">
        <f t="shared" ca="1" si="4"/>
        <v>1.04557E-3</v>
      </c>
      <c r="AG22" s="74">
        <v>381</v>
      </c>
      <c r="AH22" s="136">
        <f t="shared" ca="1" si="5"/>
        <v>0</v>
      </c>
      <c r="AI22" s="136">
        <f t="shared" ca="1" si="6"/>
        <v>0</v>
      </c>
      <c r="AJ22" s="136">
        <f t="shared" ca="1" si="7"/>
        <v>0</v>
      </c>
      <c r="AK22" s="136">
        <f t="shared" ca="1" si="8"/>
        <v>1.7454068241469816E-6</v>
      </c>
      <c r="AL22" s="136">
        <f t="shared" ca="1" si="9"/>
        <v>2.744278215223097E-6</v>
      </c>
      <c r="AN22" s="74">
        <v>381</v>
      </c>
      <c r="AO22" s="136" t="str">
        <f t="shared" ca="1" si="10"/>
        <v/>
      </c>
      <c r="AP22" s="136" t="str">
        <f t="shared" ca="1" si="11"/>
        <v/>
      </c>
      <c r="AQ22" s="136" t="str">
        <f t="shared" ca="1" si="12"/>
        <v/>
      </c>
      <c r="AR22" s="136">
        <f t="shared" ca="1" si="13"/>
        <v>8.8233203547650823E-4</v>
      </c>
      <c r="AS22" s="136">
        <f t="shared" ca="1" si="14"/>
        <v>1.341880795573654E-3</v>
      </c>
    </row>
    <row r="23" spans="6:45" ht="15" hidden="1" customHeight="1" x14ac:dyDescent="0.2">
      <c r="I23" s="74">
        <v>382</v>
      </c>
      <c r="J23" s="137">
        <v>4.69146E-5</v>
      </c>
      <c r="L23" s="74">
        <v>382</v>
      </c>
      <c r="M23" s="137"/>
      <c r="N23" s="137"/>
      <c r="O23" s="137"/>
      <c r="P23" s="136">
        <v>7.5199999999999996E-4</v>
      </c>
      <c r="Q23" s="137">
        <v>1.17858E-3</v>
      </c>
      <c r="S23" s="74">
        <v>382</v>
      </c>
      <c r="T23" s="137">
        <v>7.0009987482198164E-3</v>
      </c>
      <c r="U23" s="137">
        <v>1.1518448901015103E-3</v>
      </c>
      <c r="V23" s="137">
        <v>1.0699931564553682E-3</v>
      </c>
      <c r="W23" s="136">
        <v>1.333110042392504E-3</v>
      </c>
      <c r="X23" s="137">
        <v>1.1628052930592481E-3</v>
      </c>
      <c r="Z23" s="74">
        <v>382</v>
      </c>
      <c r="AA23" s="137">
        <f t="shared" ca="1" si="0"/>
        <v>0</v>
      </c>
      <c r="AB23" s="137">
        <f t="shared" ca="1" si="1"/>
        <v>0</v>
      </c>
      <c r="AC23" s="137">
        <f t="shared" ca="1" si="2"/>
        <v>0</v>
      </c>
      <c r="AD23" s="137">
        <f t="shared" ca="1" si="3"/>
        <v>7.5199999999999996E-4</v>
      </c>
      <c r="AE23" s="137">
        <f t="shared" ca="1" si="4"/>
        <v>1.17858E-3</v>
      </c>
      <c r="AG23" s="74">
        <v>382</v>
      </c>
      <c r="AH23" s="136">
        <f t="shared" ca="1" si="5"/>
        <v>0</v>
      </c>
      <c r="AI23" s="136">
        <f t="shared" ca="1" si="6"/>
        <v>0</v>
      </c>
      <c r="AJ23" s="136">
        <f t="shared" ca="1" si="7"/>
        <v>0</v>
      </c>
      <c r="AK23" s="136">
        <f t="shared" ca="1" si="8"/>
        <v>1.968586387434555E-6</v>
      </c>
      <c r="AL23" s="136">
        <f t="shared" ca="1" si="9"/>
        <v>3.0852879581151834E-6</v>
      </c>
      <c r="AN23" s="74">
        <v>382</v>
      </c>
      <c r="AO23" s="136" t="str">
        <f t="shared" ca="1" si="10"/>
        <v/>
      </c>
      <c r="AP23" s="136" t="str">
        <f t="shared" ca="1" si="11"/>
        <v/>
      </c>
      <c r="AQ23" s="136" t="str">
        <f t="shared" ca="1" si="12"/>
        <v/>
      </c>
      <c r="AR23" s="136">
        <f t="shared" ca="1" si="13"/>
        <v>9.9515299826180115E-4</v>
      </c>
      <c r="AS23" s="136">
        <f t="shared" ca="1" si="14"/>
        <v>1.5086257059664947E-3</v>
      </c>
    </row>
    <row r="24" spans="6:45" ht="15" hidden="1" customHeight="1" x14ac:dyDescent="0.2">
      <c r="I24" s="74">
        <v>383</v>
      </c>
      <c r="J24" s="137">
        <v>5.1589599999999998E-5</v>
      </c>
      <c r="L24" s="74">
        <v>383</v>
      </c>
      <c r="M24" s="137"/>
      <c r="N24" s="137"/>
      <c r="O24" s="137"/>
      <c r="P24" s="136">
        <v>8.5400000000000005E-4</v>
      </c>
      <c r="Q24" s="137">
        <v>1.3227899999999999E-3</v>
      </c>
      <c r="S24" s="74">
        <v>383</v>
      </c>
      <c r="T24" s="137">
        <v>7.9983793838837424E-3</v>
      </c>
      <c r="U24" s="137">
        <v>1.2851801230107382E-3</v>
      </c>
      <c r="V24" s="137">
        <v>1.1969858045630904E-3</v>
      </c>
      <c r="W24" s="136">
        <v>1.4916811441855078E-3</v>
      </c>
      <c r="X24" s="137">
        <v>1.3101107191660513E-3</v>
      </c>
      <c r="Z24" s="74">
        <v>383</v>
      </c>
      <c r="AA24" s="137">
        <f t="shared" ca="1" si="0"/>
        <v>0</v>
      </c>
      <c r="AB24" s="137">
        <f t="shared" ca="1" si="1"/>
        <v>0</v>
      </c>
      <c r="AC24" s="137">
        <f t="shared" ca="1" si="2"/>
        <v>0</v>
      </c>
      <c r="AD24" s="137">
        <f t="shared" ca="1" si="3"/>
        <v>8.5400000000000005E-4</v>
      </c>
      <c r="AE24" s="137">
        <f t="shared" ca="1" si="4"/>
        <v>1.3227899999999999E-3</v>
      </c>
      <c r="AG24" s="74">
        <v>383</v>
      </c>
      <c r="AH24" s="136">
        <f t="shared" ca="1" si="5"/>
        <v>0</v>
      </c>
      <c r="AI24" s="136">
        <f t="shared" ca="1" si="6"/>
        <v>0</v>
      </c>
      <c r="AJ24" s="136">
        <f t="shared" ca="1" si="7"/>
        <v>0</v>
      </c>
      <c r="AK24" s="136">
        <f t="shared" ca="1" si="8"/>
        <v>2.2297650130548304E-6</v>
      </c>
      <c r="AL24" s="136">
        <f t="shared" ca="1" si="9"/>
        <v>3.453759791122715E-6</v>
      </c>
      <c r="AN24" s="74">
        <v>383</v>
      </c>
      <c r="AO24" s="136" t="str">
        <f t="shared" ca="1" si="10"/>
        <v/>
      </c>
      <c r="AP24" s="136" t="str">
        <f t="shared" ca="1" si="11"/>
        <v/>
      </c>
      <c r="AQ24" s="136" t="str">
        <f t="shared" ca="1" si="12"/>
        <v/>
      </c>
      <c r="AR24" s="136">
        <f t="shared" ca="1" si="13"/>
        <v>1.1271831159274167E-3</v>
      </c>
      <c r="AS24" s="136">
        <f t="shared" ca="1" si="14"/>
        <v>1.6887988654077772E-3</v>
      </c>
    </row>
    <row r="25" spans="6:45" ht="15" hidden="1" customHeight="1" x14ac:dyDescent="0.2">
      <c r="I25" s="74">
        <v>384</v>
      </c>
      <c r="J25" s="137">
        <v>5.7176399999999997E-5</v>
      </c>
      <c r="L25" s="74">
        <v>384</v>
      </c>
      <c r="M25" s="137"/>
      <c r="N25" s="137"/>
      <c r="O25" s="137"/>
      <c r="P25" s="136">
        <v>9.7199999999999999E-4</v>
      </c>
      <c r="Q25" s="137">
        <v>1.4838099999999999E-3</v>
      </c>
      <c r="S25" s="74">
        <v>384</v>
      </c>
      <c r="T25" s="137">
        <v>9.1350514982091752E-3</v>
      </c>
      <c r="U25" s="137">
        <v>1.4336396377378432E-3</v>
      </c>
      <c r="V25" s="137">
        <v>1.3386221286116767E-3</v>
      </c>
      <c r="W25" s="136">
        <v>1.6697328827729085E-3</v>
      </c>
      <c r="X25" s="137">
        <v>1.4772942246679586E-3</v>
      </c>
      <c r="Z25" s="74">
        <v>384</v>
      </c>
      <c r="AA25" s="137">
        <f t="shared" ca="1" si="0"/>
        <v>0</v>
      </c>
      <c r="AB25" s="137">
        <f t="shared" ca="1" si="1"/>
        <v>0</v>
      </c>
      <c r="AC25" s="137">
        <f t="shared" ca="1" si="2"/>
        <v>0</v>
      </c>
      <c r="AD25" s="137">
        <f t="shared" ca="1" si="3"/>
        <v>9.7199999999999999E-4</v>
      </c>
      <c r="AE25" s="137">
        <f t="shared" ca="1" si="4"/>
        <v>1.4838099999999999E-3</v>
      </c>
      <c r="AG25" s="74">
        <v>384</v>
      </c>
      <c r="AH25" s="136">
        <f t="shared" ca="1" si="5"/>
        <v>0</v>
      </c>
      <c r="AI25" s="136">
        <f t="shared" ca="1" si="6"/>
        <v>0</v>
      </c>
      <c r="AJ25" s="136">
        <f t="shared" ca="1" si="7"/>
        <v>0</v>
      </c>
      <c r="AK25" s="136">
        <f t="shared" ca="1" si="8"/>
        <v>2.5312500000000001E-6</v>
      </c>
      <c r="AL25" s="136">
        <f t="shared" ca="1" si="9"/>
        <v>3.8640885416666664E-6</v>
      </c>
      <c r="AN25" s="74">
        <v>384</v>
      </c>
      <c r="AO25" s="136" t="str">
        <f t="shared" ca="1" si="10"/>
        <v/>
      </c>
      <c r="AP25" s="136" t="str">
        <f t="shared" ca="1" si="11"/>
        <v/>
      </c>
      <c r="AQ25" s="136" t="str">
        <f t="shared" ca="1" si="12"/>
        <v/>
      </c>
      <c r="AR25" s="136">
        <f t="shared" ca="1" si="13"/>
        <v>1.2795887662988966E-3</v>
      </c>
      <c r="AS25" s="136">
        <f t="shared" ca="1" si="14"/>
        <v>1.8894389707630932E-3</v>
      </c>
    </row>
    <row r="26" spans="6:45" ht="15" hidden="1" customHeight="1" x14ac:dyDescent="0.2">
      <c r="I26" s="74">
        <v>385</v>
      </c>
      <c r="J26" s="137">
        <v>6.3999999999999997E-5</v>
      </c>
      <c r="L26" s="74">
        <v>385</v>
      </c>
      <c r="M26" s="137"/>
      <c r="N26" s="137"/>
      <c r="O26" s="137"/>
      <c r="P26" s="138">
        <v>1.108E-3</v>
      </c>
      <c r="Q26" s="137">
        <v>1.66724E-3</v>
      </c>
      <c r="S26" s="74">
        <v>385</v>
      </c>
      <c r="T26" s="137">
        <v>1.042987251380653E-2</v>
      </c>
      <c r="U26" s="137">
        <v>1.5989283393316538E-3</v>
      </c>
      <c r="V26" s="137">
        <v>1.4965526489811836E-3</v>
      </c>
      <c r="W26" s="138">
        <v>1.8697993307523995E-3</v>
      </c>
      <c r="X26" s="137">
        <v>1.6672395346115857E-3</v>
      </c>
      <c r="Z26" s="74">
        <v>385</v>
      </c>
      <c r="AA26" s="137">
        <f t="shared" ca="1" si="0"/>
        <v>0</v>
      </c>
      <c r="AB26" s="137">
        <f t="shared" ca="1" si="1"/>
        <v>0</v>
      </c>
      <c r="AC26" s="137">
        <f t="shared" ca="1" si="2"/>
        <v>0</v>
      </c>
      <c r="AD26" s="137">
        <f t="shared" ca="1" si="3"/>
        <v>1.108E-3</v>
      </c>
      <c r="AE26" s="137">
        <f t="shared" ca="1" si="4"/>
        <v>1.66724E-3</v>
      </c>
      <c r="AG26" s="74">
        <v>385</v>
      </c>
      <c r="AH26" s="136">
        <f t="shared" ca="1" si="5"/>
        <v>0</v>
      </c>
      <c r="AI26" s="136">
        <f t="shared" ca="1" si="6"/>
        <v>0</v>
      </c>
      <c r="AJ26" s="136">
        <f t="shared" ca="1" si="7"/>
        <v>0</v>
      </c>
      <c r="AK26" s="136">
        <f t="shared" ca="1" si="8"/>
        <v>2.8779220779220779E-6</v>
      </c>
      <c r="AL26" s="136">
        <f t="shared" ca="1" si="9"/>
        <v>4.3304935064935062E-6</v>
      </c>
      <c r="AN26" s="74">
        <v>385</v>
      </c>
      <c r="AO26" s="136" t="str">
        <f t="shared" ca="1" si="10"/>
        <v/>
      </c>
      <c r="AP26" s="136" t="str">
        <f t="shared" ca="1" si="11"/>
        <v/>
      </c>
      <c r="AQ26" s="136" t="str">
        <f t="shared" ca="1" si="12"/>
        <v/>
      </c>
      <c r="AR26" s="136">
        <f t="shared" ca="1" si="13"/>
        <v>1.4548372389896964E-3</v>
      </c>
      <c r="AS26" s="136">
        <f t="shared" ca="1" si="14"/>
        <v>2.1174988889556307E-3</v>
      </c>
    </row>
    <row r="27" spans="6:45" ht="15" hidden="1" customHeight="1" x14ac:dyDescent="0.2">
      <c r="I27" s="74">
        <v>386</v>
      </c>
      <c r="J27" s="137">
        <v>7.2344209999999998E-5</v>
      </c>
      <c r="L27" s="74">
        <v>386</v>
      </c>
      <c r="M27" s="137"/>
      <c r="N27" s="137"/>
      <c r="O27" s="137"/>
      <c r="P27" s="138">
        <v>1.268E-3</v>
      </c>
      <c r="Q27" s="137">
        <v>1.88102E-3</v>
      </c>
      <c r="S27" s="74">
        <v>386</v>
      </c>
      <c r="T27" s="137">
        <v>1.1904221523931093E-2</v>
      </c>
      <c r="U27" s="137">
        <v>1.782949325699882E-3</v>
      </c>
      <c r="V27" s="137">
        <v>1.6725996439517301E-3</v>
      </c>
      <c r="W27" s="138">
        <v>2.0947972736428217E-3</v>
      </c>
      <c r="X27" s="137">
        <v>1.8832674490729031E-3</v>
      </c>
      <c r="Z27" s="74">
        <v>386</v>
      </c>
      <c r="AA27" s="137">
        <f t="shared" ca="1" si="0"/>
        <v>0</v>
      </c>
      <c r="AB27" s="137">
        <f t="shared" ca="1" si="1"/>
        <v>0</v>
      </c>
      <c r="AC27" s="137">
        <f t="shared" ca="1" si="2"/>
        <v>0</v>
      </c>
      <c r="AD27" s="137">
        <f t="shared" ca="1" si="3"/>
        <v>1.268E-3</v>
      </c>
      <c r="AE27" s="137">
        <f t="shared" ca="1" si="4"/>
        <v>1.88102E-3</v>
      </c>
      <c r="AG27" s="74">
        <v>386</v>
      </c>
      <c r="AH27" s="136">
        <f t="shared" ca="1" si="5"/>
        <v>0</v>
      </c>
      <c r="AI27" s="136">
        <f t="shared" ca="1" si="6"/>
        <v>0</v>
      </c>
      <c r="AJ27" s="136">
        <f t="shared" ca="1" si="7"/>
        <v>0</v>
      </c>
      <c r="AK27" s="136">
        <f t="shared" ca="1" si="8"/>
        <v>3.2849740932642487E-6</v>
      </c>
      <c r="AL27" s="136">
        <f t="shared" ca="1" si="9"/>
        <v>4.8731088082901551E-6</v>
      </c>
      <c r="AN27" s="74">
        <v>386</v>
      </c>
      <c r="AO27" s="136" t="str">
        <f t="shared" ca="1" si="10"/>
        <v/>
      </c>
      <c r="AP27" s="136" t="str">
        <f t="shared" ca="1" si="11"/>
        <v/>
      </c>
      <c r="AQ27" s="136" t="str">
        <f t="shared" ca="1" si="12"/>
        <v/>
      </c>
      <c r="AR27" s="136">
        <f t="shared" ca="1" si="13"/>
        <v>1.6606087693131206E-3</v>
      </c>
      <c r="AS27" s="136">
        <f t="shared" ca="1" si="14"/>
        <v>2.3828236832225749E-3</v>
      </c>
    </row>
    <row r="28" spans="6:45" ht="15" hidden="1" customHeight="1" x14ac:dyDescent="0.2">
      <c r="I28" s="74">
        <v>387</v>
      </c>
      <c r="J28" s="137">
        <v>8.2212239999999995E-5</v>
      </c>
      <c r="L28" s="74">
        <v>387</v>
      </c>
      <c r="M28" s="137"/>
      <c r="N28" s="137"/>
      <c r="O28" s="137"/>
      <c r="P28" s="138">
        <v>1.4530000000000001E-3</v>
      </c>
      <c r="Q28" s="137">
        <v>2.1298900000000002E-3</v>
      </c>
      <c r="S28" s="74">
        <v>387</v>
      </c>
      <c r="T28" s="137">
        <v>1.3582196208590049E-2</v>
      </c>
      <c r="U28" s="137">
        <v>1.9878243215290352E-3</v>
      </c>
      <c r="V28" s="137">
        <v>1.8687921450516521E-3</v>
      </c>
      <c r="W28" s="138">
        <v>2.3480319385289468E-3</v>
      </c>
      <c r="X28" s="137">
        <v>2.129222270464989E-3</v>
      </c>
      <c r="Z28" s="74">
        <v>387</v>
      </c>
      <c r="AA28" s="137">
        <f t="shared" ca="1" si="0"/>
        <v>0</v>
      </c>
      <c r="AB28" s="137">
        <f t="shared" ca="1" si="1"/>
        <v>0</v>
      </c>
      <c r="AC28" s="137">
        <f t="shared" ca="1" si="2"/>
        <v>0</v>
      </c>
      <c r="AD28" s="137">
        <f t="shared" ca="1" si="3"/>
        <v>1.4530000000000001E-3</v>
      </c>
      <c r="AE28" s="137">
        <f t="shared" ca="1" si="4"/>
        <v>2.1298900000000002E-3</v>
      </c>
      <c r="AG28" s="74">
        <v>387</v>
      </c>
      <c r="AH28" s="136">
        <f t="shared" ca="1" si="5"/>
        <v>0</v>
      </c>
      <c r="AI28" s="136">
        <f t="shared" ca="1" si="6"/>
        <v>0</v>
      </c>
      <c r="AJ28" s="136">
        <f t="shared" ca="1" si="7"/>
        <v>0</v>
      </c>
      <c r="AK28" s="136">
        <f t="shared" ca="1" si="8"/>
        <v>3.7545219638242896E-6</v>
      </c>
      <c r="AL28" s="136">
        <f t="shared" ca="1" si="9"/>
        <v>5.5035917312661503E-6</v>
      </c>
      <c r="AN28" s="74">
        <v>387</v>
      </c>
      <c r="AO28" s="136" t="str">
        <f t="shared" ca="1" si="10"/>
        <v/>
      </c>
      <c r="AP28" s="136" t="str">
        <f t="shared" ca="1" si="11"/>
        <v/>
      </c>
      <c r="AQ28" s="136" t="str">
        <f t="shared" ca="1" si="12"/>
        <v/>
      </c>
      <c r="AR28" s="136">
        <f t="shared" ca="1" si="13"/>
        <v>1.8979729887336429E-3</v>
      </c>
      <c r="AS28" s="136">
        <f t="shared" ca="1" si="14"/>
        <v>2.69111346287593E-3</v>
      </c>
    </row>
    <row r="29" spans="6:45" ht="15" hidden="1" customHeight="1" x14ac:dyDescent="0.2">
      <c r="I29" s="74">
        <v>388</v>
      </c>
      <c r="J29" s="137">
        <v>9.3508159999999998E-5</v>
      </c>
      <c r="L29" s="74">
        <v>388</v>
      </c>
      <c r="M29" s="137"/>
      <c r="N29" s="137"/>
      <c r="O29" s="137"/>
      <c r="P29" s="138">
        <v>1.668E-3</v>
      </c>
      <c r="Q29" s="137">
        <v>2.41457E-3</v>
      </c>
      <c r="S29" s="74">
        <v>388</v>
      </c>
      <c r="T29" s="137">
        <v>1.5491090816506426E-2</v>
      </c>
      <c r="U29" s="137">
        <v>2.2159247080798423E-3</v>
      </c>
      <c r="V29" s="137">
        <v>2.0873823166392275E-3</v>
      </c>
      <c r="W29" s="138">
        <v>2.6332979436755125E-3</v>
      </c>
      <c r="X29" s="137">
        <v>2.4095225772510264E-3</v>
      </c>
      <c r="Z29" s="74">
        <v>388</v>
      </c>
      <c r="AA29" s="137">
        <f t="shared" ca="1" si="0"/>
        <v>0</v>
      </c>
      <c r="AB29" s="137">
        <f t="shared" ca="1" si="1"/>
        <v>0</v>
      </c>
      <c r="AC29" s="137">
        <f t="shared" ca="1" si="2"/>
        <v>0</v>
      </c>
      <c r="AD29" s="137">
        <f t="shared" ca="1" si="3"/>
        <v>1.668E-3</v>
      </c>
      <c r="AE29" s="137">
        <f t="shared" ca="1" si="4"/>
        <v>2.41457E-3</v>
      </c>
      <c r="AG29" s="74">
        <v>388</v>
      </c>
      <c r="AH29" s="136">
        <f t="shared" ca="1" si="5"/>
        <v>0</v>
      </c>
      <c r="AI29" s="136">
        <f t="shared" ca="1" si="6"/>
        <v>0</v>
      </c>
      <c r="AJ29" s="136">
        <f t="shared" ca="1" si="7"/>
        <v>0</v>
      </c>
      <c r="AK29" s="136">
        <f t="shared" ca="1" si="8"/>
        <v>4.2989690721649481E-6</v>
      </c>
      <c r="AL29" s="136">
        <f t="shared" ca="1" si="9"/>
        <v>6.2231185567010313E-6</v>
      </c>
      <c r="AN29" s="74">
        <v>388</v>
      </c>
      <c r="AO29" s="136" t="str">
        <f t="shared" ca="1" si="10"/>
        <v/>
      </c>
      <c r="AP29" s="136" t="str">
        <f t="shared" ca="1" si="11"/>
        <v/>
      </c>
      <c r="AQ29" s="136" t="str">
        <f t="shared" ca="1" si="12"/>
        <v/>
      </c>
      <c r="AR29" s="136">
        <f t="shared" ca="1" si="13"/>
        <v>2.1732000124083588E-3</v>
      </c>
      <c r="AS29" s="136">
        <f t="shared" ca="1" si="14"/>
        <v>3.042943398920753E-3</v>
      </c>
    </row>
    <row r="30" spans="6:45" ht="15" hidden="1" customHeight="1" x14ac:dyDescent="0.2">
      <c r="I30" s="74">
        <v>389</v>
      </c>
      <c r="J30" s="137">
        <v>1.061361E-4</v>
      </c>
      <c r="L30" s="74">
        <v>389</v>
      </c>
      <c r="M30" s="137"/>
      <c r="N30" s="137"/>
      <c r="O30" s="137"/>
      <c r="P30" s="138">
        <v>1.918E-3</v>
      </c>
      <c r="Q30" s="137">
        <v>2.7358299999999999E-3</v>
      </c>
      <c r="S30" s="74">
        <v>389</v>
      </c>
      <c r="T30" s="137">
        <v>1.766172018712504E-2</v>
      </c>
      <c r="U30" s="137">
        <v>2.4698865207335593E-3</v>
      </c>
      <c r="V30" s="137">
        <v>2.3308589857193068E-3</v>
      </c>
      <c r="W30" s="138">
        <v>2.9549354619684697E-3</v>
      </c>
      <c r="X30" s="137">
        <v>2.7292857016529715E-3</v>
      </c>
      <c r="Z30" s="74">
        <v>389</v>
      </c>
      <c r="AA30" s="137">
        <f t="shared" ca="1" si="0"/>
        <v>0</v>
      </c>
      <c r="AB30" s="137">
        <f t="shared" ca="1" si="1"/>
        <v>0</v>
      </c>
      <c r="AC30" s="137">
        <f t="shared" ca="1" si="2"/>
        <v>0</v>
      </c>
      <c r="AD30" s="137">
        <f t="shared" ca="1" si="3"/>
        <v>1.918E-3</v>
      </c>
      <c r="AE30" s="137">
        <f t="shared" ca="1" si="4"/>
        <v>2.7358299999999999E-3</v>
      </c>
      <c r="AG30" s="74">
        <v>389</v>
      </c>
      <c r="AH30" s="136">
        <f t="shared" ca="1" si="5"/>
        <v>0</v>
      </c>
      <c r="AI30" s="136">
        <f t="shared" ca="1" si="6"/>
        <v>0</v>
      </c>
      <c r="AJ30" s="136">
        <f t="shared" ca="1" si="7"/>
        <v>0</v>
      </c>
      <c r="AK30" s="136">
        <f t="shared" ca="1" si="8"/>
        <v>4.9305912596401032E-6</v>
      </c>
      <c r="AL30" s="136">
        <f t="shared" ca="1" si="9"/>
        <v>7.0329820051413877E-6</v>
      </c>
      <c r="AN30" s="74">
        <v>389</v>
      </c>
      <c r="AO30" s="136" t="str">
        <f t="shared" ca="1" si="10"/>
        <v/>
      </c>
      <c r="AP30" s="136" t="str">
        <f t="shared" ca="1" si="11"/>
        <v/>
      </c>
      <c r="AQ30" s="136" t="str">
        <f t="shared" ca="1" si="12"/>
        <v/>
      </c>
      <c r="AR30" s="136">
        <f t="shared" ca="1" si="13"/>
        <v>2.4924954813025195E-3</v>
      </c>
      <c r="AS30" s="136">
        <f t="shared" ca="1" si="14"/>
        <v>3.4389455981404925E-3</v>
      </c>
    </row>
    <row r="31" spans="6:45" ht="15" hidden="1" customHeight="1" x14ac:dyDescent="0.2">
      <c r="I31" s="74">
        <v>390</v>
      </c>
      <c r="J31" s="137">
        <v>1.2E-4</v>
      </c>
      <c r="L31" s="74">
        <v>390</v>
      </c>
      <c r="M31" s="137">
        <v>6.1426500000000004E-3</v>
      </c>
      <c r="N31" s="137">
        <v>3.5822700000000002E-4</v>
      </c>
      <c r="O31" s="137">
        <v>4.0761900000000002E-4</v>
      </c>
      <c r="P31" s="138">
        <v>2.209E-3</v>
      </c>
      <c r="Q31" s="137">
        <v>3.0944200000000001E-3</v>
      </c>
      <c r="S31" s="74">
        <v>390</v>
      </c>
      <c r="T31" s="137">
        <v>2.0128805342609662E-2</v>
      </c>
      <c r="U31" s="137">
        <v>2.7526817275351336E-3</v>
      </c>
      <c r="V31" s="137">
        <v>2.6020042405111056E-3</v>
      </c>
      <c r="W31" s="138">
        <v>3.3179206850843341E-3</v>
      </c>
      <c r="X31" s="137">
        <v>3.0944181519864792E-3</v>
      </c>
      <c r="Z31" s="74">
        <v>390</v>
      </c>
      <c r="AA31" s="137">
        <f t="shared" ca="1" si="0"/>
        <v>6.1426500000000004E-3</v>
      </c>
      <c r="AB31" s="137">
        <f t="shared" ca="1" si="1"/>
        <v>3.5822700000000002E-4</v>
      </c>
      <c r="AC31" s="137">
        <f t="shared" ca="1" si="2"/>
        <v>4.0761900000000002E-4</v>
      </c>
      <c r="AD31" s="137">
        <f t="shared" ca="1" si="3"/>
        <v>2.209E-3</v>
      </c>
      <c r="AE31" s="137">
        <f t="shared" ca="1" si="4"/>
        <v>3.0944200000000001E-3</v>
      </c>
      <c r="AG31" s="74">
        <v>390</v>
      </c>
      <c r="AH31" s="136">
        <f t="shared" ca="1" si="5"/>
        <v>1.5750384615384615E-5</v>
      </c>
      <c r="AI31" s="136">
        <f t="shared" ca="1" si="6"/>
        <v>9.1853076923076925E-7</v>
      </c>
      <c r="AJ31" s="136">
        <f t="shared" ca="1" si="7"/>
        <v>1.0451769230769231E-6</v>
      </c>
      <c r="AK31" s="136">
        <f t="shared" ca="1" si="8"/>
        <v>5.6641025641025639E-6</v>
      </c>
      <c r="AL31" s="136">
        <f t="shared" ca="1" si="9"/>
        <v>7.9344102564102567E-6</v>
      </c>
      <c r="AN31" s="74">
        <v>390</v>
      </c>
      <c r="AO31" s="136">
        <f t="shared" ca="1" si="10"/>
        <v>7.0472013307571121E-3</v>
      </c>
      <c r="AP31" s="136">
        <f t="shared" ca="1" si="11"/>
        <v>4.9653741388005319E-4</v>
      </c>
      <c r="AQ31" s="136">
        <f t="shared" ca="1" si="12"/>
        <v>5.9231434316917562E-4</v>
      </c>
      <c r="AR31" s="136">
        <f t="shared" ca="1" si="13"/>
        <v>2.8632975850628808E-3</v>
      </c>
      <c r="AS31" s="136">
        <f t="shared" ca="1" si="14"/>
        <v>3.8797206085804973E-3</v>
      </c>
    </row>
    <row r="32" spans="6:45" ht="15" hidden="1" customHeight="1" x14ac:dyDescent="0.2">
      <c r="I32" s="74">
        <v>391</v>
      </c>
      <c r="J32" s="137">
        <v>1.3498399999999999E-4</v>
      </c>
      <c r="L32" s="74">
        <v>391</v>
      </c>
      <c r="M32" s="137">
        <v>7.4428000000000003E-3</v>
      </c>
      <c r="N32" s="137">
        <v>4.3866E-4</v>
      </c>
      <c r="O32" s="137">
        <v>4.9706800000000003E-4</v>
      </c>
      <c r="P32" s="138">
        <v>2.5469999999999998E-3</v>
      </c>
      <c r="Q32" s="137">
        <v>3.5070600000000002E-3</v>
      </c>
      <c r="S32" s="74">
        <v>391</v>
      </c>
      <c r="T32" s="137">
        <v>2.293158111314849E-2</v>
      </c>
      <c r="U32" s="137">
        <v>3.067616040356767E-3</v>
      </c>
      <c r="V32" s="137">
        <v>2.9038822359146441E-3</v>
      </c>
      <c r="W32" s="138">
        <v>3.7279407390082074E-3</v>
      </c>
      <c r="X32" s="137">
        <v>3.5117452203587709E-3</v>
      </c>
      <c r="Z32" s="74">
        <v>391</v>
      </c>
      <c r="AA32" s="137">
        <f t="shared" ca="1" si="0"/>
        <v>7.4428000000000003E-3</v>
      </c>
      <c r="AB32" s="137">
        <f t="shared" ca="1" si="1"/>
        <v>4.3866E-4</v>
      </c>
      <c r="AC32" s="137">
        <f t="shared" ca="1" si="2"/>
        <v>4.9706800000000003E-4</v>
      </c>
      <c r="AD32" s="137">
        <f t="shared" ca="1" si="3"/>
        <v>2.5469999999999998E-3</v>
      </c>
      <c r="AE32" s="137">
        <f t="shared" ca="1" si="4"/>
        <v>3.5070600000000002E-3</v>
      </c>
      <c r="AG32" s="74">
        <v>391</v>
      </c>
      <c r="AH32" s="136">
        <f t="shared" ca="1" si="5"/>
        <v>1.903529411764706E-5</v>
      </c>
      <c r="AI32" s="136">
        <f t="shared" ca="1" si="6"/>
        <v>1.1218925831202047E-6</v>
      </c>
      <c r="AJ32" s="136">
        <f t="shared" ca="1" si="7"/>
        <v>1.2712736572890026E-6</v>
      </c>
      <c r="AK32" s="136">
        <f t="shared" ca="1" si="8"/>
        <v>6.514066496163682E-6</v>
      </c>
      <c r="AL32" s="136">
        <f t="shared" ca="1" si="9"/>
        <v>8.9694629156010238E-6</v>
      </c>
      <c r="AN32" s="74">
        <v>391</v>
      </c>
      <c r="AO32" s="136">
        <f t="shared" ca="1" si="10"/>
        <v>8.5169697955315374E-3</v>
      </c>
      <c r="AP32" s="136">
        <f t="shared" ca="1" si="11"/>
        <v>6.064703116480623E-4</v>
      </c>
      <c r="AQ32" s="136">
        <f t="shared" ca="1" si="12"/>
        <v>7.2044608398801426E-4</v>
      </c>
      <c r="AR32" s="136">
        <f t="shared" ca="1" si="13"/>
        <v>3.2929684193244691E-3</v>
      </c>
      <c r="AS32" s="136">
        <f t="shared" ca="1" si="14"/>
        <v>4.3858344851076337E-3</v>
      </c>
    </row>
    <row r="33" spans="9:45" ht="15" hidden="1" customHeight="1" x14ac:dyDescent="0.2">
      <c r="I33" s="74">
        <v>392</v>
      </c>
      <c r="J33" s="137">
        <v>1.5149200000000001E-4</v>
      </c>
      <c r="L33" s="74">
        <v>392</v>
      </c>
      <c r="M33" s="137">
        <v>9.0166099999999996E-3</v>
      </c>
      <c r="N33" s="137">
        <v>5.3622999999999995E-4</v>
      </c>
      <c r="O33" s="137">
        <v>6.04713E-4</v>
      </c>
      <c r="P33" s="138">
        <v>2.9390000000000002E-3</v>
      </c>
      <c r="Q33" s="137">
        <v>3.9907800000000002E-3</v>
      </c>
      <c r="S33" s="74">
        <v>392</v>
      </c>
      <c r="T33" s="137">
        <v>2.6114216481264017E-2</v>
      </c>
      <c r="U33" s="137">
        <v>3.418400946041243E-3</v>
      </c>
      <c r="V33" s="137">
        <v>3.2399178607633219E-3</v>
      </c>
      <c r="W33" s="138">
        <v>4.1915437157760754E-3</v>
      </c>
      <c r="X33" s="137">
        <v>3.9891466293795301E-3</v>
      </c>
      <c r="Z33" s="74">
        <v>392</v>
      </c>
      <c r="AA33" s="137">
        <f t="shared" ca="1" si="0"/>
        <v>9.0166099999999996E-3</v>
      </c>
      <c r="AB33" s="137">
        <f t="shared" ca="1" si="1"/>
        <v>5.3622999999999995E-4</v>
      </c>
      <c r="AC33" s="137">
        <f t="shared" ca="1" si="2"/>
        <v>6.04713E-4</v>
      </c>
      <c r="AD33" s="137">
        <f t="shared" ca="1" si="3"/>
        <v>2.9390000000000002E-3</v>
      </c>
      <c r="AE33" s="137">
        <f t="shared" ca="1" si="4"/>
        <v>3.9907800000000002E-3</v>
      </c>
      <c r="AG33" s="74">
        <v>392</v>
      </c>
      <c r="AH33" s="136">
        <f t="shared" ca="1" si="5"/>
        <v>2.300155612244898E-5</v>
      </c>
      <c r="AI33" s="136">
        <f t="shared" ca="1" si="6"/>
        <v>1.3679336734693877E-6</v>
      </c>
      <c r="AJ33" s="136">
        <f t="shared" ca="1" si="7"/>
        <v>1.5426352040816327E-6</v>
      </c>
      <c r="AK33" s="136">
        <f t="shared" ca="1" si="8"/>
        <v>7.4974489795918375E-6</v>
      </c>
      <c r="AL33" s="136">
        <f t="shared" ca="1" si="9"/>
        <v>1.0180561224489796E-5</v>
      </c>
      <c r="AN33" s="74">
        <v>392</v>
      </c>
      <c r="AO33" s="136">
        <f t="shared" ca="1" si="10"/>
        <v>1.0291596102184997E-2</v>
      </c>
      <c r="AP33" s="136">
        <f t="shared" ca="1" si="11"/>
        <v>7.394746821086435E-4</v>
      </c>
      <c r="AQ33" s="136">
        <f t="shared" ca="1" si="12"/>
        <v>8.742299389516956E-4</v>
      </c>
      <c r="AR33" s="136">
        <f t="shared" ca="1" si="13"/>
        <v>3.7900845393322828E-3</v>
      </c>
      <c r="AS33" s="136">
        <f t="shared" ca="1" si="14"/>
        <v>4.9780301135371862E-3</v>
      </c>
    </row>
    <row r="34" spans="9:45" ht="15" hidden="1" customHeight="1" x14ac:dyDescent="0.2">
      <c r="I34" s="74">
        <v>393</v>
      </c>
      <c r="J34" s="137">
        <v>1.7020800000000001E-4</v>
      </c>
      <c r="L34" s="74">
        <v>393</v>
      </c>
      <c r="M34" s="137">
        <v>1.0917E-2</v>
      </c>
      <c r="N34" s="137">
        <v>6.5406100000000005E-4</v>
      </c>
      <c r="O34" s="137">
        <v>7.3364000000000003E-4</v>
      </c>
      <c r="P34" s="138">
        <v>3.3939999999999999E-3</v>
      </c>
      <c r="Q34" s="137">
        <v>4.5467900000000002E-3</v>
      </c>
      <c r="S34" s="74">
        <v>393</v>
      </c>
      <c r="T34" s="137">
        <v>2.9726583619022189E-2</v>
      </c>
      <c r="U34" s="137">
        <v>3.8091931967034771E-3</v>
      </c>
      <c r="V34" s="137">
        <v>3.6138905881434665E-3</v>
      </c>
      <c r="W34" s="138">
        <v>4.7162302550784099E-3</v>
      </c>
      <c r="X34" s="137">
        <v>4.5357488590835352E-3</v>
      </c>
      <c r="Z34" s="74">
        <v>393</v>
      </c>
      <c r="AA34" s="137">
        <f t="shared" ca="1" si="0"/>
        <v>1.0917E-2</v>
      </c>
      <c r="AB34" s="137">
        <f t="shared" ca="1" si="1"/>
        <v>6.5406100000000005E-4</v>
      </c>
      <c r="AC34" s="137">
        <f t="shared" ca="1" si="2"/>
        <v>7.3364000000000003E-4</v>
      </c>
      <c r="AD34" s="137">
        <f t="shared" ca="1" si="3"/>
        <v>3.3939999999999999E-3</v>
      </c>
      <c r="AE34" s="137">
        <f t="shared" ca="1" si="4"/>
        <v>4.5467900000000002E-3</v>
      </c>
      <c r="AG34" s="74">
        <v>393</v>
      </c>
      <c r="AH34" s="136">
        <f t="shared" ca="1" si="5"/>
        <v>2.7778625954198472E-5</v>
      </c>
      <c r="AI34" s="136">
        <f t="shared" ca="1" si="6"/>
        <v>1.6642773536895676E-6</v>
      </c>
      <c r="AJ34" s="136">
        <f t="shared" ca="1" si="7"/>
        <v>1.8667684478371503E-6</v>
      </c>
      <c r="AK34" s="136">
        <f t="shared" ca="1" si="8"/>
        <v>8.6361323155216289E-6</v>
      </c>
      <c r="AL34" s="136">
        <f t="shared" ca="1" si="9"/>
        <v>1.1569440203562342E-5</v>
      </c>
      <c r="AN34" s="74">
        <v>393</v>
      </c>
      <c r="AO34" s="136">
        <f t="shared" ca="1" si="10"/>
        <v>1.2429002501933578E-2</v>
      </c>
      <c r="AP34" s="136">
        <f t="shared" ca="1" si="11"/>
        <v>8.9967151984708302E-4</v>
      </c>
      <c r="AQ34" s="136">
        <f t="shared" ca="1" si="12"/>
        <v>1.0579201498005374E-3</v>
      </c>
      <c r="AR34" s="136">
        <f t="shared" ca="1" si="13"/>
        <v>4.3657078104542635E-3</v>
      </c>
      <c r="AS34" s="136">
        <f t="shared" ca="1" si="14"/>
        <v>5.6571558738391101E-3</v>
      </c>
    </row>
    <row r="35" spans="9:45" ht="15" hidden="1" customHeight="1" x14ac:dyDescent="0.2">
      <c r="I35" s="74">
        <v>394</v>
      </c>
      <c r="J35" s="137">
        <v>1.9181600000000001E-4</v>
      </c>
      <c r="L35" s="74">
        <v>394</v>
      </c>
      <c r="M35" s="137">
        <v>1.32053E-2</v>
      </c>
      <c r="N35" s="137">
        <v>7.9564900000000005E-4</v>
      </c>
      <c r="O35" s="137">
        <v>8.8724699999999997E-4</v>
      </c>
      <c r="P35" s="138">
        <v>3.921E-3</v>
      </c>
      <c r="Q35" s="137">
        <v>5.1762500000000003E-3</v>
      </c>
      <c r="S35" s="74">
        <v>394</v>
      </c>
      <c r="T35" s="137">
        <v>3.3824859396971621E-2</v>
      </c>
      <c r="U35" s="137">
        <v>4.244660892285217E-3</v>
      </c>
      <c r="V35" s="137">
        <v>4.0300181307139924E-3</v>
      </c>
      <c r="W35" s="138">
        <v>5.3106172278183624E-3</v>
      </c>
      <c r="X35" s="137">
        <v>5.162095085959253E-3</v>
      </c>
      <c r="Z35" s="74">
        <v>394</v>
      </c>
      <c r="AA35" s="137">
        <f t="shared" ca="1" si="0"/>
        <v>1.32053E-2</v>
      </c>
      <c r="AB35" s="137">
        <f t="shared" ca="1" si="1"/>
        <v>7.9564900000000005E-4</v>
      </c>
      <c r="AC35" s="137">
        <f t="shared" ca="1" si="2"/>
        <v>8.8724699999999997E-4</v>
      </c>
      <c r="AD35" s="137">
        <f t="shared" ca="1" si="3"/>
        <v>3.921E-3</v>
      </c>
      <c r="AE35" s="137">
        <f t="shared" ca="1" si="4"/>
        <v>5.1762500000000003E-3</v>
      </c>
      <c r="AG35" s="74">
        <v>394</v>
      </c>
      <c r="AH35" s="136">
        <f t="shared" ca="1" si="5"/>
        <v>3.3515989847715736E-5</v>
      </c>
      <c r="AI35" s="136">
        <f t="shared" ca="1" si="6"/>
        <v>2.0194137055837566E-6</v>
      </c>
      <c r="AJ35" s="136">
        <f t="shared" ca="1" si="7"/>
        <v>2.2518959390862942E-6</v>
      </c>
      <c r="AK35" s="136">
        <f t="shared" ca="1" si="8"/>
        <v>9.9517766497461933E-6</v>
      </c>
      <c r="AL35" s="136">
        <f t="shared" ca="1" si="9"/>
        <v>1.3137690355329949E-5</v>
      </c>
      <c r="AN35" s="74">
        <v>394</v>
      </c>
      <c r="AO35" s="136">
        <f t="shared" ca="1" si="10"/>
        <v>1.4996073684813725E-2</v>
      </c>
      <c r="AP35" s="136">
        <f t="shared" ca="1" si="11"/>
        <v>1.0916503752663883E-3</v>
      </c>
      <c r="AQ35" s="136">
        <f t="shared" ca="1" si="12"/>
        <v>1.2761765348956761E-3</v>
      </c>
      <c r="AR35" s="136">
        <f t="shared" ca="1" si="13"/>
        <v>5.0307877948566511E-3</v>
      </c>
      <c r="AS35" s="136">
        <f t="shared" ca="1" si="14"/>
        <v>6.4239894804460629E-3</v>
      </c>
    </row>
    <row r="36" spans="9:45" ht="15" hidden="1" customHeight="1" x14ac:dyDescent="0.2">
      <c r="I36" s="74">
        <v>395</v>
      </c>
      <c r="J36" s="137">
        <v>2.1699999999999999E-4</v>
      </c>
      <c r="L36" s="74">
        <v>395</v>
      </c>
      <c r="M36" s="137">
        <v>1.59515E-2</v>
      </c>
      <c r="N36" s="137">
        <v>9.6482800000000004E-4</v>
      </c>
      <c r="O36" s="137">
        <v>1.0692099999999999E-3</v>
      </c>
      <c r="P36" s="136">
        <v>4.5300000000000002E-3</v>
      </c>
      <c r="Q36" s="137">
        <v>5.8803500000000003E-3</v>
      </c>
      <c r="S36" s="74">
        <v>395</v>
      </c>
      <c r="T36" s="137">
        <v>3.8472286656477152E-2</v>
      </c>
      <c r="U36" s="137">
        <v>4.7300529236260032E-3</v>
      </c>
      <c r="V36" s="137">
        <v>4.492974978479676E-3</v>
      </c>
      <c r="W36" s="136">
        <v>5.984625792959818E-3</v>
      </c>
      <c r="X36" s="137">
        <v>5.8803476146736082E-3</v>
      </c>
      <c r="Z36" s="74">
        <v>395</v>
      </c>
      <c r="AA36" s="137">
        <f t="shared" ca="1" si="0"/>
        <v>1.59515E-2</v>
      </c>
      <c r="AB36" s="137">
        <f t="shared" ca="1" si="1"/>
        <v>9.6482800000000004E-4</v>
      </c>
      <c r="AC36" s="137">
        <f t="shared" ca="1" si="2"/>
        <v>1.0692099999999999E-3</v>
      </c>
      <c r="AD36" s="137">
        <f t="shared" ca="1" si="3"/>
        <v>4.5300000000000002E-3</v>
      </c>
      <c r="AE36" s="137">
        <f t="shared" ca="1" si="4"/>
        <v>5.8803500000000003E-3</v>
      </c>
      <c r="AG36" s="74">
        <v>395</v>
      </c>
      <c r="AH36" s="136">
        <f t="shared" ca="1" si="5"/>
        <v>4.0383544303797471E-5</v>
      </c>
      <c r="AI36" s="136">
        <f t="shared" ca="1" si="6"/>
        <v>2.4426025316455696E-6</v>
      </c>
      <c r="AJ36" s="136">
        <f t="shared" ca="1" si="7"/>
        <v>2.7068607594936706E-6</v>
      </c>
      <c r="AK36" s="136">
        <f t="shared" ca="1" si="8"/>
        <v>1.1468354430379747E-5</v>
      </c>
      <c r="AL36" s="136">
        <f t="shared" ca="1" si="9"/>
        <v>1.4886962025316457E-5</v>
      </c>
      <c r="AN36" s="74">
        <v>395</v>
      </c>
      <c r="AO36" s="136">
        <f t="shared" ca="1" si="10"/>
        <v>1.8068826514904809E-2</v>
      </c>
      <c r="AP36" s="136">
        <f t="shared" ca="1" si="11"/>
        <v>1.3204168927469541E-3</v>
      </c>
      <c r="AQ36" s="136">
        <f t="shared" ca="1" si="12"/>
        <v>1.5340105750611839E-3</v>
      </c>
      <c r="AR36" s="136">
        <f t="shared" ca="1" si="13"/>
        <v>5.7974429617967827E-3</v>
      </c>
      <c r="AS36" s="136">
        <f t="shared" ca="1" si="14"/>
        <v>7.279337909470095E-3</v>
      </c>
    </row>
    <row r="37" spans="9:45" ht="15" hidden="1" customHeight="1" x14ac:dyDescent="0.2">
      <c r="I37" s="74">
        <v>396</v>
      </c>
      <c r="J37" s="137">
        <v>2.4690669999999999E-4</v>
      </c>
      <c r="L37" s="74">
        <v>396</v>
      </c>
      <c r="M37" s="137">
        <v>1.92347E-2</v>
      </c>
      <c r="N37" s="137">
        <v>1.1657200000000001E-3</v>
      </c>
      <c r="O37" s="137">
        <v>1.2834000000000001E-3</v>
      </c>
      <c r="P37" s="136">
        <v>5.2399999999999999E-3</v>
      </c>
      <c r="Q37" s="137">
        <v>6.6933399999999999E-3</v>
      </c>
      <c r="S37" s="74">
        <v>396</v>
      </c>
      <c r="T37" s="137">
        <v>4.3739921573080778E-2</v>
      </c>
      <c r="U37" s="137">
        <v>5.2712546847995326E-3</v>
      </c>
      <c r="V37" s="137">
        <v>5.0079501824987953E-3</v>
      </c>
      <c r="W37" s="136">
        <v>6.7496460637062527E-3</v>
      </c>
      <c r="X37" s="137">
        <v>6.7046174028589835E-3</v>
      </c>
      <c r="Z37" s="74">
        <v>396</v>
      </c>
      <c r="AA37" s="137">
        <f t="shared" ca="1" si="0"/>
        <v>1.92347E-2</v>
      </c>
      <c r="AB37" s="137">
        <f t="shared" ca="1" si="1"/>
        <v>1.1657200000000001E-3</v>
      </c>
      <c r="AC37" s="137">
        <f t="shared" ca="1" si="2"/>
        <v>1.2834000000000001E-3</v>
      </c>
      <c r="AD37" s="137">
        <f t="shared" ca="1" si="3"/>
        <v>5.2399999999999999E-3</v>
      </c>
      <c r="AE37" s="137">
        <f t="shared" ca="1" si="4"/>
        <v>6.6933399999999999E-3</v>
      </c>
      <c r="AG37" s="74">
        <v>396</v>
      </c>
      <c r="AH37" s="136">
        <f t="shared" ca="1" si="5"/>
        <v>4.8572474747474746E-5</v>
      </c>
      <c r="AI37" s="136">
        <f t="shared" ca="1" si="6"/>
        <v>2.9437373737373738E-6</v>
      </c>
      <c r="AJ37" s="136">
        <f t="shared" ca="1" si="7"/>
        <v>3.2409090909090911E-6</v>
      </c>
      <c r="AK37" s="136">
        <f t="shared" ca="1" si="8"/>
        <v>1.3232323232323233E-5</v>
      </c>
      <c r="AL37" s="136">
        <f t="shared" ca="1" si="9"/>
        <v>1.6902373737373736E-5</v>
      </c>
      <c r="AN37" s="74">
        <v>396</v>
      </c>
      <c r="AO37" s="136">
        <f t="shared" ca="1" si="10"/>
        <v>2.173280316876957E-2</v>
      </c>
      <c r="AP37" s="136">
        <f t="shared" ca="1" si="11"/>
        <v>1.5913193021521825E-3</v>
      </c>
      <c r="AQ37" s="136">
        <f t="shared" ca="1" si="12"/>
        <v>1.8366621928482311E-3</v>
      </c>
      <c r="AR37" s="136">
        <f t="shared" ca="1" si="13"/>
        <v>6.6891583842436401E-3</v>
      </c>
      <c r="AS37" s="136">
        <f t="shared" ca="1" si="14"/>
        <v>8.2648219090812724E-3</v>
      </c>
    </row>
    <row r="38" spans="9:45" ht="15" hidden="1" customHeight="1" x14ac:dyDescent="0.2">
      <c r="I38" s="74">
        <v>397</v>
      </c>
      <c r="J38" s="137">
        <v>2.8123999999999998E-4</v>
      </c>
      <c r="L38" s="74">
        <v>397</v>
      </c>
      <c r="M38" s="137">
        <v>2.31436E-2</v>
      </c>
      <c r="N38" s="137">
        <v>1.40263E-3</v>
      </c>
      <c r="O38" s="137">
        <v>1.53382E-3</v>
      </c>
      <c r="P38" s="136">
        <v>6.0499999999999998E-3</v>
      </c>
      <c r="Q38" s="137">
        <v>7.6510199999999997E-3</v>
      </c>
      <c r="S38" s="74">
        <v>397</v>
      </c>
      <c r="T38" s="137">
        <v>4.9707966845956533E-2</v>
      </c>
      <c r="U38" s="137">
        <v>5.874907052755592E-3</v>
      </c>
      <c r="V38" s="137">
        <v>5.5807298519075154E-3</v>
      </c>
      <c r="W38" s="136">
        <v>7.6187899457648709E-3</v>
      </c>
      <c r="X38" s="137">
        <v>7.6511549972619504E-3</v>
      </c>
      <c r="Z38" s="74">
        <v>397</v>
      </c>
      <c r="AA38" s="137">
        <f t="shared" ca="1" si="0"/>
        <v>2.31436E-2</v>
      </c>
      <c r="AB38" s="137">
        <f t="shared" ca="1" si="1"/>
        <v>1.40263E-3</v>
      </c>
      <c r="AC38" s="137">
        <f t="shared" ca="1" si="2"/>
        <v>1.53382E-3</v>
      </c>
      <c r="AD38" s="137">
        <f t="shared" ca="1" si="3"/>
        <v>6.0499999999999998E-3</v>
      </c>
      <c r="AE38" s="137">
        <f t="shared" ca="1" si="4"/>
        <v>7.6510199999999997E-3</v>
      </c>
      <c r="AG38" s="74">
        <v>397</v>
      </c>
      <c r="AH38" s="136">
        <f t="shared" ca="1" si="5"/>
        <v>5.8296221662468517E-5</v>
      </c>
      <c r="AI38" s="136">
        <f t="shared" ca="1" si="6"/>
        <v>3.5330730478589421E-6</v>
      </c>
      <c r="AJ38" s="136">
        <f t="shared" ca="1" si="7"/>
        <v>3.8635264483627204E-6</v>
      </c>
      <c r="AK38" s="136">
        <f t="shared" ca="1" si="8"/>
        <v>1.5239294710327456E-5</v>
      </c>
      <c r="AL38" s="136">
        <f t="shared" ca="1" si="9"/>
        <v>1.9272090680100755E-5</v>
      </c>
      <c r="AN38" s="74">
        <v>397</v>
      </c>
      <c r="AO38" s="136">
        <f t="shared" ca="1" si="10"/>
        <v>2.6083503413407125E-2</v>
      </c>
      <c r="AP38" s="136">
        <f t="shared" ca="1" si="11"/>
        <v>1.9099011301519611E-3</v>
      </c>
      <c r="AQ38" s="136">
        <f t="shared" ca="1" si="12"/>
        <v>2.1895069438021635E-3</v>
      </c>
      <c r="AR38" s="136">
        <f t="shared" ca="1" si="13"/>
        <v>7.7037156810481821E-3</v>
      </c>
      <c r="AS38" s="136">
        <f t="shared" ca="1" si="14"/>
        <v>9.4235519674082443E-3</v>
      </c>
    </row>
    <row r="39" spans="9:45" ht="15" hidden="1" customHeight="1" x14ac:dyDescent="0.2">
      <c r="I39" s="74">
        <v>398</v>
      </c>
      <c r="J39" s="137">
        <v>3.1851999999999998E-4</v>
      </c>
      <c r="L39" s="74">
        <v>398</v>
      </c>
      <c r="M39" s="137">
        <v>2.7775000000000001E-2</v>
      </c>
      <c r="N39" s="137">
        <v>1.6799199999999999E-3</v>
      </c>
      <c r="O39" s="137">
        <v>1.8244299999999999E-3</v>
      </c>
      <c r="P39" s="136">
        <v>6.9800000000000001E-3</v>
      </c>
      <c r="Q39" s="137">
        <v>8.7569399999999995E-3</v>
      </c>
      <c r="S39" s="74">
        <v>398</v>
      </c>
      <c r="T39" s="137">
        <v>5.6466256941564701E-2</v>
      </c>
      <c r="U39" s="137">
        <v>6.5485025354423418E-3</v>
      </c>
      <c r="V39" s="137">
        <v>6.2177033818389951E-3</v>
      </c>
      <c r="W39" s="136">
        <v>8.6071624532277277E-3</v>
      </c>
      <c r="X39" s="137">
        <v>8.7387839023983695E-3</v>
      </c>
      <c r="Z39" s="74">
        <v>398</v>
      </c>
      <c r="AA39" s="137">
        <f t="shared" ca="1" si="0"/>
        <v>2.7775000000000001E-2</v>
      </c>
      <c r="AB39" s="137">
        <f t="shared" ca="1" si="1"/>
        <v>1.6799199999999999E-3</v>
      </c>
      <c r="AC39" s="137">
        <f t="shared" ca="1" si="2"/>
        <v>1.8244299999999999E-3</v>
      </c>
      <c r="AD39" s="137">
        <f t="shared" ca="1" si="3"/>
        <v>6.9800000000000001E-3</v>
      </c>
      <c r="AE39" s="137">
        <f t="shared" ca="1" si="4"/>
        <v>8.7569399999999995E-3</v>
      </c>
      <c r="AG39" s="74">
        <v>398</v>
      </c>
      <c r="AH39" s="136">
        <f t="shared" ca="1" si="5"/>
        <v>6.9786432160804022E-5</v>
      </c>
      <c r="AI39" s="136">
        <f t="shared" ca="1" si="6"/>
        <v>4.2209045226130653E-6</v>
      </c>
      <c r="AJ39" s="136">
        <f t="shared" ca="1" si="7"/>
        <v>4.583994974874372E-6</v>
      </c>
      <c r="AK39" s="136">
        <f t="shared" ca="1" si="8"/>
        <v>1.7537688442211057E-5</v>
      </c>
      <c r="AL39" s="136">
        <f t="shared" ca="1" si="9"/>
        <v>2.2002361809045225E-5</v>
      </c>
      <c r="AN39" s="74">
        <v>398</v>
      </c>
      <c r="AO39" s="136">
        <f t="shared" ca="1" si="10"/>
        <v>3.122457321531253E-2</v>
      </c>
      <c r="AP39" s="136">
        <f t="shared" ca="1" si="11"/>
        <v>2.2817276090251032E-3</v>
      </c>
      <c r="AQ39" s="136">
        <f t="shared" ca="1" si="12"/>
        <v>2.5978051301020588E-3</v>
      </c>
      <c r="AR39" s="136">
        <f t="shared" ca="1" si="13"/>
        <v>8.8655917501247461E-3</v>
      </c>
      <c r="AS39" s="136">
        <f t="shared" ca="1" si="14"/>
        <v>1.0758583661467713E-2</v>
      </c>
    </row>
    <row r="40" spans="9:45" ht="15" hidden="1" customHeight="1" x14ac:dyDescent="0.2">
      <c r="I40" s="74">
        <v>399</v>
      </c>
      <c r="J40" s="137">
        <v>3.5726669999999999E-4</v>
      </c>
      <c r="L40" s="74">
        <v>399</v>
      </c>
      <c r="M40" s="137">
        <v>3.3233899999999997E-2</v>
      </c>
      <c r="N40" s="137">
        <v>2.0018000000000002E-3</v>
      </c>
      <c r="O40" s="137">
        <v>2.1589600000000001E-3</v>
      </c>
      <c r="P40" s="136">
        <v>8.0599999999999995E-3</v>
      </c>
      <c r="Q40" s="137">
        <v>1.00146E-2</v>
      </c>
      <c r="S40" s="74">
        <v>399</v>
      </c>
      <c r="T40" s="137">
        <v>6.4115937960326899E-2</v>
      </c>
      <c r="U40" s="137">
        <v>7.3004730149344547E-3</v>
      </c>
      <c r="V40" s="137">
        <v>6.9260081777732492E-3</v>
      </c>
      <c r="W40" s="136">
        <v>9.7321097977352208E-3</v>
      </c>
      <c r="X40" s="137">
        <v>9.9892527069722816E-3</v>
      </c>
      <c r="Z40" s="74">
        <v>399</v>
      </c>
      <c r="AA40" s="137">
        <f t="shared" ca="1" si="0"/>
        <v>3.3233899999999997E-2</v>
      </c>
      <c r="AB40" s="137">
        <f t="shared" ca="1" si="1"/>
        <v>2.0018000000000002E-3</v>
      </c>
      <c r="AC40" s="137">
        <f t="shared" ca="1" si="2"/>
        <v>2.1589600000000001E-3</v>
      </c>
      <c r="AD40" s="137">
        <f t="shared" ca="1" si="3"/>
        <v>8.0599999999999995E-3</v>
      </c>
      <c r="AE40" s="137">
        <f t="shared" ca="1" si="4"/>
        <v>1.00146E-2</v>
      </c>
      <c r="AG40" s="74">
        <v>399</v>
      </c>
      <c r="AH40" s="136">
        <f t="shared" ca="1" si="5"/>
        <v>8.3292982456140342E-5</v>
      </c>
      <c r="AI40" s="136">
        <f t="shared" ca="1" si="6"/>
        <v>5.0170426065162913E-6</v>
      </c>
      <c r="AJ40" s="136">
        <f t="shared" ca="1" si="7"/>
        <v>5.4109273182957394E-6</v>
      </c>
      <c r="AK40" s="136">
        <f t="shared" ca="1" si="8"/>
        <v>2.0200501253132832E-5</v>
      </c>
      <c r="AL40" s="136">
        <f t="shared" ca="1" si="9"/>
        <v>2.5099248120300752E-5</v>
      </c>
      <c r="AN40" s="74">
        <v>399</v>
      </c>
      <c r="AO40" s="136">
        <f t="shared" ca="1" si="10"/>
        <v>3.726781479572823E-2</v>
      </c>
      <c r="AP40" s="136">
        <f t="shared" ca="1" si="11"/>
        <v>2.7121022448185084E-3</v>
      </c>
      <c r="AQ40" s="136">
        <f t="shared" ca="1" si="12"/>
        <v>3.0664376429564645E-3</v>
      </c>
      <c r="AR40" s="136">
        <f t="shared" ca="1" si="13"/>
        <v>1.0211687694662935E-2</v>
      </c>
      <c r="AS40" s="136">
        <f t="shared" ca="1" si="14"/>
        <v>1.2272880660983445E-2</v>
      </c>
    </row>
    <row r="41" spans="9:45" ht="15" hidden="1" customHeight="1" x14ac:dyDescent="0.2">
      <c r="I41" s="74">
        <v>400</v>
      </c>
      <c r="J41" s="137">
        <v>3.9599999999999998E-4</v>
      </c>
      <c r="L41" s="74">
        <v>400</v>
      </c>
      <c r="M41" s="137">
        <v>3.9630800000000001E-2</v>
      </c>
      <c r="N41" s="137">
        <v>2.3720799999999999E-3</v>
      </c>
      <c r="O41" s="137">
        <v>2.5407300000000002E-3</v>
      </c>
      <c r="P41" s="136">
        <v>9.2899999999999996E-3</v>
      </c>
      <c r="Q41" s="137">
        <v>1.1427700000000001E-2</v>
      </c>
      <c r="S41" s="74">
        <v>400</v>
      </c>
      <c r="T41" s="137">
        <v>7.2770607417496441E-2</v>
      </c>
      <c r="U41" s="137">
        <v>8.140348536416462E-3</v>
      </c>
      <c r="V41" s="137">
        <v>7.7135802115582842E-3</v>
      </c>
      <c r="W41" s="136">
        <v>1.1013668486598087E-2</v>
      </c>
      <c r="X41" s="137">
        <v>1.1427704453232691E-2</v>
      </c>
      <c r="Z41" s="74">
        <v>400</v>
      </c>
      <c r="AA41" s="137">
        <f t="shared" ca="1" si="0"/>
        <v>3.9630800000000001E-2</v>
      </c>
      <c r="AB41" s="137">
        <f t="shared" ca="1" si="1"/>
        <v>2.3720799999999999E-3</v>
      </c>
      <c r="AC41" s="137">
        <f t="shared" ca="1" si="2"/>
        <v>2.5407300000000002E-3</v>
      </c>
      <c r="AD41" s="137">
        <f t="shared" ca="1" si="3"/>
        <v>9.2899999999999996E-3</v>
      </c>
      <c r="AE41" s="137">
        <f t="shared" ca="1" si="4"/>
        <v>1.1427700000000001E-2</v>
      </c>
      <c r="AG41" s="74">
        <v>400</v>
      </c>
      <c r="AH41" s="136">
        <f t="shared" ca="1" si="5"/>
        <v>9.9077E-5</v>
      </c>
      <c r="AI41" s="136">
        <f t="shared" ca="1" si="6"/>
        <v>5.9301999999999996E-6</v>
      </c>
      <c r="AJ41" s="136">
        <f t="shared" ca="1" si="7"/>
        <v>6.3518250000000008E-6</v>
      </c>
      <c r="AK41" s="136">
        <f t="shared" ca="1" si="8"/>
        <v>2.3224999999999999E-5</v>
      </c>
      <c r="AL41" s="136">
        <f t="shared" ca="1" si="9"/>
        <v>2.8569250000000001E-5</v>
      </c>
      <c r="AN41" s="74">
        <v>400</v>
      </c>
      <c r="AO41" s="136">
        <f t="shared" ca="1" si="10"/>
        <v>4.4330064522070237E-2</v>
      </c>
      <c r="AP41" s="136">
        <f t="shared" ca="1" si="11"/>
        <v>3.2057349306408548E-3</v>
      </c>
      <c r="AQ41" s="136">
        <f t="shared" ca="1" si="12"/>
        <v>3.5996556848238537E-3</v>
      </c>
      <c r="AR41" s="136">
        <f t="shared" ca="1" si="13"/>
        <v>1.174062186559679E-2</v>
      </c>
      <c r="AS41" s="136">
        <f t="shared" ca="1" si="14"/>
        <v>1.3969621486000111E-2</v>
      </c>
    </row>
    <row r="42" spans="9:45" ht="15" hidden="1" customHeight="1" x14ac:dyDescent="0.2">
      <c r="I42" s="74">
        <v>401</v>
      </c>
      <c r="J42" s="137">
        <v>4.337147E-4</v>
      </c>
      <c r="L42" s="74">
        <v>401</v>
      </c>
      <c r="M42" s="137">
        <v>4.70801E-2</v>
      </c>
      <c r="N42" s="137">
        <v>2.7943299999999998E-3</v>
      </c>
      <c r="O42" s="137">
        <v>2.9728200000000001E-3</v>
      </c>
      <c r="P42" s="138">
        <v>1.0699999999999999E-2</v>
      </c>
      <c r="Q42" s="137">
        <v>1.30767E-2</v>
      </c>
      <c r="S42" s="74">
        <v>401</v>
      </c>
      <c r="T42" s="137">
        <v>8.2690953545902821E-2</v>
      </c>
      <c r="U42" s="137">
        <v>9.0935822651446174E-3</v>
      </c>
      <c r="V42" s="137">
        <v>8.6031203829501652E-3</v>
      </c>
      <c r="W42" s="138">
        <v>1.2495021277105063E-2</v>
      </c>
      <c r="X42" s="137">
        <v>1.3104244874402772E-2</v>
      </c>
      <c r="Z42" s="74">
        <v>401</v>
      </c>
      <c r="AA42" s="137">
        <f t="shared" ca="1" si="0"/>
        <v>4.70801E-2</v>
      </c>
      <c r="AB42" s="137">
        <f t="shared" ca="1" si="1"/>
        <v>2.7943299999999998E-3</v>
      </c>
      <c r="AC42" s="137">
        <f t="shared" ca="1" si="2"/>
        <v>2.9728200000000001E-3</v>
      </c>
      <c r="AD42" s="137">
        <f t="shared" ca="1" si="3"/>
        <v>1.0699999999999999E-2</v>
      </c>
      <c r="AE42" s="137">
        <f t="shared" ca="1" si="4"/>
        <v>1.30767E-2</v>
      </c>
      <c r="AG42" s="74">
        <v>401</v>
      </c>
      <c r="AH42" s="136">
        <f t="shared" ca="1" si="5"/>
        <v>1.174067331670823E-4</v>
      </c>
      <c r="AI42" s="136">
        <f t="shared" ca="1" si="6"/>
        <v>6.968403990024937E-6</v>
      </c>
      <c r="AJ42" s="136">
        <f t="shared" ca="1" si="7"/>
        <v>7.4135162094763096E-6</v>
      </c>
      <c r="AK42" s="136">
        <f t="shared" ca="1" si="8"/>
        <v>2.6683291770573565E-5</v>
      </c>
      <c r="AL42" s="136">
        <f t="shared" ca="1" si="9"/>
        <v>3.2610224438902746E-5</v>
      </c>
      <c r="AN42" s="74">
        <v>401</v>
      </c>
      <c r="AO42" s="136">
        <f t="shared" ca="1" si="10"/>
        <v>5.2531344879459832E-2</v>
      </c>
      <c r="AP42" s="136">
        <f t="shared" ca="1" si="11"/>
        <v>3.7669650402414843E-3</v>
      </c>
      <c r="AQ42" s="136">
        <f t="shared" ca="1" si="12"/>
        <v>4.2013288728790831E-3</v>
      </c>
      <c r="AR42" s="136">
        <f t="shared" ca="1" si="13"/>
        <v>1.3488845589136485E-2</v>
      </c>
      <c r="AS42" s="136">
        <f t="shared" ca="1" si="14"/>
        <v>1.5945553067895787E-2</v>
      </c>
    </row>
    <row r="43" spans="9:45" ht="15" hidden="1" customHeight="1" x14ac:dyDescent="0.2">
      <c r="I43" s="74">
        <v>402</v>
      </c>
      <c r="J43" s="137">
        <v>4.73024E-4</v>
      </c>
      <c r="L43" s="74">
        <v>402</v>
      </c>
      <c r="M43" s="137">
        <v>5.5701199999999999E-2</v>
      </c>
      <c r="N43" s="137">
        <v>3.2737399999999998E-3</v>
      </c>
      <c r="O43" s="137">
        <v>3.4599299999999999E-3</v>
      </c>
      <c r="P43" s="138">
        <v>1.231E-2</v>
      </c>
      <c r="Q43" s="137">
        <v>1.50397E-2</v>
      </c>
      <c r="S43" s="74">
        <v>402</v>
      </c>
      <c r="T43" s="137">
        <v>9.3922793260953263E-2</v>
      </c>
      <c r="U43" s="137">
        <v>1.0161106423017983E-2</v>
      </c>
      <c r="V43" s="137">
        <v>9.5937633170615679E-3</v>
      </c>
      <c r="W43" s="138">
        <v>1.4187994126104211E-2</v>
      </c>
      <c r="X43" s="137">
        <v>1.5037512453003426E-2</v>
      </c>
      <c r="Z43" s="74">
        <v>402</v>
      </c>
      <c r="AA43" s="137">
        <f t="shared" ca="1" si="0"/>
        <v>5.5701199999999999E-2</v>
      </c>
      <c r="AB43" s="137">
        <f t="shared" ca="1" si="1"/>
        <v>3.2737399999999998E-3</v>
      </c>
      <c r="AC43" s="137">
        <f t="shared" ca="1" si="2"/>
        <v>3.4599299999999999E-3</v>
      </c>
      <c r="AD43" s="137">
        <f t="shared" ca="1" si="3"/>
        <v>1.231E-2</v>
      </c>
      <c r="AE43" s="137">
        <f t="shared" ca="1" si="4"/>
        <v>1.50397E-2</v>
      </c>
      <c r="AG43" s="74">
        <v>402</v>
      </c>
      <c r="AH43" s="136">
        <f t="shared" ca="1" si="5"/>
        <v>1.3856019900497513E-4</v>
      </c>
      <c r="AI43" s="136">
        <f t="shared" ca="1" si="6"/>
        <v>8.1436318407960193E-6</v>
      </c>
      <c r="AJ43" s="136">
        <f t="shared" ca="1" si="7"/>
        <v>8.606791044776119E-6</v>
      </c>
      <c r="AK43" s="136">
        <f t="shared" ca="1" si="8"/>
        <v>3.0621890547263683E-5</v>
      </c>
      <c r="AL43" s="136">
        <f t="shared" ca="1" si="9"/>
        <v>3.7412189054726369E-5</v>
      </c>
      <c r="AN43" s="74">
        <v>402</v>
      </c>
      <c r="AO43" s="136">
        <f t="shared" ca="1" si="10"/>
        <v>6.1996049154510527E-2</v>
      </c>
      <c r="AP43" s="136">
        <f t="shared" ca="1" si="11"/>
        <v>4.4022672176855567E-3</v>
      </c>
      <c r="AQ43" s="136">
        <f t="shared" ca="1" si="12"/>
        <v>4.8775720855690112E-3</v>
      </c>
      <c r="AR43" s="136">
        <f t="shared" ca="1" si="13"/>
        <v>1.5479872453180436E-2</v>
      </c>
      <c r="AS43" s="136">
        <f t="shared" ca="1" si="14"/>
        <v>1.8293589088170102E-2</v>
      </c>
    </row>
    <row r="44" spans="9:45" ht="15" hidden="1" customHeight="1" x14ac:dyDescent="0.2">
      <c r="I44" s="74">
        <v>403</v>
      </c>
      <c r="J44" s="137">
        <v>5.1787600000000001E-4</v>
      </c>
      <c r="L44" s="74">
        <v>403</v>
      </c>
      <c r="M44" s="137">
        <v>6.5613699999999997E-2</v>
      </c>
      <c r="N44" s="137">
        <v>3.8165999999999999E-3</v>
      </c>
      <c r="O44" s="137">
        <v>4.0079299999999998E-3</v>
      </c>
      <c r="P44" s="138">
        <v>1.413E-2</v>
      </c>
      <c r="Q44" s="137">
        <v>1.7316600000000001E-2</v>
      </c>
      <c r="S44" s="74">
        <v>403</v>
      </c>
      <c r="T44" s="137">
        <v>0.10663333692683528</v>
      </c>
      <c r="U44" s="137">
        <v>1.135740204991516E-2</v>
      </c>
      <c r="V44" s="137">
        <v>1.0696975472621701E-2</v>
      </c>
      <c r="W44" s="138">
        <v>1.6124304833851383E-2</v>
      </c>
      <c r="X44" s="137">
        <v>1.7267600804405904E-2</v>
      </c>
      <c r="Z44" s="74">
        <v>403</v>
      </c>
      <c r="AA44" s="137">
        <f t="shared" ca="1" si="0"/>
        <v>6.5613699999999997E-2</v>
      </c>
      <c r="AB44" s="137">
        <f t="shared" ca="1" si="1"/>
        <v>3.8165999999999999E-3</v>
      </c>
      <c r="AC44" s="137">
        <f t="shared" ca="1" si="2"/>
        <v>4.0079299999999998E-3</v>
      </c>
      <c r="AD44" s="137">
        <f t="shared" ca="1" si="3"/>
        <v>1.413E-2</v>
      </c>
      <c r="AE44" s="137">
        <f t="shared" ca="1" si="4"/>
        <v>1.7316600000000001E-2</v>
      </c>
      <c r="AG44" s="74">
        <v>403</v>
      </c>
      <c r="AH44" s="136">
        <f t="shared" ca="1" si="5"/>
        <v>1.6281315136476427E-4</v>
      </c>
      <c r="AI44" s="136">
        <f t="shared" ca="1" si="6"/>
        <v>9.4704714640198503E-6</v>
      </c>
      <c r="AJ44" s="136">
        <f t="shared" ca="1" si="7"/>
        <v>9.9452357320099252E-6</v>
      </c>
      <c r="AK44" s="136">
        <f t="shared" ca="1" si="8"/>
        <v>3.5062034739454095E-5</v>
      </c>
      <c r="AL44" s="136">
        <f t="shared" ca="1" si="9"/>
        <v>4.2969230769230773E-5</v>
      </c>
      <c r="AN44" s="74">
        <v>403</v>
      </c>
      <c r="AO44" s="136">
        <f t="shared" ca="1" si="10"/>
        <v>7.2847558010856073E-2</v>
      </c>
      <c r="AP44" s="136">
        <f t="shared" ca="1" si="11"/>
        <v>5.1195273653242505E-3</v>
      </c>
      <c r="AQ44" s="136">
        <f t="shared" ca="1" si="12"/>
        <v>5.6360848007687304E-3</v>
      </c>
      <c r="AR44" s="136">
        <f t="shared" ca="1" si="13"/>
        <v>1.7724438825160345E-2</v>
      </c>
      <c r="AS44" s="136">
        <f t="shared" ca="1" si="14"/>
        <v>2.1010838205089154E-2</v>
      </c>
    </row>
    <row r="45" spans="9:45" ht="15" hidden="1" customHeight="1" x14ac:dyDescent="0.2">
      <c r="I45" s="74">
        <v>404</v>
      </c>
      <c r="J45" s="137">
        <v>5.7221870000000001E-4</v>
      </c>
      <c r="L45" s="74">
        <v>404</v>
      </c>
      <c r="M45" s="137">
        <v>7.6932299999999995E-2</v>
      </c>
      <c r="N45" s="137">
        <v>4.4302100000000004E-3</v>
      </c>
      <c r="O45" s="137">
        <v>4.6236999999999997E-3</v>
      </c>
      <c r="P45" s="138">
        <v>1.619E-2</v>
      </c>
      <c r="Q45" s="137">
        <v>1.99071E-2</v>
      </c>
      <c r="S45" s="74">
        <v>404</v>
      </c>
      <c r="T45" s="137">
        <v>0.1210104845655698</v>
      </c>
      <c r="U45" s="137">
        <v>1.2698896980374288E-2</v>
      </c>
      <c r="V45" s="137">
        <v>1.1925593452038207E-2</v>
      </c>
      <c r="W45" s="138">
        <v>1.8340661690466355E-2</v>
      </c>
      <c r="X45" s="137">
        <v>1.9840974548146192E-2</v>
      </c>
      <c r="Z45" s="74">
        <v>404</v>
      </c>
      <c r="AA45" s="137">
        <f t="shared" ca="1" si="0"/>
        <v>7.6932299999999995E-2</v>
      </c>
      <c r="AB45" s="137">
        <f t="shared" ca="1" si="1"/>
        <v>4.4302100000000004E-3</v>
      </c>
      <c r="AC45" s="137">
        <f t="shared" ca="1" si="2"/>
        <v>4.6236999999999997E-3</v>
      </c>
      <c r="AD45" s="137">
        <f t="shared" ca="1" si="3"/>
        <v>1.619E-2</v>
      </c>
      <c r="AE45" s="137">
        <f t="shared" ca="1" si="4"/>
        <v>1.99071E-2</v>
      </c>
      <c r="AG45" s="74">
        <v>404</v>
      </c>
      <c r="AH45" s="136">
        <f t="shared" ca="1" si="5"/>
        <v>1.9042648514851484E-4</v>
      </c>
      <c r="AI45" s="136">
        <f t="shared" ca="1" si="6"/>
        <v>1.0965866336633665E-5</v>
      </c>
      <c r="AJ45" s="136">
        <f t="shared" ca="1" si="7"/>
        <v>1.1444801980198019E-5</v>
      </c>
      <c r="AK45" s="136">
        <f t="shared" ca="1" si="8"/>
        <v>4.007425742574257E-5</v>
      </c>
      <c r="AL45" s="136">
        <f t="shared" ca="1" si="9"/>
        <v>4.9274999999999998E-5</v>
      </c>
      <c r="AN45" s="74">
        <v>404</v>
      </c>
      <c r="AO45" s="136">
        <f t="shared" ca="1" si="10"/>
        <v>8.5202603766209237E-2</v>
      </c>
      <c r="AP45" s="136">
        <f t="shared" ca="1" si="11"/>
        <v>5.9279047519620268E-3</v>
      </c>
      <c r="AQ45" s="136">
        <f t="shared" ca="1" si="12"/>
        <v>6.4859070439917807E-3</v>
      </c>
      <c r="AR45" s="136">
        <f t="shared" ca="1" si="13"/>
        <v>2.0258200343605069E-2</v>
      </c>
      <c r="AS45" s="136">
        <f t="shared" ca="1" si="14"/>
        <v>2.4094195637710317E-2</v>
      </c>
    </row>
    <row r="46" spans="9:45" ht="15" hidden="1" customHeight="1" x14ac:dyDescent="0.2">
      <c r="I46" s="74">
        <v>405</v>
      </c>
      <c r="J46" s="137">
        <v>6.4000000000000005E-4</v>
      </c>
      <c r="L46" s="74">
        <v>405</v>
      </c>
      <c r="M46" s="137">
        <v>8.9761199999999999E-2</v>
      </c>
      <c r="N46" s="137">
        <v>5.1231599999999999E-3</v>
      </c>
      <c r="O46" s="137">
        <v>5.3154600000000002E-3</v>
      </c>
      <c r="P46" s="138">
        <v>1.8519999999999998E-2</v>
      </c>
      <c r="Q46" s="137">
        <v>2.28112E-2</v>
      </c>
      <c r="S46" s="74">
        <v>405</v>
      </c>
      <c r="T46" s="137">
        <v>0.1372653747243521</v>
      </c>
      <c r="U46" s="137">
        <v>1.4204239944760923E-2</v>
      </c>
      <c r="V46" s="137">
        <v>1.3293948744599778E-2</v>
      </c>
      <c r="W46" s="138">
        <v>2.087925507724021E-2</v>
      </c>
      <c r="X46" s="137">
        <v>2.2811245577900062E-2</v>
      </c>
      <c r="Z46" s="74">
        <v>405</v>
      </c>
      <c r="AA46" s="137">
        <f t="shared" ca="1" si="0"/>
        <v>8.9761199999999999E-2</v>
      </c>
      <c r="AB46" s="137">
        <f t="shared" ca="1" si="1"/>
        <v>5.1231599999999999E-3</v>
      </c>
      <c r="AC46" s="137">
        <f t="shared" ca="1" si="2"/>
        <v>5.3154600000000002E-3</v>
      </c>
      <c r="AD46" s="137">
        <f t="shared" ca="1" si="3"/>
        <v>1.8519999999999998E-2</v>
      </c>
      <c r="AE46" s="137">
        <f t="shared" ca="1" si="4"/>
        <v>2.28112E-2</v>
      </c>
      <c r="AG46" s="74">
        <v>405</v>
      </c>
      <c r="AH46" s="136">
        <f t="shared" ca="1" si="5"/>
        <v>2.216325925925926E-4</v>
      </c>
      <c r="AI46" s="136">
        <f t="shared" ca="1" si="6"/>
        <v>1.2649777777777778E-5</v>
      </c>
      <c r="AJ46" s="136">
        <f t="shared" ca="1" si="7"/>
        <v>1.3124592592592593E-5</v>
      </c>
      <c r="AK46" s="136">
        <f t="shared" ca="1" si="8"/>
        <v>4.5728395061728394E-5</v>
      </c>
      <c r="AL46" s="136">
        <f t="shared" ca="1" si="9"/>
        <v>5.6323950617283949E-5</v>
      </c>
      <c r="AN46" s="74">
        <v>405</v>
      </c>
      <c r="AO46" s="136">
        <f t="shared" ca="1" si="10"/>
        <v>9.9165165778367689E-2</v>
      </c>
      <c r="AP46" s="136">
        <f t="shared" ca="1" si="11"/>
        <v>6.838190025136871E-3</v>
      </c>
      <c r="AQ46" s="136">
        <f t="shared" ca="1" si="12"/>
        <v>7.4378646037828429E-3</v>
      </c>
      <c r="AR46" s="136">
        <f t="shared" ca="1" si="13"/>
        <v>2.3116460492588878E-2</v>
      </c>
      <c r="AS46" s="136">
        <f t="shared" ca="1" si="14"/>
        <v>2.7540949472583953E-2</v>
      </c>
    </row>
    <row r="47" spans="9:45" ht="15" hidden="1" customHeight="1" x14ac:dyDescent="0.2">
      <c r="I47" s="74">
        <v>406</v>
      </c>
      <c r="J47" s="137">
        <v>7.2455999999999996E-4</v>
      </c>
      <c r="L47" s="74">
        <v>406</v>
      </c>
      <c r="M47" s="137">
        <v>0.104188</v>
      </c>
      <c r="N47" s="137">
        <v>5.9045800000000004E-3</v>
      </c>
      <c r="O47" s="137">
        <v>6.0913800000000004E-3</v>
      </c>
      <c r="P47" s="138">
        <v>2.1129999999999999E-2</v>
      </c>
      <c r="Q47" s="137">
        <v>2.63194E-2</v>
      </c>
      <c r="S47" s="74">
        <v>406</v>
      </c>
      <c r="T47" s="137">
        <v>0.15563346979250445</v>
      </c>
      <c r="U47" s="137">
        <v>1.5894724325099446E-2</v>
      </c>
      <c r="V47" s="137">
        <v>1.4818048093632623E-2</v>
      </c>
      <c r="W47" s="138">
        <v>2.3788935018212165E-2</v>
      </c>
      <c r="X47" s="137">
        <v>2.6240372750503366E-2</v>
      </c>
      <c r="Z47" s="74">
        <v>406</v>
      </c>
      <c r="AA47" s="137">
        <f t="shared" ca="1" si="0"/>
        <v>0.104188</v>
      </c>
      <c r="AB47" s="137">
        <f t="shared" ca="1" si="1"/>
        <v>5.9045800000000004E-3</v>
      </c>
      <c r="AC47" s="137">
        <f t="shared" ca="1" si="2"/>
        <v>6.0913800000000004E-3</v>
      </c>
      <c r="AD47" s="137">
        <f t="shared" ca="1" si="3"/>
        <v>2.1129999999999999E-2</v>
      </c>
      <c r="AE47" s="137">
        <f t="shared" ca="1" si="4"/>
        <v>2.63194E-2</v>
      </c>
      <c r="AG47" s="74">
        <v>406</v>
      </c>
      <c r="AH47" s="136">
        <f t="shared" ca="1" si="5"/>
        <v>2.5662068965517243E-4</v>
      </c>
      <c r="AI47" s="136">
        <f t="shared" ca="1" si="6"/>
        <v>1.4543300492610838E-5</v>
      </c>
      <c r="AJ47" s="136">
        <f t="shared" ca="1" si="7"/>
        <v>1.5003399014778326E-5</v>
      </c>
      <c r="AK47" s="136">
        <f t="shared" ca="1" si="8"/>
        <v>5.2044334975369456E-5</v>
      </c>
      <c r="AL47" s="136">
        <f t="shared" ca="1" si="9"/>
        <v>6.4826108374384234E-5</v>
      </c>
      <c r="AN47" s="74">
        <v>406</v>
      </c>
      <c r="AO47" s="136">
        <f t="shared" ca="1" si="10"/>
        <v>0.11481990502449566</v>
      </c>
      <c r="AP47" s="136">
        <f t="shared" ca="1" si="11"/>
        <v>7.8617865157952372E-3</v>
      </c>
      <c r="AQ47" s="136">
        <f t="shared" ca="1" si="12"/>
        <v>8.5026068185485894E-3</v>
      </c>
      <c r="AR47" s="136">
        <f t="shared" ca="1" si="13"/>
        <v>2.6309272645522772E-2</v>
      </c>
      <c r="AS47" s="136">
        <f t="shared" ca="1" si="14"/>
        <v>3.1698283868164888E-2</v>
      </c>
    </row>
    <row r="48" spans="9:45" ht="15" hidden="1" customHeight="1" x14ac:dyDescent="0.2">
      <c r="I48" s="74">
        <v>407</v>
      </c>
      <c r="J48" s="137">
        <v>8.2549999999999995E-4</v>
      </c>
      <c r="L48" s="74">
        <v>407</v>
      </c>
      <c r="M48" s="137">
        <v>0.120273</v>
      </c>
      <c r="N48" s="137">
        <v>6.7800500000000001E-3</v>
      </c>
      <c r="O48" s="137">
        <v>6.9529099999999996E-3</v>
      </c>
      <c r="P48" s="138">
        <v>2.4049999999999998E-2</v>
      </c>
      <c r="Q48" s="137">
        <v>3.0596399999999999E-2</v>
      </c>
      <c r="S48" s="74">
        <v>407</v>
      </c>
      <c r="T48" s="137">
        <v>0.17638026874978266</v>
      </c>
      <c r="U48" s="137">
        <v>1.779463154716919E-2</v>
      </c>
      <c r="V48" s="137">
        <v>1.651585266668476E-2</v>
      </c>
      <c r="W48" s="138">
        <v>2.7125890232032601E-2</v>
      </c>
      <c r="X48" s="137">
        <v>3.0200073504808897E-2</v>
      </c>
      <c r="Z48" s="74">
        <v>407</v>
      </c>
      <c r="AA48" s="137">
        <f t="shared" ca="1" si="0"/>
        <v>0.120273</v>
      </c>
      <c r="AB48" s="137">
        <f t="shared" ca="1" si="1"/>
        <v>6.7800500000000001E-3</v>
      </c>
      <c r="AC48" s="137">
        <f t="shared" ca="1" si="2"/>
        <v>6.9529099999999996E-3</v>
      </c>
      <c r="AD48" s="137">
        <f t="shared" ca="1" si="3"/>
        <v>2.4049999999999998E-2</v>
      </c>
      <c r="AE48" s="137">
        <f t="shared" ca="1" si="4"/>
        <v>3.0596399999999999E-2</v>
      </c>
      <c r="AG48" s="74">
        <v>407</v>
      </c>
      <c r="AH48" s="136">
        <f t="shared" ca="1" si="5"/>
        <v>2.9551105651105651E-4</v>
      </c>
      <c r="AI48" s="136">
        <f t="shared" ca="1" si="6"/>
        <v>1.6658599508599507E-5</v>
      </c>
      <c r="AJ48" s="136">
        <f t="shared" ca="1" si="7"/>
        <v>1.7083316953316951E-5</v>
      </c>
      <c r="AK48" s="136">
        <f t="shared" ca="1" si="8"/>
        <v>5.909090909090909E-5</v>
      </c>
      <c r="AL48" s="136">
        <f t="shared" ca="1" si="9"/>
        <v>7.5175429975429974E-5</v>
      </c>
      <c r="AN48" s="74">
        <v>407</v>
      </c>
      <c r="AO48" s="136">
        <f t="shared" ca="1" si="10"/>
        <v>0.1322206385146934</v>
      </c>
      <c r="AP48" s="136">
        <f t="shared" ca="1" si="11"/>
        <v>9.0052703686678403E-3</v>
      </c>
      <c r="AQ48" s="136">
        <f t="shared" ca="1" si="12"/>
        <v>9.6813213504237071E-3</v>
      </c>
      <c r="AR48" s="136">
        <f t="shared" ca="1" si="13"/>
        <v>2.9871432479255947E-2</v>
      </c>
      <c r="AS48" s="136">
        <f t="shared" ca="1" si="14"/>
        <v>3.6758833424190812E-2</v>
      </c>
    </row>
    <row r="49" spans="9:45" ht="15" hidden="1" customHeight="1" x14ac:dyDescent="0.2">
      <c r="I49" s="74">
        <v>408</v>
      </c>
      <c r="J49" s="137">
        <v>9.4116000000000002E-4</v>
      </c>
      <c r="L49" s="74">
        <v>408</v>
      </c>
      <c r="M49" s="137">
        <v>0.138044</v>
      </c>
      <c r="N49" s="137">
        <v>7.7526000000000001E-3</v>
      </c>
      <c r="O49" s="137">
        <v>7.89634E-3</v>
      </c>
      <c r="P49" s="138">
        <v>2.7300000000000001E-2</v>
      </c>
      <c r="Q49" s="137">
        <v>3.5453800000000001E-2</v>
      </c>
      <c r="S49" s="74">
        <v>408</v>
      </c>
      <c r="T49" s="137">
        <v>0.19980161761583071</v>
      </c>
      <c r="U49" s="137">
        <v>1.9931592524333283E-2</v>
      </c>
      <c r="V49" s="137">
        <v>1.840738093507898E-2</v>
      </c>
      <c r="W49" s="138">
        <v>3.0955156213659331E-2</v>
      </c>
      <c r="X49" s="137">
        <v>3.4772987145175759E-2</v>
      </c>
      <c r="Z49" s="74">
        <v>408</v>
      </c>
      <c r="AA49" s="137">
        <f t="shared" ca="1" si="0"/>
        <v>0.138044</v>
      </c>
      <c r="AB49" s="137">
        <f t="shared" ca="1" si="1"/>
        <v>7.7526000000000001E-3</v>
      </c>
      <c r="AC49" s="137">
        <f t="shared" ca="1" si="2"/>
        <v>7.89634E-3</v>
      </c>
      <c r="AD49" s="137">
        <f t="shared" ca="1" si="3"/>
        <v>2.7300000000000001E-2</v>
      </c>
      <c r="AE49" s="137">
        <f t="shared" ca="1" si="4"/>
        <v>3.5453800000000001E-2</v>
      </c>
      <c r="AG49" s="74">
        <v>408</v>
      </c>
      <c r="AH49" s="136">
        <f t="shared" ca="1" si="5"/>
        <v>3.3834313725490195E-4</v>
      </c>
      <c r="AI49" s="136">
        <f t="shared" ca="1" si="6"/>
        <v>1.9001470588235294E-5</v>
      </c>
      <c r="AJ49" s="136">
        <f t="shared" ca="1" si="7"/>
        <v>1.9353774509803923E-5</v>
      </c>
      <c r="AK49" s="136">
        <f t="shared" ca="1" si="8"/>
        <v>6.6911764705882354E-5</v>
      </c>
      <c r="AL49" s="136">
        <f t="shared" ca="1" si="9"/>
        <v>8.6896568627450982E-5</v>
      </c>
      <c r="AN49" s="74">
        <v>408</v>
      </c>
      <c r="AO49" s="136">
        <f t="shared" ca="1" si="10"/>
        <v>0.1513850147371183</v>
      </c>
      <c r="AP49" s="136">
        <f t="shared" ca="1" si="11"/>
        <v>1.0271774644742288E-2</v>
      </c>
      <c r="AQ49" s="136">
        <f t="shared" ca="1" si="12"/>
        <v>1.0968016977327725E-2</v>
      </c>
      <c r="AR49" s="136">
        <f t="shared" ca="1" si="13"/>
        <v>3.3825004425039822E-2</v>
      </c>
      <c r="AS49" s="136">
        <f t="shared" ca="1" si="14"/>
        <v>4.2490165900670208E-2</v>
      </c>
    </row>
    <row r="50" spans="9:45" ht="15" hidden="1" customHeight="1" x14ac:dyDescent="0.2">
      <c r="I50" s="74">
        <v>409</v>
      </c>
      <c r="J50" s="137">
        <v>1.06988E-3</v>
      </c>
      <c r="L50" s="74">
        <v>409</v>
      </c>
      <c r="M50" s="137">
        <v>0.15748500000000001</v>
      </c>
      <c r="N50" s="137">
        <v>8.8228600000000001E-3</v>
      </c>
      <c r="O50" s="137">
        <v>8.9130000000000008E-3</v>
      </c>
      <c r="P50" s="138">
        <v>3.0890000000000001E-2</v>
      </c>
      <c r="Q50" s="137">
        <v>4.0702799999999997E-2</v>
      </c>
      <c r="S50" s="74">
        <v>409</v>
      </c>
      <c r="T50" s="137">
        <v>0.22622885633248074</v>
      </c>
      <c r="U50" s="137">
        <v>2.2337213745233033E-2</v>
      </c>
      <c r="V50" s="137">
        <v>2.0515069850120752E-2</v>
      </c>
      <c r="W50" s="138">
        <v>3.5351431129356042E-2</v>
      </c>
      <c r="X50" s="137">
        <v>4.0054563194195703E-2</v>
      </c>
      <c r="Z50" s="74">
        <v>409</v>
      </c>
      <c r="AA50" s="137">
        <f t="shared" ca="1" si="0"/>
        <v>0.15748500000000001</v>
      </c>
      <c r="AB50" s="137">
        <f t="shared" ca="1" si="1"/>
        <v>8.8228600000000001E-3</v>
      </c>
      <c r="AC50" s="137">
        <f t="shared" ca="1" si="2"/>
        <v>8.9130000000000008E-3</v>
      </c>
      <c r="AD50" s="137">
        <f t="shared" ca="1" si="3"/>
        <v>3.0890000000000001E-2</v>
      </c>
      <c r="AE50" s="137">
        <f t="shared" ca="1" si="4"/>
        <v>4.0702799999999997E-2</v>
      </c>
      <c r="AG50" s="74">
        <v>409</v>
      </c>
      <c r="AH50" s="136">
        <f t="shared" ca="1" si="5"/>
        <v>3.8504889975550126E-4</v>
      </c>
      <c r="AI50" s="136">
        <f t="shared" ca="1" si="6"/>
        <v>2.1571784841075794E-5</v>
      </c>
      <c r="AJ50" s="136">
        <f t="shared" ca="1" si="7"/>
        <v>2.1792176039119806E-5</v>
      </c>
      <c r="AK50" s="136">
        <f t="shared" ca="1" si="8"/>
        <v>7.5525672371638149E-5</v>
      </c>
      <c r="AL50" s="136">
        <f t="shared" ca="1" si="9"/>
        <v>9.9517848410757937E-5</v>
      </c>
      <c r="AN50" s="74">
        <v>409</v>
      </c>
      <c r="AO50" s="136">
        <f t="shared" ca="1" si="10"/>
        <v>0.17228259404618151</v>
      </c>
      <c r="AP50" s="136">
        <f t="shared" ca="1" si="11"/>
        <v>1.1661229668696765E-2</v>
      </c>
      <c r="AQ50" s="136">
        <f t="shared" ca="1" si="12"/>
        <v>1.2349888475186229E-2</v>
      </c>
      <c r="AR50" s="136">
        <f t="shared" ca="1" si="13"/>
        <v>3.8179477307227309E-2</v>
      </c>
      <c r="AS50" s="136">
        <f t="shared" ca="1" si="14"/>
        <v>4.8661644019336391E-2</v>
      </c>
    </row>
    <row r="51" spans="9:45" ht="15" hidden="1" customHeight="1" x14ac:dyDescent="0.2">
      <c r="I51" s="74">
        <v>410</v>
      </c>
      <c r="J51" s="137">
        <v>1.2099999999999999E-3</v>
      </c>
      <c r="L51" s="74">
        <v>410</v>
      </c>
      <c r="M51" s="137">
        <v>0.17852999999999999</v>
      </c>
      <c r="N51" s="137">
        <v>9.9884099999999996E-3</v>
      </c>
      <c r="O51" s="137">
        <v>9.98835E-3</v>
      </c>
      <c r="P51" s="138">
        <v>3.4840000000000003E-2</v>
      </c>
      <c r="Q51" s="137">
        <v>4.6155000000000002E-2</v>
      </c>
      <c r="S51" s="74">
        <v>410</v>
      </c>
      <c r="T51" s="137">
        <v>0.25603303243818548</v>
      </c>
      <c r="U51" s="137">
        <v>2.5047766150911765E-2</v>
      </c>
      <c r="V51" s="137">
        <v>2.2864252101019816E-2</v>
      </c>
      <c r="W51" s="138">
        <v>4.0401175370579474E-2</v>
      </c>
      <c r="X51" s="137">
        <v>4.615502600536555E-2</v>
      </c>
      <c r="Z51" s="74">
        <v>410</v>
      </c>
      <c r="AA51" s="137">
        <f t="shared" ca="1" si="0"/>
        <v>0.17852999999999999</v>
      </c>
      <c r="AB51" s="137">
        <f t="shared" ca="1" si="1"/>
        <v>9.9884099999999996E-3</v>
      </c>
      <c r="AC51" s="137">
        <f t="shared" ca="1" si="2"/>
        <v>9.98835E-3</v>
      </c>
      <c r="AD51" s="137">
        <f t="shared" ca="1" si="3"/>
        <v>3.4840000000000003E-2</v>
      </c>
      <c r="AE51" s="137">
        <f t="shared" ca="1" si="4"/>
        <v>4.6155000000000002E-2</v>
      </c>
      <c r="AG51" s="74">
        <v>410</v>
      </c>
      <c r="AH51" s="136">
        <f t="shared" ca="1" si="5"/>
        <v>4.3543902439024387E-4</v>
      </c>
      <c r="AI51" s="136">
        <f t="shared" ca="1" si="6"/>
        <v>2.4361975609756098E-5</v>
      </c>
      <c r="AJ51" s="136">
        <f t="shared" ca="1" si="7"/>
        <v>2.4361829268292682E-5</v>
      </c>
      <c r="AK51" s="136">
        <f t="shared" ca="1" si="8"/>
        <v>8.4975609756097562E-5</v>
      </c>
      <c r="AL51" s="136">
        <f t="shared" ca="1" si="9"/>
        <v>1.1257317073170732E-4</v>
      </c>
      <c r="AN51" s="74">
        <v>410</v>
      </c>
      <c r="AO51" s="136">
        <f t="shared" ca="1" si="10"/>
        <v>0.19482866908209601</v>
      </c>
      <c r="AP51" s="136">
        <f t="shared" ca="1" si="11"/>
        <v>1.3169545072951278E-2</v>
      </c>
      <c r="AQ51" s="136">
        <f t="shared" ca="1" si="12"/>
        <v>1.3806141891238799E-2</v>
      </c>
      <c r="AR51" s="136">
        <f t="shared" ca="1" si="13"/>
        <v>4.2956577048217821E-2</v>
      </c>
      <c r="AS51" s="136">
        <f t="shared" ca="1" si="14"/>
        <v>5.5045357669550911E-2</v>
      </c>
    </row>
    <row r="52" spans="9:45" ht="15" hidden="1" customHeight="1" x14ac:dyDescent="0.2">
      <c r="I52" s="74">
        <v>411</v>
      </c>
      <c r="J52" s="137">
        <v>1.362091E-3</v>
      </c>
      <c r="L52" s="74">
        <v>411</v>
      </c>
      <c r="M52" s="137">
        <v>0.20107700000000001</v>
      </c>
      <c r="N52" s="137">
        <v>1.12452E-2</v>
      </c>
      <c r="O52" s="137">
        <v>1.11054E-2</v>
      </c>
      <c r="P52" s="138">
        <v>3.916E-2</v>
      </c>
      <c r="Q52" s="137">
        <v>5.17822E-2</v>
      </c>
      <c r="S52" s="74">
        <v>411</v>
      </c>
      <c r="T52" s="137">
        <v>0.27998837500538482</v>
      </c>
      <c r="U52" s="137">
        <v>2.7169209336447939E-2</v>
      </c>
      <c r="V52" s="137">
        <v>2.4634967859478548E-2</v>
      </c>
      <c r="W52" s="138">
        <v>4.4666096513050216E-2</v>
      </c>
      <c r="X52" s="137">
        <v>5.1430766868249995E-2</v>
      </c>
      <c r="Z52" s="74">
        <v>411</v>
      </c>
      <c r="AA52" s="137">
        <f t="shared" ca="1" si="0"/>
        <v>0.20107700000000001</v>
      </c>
      <c r="AB52" s="137">
        <f t="shared" ca="1" si="1"/>
        <v>1.12452E-2</v>
      </c>
      <c r="AC52" s="137">
        <f t="shared" ca="1" si="2"/>
        <v>1.11054E-2</v>
      </c>
      <c r="AD52" s="137">
        <f t="shared" ca="1" si="3"/>
        <v>3.916E-2</v>
      </c>
      <c r="AE52" s="137">
        <f t="shared" ca="1" si="4"/>
        <v>5.17822E-2</v>
      </c>
      <c r="AG52" s="74">
        <v>411</v>
      </c>
      <c r="AH52" s="136">
        <f t="shared" ca="1" si="5"/>
        <v>4.8923844282238447E-4</v>
      </c>
      <c r="AI52" s="136">
        <f t="shared" ca="1" si="6"/>
        <v>2.736058394160584E-5</v>
      </c>
      <c r="AJ52" s="136">
        <f t="shared" ca="1" si="7"/>
        <v>2.7020437956204379E-5</v>
      </c>
      <c r="AK52" s="136">
        <f t="shared" ca="1" si="8"/>
        <v>9.5279805352798048E-5</v>
      </c>
      <c r="AL52" s="136">
        <f t="shared" ca="1" si="9"/>
        <v>1.2599075425790755E-4</v>
      </c>
      <c r="AN52" s="74">
        <v>411</v>
      </c>
      <c r="AO52" s="136">
        <f t="shared" ca="1" si="10"/>
        <v>0.21890016590120284</v>
      </c>
      <c r="AP52" s="136">
        <f t="shared" ca="1" si="11"/>
        <v>1.4790526401190026E-2</v>
      </c>
      <c r="AQ52" s="136">
        <f t="shared" ca="1" si="12"/>
        <v>1.5312807436521206E-2</v>
      </c>
      <c r="AR52" s="136">
        <f t="shared" ca="1" si="13"/>
        <v>4.8165518453169721E-2</v>
      </c>
      <c r="AS52" s="136">
        <f t="shared" ca="1" si="14"/>
        <v>6.1606207643484699E-2</v>
      </c>
    </row>
    <row r="53" spans="9:45" ht="15" hidden="1" customHeight="1" x14ac:dyDescent="0.2">
      <c r="I53" s="74">
        <v>412</v>
      </c>
      <c r="J53" s="137">
        <v>1.530752E-3</v>
      </c>
      <c r="L53" s="74">
        <v>412</v>
      </c>
      <c r="M53" s="137">
        <v>0.22509100000000001</v>
      </c>
      <c r="N53" s="137">
        <v>1.2594899999999999E-2</v>
      </c>
      <c r="O53" s="137">
        <v>1.2260699999999999E-2</v>
      </c>
      <c r="P53" s="136">
        <v>4.3900000000000002E-2</v>
      </c>
      <c r="Q53" s="137">
        <v>5.7780400000000003E-2</v>
      </c>
      <c r="S53" s="74">
        <v>412</v>
      </c>
      <c r="T53" s="137">
        <v>0.30603915910845447</v>
      </c>
      <c r="U53" s="137">
        <v>2.9489608027667213E-2</v>
      </c>
      <c r="V53" s="137">
        <v>2.6544283066930643E-2</v>
      </c>
      <c r="W53" s="136">
        <v>4.9413202307299821E-2</v>
      </c>
      <c r="X53" s="137">
        <v>5.7325123627036109E-2</v>
      </c>
      <c r="Z53" s="74">
        <v>412</v>
      </c>
      <c r="AA53" s="137">
        <f t="shared" ca="1" si="0"/>
        <v>0.22509100000000001</v>
      </c>
      <c r="AB53" s="137">
        <f t="shared" ca="1" si="1"/>
        <v>1.2594899999999999E-2</v>
      </c>
      <c r="AC53" s="137">
        <f t="shared" ca="1" si="2"/>
        <v>1.2260699999999999E-2</v>
      </c>
      <c r="AD53" s="137">
        <f t="shared" ca="1" si="3"/>
        <v>4.3900000000000002E-2</v>
      </c>
      <c r="AE53" s="137">
        <f t="shared" ca="1" si="4"/>
        <v>5.7780400000000003E-2</v>
      </c>
      <c r="AG53" s="74">
        <v>412</v>
      </c>
      <c r="AH53" s="136">
        <f t="shared" ca="1" si="5"/>
        <v>5.4633737864077676E-4</v>
      </c>
      <c r="AI53" s="136">
        <f t="shared" ca="1" si="6"/>
        <v>3.0570145631067962E-5</v>
      </c>
      <c r="AJ53" s="136">
        <f t="shared" ca="1" si="7"/>
        <v>2.9758980582524269E-5</v>
      </c>
      <c r="AK53" s="136">
        <f t="shared" ca="1" si="8"/>
        <v>1.0655339805825242E-4</v>
      </c>
      <c r="AL53" s="136">
        <f t="shared" ca="1" si="9"/>
        <v>1.4024368932038836E-4</v>
      </c>
      <c r="AN53" s="74">
        <v>412</v>
      </c>
      <c r="AO53" s="136">
        <f t="shared" ca="1" si="10"/>
        <v>0.24444796719687062</v>
      </c>
      <c r="AP53" s="136">
        <f t="shared" ca="1" si="11"/>
        <v>1.652554444779139E-2</v>
      </c>
      <c r="AQ53" s="136">
        <f t="shared" ca="1" si="12"/>
        <v>1.6864772506869467E-2</v>
      </c>
      <c r="AR53" s="136">
        <f t="shared" ca="1" si="13"/>
        <v>5.3864506139778556E-2</v>
      </c>
      <c r="AS53" s="136">
        <f t="shared" ca="1" si="14"/>
        <v>6.8575522829826527E-2</v>
      </c>
    </row>
    <row r="54" spans="9:45" ht="15" hidden="1" customHeight="1" x14ac:dyDescent="0.2">
      <c r="I54" s="74">
        <v>413</v>
      </c>
      <c r="J54" s="137">
        <v>1.7203679999999999E-3</v>
      </c>
      <c r="L54" s="74">
        <v>413</v>
      </c>
      <c r="M54" s="137">
        <v>0.25056600000000001</v>
      </c>
      <c r="N54" s="137">
        <v>1.4042499999999999E-2</v>
      </c>
      <c r="O54" s="137">
        <v>1.3457800000000001E-2</v>
      </c>
      <c r="P54" s="136">
        <v>4.9000000000000002E-2</v>
      </c>
      <c r="Q54" s="137">
        <v>6.4297199999999999E-2</v>
      </c>
      <c r="S54" s="74">
        <v>413</v>
      </c>
      <c r="T54" s="137">
        <v>0.33435359720612273</v>
      </c>
      <c r="U54" s="137">
        <v>3.2030299532256223E-2</v>
      </c>
      <c r="V54" s="137">
        <v>2.8603949326994706E-2</v>
      </c>
      <c r="W54" s="136">
        <v>5.4698069660838448E-2</v>
      </c>
      <c r="X54" s="137">
        <v>6.3909879691128477E-2</v>
      </c>
      <c r="Z54" s="74">
        <v>413</v>
      </c>
      <c r="AA54" s="137">
        <f t="shared" ca="1" si="0"/>
        <v>0.25056600000000001</v>
      </c>
      <c r="AB54" s="137">
        <f t="shared" ca="1" si="1"/>
        <v>1.4042499999999999E-2</v>
      </c>
      <c r="AC54" s="137">
        <f t="shared" ca="1" si="2"/>
        <v>1.3457800000000001E-2</v>
      </c>
      <c r="AD54" s="137">
        <f t="shared" ca="1" si="3"/>
        <v>4.9000000000000002E-2</v>
      </c>
      <c r="AE54" s="137">
        <f t="shared" ca="1" si="4"/>
        <v>6.4297199999999999E-2</v>
      </c>
      <c r="AG54" s="74">
        <v>413</v>
      </c>
      <c r="AH54" s="136">
        <f t="shared" ca="1" si="5"/>
        <v>6.0669733656174333E-4</v>
      </c>
      <c r="AI54" s="136">
        <f t="shared" ca="1" si="6"/>
        <v>3.4001210653753029E-5</v>
      </c>
      <c r="AJ54" s="136">
        <f t="shared" ca="1" si="7"/>
        <v>3.258547215496368E-5</v>
      </c>
      <c r="AK54" s="136">
        <f t="shared" ca="1" si="8"/>
        <v>1.1864406779661017E-4</v>
      </c>
      <c r="AL54" s="136">
        <f t="shared" ca="1" si="9"/>
        <v>1.5568329297820823E-4</v>
      </c>
      <c r="AN54" s="74">
        <v>413</v>
      </c>
      <c r="AO54" s="136">
        <f t="shared" ca="1" si="10"/>
        <v>0.27145484900784483</v>
      </c>
      <c r="AP54" s="136">
        <f t="shared" ca="1" si="11"/>
        <v>1.8380302296181254E-2</v>
      </c>
      <c r="AQ54" s="136">
        <f t="shared" ca="1" si="12"/>
        <v>1.8466579303630749E-2</v>
      </c>
      <c r="AR54" s="136">
        <f t="shared" ca="1" si="13"/>
        <v>5.9976539788858099E-2</v>
      </c>
      <c r="AS54" s="136">
        <f t="shared" ca="1" si="14"/>
        <v>7.6125088148958339E-2</v>
      </c>
    </row>
    <row r="55" spans="9:45" ht="15" hidden="1" customHeight="1" x14ac:dyDescent="0.2">
      <c r="I55" s="74">
        <v>414</v>
      </c>
      <c r="J55" s="137">
        <v>1.9353230000000001E-3</v>
      </c>
      <c r="L55" s="74">
        <v>414</v>
      </c>
      <c r="M55" s="137">
        <v>0.277507</v>
      </c>
      <c r="N55" s="137">
        <v>1.55944E-2</v>
      </c>
      <c r="O55" s="137">
        <v>1.4704399999999999E-2</v>
      </c>
      <c r="P55" s="136">
        <v>5.45E-2</v>
      </c>
      <c r="Q55" s="137">
        <v>7.1480100000000005E-2</v>
      </c>
      <c r="S55" s="74">
        <v>414</v>
      </c>
      <c r="T55" s="137">
        <v>0.36510854727301234</v>
      </c>
      <c r="U55" s="137">
        <v>3.4815128302588844E-2</v>
      </c>
      <c r="V55" s="137">
        <v>3.0826839409635539E-2</v>
      </c>
      <c r="W55" s="136">
        <v>6.0582473358847019E-2</v>
      </c>
      <c r="X55" s="137">
        <v>7.1264132035639458E-2</v>
      </c>
      <c r="Z55" s="74">
        <v>414</v>
      </c>
      <c r="AA55" s="137">
        <f t="shared" ca="1" si="0"/>
        <v>0.277507</v>
      </c>
      <c r="AB55" s="137">
        <f t="shared" ca="1" si="1"/>
        <v>1.55944E-2</v>
      </c>
      <c r="AC55" s="137">
        <f t="shared" ca="1" si="2"/>
        <v>1.4704399999999999E-2</v>
      </c>
      <c r="AD55" s="137">
        <f t="shared" ca="1" si="3"/>
        <v>5.45E-2</v>
      </c>
      <c r="AE55" s="137">
        <f t="shared" ca="1" si="4"/>
        <v>7.1480100000000005E-2</v>
      </c>
      <c r="AG55" s="74">
        <v>414</v>
      </c>
      <c r="AH55" s="136">
        <f t="shared" ca="1" si="5"/>
        <v>6.7030676328502412E-4</v>
      </c>
      <c r="AI55" s="136">
        <f t="shared" ca="1" si="6"/>
        <v>3.7667632850241548E-5</v>
      </c>
      <c r="AJ55" s="136">
        <f t="shared" ca="1" si="7"/>
        <v>3.5517874396135263E-5</v>
      </c>
      <c r="AK55" s="136">
        <f t="shared" ca="1" si="8"/>
        <v>1.316425120772947E-4</v>
      </c>
      <c r="AL55" s="136">
        <f t="shared" ca="1" si="9"/>
        <v>1.7265724637681161E-4</v>
      </c>
      <c r="AN55" s="74">
        <v>414</v>
      </c>
      <c r="AO55" s="136">
        <f t="shared" ca="1" si="10"/>
        <v>0.29991564203604448</v>
      </c>
      <c r="AP55" s="136">
        <f t="shared" ca="1" si="11"/>
        <v>2.0362289026099337E-2</v>
      </c>
      <c r="AQ55" s="136">
        <f t="shared" ca="1" si="12"/>
        <v>2.0128406951216048E-2</v>
      </c>
      <c r="AR55" s="136">
        <f t="shared" ca="1" si="13"/>
        <v>6.6547468492433828E-2</v>
      </c>
      <c r="AS55" s="136">
        <f t="shared" ca="1" si="14"/>
        <v>8.4424910653906643E-2</v>
      </c>
    </row>
    <row r="56" spans="9:45" ht="15" hidden="1" customHeight="1" x14ac:dyDescent="0.2">
      <c r="I56" s="74">
        <v>415</v>
      </c>
      <c r="J56" s="137">
        <v>2.1800000000000001E-3</v>
      </c>
      <c r="L56" s="74">
        <v>415</v>
      </c>
      <c r="M56" s="137">
        <v>0.30594100000000002</v>
      </c>
      <c r="N56" s="137">
        <v>1.72596E-2</v>
      </c>
      <c r="O56" s="137">
        <v>1.6012999999999999E-2</v>
      </c>
      <c r="P56" s="136">
        <v>6.0400000000000002E-2</v>
      </c>
      <c r="Q56" s="137">
        <v>7.9476599999999994E-2</v>
      </c>
      <c r="S56" s="74">
        <v>415</v>
      </c>
      <c r="T56" s="137">
        <v>0.39849511324382436</v>
      </c>
      <c r="U56" s="137">
        <v>3.7870670990924449E-2</v>
      </c>
      <c r="V56" s="137">
        <v>3.3227066450287057E-2</v>
      </c>
      <c r="W56" s="136">
        <v>6.7135310211806826E-2</v>
      </c>
      <c r="X56" s="137">
        <v>7.9476548802357175E-2</v>
      </c>
      <c r="Z56" s="74">
        <v>415</v>
      </c>
      <c r="AA56" s="137">
        <f t="shared" ca="1" si="0"/>
        <v>0.30594100000000002</v>
      </c>
      <c r="AB56" s="137">
        <f t="shared" ca="1" si="1"/>
        <v>1.72596E-2</v>
      </c>
      <c r="AC56" s="137">
        <f t="shared" ca="1" si="2"/>
        <v>1.6012999999999999E-2</v>
      </c>
      <c r="AD56" s="137">
        <f t="shared" ca="1" si="3"/>
        <v>6.0400000000000002E-2</v>
      </c>
      <c r="AE56" s="137">
        <f t="shared" ca="1" si="4"/>
        <v>7.9476599999999994E-2</v>
      </c>
      <c r="AG56" s="74">
        <v>415</v>
      </c>
      <c r="AH56" s="136">
        <f t="shared" ca="1" si="5"/>
        <v>7.3720722891566272E-4</v>
      </c>
      <c r="AI56" s="136">
        <f t="shared" ca="1" si="6"/>
        <v>4.1589397590361443E-5</v>
      </c>
      <c r="AJ56" s="136">
        <f t="shared" ca="1" si="7"/>
        <v>3.8585542168674699E-5</v>
      </c>
      <c r="AK56" s="136">
        <f t="shared" ca="1" si="8"/>
        <v>1.455421686746988E-4</v>
      </c>
      <c r="AL56" s="136">
        <f t="shared" ca="1" si="9"/>
        <v>1.9150987951807228E-4</v>
      </c>
      <c r="AN56" s="74">
        <v>415</v>
      </c>
      <c r="AO56" s="136">
        <f t="shared" ca="1" si="10"/>
        <v>0.32984894601136422</v>
      </c>
      <c r="AP56" s="136">
        <f t="shared" ca="1" si="11"/>
        <v>2.2482308286353291E-2</v>
      </c>
      <c r="AQ56" s="136">
        <f t="shared" ca="1" si="12"/>
        <v>2.1866891203627364E-2</v>
      </c>
      <c r="AR56" s="136">
        <f t="shared" ca="1" si="13"/>
        <v>7.3573974936858771E-2</v>
      </c>
      <c r="AS56" s="136">
        <f t="shared" ca="1" si="14"/>
        <v>9.3643358775500063E-2</v>
      </c>
    </row>
    <row r="57" spans="9:45" ht="15" hidden="1" customHeight="1" x14ac:dyDescent="0.2">
      <c r="I57" s="74">
        <v>416</v>
      </c>
      <c r="J57" s="137">
        <v>2.4548E-3</v>
      </c>
      <c r="L57" s="74">
        <v>416</v>
      </c>
      <c r="M57" s="137">
        <v>0.33585799999999999</v>
      </c>
      <c r="N57" s="137">
        <v>1.90467E-2</v>
      </c>
      <c r="O57" s="137">
        <v>1.7395799999999999E-2</v>
      </c>
      <c r="P57" s="136">
        <v>6.6799999999999998E-2</v>
      </c>
      <c r="Q57" s="137">
        <v>8.9180700000000002E-2</v>
      </c>
      <c r="S57" s="74">
        <v>416</v>
      </c>
      <c r="T57" s="137">
        <v>0.4347153744231041</v>
      </c>
      <c r="U57" s="137">
        <v>4.1226740534449045E-2</v>
      </c>
      <c r="V57" s="137">
        <v>3.582036443246598E-2</v>
      </c>
      <c r="W57" s="136">
        <v>7.4432910285986323E-2</v>
      </c>
      <c r="X57" s="137">
        <v>8.8644950124780686E-2</v>
      </c>
      <c r="Z57" s="74">
        <v>416</v>
      </c>
      <c r="AA57" s="137">
        <f t="shared" ca="1" si="0"/>
        <v>0.33585799999999999</v>
      </c>
      <c r="AB57" s="137">
        <f t="shared" ca="1" si="1"/>
        <v>1.90467E-2</v>
      </c>
      <c r="AC57" s="137">
        <f t="shared" ca="1" si="2"/>
        <v>1.7395799999999999E-2</v>
      </c>
      <c r="AD57" s="137">
        <f t="shared" ca="1" si="3"/>
        <v>6.6799999999999998E-2</v>
      </c>
      <c r="AE57" s="137">
        <f t="shared" ca="1" si="4"/>
        <v>8.9180700000000002E-2</v>
      </c>
      <c r="AG57" s="74">
        <v>416</v>
      </c>
      <c r="AH57" s="136">
        <f t="shared" ca="1" si="5"/>
        <v>8.0735096153846156E-4</v>
      </c>
      <c r="AI57" s="136">
        <f t="shared" ca="1" si="6"/>
        <v>4.5785336538461537E-5</v>
      </c>
      <c r="AJ57" s="136">
        <f t="shared" ca="1" si="7"/>
        <v>4.1816826923076923E-5</v>
      </c>
      <c r="AK57" s="136">
        <f t="shared" ca="1" si="8"/>
        <v>1.6057692307692306E-4</v>
      </c>
      <c r="AL57" s="136">
        <f t="shared" ca="1" si="9"/>
        <v>2.143766826923077E-4</v>
      </c>
      <c r="AN57" s="74">
        <v>416</v>
      </c>
      <c r="AO57" s="136">
        <f t="shared" ca="1" si="10"/>
        <v>0.3612333863253373</v>
      </c>
      <c r="AP57" s="136">
        <f t="shared" ca="1" si="11"/>
        <v>2.4750540058091328E-2</v>
      </c>
      <c r="AQ57" s="136">
        <f t="shared" ca="1" si="12"/>
        <v>2.3698099169128399E-2</v>
      </c>
      <c r="AR57" s="136">
        <f t="shared" ca="1" si="13"/>
        <v>8.1174292107090498E-2</v>
      </c>
      <c r="AS57" s="136">
        <f t="shared" ca="1" si="14"/>
        <v>0.10482463182043245</v>
      </c>
    </row>
    <row r="58" spans="9:45" ht="15" hidden="1" customHeight="1" x14ac:dyDescent="0.2">
      <c r="I58" s="74">
        <v>417</v>
      </c>
      <c r="J58" s="137">
        <v>2.764E-3</v>
      </c>
      <c r="L58" s="74">
        <v>417</v>
      </c>
      <c r="M58" s="137">
        <v>0.366981</v>
      </c>
      <c r="N58" s="137">
        <v>2.0954500000000001E-2</v>
      </c>
      <c r="O58" s="137">
        <v>1.8845199999999999E-2</v>
      </c>
      <c r="P58" s="136">
        <v>7.3599999999999999E-2</v>
      </c>
      <c r="Q58" s="137">
        <v>0.100756</v>
      </c>
      <c r="S58" s="74">
        <v>417</v>
      </c>
      <c r="T58" s="137">
        <v>0.47398434739201928</v>
      </c>
      <c r="U58" s="137">
        <v>4.491671639946547E-2</v>
      </c>
      <c r="V58" s="137">
        <v>3.8623888972112774E-2</v>
      </c>
      <c r="W58" s="136">
        <v>8.2559679815996115E-2</v>
      </c>
      <c r="X58" s="137">
        <v>9.8878302038134969E-2</v>
      </c>
      <c r="Z58" s="74">
        <v>417</v>
      </c>
      <c r="AA58" s="137">
        <f t="shared" ca="1" si="0"/>
        <v>0.366981</v>
      </c>
      <c r="AB58" s="137">
        <f t="shared" ca="1" si="1"/>
        <v>2.0954500000000001E-2</v>
      </c>
      <c r="AC58" s="137">
        <f t="shared" ca="1" si="2"/>
        <v>1.8845199999999999E-2</v>
      </c>
      <c r="AD58" s="137">
        <f t="shared" ca="1" si="3"/>
        <v>7.3599999999999999E-2</v>
      </c>
      <c r="AE58" s="137">
        <f t="shared" ca="1" si="4"/>
        <v>0.100756</v>
      </c>
      <c r="AG58" s="74">
        <v>417</v>
      </c>
      <c r="AH58" s="136">
        <f t="shared" ca="1" si="5"/>
        <v>8.8005035971223022E-4</v>
      </c>
      <c r="AI58" s="136">
        <f t="shared" ca="1" si="6"/>
        <v>5.0250599520383697E-5</v>
      </c>
      <c r="AJ58" s="136">
        <f t="shared" ca="1" si="7"/>
        <v>4.5192326139088728E-5</v>
      </c>
      <c r="AK58" s="136">
        <f t="shared" ca="1" si="8"/>
        <v>1.7649880095923262E-4</v>
      </c>
      <c r="AL58" s="136">
        <f t="shared" ca="1" si="9"/>
        <v>2.4162110311750599E-4</v>
      </c>
      <c r="AN58" s="74">
        <v>417</v>
      </c>
      <c r="AO58" s="136">
        <f t="shared" ca="1" si="10"/>
        <v>0.39376130917078922</v>
      </c>
      <c r="AP58" s="136">
        <f t="shared" ca="1" si="11"/>
        <v>2.7164362444460324E-2</v>
      </c>
      <c r="AQ58" s="136">
        <f t="shared" ca="1" si="12"/>
        <v>2.5611035205942285E-2</v>
      </c>
      <c r="AR58" s="136">
        <f t="shared" ca="1" si="13"/>
        <v>8.9223064878087496E-2</v>
      </c>
      <c r="AS58" s="136">
        <f t="shared" ca="1" si="14"/>
        <v>0.1181464460418583</v>
      </c>
    </row>
    <row r="59" spans="9:45" ht="15" hidden="1" customHeight="1" x14ac:dyDescent="0.2">
      <c r="I59" s="74">
        <v>418</v>
      </c>
      <c r="J59" s="137">
        <v>3.1178E-3</v>
      </c>
      <c r="L59" s="74">
        <v>418</v>
      </c>
      <c r="M59" s="137">
        <v>0.39887600000000001</v>
      </c>
      <c r="N59" s="137">
        <v>2.2976300000000002E-2</v>
      </c>
      <c r="O59" s="137">
        <v>2.0344000000000001E-2</v>
      </c>
      <c r="P59" s="136">
        <v>8.0799999999999997E-2</v>
      </c>
      <c r="Q59" s="137">
        <v>0.113256</v>
      </c>
      <c r="S59" s="74">
        <v>418</v>
      </c>
      <c r="T59" s="137">
        <v>0.51653053478247635</v>
      </c>
      <c r="U59" s="137">
        <v>4.8977881936844603E-2</v>
      </c>
      <c r="V59" s="137">
        <v>4.1656617259031012E-2</v>
      </c>
      <c r="W59" s="136">
        <v>9.1610235590258035E-2</v>
      </c>
      <c r="X59" s="137">
        <v>0.11029656822955572</v>
      </c>
      <c r="Z59" s="74">
        <v>418</v>
      </c>
      <c r="AA59" s="137">
        <f t="shared" ca="1" si="0"/>
        <v>0.39887600000000001</v>
      </c>
      <c r="AB59" s="137">
        <f t="shared" ca="1" si="1"/>
        <v>2.2976300000000002E-2</v>
      </c>
      <c r="AC59" s="137">
        <f t="shared" ca="1" si="2"/>
        <v>2.0344000000000001E-2</v>
      </c>
      <c r="AD59" s="137">
        <f t="shared" ca="1" si="3"/>
        <v>8.0799999999999997E-2</v>
      </c>
      <c r="AE59" s="137">
        <f t="shared" ca="1" si="4"/>
        <v>0.113256</v>
      </c>
      <c r="AG59" s="74">
        <v>418</v>
      </c>
      <c r="AH59" s="136">
        <f t="shared" ca="1" si="5"/>
        <v>9.542488038277512E-4</v>
      </c>
      <c r="AI59" s="136">
        <f t="shared" ca="1" si="6"/>
        <v>5.4967224880382779E-5</v>
      </c>
      <c r="AJ59" s="136">
        <f t="shared" ca="1" si="7"/>
        <v>4.8669856459330144E-5</v>
      </c>
      <c r="AK59" s="136">
        <f t="shared" ca="1" si="8"/>
        <v>1.9330143540669857E-4</v>
      </c>
      <c r="AL59" s="136">
        <f t="shared" ca="1" si="9"/>
        <v>2.7094736842105262E-4</v>
      </c>
      <c r="AN59" s="74">
        <v>418</v>
      </c>
      <c r="AO59" s="136">
        <f t="shared" ca="1" si="10"/>
        <v>0.42695995078365873</v>
      </c>
      <c r="AP59" s="136">
        <f t="shared" ca="1" si="11"/>
        <v>2.9714065771716668E-2</v>
      </c>
      <c r="AQ59" s="136">
        <f t="shared" ca="1" si="12"/>
        <v>2.7581793497678017E-2</v>
      </c>
      <c r="AR59" s="136">
        <f t="shared" ca="1" si="13"/>
        <v>9.7717074668983023E-2</v>
      </c>
      <c r="AS59" s="136">
        <f t="shared" ca="1" si="14"/>
        <v>0.13248622835635954</v>
      </c>
    </row>
    <row r="60" spans="9:45" ht="15" hidden="1" customHeight="1" x14ac:dyDescent="0.2">
      <c r="I60" s="74">
        <v>419</v>
      </c>
      <c r="J60" s="137">
        <v>3.5263999999999998E-3</v>
      </c>
      <c r="L60" s="74">
        <v>419</v>
      </c>
      <c r="M60" s="137">
        <v>0.43099799999999999</v>
      </c>
      <c r="N60" s="137">
        <v>2.5101700000000001E-2</v>
      </c>
      <c r="O60" s="137">
        <v>2.1870000000000001E-2</v>
      </c>
      <c r="P60" s="136">
        <v>8.8499999999999995E-2</v>
      </c>
      <c r="Q60" s="137">
        <v>0.12573200000000001</v>
      </c>
      <c r="S60" s="74">
        <v>419</v>
      </c>
      <c r="T60" s="137">
        <v>0.56259646628741056</v>
      </c>
      <c r="U60" s="137">
        <v>5.3452004955617922E-2</v>
      </c>
      <c r="V60" s="137">
        <v>4.4939682521483247E-2</v>
      </c>
      <c r="W60" s="136">
        <v>0.1016883030517291</v>
      </c>
      <c r="X60" s="137">
        <v>0.12303367598557401</v>
      </c>
      <c r="Z60" s="74">
        <v>419</v>
      </c>
      <c r="AA60" s="137">
        <f t="shared" ca="1" si="0"/>
        <v>0.43099799999999999</v>
      </c>
      <c r="AB60" s="137">
        <f t="shared" ca="1" si="1"/>
        <v>2.5101700000000001E-2</v>
      </c>
      <c r="AC60" s="137">
        <f t="shared" ca="1" si="2"/>
        <v>2.1870000000000001E-2</v>
      </c>
      <c r="AD60" s="137">
        <f t="shared" ca="1" si="3"/>
        <v>8.8499999999999995E-2</v>
      </c>
      <c r="AE60" s="137">
        <f t="shared" ca="1" si="4"/>
        <v>0.12573200000000001</v>
      </c>
      <c r="AG60" s="74">
        <v>419</v>
      </c>
      <c r="AH60" s="136">
        <f t="shared" ca="1" si="5"/>
        <v>1.0286348448687351E-3</v>
      </c>
      <c r="AI60" s="136">
        <f t="shared" ca="1" si="6"/>
        <v>5.9908591885441527E-5</v>
      </c>
      <c r="AJ60" s="136">
        <f t="shared" ca="1" si="7"/>
        <v>5.2195704057279238E-5</v>
      </c>
      <c r="AK60" s="136">
        <f t="shared" ca="1" si="8"/>
        <v>2.1121718377088304E-4</v>
      </c>
      <c r="AL60" s="136">
        <f t="shared" ca="1" si="9"/>
        <v>3.0007637231503582E-4</v>
      </c>
      <c r="AN60" s="74">
        <v>419</v>
      </c>
      <c r="AO60" s="136">
        <f t="shared" ca="1" si="10"/>
        <v>0.46024252896919299</v>
      </c>
      <c r="AP60" s="136">
        <f t="shared" ca="1" si="11"/>
        <v>3.2385259460501699E-2</v>
      </c>
      <c r="AQ60" s="136">
        <f t="shared" ca="1" si="12"/>
        <v>2.9579933772288857E-2</v>
      </c>
      <c r="AR60" s="136">
        <f t="shared" ca="1" si="13"/>
        <v>0.10677378196642433</v>
      </c>
      <c r="AS60" s="136">
        <f t="shared" ca="1" si="14"/>
        <v>0.14672955496322421</v>
      </c>
    </row>
    <row r="61" spans="9:45" ht="15" hidden="1" customHeight="1" x14ac:dyDescent="0.2">
      <c r="I61" s="74">
        <v>420</v>
      </c>
      <c r="J61" s="137">
        <v>4.0000000000000001E-3</v>
      </c>
      <c r="L61" s="74">
        <v>420</v>
      </c>
      <c r="M61" s="137">
        <v>0.46269199999999999</v>
      </c>
      <c r="N61" s="137">
        <v>2.7316300000000002E-2</v>
      </c>
      <c r="O61" s="137">
        <v>2.3395699999999998E-2</v>
      </c>
      <c r="P61" s="136">
        <v>9.6600000000000005E-2</v>
      </c>
      <c r="Q61" s="137">
        <v>0.137237</v>
      </c>
      <c r="S61" s="74">
        <v>420</v>
      </c>
      <c r="T61" s="137">
        <v>0.61243640708729574</v>
      </c>
      <c r="U61" s="137">
        <v>5.8385902808889764E-2</v>
      </c>
      <c r="V61" s="137">
        <v>4.849623237522014E-2</v>
      </c>
      <c r="W61" s="136">
        <v>0.11291015406630996</v>
      </c>
      <c r="X61" s="137">
        <v>0.13723724780317598</v>
      </c>
      <c r="Z61" s="74">
        <v>420</v>
      </c>
      <c r="AA61" s="137">
        <f t="shared" ca="1" si="0"/>
        <v>0.46269199999999999</v>
      </c>
      <c r="AB61" s="137">
        <f t="shared" ca="1" si="1"/>
        <v>2.7316300000000002E-2</v>
      </c>
      <c r="AC61" s="137">
        <f t="shared" ca="1" si="2"/>
        <v>2.3395699999999998E-2</v>
      </c>
      <c r="AD61" s="137">
        <f t="shared" ca="1" si="3"/>
        <v>9.6600000000000005E-2</v>
      </c>
      <c r="AE61" s="137">
        <f t="shared" ca="1" si="4"/>
        <v>0.137237</v>
      </c>
      <c r="AG61" s="74">
        <v>420</v>
      </c>
      <c r="AH61" s="136">
        <f t="shared" ca="1" si="5"/>
        <v>1.101647619047619E-3</v>
      </c>
      <c r="AI61" s="136">
        <f t="shared" ca="1" si="6"/>
        <v>6.5038809523809528E-5</v>
      </c>
      <c r="AJ61" s="136">
        <f t="shared" ca="1" si="7"/>
        <v>5.5704047619047615E-5</v>
      </c>
      <c r="AK61" s="136">
        <f t="shared" ca="1" si="8"/>
        <v>2.3000000000000001E-4</v>
      </c>
      <c r="AL61" s="136">
        <f t="shared" ca="1" si="9"/>
        <v>3.2675476190476189E-4</v>
      </c>
      <c r="AN61" s="74">
        <v>420</v>
      </c>
      <c r="AO61" s="136">
        <f t="shared" ca="1" si="10"/>
        <v>0.49291066577476106</v>
      </c>
      <c r="AP61" s="136">
        <f t="shared" ca="1" si="11"/>
        <v>3.5158541623853047E-2</v>
      </c>
      <c r="AQ61" s="136">
        <f t="shared" ca="1" si="12"/>
        <v>3.1568154298898879E-2</v>
      </c>
      <c r="AR61" s="136">
        <f t="shared" ca="1" si="13"/>
        <v>0.11626880641925777</v>
      </c>
      <c r="AS61" s="136">
        <f t="shared" ca="1" si="14"/>
        <v>0.15977459480237011</v>
      </c>
    </row>
    <row r="62" spans="9:45" ht="15" hidden="1" customHeight="1" x14ac:dyDescent="0.2">
      <c r="I62" s="74">
        <v>421</v>
      </c>
      <c r="J62" s="137">
        <v>4.54624E-3</v>
      </c>
      <c r="L62" s="74">
        <v>421</v>
      </c>
      <c r="M62" s="137">
        <v>0.49335699999999999</v>
      </c>
      <c r="N62" s="137">
        <v>2.9606199999999999E-2</v>
      </c>
      <c r="O62" s="137">
        <v>2.4896100000000001E-2</v>
      </c>
      <c r="P62" s="138">
        <v>0.1052</v>
      </c>
      <c r="Q62" s="137">
        <v>0.14744599999999999</v>
      </c>
      <c r="S62" s="74">
        <v>421</v>
      </c>
      <c r="T62" s="137">
        <v>0.63574506846912116</v>
      </c>
      <c r="U62" s="137">
        <v>6.0902763576188734E-2</v>
      </c>
      <c r="V62" s="137">
        <v>4.9949713320984107E-2</v>
      </c>
      <c r="W62" s="138">
        <v>0.1196489798258277</v>
      </c>
      <c r="X62" s="137">
        <v>0.14604745721003817</v>
      </c>
      <c r="Z62" s="74">
        <v>421</v>
      </c>
      <c r="AA62" s="137">
        <f t="shared" ca="1" si="0"/>
        <v>0.49335699999999999</v>
      </c>
      <c r="AB62" s="137">
        <f t="shared" ca="1" si="1"/>
        <v>2.9606199999999999E-2</v>
      </c>
      <c r="AC62" s="137">
        <f t="shared" ca="1" si="2"/>
        <v>2.4896100000000001E-2</v>
      </c>
      <c r="AD62" s="137">
        <f t="shared" ca="1" si="3"/>
        <v>0.1052</v>
      </c>
      <c r="AE62" s="137">
        <f t="shared" ca="1" si="4"/>
        <v>0.14744599999999999</v>
      </c>
      <c r="AG62" s="74">
        <v>421</v>
      </c>
      <c r="AH62" s="136">
        <f t="shared" ca="1" si="5"/>
        <v>1.1718693586698337E-3</v>
      </c>
      <c r="AI62" s="136">
        <f t="shared" ca="1" si="6"/>
        <v>7.0323515439429932E-5</v>
      </c>
      <c r="AJ62" s="136">
        <f t="shared" ca="1" si="7"/>
        <v>5.9135629453681712E-5</v>
      </c>
      <c r="AK62" s="136">
        <f t="shared" ca="1" si="8"/>
        <v>2.498812351543943E-4</v>
      </c>
      <c r="AL62" s="136">
        <f t="shared" ca="1" si="9"/>
        <v>3.5022802850356291E-4</v>
      </c>
      <c r="AN62" s="74">
        <v>421</v>
      </c>
      <c r="AO62" s="136">
        <f t="shared" ca="1" si="10"/>
        <v>0.52433000879387537</v>
      </c>
      <c r="AP62" s="136">
        <f t="shared" ca="1" si="11"/>
        <v>3.8015336732258952E-2</v>
      </c>
      <c r="AQ62" s="136">
        <f t="shared" ca="1" si="12"/>
        <v>3.3512873030756084E-2</v>
      </c>
      <c r="AR62" s="136">
        <f t="shared" ca="1" si="13"/>
        <v>0.12631909981726652</v>
      </c>
      <c r="AS62" s="136">
        <f t="shared" ca="1" si="14"/>
        <v>0.17125241271586869</v>
      </c>
    </row>
    <row r="63" spans="9:45" ht="15" hidden="1" customHeight="1" x14ac:dyDescent="0.2">
      <c r="I63" s="74">
        <v>422</v>
      </c>
      <c r="J63" s="137">
        <v>5.1593200000000002E-3</v>
      </c>
      <c r="L63" s="74">
        <v>422</v>
      </c>
      <c r="M63" s="137">
        <v>0.52300599999999997</v>
      </c>
      <c r="N63" s="137">
        <v>3.1974599999999999E-2</v>
      </c>
      <c r="O63" s="137">
        <v>2.63761E-2</v>
      </c>
      <c r="P63" s="138">
        <v>0.11409999999999999</v>
      </c>
      <c r="Q63" s="137">
        <v>0.15701399999999999</v>
      </c>
      <c r="S63" s="74">
        <v>422</v>
      </c>
      <c r="T63" s="137">
        <v>0.6595656050118146</v>
      </c>
      <c r="U63" s="137">
        <v>6.3585193902032072E-2</v>
      </c>
      <c r="V63" s="137">
        <v>5.1466306256840372E-2</v>
      </c>
      <c r="W63" s="138">
        <v>0.12681832126706291</v>
      </c>
      <c r="X63" s="137">
        <v>0.15540858278251488</v>
      </c>
      <c r="Z63" s="74">
        <v>422</v>
      </c>
      <c r="AA63" s="137">
        <f t="shared" ca="1" si="0"/>
        <v>0.52300599999999997</v>
      </c>
      <c r="AB63" s="137">
        <f t="shared" ca="1" si="1"/>
        <v>3.1974599999999999E-2</v>
      </c>
      <c r="AC63" s="137">
        <f t="shared" ca="1" si="2"/>
        <v>2.63761E-2</v>
      </c>
      <c r="AD63" s="137">
        <f t="shared" ca="1" si="3"/>
        <v>0.11409999999999999</v>
      </c>
      <c r="AE63" s="137">
        <f t="shared" ca="1" si="4"/>
        <v>0.15701399999999999</v>
      </c>
      <c r="AG63" s="74">
        <v>422</v>
      </c>
      <c r="AH63" s="136">
        <f t="shared" ca="1" si="5"/>
        <v>1.2393507109004739E-3</v>
      </c>
      <c r="AI63" s="136">
        <f t="shared" ca="1" si="6"/>
        <v>7.5769194312796199E-5</v>
      </c>
      <c r="AJ63" s="136">
        <f t="shared" ca="1" si="7"/>
        <v>6.2502606635071094E-5</v>
      </c>
      <c r="AK63" s="136">
        <f t="shared" ca="1" si="8"/>
        <v>2.7037914691943127E-4</v>
      </c>
      <c r="AL63" s="136">
        <f t="shared" ca="1" si="9"/>
        <v>3.7207109004739334E-4</v>
      </c>
      <c r="AN63" s="74">
        <v>422</v>
      </c>
      <c r="AO63" s="136">
        <f t="shared" ca="1" si="10"/>
        <v>0.55452321910929503</v>
      </c>
      <c r="AP63" s="136">
        <f t="shared" ca="1" si="11"/>
        <v>4.0959150260538466E-2</v>
      </c>
      <c r="AQ63" s="136">
        <f t="shared" ca="1" si="12"/>
        <v>3.5420979527969167E-2</v>
      </c>
      <c r="AR63" s="136">
        <f t="shared" ca="1" si="13"/>
        <v>0.13668113344773658</v>
      </c>
      <c r="AS63" s="136">
        <f t="shared" ca="1" si="14"/>
        <v>0.18193310268367383</v>
      </c>
    </row>
    <row r="64" spans="9:45" ht="15" hidden="1" customHeight="1" x14ac:dyDescent="0.2">
      <c r="I64" s="74">
        <v>423</v>
      </c>
      <c r="J64" s="137">
        <v>5.8292800000000001E-3</v>
      </c>
      <c r="L64" s="74">
        <v>423</v>
      </c>
      <c r="M64" s="137">
        <v>0.55193899999999996</v>
      </c>
      <c r="N64" s="137">
        <v>3.4432999999999998E-2</v>
      </c>
      <c r="O64" s="137">
        <v>2.78541E-2</v>
      </c>
      <c r="P64" s="138">
        <v>0.1235</v>
      </c>
      <c r="Q64" s="137">
        <v>0.166463</v>
      </c>
      <c r="S64" s="74">
        <v>423</v>
      </c>
      <c r="T64" s="137">
        <v>0.68388015271134506</v>
      </c>
      <c r="U64" s="137">
        <v>6.6445718200584702E-2</v>
      </c>
      <c r="V64" s="137">
        <v>5.3050685493239935E-2</v>
      </c>
      <c r="W64" s="138">
        <v>0.13444139184960061</v>
      </c>
      <c r="X64" s="137">
        <v>0.16535030487189242</v>
      </c>
      <c r="Z64" s="74">
        <v>423</v>
      </c>
      <c r="AA64" s="137">
        <f t="shared" ca="1" si="0"/>
        <v>0.55193899999999996</v>
      </c>
      <c r="AB64" s="137">
        <f t="shared" ca="1" si="1"/>
        <v>3.4432999999999998E-2</v>
      </c>
      <c r="AC64" s="137">
        <f t="shared" ca="1" si="2"/>
        <v>2.78541E-2</v>
      </c>
      <c r="AD64" s="137">
        <f t="shared" ca="1" si="3"/>
        <v>0.1235</v>
      </c>
      <c r="AE64" s="137">
        <f t="shared" ca="1" si="4"/>
        <v>0.166463</v>
      </c>
      <c r="AG64" s="74">
        <v>423</v>
      </c>
      <c r="AH64" s="136">
        <f t="shared" ca="1" si="5"/>
        <v>1.3048203309692671E-3</v>
      </c>
      <c r="AI64" s="136">
        <f t="shared" ca="1" si="6"/>
        <v>8.140189125295508E-5</v>
      </c>
      <c r="AJ64" s="136">
        <f t="shared" ca="1" si="7"/>
        <v>6.5848936170212759E-5</v>
      </c>
      <c r="AK64" s="136">
        <f t="shared" ca="1" si="8"/>
        <v>2.9196217494089835E-4</v>
      </c>
      <c r="AL64" s="136">
        <f t="shared" ca="1" si="9"/>
        <v>3.9352955082742316E-4</v>
      </c>
      <c r="AN64" s="74">
        <v>423</v>
      </c>
      <c r="AO64" s="136">
        <f t="shared" ca="1" si="10"/>
        <v>0.58381631924237365</v>
      </c>
      <c r="AP64" s="136">
        <f t="shared" ca="1" si="11"/>
        <v>4.4004061618465887E-2</v>
      </c>
      <c r="AQ64" s="136">
        <f t="shared" ca="1" si="12"/>
        <v>3.7317384755516624E-2</v>
      </c>
      <c r="AR64" s="136">
        <f t="shared" ca="1" si="13"/>
        <v>0.14759171130412513</v>
      </c>
      <c r="AS64" s="136">
        <f t="shared" ca="1" si="14"/>
        <v>0.19242573286364686</v>
      </c>
    </row>
    <row r="65" spans="9:45" ht="15" hidden="1" customHeight="1" x14ac:dyDescent="0.2">
      <c r="I65" s="74">
        <v>424</v>
      </c>
      <c r="J65" s="137">
        <v>6.5461599999999997E-3</v>
      </c>
      <c r="L65" s="74">
        <v>424</v>
      </c>
      <c r="M65" s="137">
        <v>0.58059899999999998</v>
      </c>
      <c r="N65" s="137">
        <v>3.6998299999999998E-2</v>
      </c>
      <c r="O65" s="137">
        <v>2.9355099999999999E-2</v>
      </c>
      <c r="P65" s="138">
        <v>0.13339999999999999</v>
      </c>
      <c r="Q65" s="137">
        <v>0.176316</v>
      </c>
      <c r="S65" s="74">
        <v>424</v>
      </c>
      <c r="T65" s="137">
        <v>0.70866665774480142</v>
      </c>
      <c r="U65" s="137">
        <v>6.949795091595426E-2</v>
      </c>
      <c r="V65" s="137">
        <v>5.4708524257484209E-2</v>
      </c>
      <c r="W65" s="138">
        <v>0.14254336273295104</v>
      </c>
      <c r="X65" s="137">
        <v>0.17590249518970091</v>
      </c>
      <c r="Z65" s="74">
        <v>424</v>
      </c>
      <c r="AA65" s="137">
        <f t="shared" ca="1" si="0"/>
        <v>0.58059899999999998</v>
      </c>
      <c r="AB65" s="137">
        <f t="shared" ca="1" si="1"/>
        <v>3.6998299999999998E-2</v>
      </c>
      <c r="AC65" s="137">
        <f t="shared" ca="1" si="2"/>
        <v>2.9355099999999999E-2</v>
      </c>
      <c r="AD65" s="137">
        <f t="shared" ca="1" si="3"/>
        <v>0.13339999999999999</v>
      </c>
      <c r="AE65" s="137">
        <f t="shared" ca="1" si="4"/>
        <v>0.176316</v>
      </c>
      <c r="AG65" s="74">
        <v>424</v>
      </c>
      <c r="AH65" s="136">
        <f t="shared" ca="1" si="5"/>
        <v>1.3693372641509433E-3</v>
      </c>
      <c r="AI65" s="136">
        <f t="shared" ca="1" si="6"/>
        <v>8.726014150943396E-5</v>
      </c>
      <c r="AJ65" s="136">
        <f t="shared" ca="1" si="7"/>
        <v>6.9233726415094342E-5</v>
      </c>
      <c r="AK65" s="136">
        <f t="shared" ca="1" si="8"/>
        <v>3.1462264150943392E-4</v>
      </c>
      <c r="AL65" s="136">
        <f t="shared" ca="1" si="9"/>
        <v>4.1583962264150941E-4</v>
      </c>
      <c r="AN65" s="74">
        <v>424</v>
      </c>
      <c r="AO65" s="136">
        <f t="shared" ca="1" si="10"/>
        <v>0.61268315827373099</v>
      </c>
      <c r="AP65" s="136">
        <f t="shared" ca="1" si="11"/>
        <v>4.7170902109449339E-2</v>
      </c>
      <c r="AQ65" s="136">
        <f t="shared" ca="1" si="12"/>
        <v>3.923558613022772E-2</v>
      </c>
      <c r="AR65" s="136">
        <f t="shared" ca="1" si="13"/>
        <v>0.15904695217728657</v>
      </c>
      <c r="AS65" s="136">
        <f t="shared" ca="1" si="14"/>
        <v>0.20333477872828332</v>
      </c>
    </row>
    <row r="66" spans="9:45" ht="15" hidden="1" customHeight="1" x14ac:dyDescent="0.2">
      <c r="I66" s="74">
        <v>425</v>
      </c>
      <c r="J66" s="137">
        <v>7.3000000000000001E-3</v>
      </c>
      <c r="L66" s="74">
        <v>425</v>
      </c>
      <c r="M66" s="137">
        <v>0.60956999999999995</v>
      </c>
      <c r="N66" s="137">
        <v>3.96928E-2</v>
      </c>
      <c r="O66" s="137">
        <v>3.0910400000000001E-2</v>
      </c>
      <c r="P66" s="138">
        <v>0.14360000000000001</v>
      </c>
      <c r="Q66" s="137">
        <v>0.18709600000000001</v>
      </c>
      <c r="S66" s="74">
        <v>425</v>
      </c>
      <c r="T66" s="137">
        <v>0.73390356951579416</v>
      </c>
      <c r="U66" s="137">
        <v>7.2755863585905106E-2</v>
      </c>
      <c r="V66" s="137">
        <v>5.644558780591781E-2</v>
      </c>
      <c r="W66" s="138">
        <v>0.15114855513172915</v>
      </c>
      <c r="X66" s="137">
        <v>0.18709621426316303</v>
      </c>
      <c r="Z66" s="74">
        <v>425</v>
      </c>
      <c r="AA66" s="137">
        <f t="shared" ca="1" si="0"/>
        <v>0.60956999999999995</v>
      </c>
      <c r="AB66" s="137">
        <f t="shared" ca="1" si="1"/>
        <v>3.96928E-2</v>
      </c>
      <c r="AC66" s="137">
        <f t="shared" ca="1" si="2"/>
        <v>3.0910400000000001E-2</v>
      </c>
      <c r="AD66" s="137">
        <f t="shared" ca="1" si="3"/>
        <v>0.14360000000000001</v>
      </c>
      <c r="AE66" s="137">
        <f t="shared" ca="1" si="4"/>
        <v>0.18709600000000001</v>
      </c>
      <c r="AG66" s="74">
        <v>425</v>
      </c>
      <c r="AH66" s="136">
        <f t="shared" ca="1" si="5"/>
        <v>1.4342823529411763E-3</v>
      </c>
      <c r="AI66" s="136">
        <f t="shared" ca="1" si="6"/>
        <v>9.3394823529411759E-5</v>
      </c>
      <c r="AJ66" s="136">
        <f t="shared" ca="1" si="7"/>
        <v>7.2730352941176478E-5</v>
      </c>
      <c r="AK66" s="136">
        <f t="shared" ca="1" si="8"/>
        <v>3.3788235294117646E-4</v>
      </c>
      <c r="AL66" s="136">
        <f t="shared" ca="1" si="9"/>
        <v>4.4022588235294118E-4</v>
      </c>
      <c r="AN66" s="74">
        <v>425</v>
      </c>
      <c r="AO66" s="136">
        <f t="shared" ca="1" si="10"/>
        <v>0.64174156715230635</v>
      </c>
      <c r="AP66" s="136">
        <f t="shared" ca="1" si="11"/>
        <v>5.0487175496488096E-2</v>
      </c>
      <c r="AQ66" s="136">
        <f t="shared" ca="1" si="12"/>
        <v>4.1217166471675643E-2</v>
      </c>
      <c r="AR66" s="136">
        <f t="shared" ca="1" si="13"/>
        <v>0.17080512124609121</v>
      </c>
      <c r="AS66" s="136">
        <f t="shared" ca="1" si="14"/>
        <v>0.21525902656916104</v>
      </c>
    </row>
    <row r="67" spans="9:45" ht="15" hidden="1" customHeight="1" x14ac:dyDescent="0.2">
      <c r="I67" s="74">
        <v>426</v>
      </c>
      <c r="J67" s="137">
        <v>8.0865069999999997E-3</v>
      </c>
      <c r="L67" s="74">
        <v>426</v>
      </c>
      <c r="M67" s="137">
        <v>0.63935900000000001</v>
      </c>
      <c r="N67" s="137">
        <v>4.25402E-2</v>
      </c>
      <c r="O67" s="137">
        <v>3.2549799999999997E-2</v>
      </c>
      <c r="P67" s="138">
        <v>0.15409999999999999</v>
      </c>
      <c r="Q67" s="137">
        <v>0.19921</v>
      </c>
      <c r="S67" s="74">
        <v>426</v>
      </c>
      <c r="T67" s="137">
        <v>0.75955984990176684</v>
      </c>
      <c r="U67" s="137">
        <v>7.6235104509134163E-2</v>
      </c>
      <c r="V67" s="137">
        <v>5.8268387535525309E-2</v>
      </c>
      <c r="W67" s="138">
        <v>0.16028430558073803</v>
      </c>
      <c r="X67" s="137">
        <v>0.1989642274778011</v>
      </c>
      <c r="Z67" s="74">
        <v>426</v>
      </c>
      <c r="AA67" s="137">
        <f t="shared" ca="1" si="0"/>
        <v>0.63935900000000001</v>
      </c>
      <c r="AB67" s="137">
        <f t="shared" ca="1" si="1"/>
        <v>4.25402E-2</v>
      </c>
      <c r="AC67" s="137">
        <f t="shared" ca="1" si="2"/>
        <v>3.2549799999999997E-2</v>
      </c>
      <c r="AD67" s="137">
        <f t="shared" ca="1" si="3"/>
        <v>0.15409999999999999</v>
      </c>
      <c r="AE67" s="137">
        <f t="shared" ca="1" si="4"/>
        <v>0.19921</v>
      </c>
      <c r="AG67" s="74">
        <v>426</v>
      </c>
      <c r="AH67" s="136">
        <f t="shared" ca="1" si="5"/>
        <v>1.5008427230046948E-3</v>
      </c>
      <c r="AI67" s="136">
        <f t="shared" ca="1" si="6"/>
        <v>9.9859624413145545E-5</v>
      </c>
      <c r="AJ67" s="136">
        <f t="shared" ca="1" si="7"/>
        <v>7.6407981220657272E-5</v>
      </c>
      <c r="AK67" s="136">
        <f t="shared" ca="1" si="8"/>
        <v>3.6173708920187792E-4</v>
      </c>
      <c r="AL67" s="136">
        <f t="shared" ca="1" si="9"/>
        <v>4.6762910798122065E-4</v>
      </c>
      <c r="AN67" s="74">
        <v>426</v>
      </c>
      <c r="AO67" s="136">
        <f t="shared" ca="1" si="10"/>
        <v>0.67152270202244424</v>
      </c>
      <c r="AP67" s="136">
        <f t="shared" ca="1" si="11"/>
        <v>5.3981903838301738E-2</v>
      </c>
      <c r="AQ67" s="136">
        <f t="shared" ca="1" si="12"/>
        <v>4.3301322685504268E-2</v>
      </c>
      <c r="AR67" s="136">
        <f t="shared" ca="1" si="13"/>
        <v>0.18286408521338662</v>
      </c>
      <c r="AS67" s="136">
        <f t="shared" ca="1" si="14"/>
        <v>0.22865849241171982</v>
      </c>
    </row>
    <row r="68" spans="9:45" ht="15" hidden="1" customHeight="1" x14ac:dyDescent="0.2">
      <c r="I68" s="74">
        <v>427</v>
      </c>
      <c r="J68" s="137">
        <v>8.9087200000000002E-3</v>
      </c>
      <c r="L68" s="74">
        <v>427</v>
      </c>
      <c r="M68" s="137">
        <v>0.669651</v>
      </c>
      <c r="N68" s="137">
        <v>4.5547400000000002E-2</v>
      </c>
      <c r="O68" s="137">
        <v>3.42714E-2</v>
      </c>
      <c r="P68" s="138">
        <v>0.1651</v>
      </c>
      <c r="Q68" s="137">
        <v>0.21240800000000001</v>
      </c>
      <c r="S68" s="74">
        <v>427</v>
      </c>
      <c r="T68" s="137">
        <v>0.78560456791313638</v>
      </c>
      <c r="U68" s="137">
        <v>7.9951386575401434E-2</v>
      </c>
      <c r="V68" s="137">
        <v>6.018371607892016E-2</v>
      </c>
      <c r="W68" s="138">
        <v>0.16997693741166689</v>
      </c>
      <c r="X68" s="137">
        <v>0.2115397564473061</v>
      </c>
      <c r="Z68" s="74">
        <v>427</v>
      </c>
      <c r="AA68" s="137">
        <f t="shared" ca="1" si="0"/>
        <v>0.669651</v>
      </c>
      <c r="AB68" s="137">
        <f t="shared" ca="1" si="1"/>
        <v>4.5547400000000002E-2</v>
      </c>
      <c r="AC68" s="137">
        <f t="shared" ca="1" si="2"/>
        <v>3.42714E-2</v>
      </c>
      <c r="AD68" s="137">
        <f t="shared" ca="1" si="3"/>
        <v>0.1651</v>
      </c>
      <c r="AE68" s="137">
        <f t="shared" ca="1" si="4"/>
        <v>0.21240800000000001</v>
      </c>
      <c r="AG68" s="74">
        <v>427</v>
      </c>
      <c r="AH68" s="136">
        <f t="shared" ca="1" si="5"/>
        <v>1.5682693208430914E-3</v>
      </c>
      <c r="AI68" s="136">
        <f t="shared" ca="1" si="6"/>
        <v>1.0666838407494145E-4</v>
      </c>
      <c r="AJ68" s="136">
        <f t="shared" ca="1" si="7"/>
        <v>8.0260889929742387E-5</v>
      </c>
      <c r="AK68" s="136">
        <f t="shared" ca="1" si="8"/>
        <v>3.8665105386416861E-4</v>
      </c>
      <c r="AL68" s="136">
        <f t="shared" ca="1" si="9"/>
        <v>4.9744262295081968E-4</v>
      </c>
      <c r="AN68" s="74">
        <v>427</v>
      </c>
      <c r="AO68" s="136">
        <f t="shared" ca="1" si="10"/>
        <v>0.7016914135567035</v>
      </c>
      <c r="AP68" s="136">
        <f t="shared" ca="1" si="11"/>
        <v>5.766256868639414E-2</v>
      </c>
      <c r="AQ68" s="136">
        <f t="shared" ca="1" si="12"/>
        <v>4.5484812428651406E-2</v>
      </c>
      <c r="AR68" s="136">
        <f t="shared" ca="1" si="13"/>
        <v>0.19545850666754361</v>
      </c>
      <c r="AS68" s="136">
        <f t="shared" ca="1" si="14"/>
        <v>0.24323652716210689</v>
      </c>
    </row>
    <row r="69" spans="9:45" ht="15" hidden="1" customHeight="1" x14ac:dyDescent="0.2">
      <c r="I69" s="74">
        <v>428</v>
      </c>
      <c r="J69" s="137">
        <v>9.7676800000000008E-3</v>
      </c>
      <c r="L69" s="74">
        <v>428</v>
      </c>
      <c r="M69" s="137">
        <v>0.69982900000000003</v>
      </c>
      <c r="N69" s="137">
        <v>4.8716099999999998E-2</v>
      </c>
      <c r="O69" s="137">
        <v>3.6061999999999997E-2</v>
      </c>
      <c r="P69" s="138">
        <v>0.1764</v>
      </c>
      <c r="Q69" s="137">
        <v>0.22622500000000001</v>
      </c>
      <c r="S69" s="74">
        <v>428</v>
      </c>
      <c r="T69" s="137">
        <v>0.81200555444408484</v>
      </c>
      <c r="U69" s="137">
        <v>8.3922227003348782E-2</v>
      </c>
      <c r="V69" s="137">
        <v>6.21990855862408E-2</v>
      </c>
      <c r="W69" s="138">
        <v>0.18025528214125536</v>
      </c>
      <c r="X69" s="137">
        <v>0.22485782214516761</v>
      </c>
      <c r="Z69" s="74">
        <v>428</v>
      </c>
      <c r="AA69" s="137">
        <f t="shared" ca="1" si="0"/>
        <v>0.69982900000000003</v>
      </c>
      <c r="AB69" s="137">
        <f t="shared" ca="1" si="1"/>
        <v>4.8716099999999998E-2</v>
      </c>
      <c r="AC69" s="137">
        <f t="shared" ca="1" si="2"/>
        <v>3.6061999999999997E-2</v>
      </c>
      <c r="AD69" s="137">
        <f t="shared" ca="1" si="3"/>
        <v>0.1764</v>
      </c>
      <c r="AE69" s="137">
        <f t="shared" ca="1" si="4"/>
        <v>0.22622500000000001</v>
      </c>
      <c r="AG69" s="74">
        <v>428</v>
      </c>
      <c r="AH69" s="136">
        <f t="shared" ca="1" si="5"/>
        <v>1.6351144859813086E-3</v>
      </c>
      <c r="AI69" s="136">
        <f t="shared" ca="1" si="6"/>
        <v>1.1382266355140186E-4</v>
      </c>
      <c r="AJ69" s="136">
        <f t="shared" ca="1" si="7"/>
        <v>8.4257009345794392E-5</v>
      </c>
      <c r="AK69" s="136">
        <f t="shared" ca="1" si="8"/>
        <v>4.121495327102804E-4</v>
      </c>
      <c r="AL69" s="136">
        <f t="shared" ca="1" si="9"/>
        <v>5.2856308411214955E-4</v>
      </c>
      <c r="AN69" s="74">
        <v>428</v>
      </c>
      <c r="AO69" s="136">
        <f t="shared" ca="1" si="10"/>
        <v>0.73159997440902647</v>
      </c>
      <c r="AP69" s="136">
        <f t="shared" ca="1" si="11"/>
        <v>6.1530013902618905E-2</v>
      </c>
      <c r="AQ69" s="136">
        <f t="shared" ca="1" si="12"/>
        <v>4.7749461403273123E-2</v>
      </c>
      <c r="AR69" s="136">
        <f t="shared" ca="1" si="13"/>
        <v>0.20834840971512669</v>
      </c>
      <c r="AS69" s="136">
        <f t="shared" ca="1" si="14"/>
        <v>0.25845362466706573</v>
      </c>
    </row>
    <row r="70" spans="9:45" ht="15" hidden="1" customHeight="1" x14ac:dyDescent="0.2">
      <c r="I70" s="74">
        <v>429</v>
      </c>
      <c r="J70" s="137">
        <v>1.0664430000000001E-2</v>
      </c>
      <c r="L70" s="74">
        <v>429</v>
      </c>
      <c r="M70" s="137">
        <v>0.72917699999999996</v>
      </c>
      <c r="N70" s="137">
        <v>5.2046700000000001E-2</v>
      </c>
      <c r="O70" s="137">
        <v>3.79052E-2</v>
      </c>
      <c r="P70" s="138">
        <v>0.18790000000000001</v>
      </c>
      <c r="Q70" s="137">
        <v>0.240199</v>
      </c>
      <c r="S70" s="74">
        <v>429</v>
      </c>
      <c r="T70" s="137">
        <v>0.83872000141654046</v>
      </c>
      <c r="U70" s="137">
        <v>8.8165566017267313E-2</v>
      </c>
      <c r="V70" s="137">
        <v>6.4322512494481107E-2</v>
      </c>
      <c r="W70" s="138">
        <v>0.19114854650981405</v>
      </c>
      <c r="X70" s="137">
        <v>0.23895383227137362</v>
      </c>
      <c r="Z70" s="74">
        <v>429</v>
      </c>
      <c r="AA70" s="137">
        <f t="shared" ca="1" si="0"/>
        <v>0.72917699999999996</v>
      </c>
      <c r="AB70" s="137">
        <f t="shared" ca="1" si="1"/>
        <v>5.2046700000000001E-2</v>
      </c>
      <c r="AC70" s="137">
        <f t="shared" ca="1" si="2"/>
        <v>3.79052E-2</v>
      </c>
      <c r="AD70" s="137">
        <f t="shared" ca="1" si="3"/>
        <v>0.18790000000000001</v>
      </c>
      <c r="AE70" s="137">
        <f t="shared" ca="1" si="4"/>
        <v>0.240199</v>
      </c>
      <c r="AG70" s="74">
        <v>429</v>
      </c>
      <c r="AH70" s="136">
        <f t="shared" ca="1" si="5"/>
        <v>1.6997132867132866E-3</v>
      </c>
      <c r="AI70" s="136">
        <f t="shared" ca="1" si="6"/>
        <v>1.2132097902097903E-4</v>
      </c>
      <c r="AJ70" s="136">
        <f t="shared" ca="1" si="7"/>
        <v>8.8357109557109554E-5</v>
      </c>
      <c r="AK70" s="136">
        <f t="shared" ca="1" si="8"/>
        <v>4.3799533799533804E-4</v>
      </c>
      <c r="AL70" s="136">
        <f t="shared" ca="1" si="9"/>
        <v>5.5990442890442886E-4</v>
      </c>
      <c r="AN70" s="74">
        <v>429</v>
      </c>
      <c r="AO70" s="136">
        <f t="shared" ca="1" si="10"/>
        <v>0.76050344347346066</v>
      </c>
      <c r="AP70" s="136">
        <f t="shared" ca="1" si="11"/>
        <v>6.5583437365872799E-2</v>
      </c>
      <c r="AQ70" s="136">
        <f t="shared" ca="1" si="12"/>
        <v>5.0073037546193952E-2</v>
      </c>
      <c r="AR70" s="136">
        <f t="shared" ca="1" si="13"/>
        <v>0.22141389202572756</v>
      </c>
      <c r="AS70" s="136">
        <f t="shared" ca="1" si="14"/>
        <v>0.27377872853259821</v>
      </c>
    </row>
    <row r="71" spans="9:45" ht="15" hidden="1" customHeight="1" x14ac:dyDescent="0.2">
      <c r="I71" s="74">
        <v>430</v>
      </c>
      <c r="J71" s="137">
        <v>1.1599999999999999E-2</v>
      </c>
      <c r="L71" s="74">
        <v>430</v>
      </c>
      <c r="M71" s="137">
        <v>0.75688500000000003</v>
      </c>
      <c r="N71" s="137">
        <v>5.5538400000000002E-2</v>
      </c>
      <c r="O71" s="137">
        <v>3.9780999999999997E-2</v>
      </c>
      <c r="P71" s="138">
        <v>0.19980000000000001</v>
      </c>
      <c r="Q71" s="137">
        <v>0.25386500000000001</v>
      </c>
      <c r="S71" s="74">
        <v>430</v>
      </c>
      <c r="T71" s="137">
        <v>0.86570514780183172</v>
      </c>
      <c r="U71" s="137">
        <v>9.2700910549785312E-2</v>
      </c>
      <c r="V71" s="137">
        <v>6.6562710722623555E-2</v>
      </c>
      <c r="W71" s="138">
        <v>0.2026861157490997</v>
      </c>
      <c r="X71" s="137">
        <v>0.25386509969466242</v>
      </c>
      <c r="Z71" s="74">
        <v>430</v>
      </c>
      <c r="AA71" s="137">
        <f t="shared" ca="1" si="0"/>
        <v>0.75688500000000003</v>
      </c>
      <c r="AB71" s="137">
        <f t="shared" ca="1" si="1"/>
        <v>5.5538400000000002E-2</v>
      </c>
      <c r="AC71" s="137">
        <f t="shared" ca="1" si="2"/>
        <v>3.9780999999999997E-2</v>
      </c>
      <c r="AD71" s="137">
        <f t="shared" ca="1" si="3"/>
        <v>0.19980000000000001</v>
      </c>
      <c r="AE71" s="137">
        <f t="shared" ca="1" si="4"/>
        <v>0.25386500000000001</v>
      </c>
      <c r="AG71" s="74">
        <v>430</v>
      </c>
      <c r="AH71" s="136">
        <f t="shared" ca="1" si="5"/>
        <v>1.7601976744186048E-3</v>
      </c>
      <c r="AI71" s="136">
        <f t="shared" ca="1" si="6"/>
        <v>1.2915906976744185E-4</v>
      </c>
      <c r="AJ71" s="136">
        <f t="shared" ca="1" si="7"/>
        <v>9.2513953488372079E-5</v>
      </c>
      <c r="AK71" s="136">
        <f t="shared" ca="1" si="8"/>
        <v>4.646511627906977E-4</v>
      </c>
      <c r="AL71" s="136">
        <f t="shared" ca="1" si="9"/>
        <v>5.903837209302326E-4</v>
      </c>
      <c r="AN71" s="74">
        <v>430</v>
      </c>
      <c r="AO71" s="136">
        <f t="shared" ca="1" si="10"/>
        <v>0.78756599895611212</v>
      </c>
      <c r="AP71" s="136">
        <f t="shared" ca="1" si="11"/>
        <v>6.9820535827217894E-2</v>
      </c>
      <c r="AQ71" s="136">
        <f t="shared" ca="1" si="12"/>
        <v>5.2428771038236739E-2</v>
      </c>
      <c r="AR71" s="136">
        <f t="shared" ca="1" si="13"/>
        <v>0.2348888526043246</v>
      </c>
      <c r="AS71" s="136">
        <f t="shared" ca="1" si="14"/>
        <v>0.28868231097742053</v>
      </c>
    </row>
    <row r="72" spans="9:45" ht="15" hidden="1" customHeight="1" x14ac:dyDescent="0.2">
      <c r="I72" s="74">
        <v>431</v>
      </c>
      <c r="J72" s="137">
        <v>1.257317E-2</v>
      </c>
      <c r="L72" s="74">
        <v>431</v>
      </c>
      <c r="M72" s="137">
        <v>0.78229199999999999</v>
      </c>
      <c r="N72" s="137">
        <v>5.91876E-2</v>
      </c>
      <c r="O72" s="137">
        <v>4.1670499999999999E-2</v>
      </c>
      <c r="P72" s="138">
        <v>0.21190000000000001</v>
      </c>
      <c r="Q72" s="137">
        <v>0.26702100000000001</v>
      </c>
      <c r="S72" s="74">
        <v>431</v>
      </c>
      <c r="T72" s="137">
        <v>0.88147297125665847</v>
      </c>
      <c r="U72" s="137">
        <v>9.6298827645722687E-2</v>
      </c>
      <c r="V72" s="137">
        <v>6.8046062543388061E-2</v>
      </c>
      <c r="W72" s="138">
        <v>0.21214656293795026</v>
      </c>
      <c r="X72" s="137">
        <v>0.26617606475286443</v>
      </c>
      <c r="Z72" s="74">
        <v>431</v>
      </c>
      <c r="AA72" s="137">
        <f t="shared" ca="1" si="0"/>
        <v>0.78229199999999999</v>
      </c>
      <c r="AB72" s="137">
        <f t="shared" ca="1" si="1"/>
        <v>5.91876E-2</v>
      </c>
      <c r="AC72" s="137">
        <f t="shared" ca="1" si="2"/>
        <v>4.1670499999999999E-2</v>
      </c>
      <c r="AD72" s="137">
        <f t="shared" ca="1" si="3"/>
        <v>0.21190000000000001</v>
      </c>
      <c r="AE72" s="137">
        <f t="shared" ca="1" si="4"/>
        <v>0.26702100000000001</v>
      </c>
      <c r="AG72" s="74">
        <v>431</v>
      </c>
      <c r="AH72" s="136">
        <f t="shared" ca="1" si="5"/>
        <v>1.8150626450116009E-3</v>
      </c>
      <c r="AI72" s="136">
        <f t="shared" ca="1" si="6"/>
        <v>1.373262180974478E-4</v>
      </c>
      <c r="AJ72" s="136">
        <f t="shared" ca="1" si="7"/>
        <v>9.6683294663573078E-5</v>
      </c>
      <c r="AK72" s="136">
        <f t="shared" ca="1" si="8"/>
        <v>4.9164733178654291E-4</v>
      </c>
      <c r="AL72" s="136">
        <f t="shared" ca="1" si="9"/>
        <v>6.1953828306264504E-4</v>
      </c>
      <c r="AN72" s="74">
        <v>431</v>
      </c>
      <c r="AO72" s="136">
        <f t="shared" ca="1" si="10"/>
        <v>0.81211425623468347</v>
      </c>
      <c r="AP72" s="136">
        <f t="shared" ca="1" si="11"/>
        <v>7.4235515538732713E-2</v>
      </c>
      <c r="AQ72" s="136">
        <f t="shared" ca="1" si="12"/>
        <v>5.4791586868849586E-2</v>
      </c>
      <c r="AR72" s="136">
        <f t="shared" ca="1" si="13"/>
        <v>0.24853586280884415</v>
      </c>
      <c r="AS72" s="136">
        <f t="shared" ca="1" si="14"/>
        <v>0.30293813489929011</v>
      </c>
    </row>
    <row r="73" spans="9:45" ht="15" hidden="1" customHeight="1" x14ac:dyDescent="0.2">
      <c r="I73" s="74">
        <v>432</v>
      </c>
      <c r="J73" s="137">
        <v>1.358272E-2</v>
      </c>
      <c r="L73" s="74">
        <v>432</v>
      </c>
      <c r="M73" s="137">
        <v>0.80566599999999999</v>
      </c>
      <c r="N73" s="137">
        <v>6.2981899999999993E-2</v>
      </c>
      <c r="O73" s="137">
        <v>4.3572800000000002E-2</v>
      </c>
      <c r="P73" s="138">
        <v>0.2243</v>
      </c>
      <c r="Q73" s="137">
        <v>0.279976</v>
      </c>
      <c r="S73" s="74">
        <v>432</v>
      </c>
      <c r="T73" s="137">
        <v>0.89686071268236345</v>
      </c>
      <c r="U73" s="137">
        <v>0.10011496503032541</v>
      </c>
      <c r="V73" s="137">
        <v>6.9613104147128957E-2</v>
      </c>
      <c r="W73" s="138">
        <v>0.22202097218023387</v>
      </c>
      <c r="X73" s="137">
        <v>0.27899986941275373</v>
      </c>
      <c r="Z73" s="74">
        <v>432</v>
      </c>
      <c r="AA73" s="137">
        <f t="shared" ca="1" si="0"/>
        <v>0.80566599999999999</v>
      </c>
      <c r="AB73" s="137">
        <f t="shared" ca="1" si="1"/>
        <v>6.2981899999999993E-2</v>
      </c>
      <c r="AC73" s="137">
        <f t="shared" ca="1" si="2"/>
        <v>4.3572800000000002E-2</v>
      </c>
      <c r="AD73" s="137">
        <f t="shared" ca="1" si="3"/>
        <v>0.2243</v>
      </c>
      <c r="AE73" s="137">
        <f t="shared" ca="1" si="4"/>
        <v>0.279976</v>
      </c>
      <c r="AG73" s="74">
        <v>432</v>
      </c>
      <c r="AH73" s="136">
        <f t="shared" ca="1" si="5"/>
        <v>1.8649675925925925E-3</v>
      </c>
      <c r="AI73" s="136">
        <f t="shared" ca="1" si="6"/>
        <v>1.4579143518518516E-4</v>
      </c>
      <c r="AJ73" s="136">
        <f t="shared" ca="1" si="7"/>
        <v>1.0086296296296296E-4</v>
      </c>
      <c r="AK73" s="136">
        <f t="shared" ca="1" si="8"/>
        <v>5.1921296296296297E-4</v>
      </c>
      <c r="AL73" s="136">
        <f t="shared" ca="1" si="9"/>
        <v>6.4809259259259258E-4</v>
      </c>
      <c r="AN73" s="74">
        <v>432</v>
      </c>
      <c r="AO73" s="136">
        <f t="shared" ca="1" si="10"/>
        <v>0.8344432482937475</v>
      </c>
      <c r="AP73" s="136">
        <f t="shared" ca="1" si="11"/>
        <v>7.881162462672596E-2</v>
      </c>
      <c r="AQ73" s="136">
        <f t="shared" ca="1" si="12"/>
        <v>5.7160255205048527E-2</v>
      </c>
      <c r="AR73" s="136">
        <f t="shared" ca="1" si="13"/>
        <v>0.26247074557004346</v>
      </c>
      <c r="AS73" s="136">
        <f t="shared" ca="1" si="14"/>
        <v>0.31690045088334479</v>
      </c>
    </row>
    <row r="74" spans="9:45" ht="15" hidden="1" customHeight="1" x14ac:dyDescent="0.2">
      <c r="I74" s="74">
        <v>433</v>
      </c>
      <c r="J74" s="137">
        <v>1.4629680000000001E-2</v>
      </c>
      <c r="L74" s="74">
        <v>433</v>
      </c>
      <c r="M74" s="137">
        <v>0.82759899999999997</v>
      </c>
      <c r="N74" s="137">
        <v>6.6903099999999993E-2</v>
      </c>
      <c r="O74" s="137">
        <v>4.5493199999999998E-2</v>
      </c>
      <c r="P74" s="138">
        <v>0.2369</v>
      </c>
      <c r="Q74" s="137">
        <v>0.29303400000000002</v>
      </c>
      <c r="S74" s="74">
        <v>433</v>
      </c>
      <c r="T74" s="137">
        <v>0.91181766142200105</v>
      </c>
      <c r="U74" s="137">
        <v>0.10416048657719214</v>
      </c>
      <c r="V74" s="137">
        <v>7.1270531900387235E-2</v>
      </c>
      <c r="W74" s="138">
        <v>0.23232128437555344</v>
      </c>
      <c r="X74" s="137">
        <v>0.29234993391359315</v>
      </c>
      <c r="Z74" s="74">
        <v>433</v>
      </c>
      <c r="AA74" s="137">
        <f t="shared" ca="1" si="0"/>
        <v>0.82759899999999997</v>
      </c>
      <c r="AB74" s="137">
        <f t="shared" ca="1" si="1"/>
        <v>6.6903099999999993E-2</v>
      </c>
      <c r="AC74" s="137">
        <f t="shared" ca="1" si="2"/>
        <v>4.5493199999999998E-2</v>
      </c>
      <c r="AD74" s="137">
        <f t="shared" ca="1" si="3"/>
        <v>0.2369</v>
      </c>
      <c r="AE74" s="137">
        <f t="shared" ca="1" si="4"/>
        <v>0.29303400000000002</v>
      </c>
      <c r="AG74" s="74">
        <v>433</v>
      </c>
      <c r="AH74" s="136">
        <f t="shared" ca="1" si="5"/>
        <v>1.9113140877598152E-3</v>
      </c>
      <c r="AI74" s="136">
        <f t="shared" ca="1" si="6"/>
        <v>1.5451062355658198E-4</v>
      </c>
      <c r="AJ74" s="136">
        <f t="shared" ca="1" si="7"/>
        <v>1.0506512702078522E-4</v>
      </c>
      <c r="AK74" s="136">
        <f t="shared" ca="1" si="8"/>
        <v>5.4711316397228638E-4</v>
      </c>
      <c r="AL74" s="136">
        <f t="shared" ca="1" si="9"/>
        <v>6.7675288683602776E-4</v>
      </c>
      <c r="AN74" s="74">
        <v>433</v>
      </c>
      <c r="AO74" s="136">
        <f t="shared" ca="1" si="10"/>
        <v>0.85518008046604577</v>
      </c>
      <c r="AP74" s="136">
        <f t="shared" ca="1" si="11"/>
        <v>8.3525024972249604E-2</v>
      </c>
      <c r="AQ74" s="136">
        <f t="shared" ca="1" si="12"/>
        <v>5.9541672158333982E-2</v>
      </c>
      <c r="AR74" s="136">
        <f t="shared" ca="1" si="13"/>
        <v>0.27657475891878869</v>
      </c>
      <c r="AS74" s="136">
        <f t="shared" ca="1" si="14"/>
        <v>0.33091459064053746</v>
      </c>
    </row>
    <row r="75" spans="9:45" ht="15" hidden="1" customHeight="1" x14ac:dyDescent="0.2">
      <c r="I75" s="74">
        <v>434</v>
      </c>
      <c r="J75" s="137">
        <v>1.5715090000000001E-2</v>
      </c>
      <c r="L75" s="74">
        <v>434</v>
      </c>
      <c r="M75" s="137">
        <v>0.84877999999999998</v>
      </c>
      <c r="N75" s="137">
        <v>7.0928500000000005E-2</v>
      </c>
      <c r="O75" s="137">
        <v>4.7438500000000001E-2</v>
      </c>
      <c r="P75" s="138">
        <v>0.24959999999999999</v>
      </c>
      <c r="Q75" s="137">
        <v>0.30649999999999999</v>
      </c>
      <c r="S75" s="74">
        <v>434</v>
      </c>
      <c r="T75" s="137">
        <v>0.9262943179033456</v>
      </c>
      <c r="U75" s="137">
        <v>0.10844761365888519</v>
      </c>
      <c r="V75" s="137">
        <v>7.3024568597522155E-2</v>
      </c>
      <c r="W75" s="138">
        <v>0.24305748511471709</v>
      </c>
      <c r="X75" s="137">
        <v>0.3062386488795078</v>
      </c>
      <c r="Z75" s="74">
        <v>434</v>
      </c>
      <c r="AA75" s="137">
        <f t="shared" ca="1" si="0"/>
        <v>0.84877999999999998</v>
      </c>
      <c r="AB75" s="137">
        <f t="shared" ca="1" si="1"/>
        <v>7.0928500000000005E-2</v>
      </c>
      <c r="AC75" s="137">
        <f t="shared" ca="1" si="2"/>
        <v>4.7438500000000001E-2</v>
      </c>
      <c r="AD75" s="137">
        <f t="shared" ca="1" si="3"/>
        <v>0.24959999999999999</v>
      </c>
      <c r="AE75" s="137">
        <f t="shared" ca="1" si="4"/>
        <v>0.30649999999999999</v>
      </c>
      <c r="AG75" s="74">
        <v>434</v>
      </c>
      <c r="AH75" s="136">
        <f t="shared" ca="1" si="5"/>
        <v>1.9557142857142855E-3</v>
      </c>
      <c r="AI75" s="136">
        <f t="shared" ca="1" si="6"/>
        <v>1.6342972350230417E-4</v>
      </c>
      <c r="AJ75" s="136">
        <f t="shared" ca="1" si="7"/>
        <v>1.0930529953917051E-4</v>
      </c>
      <c r="AK75" s="136">
        <f t="shared" ca="1" si="8"/>
        <v>5.7511520737327183E-4</v>
      </c>
      <c r="AL75" s="136">
        <f t="shared" ca="1" si="9"/>
        <v>7.0622119815668197E-4</v>
      </c>
      <c r="AN75" s="74">
        <v>434</v>
      </c>
      <c r="AO75" s="136">
        <f t="shared" ca="1" si="10"/>
        <v>0.87504608004328732</v>
      </c>
      <c r="AP75" s="136">
        <f t="shared" ca="1" si="11"/>
        <v>8.8346493092359979E-2</v>
      </c>
      <c r="AQ75" s="136">
        <f t="shared" ca="1" si="12"/>
        <v>6.194462896373077E-2</v>
      </c>
      <c r="AR75" s="136">
        <f t="shared" ca="1" si="13"/>
        <v>0.29073025528197494</v>
      </c>
      <c r="AS75" s="136">
        <f t="shared" ca="1" si="14"/>
        <v>0.34532382976936132</v>
      </c>
    </row>
    <row r="76" spans="9:45" ht="15" hidden="1" customHeight="1" x14ac:dyDescent="0.2">
      <c r="I76" s="74">
        <v>435</v>
      </c>
      <c r="J76" s="137">
        <v>1.6840000000000001E-2</v>
      </c>
      <c r="L76" s="74">
        <v>435</v>
      </c>
      <c r="M76" s="137">
        <v>0.86998399999999998</v>
      </c>
      <c r="N76" s="137">
        <v>7.5029899999999997E-2</v>
      </c>
      <c r="O76" s="137">
        <v>4.9417200000000001E-2</v>
      </c>
      <c r="P76" s="138">
        <v>0.26250000000000001</v>
      </c>
      <c r="Q76" s="137">
        <v>0.32067899999999999</v>
      </c>
      <c r="S76" s="74">
        <v>435</v>
      </c>
      <c r="T76" s="137">
        <v>0.94023843440658095</v>
      </c>
      <c r="U76" s="137">
        <v>0.11298895707987906</v>
      </c>
      <c r="V76" s="137">
        <v>7.4882614632249864E-2</v>
      </c>
      <c r="W76" s="138">
        <v>0.25424124115062857</v>
      </c>
      <c r="X76" s="137">
        <v>0.32067935396190717</v>
      </c>
      <c r="Z76" s="74">
        <v>435</v>
      </c>
      <c r="AA76" s="137">
        <f t="shared" ca="1" si="0"/>
        <v>0.86998399999999998</v>
      </c>
      <c r="AB76" s="137">
        <f t="shared" ca="1" si="1"/>
        <v>7.5029899999999997E-2</v>
      </c>
      <c r="AC76" s="137">
        <f t="shared" ca="1" si="2"/>
        <v>4.9417200000000001E-2</v>
      </c>
      <c r="AD76" s="137">
        <f t="shared" ca="1" si="3"/>
        <v>0.26250000000000001</v>
      </c>
      <c r="AE76" s="137">
        <f t="shared" ca="1" si="4"/>
        <v>0.32067899999999999</v>
      </c>
      <c r="AG76" s="74">
        <v>435</v>
      </c>
      <c r="AH76" s="136">
        <f t="shared" ca="1" si="5"/>
        <v>1.9999632183908046E-3</v>
      </c>
      <c r="AI76" s="136">
        <f t="shared" ca="1" si="6"/>
        <v>1.7248252873563219E-4</v>
      </c>
      <c r="AJ76" s="136">
        <f t="shared" ca="1" si="7"/>
        <v>1.1360275862068966E-4</v>
      </c>
      <c r="AK76" s="136">
        <f t="shared" ca="1" si="8"/>
        <v>6.03448275862069E-4</v>
      </c>
      <c r="AL76" s="136">
        <f t="shared" ca="1" si="9"/>
        <v>7.371931034482758E-4</v>
      </c>
      <c r="AN76" s="74">
        <v>435</v>
      </c>
      <c r="AO76" s="136">
        <f t="shared" ca="1" si="10"/>
        <v>0.8948443989324627</v>
      </c>
      <c r="AP76" s="136">
        <f t="shared" ca="1" si="11"/>
        <v>9.3240239333088448E-2</v>
      </c>
      <c r="AQ76" s="136">
        <f t="shared" ca="1" si="12"/>
        <v>6.4380050754017551E-2</v>
      </c>
      <c r="AR76" s="136">
        <f t="shared" ca="1" si="13"/>
        <v>0.30505309030539896</v>
      </c>
      <c r="AS76" s="136">
        <f t="shared" ca="1" si="14"/>
        <v>0.36046828731108221</v>
      </c>
    </row>
    <row r="77" spans="9:45" ht="15" hidden="1" customHeight="1" x14ac:dyDescent="0.2">
      <c r="I77" s="74">
        <v>436</v>
      </c>
      <c r="J77" s="137">
        <v>1.800736E-2</v>
      </c>
      <c r="L77" s="74">
        <v>436</v>
      </c>
      <c r="M77" s="137">
        <v>0.89176100000000003</v>
      </c>
      <c r="N77" s="137">
        <v>7.9176899999999995E-2</v>
      </c>
      <c r="O77" s="137">
        <v>5.1434300000000002E-2</v>
      </c>
      <c r="P77" s="138">
        <v>0.27550000000000002</v>
      </c>
      <c r="Q77" s="137">
        <v>0.33601599999999998</v>
      </c>
      <c r="S77" s="74">
        <v>436</v>
      </c>
      <c r="T77" s="137">
        <v>0.95359068482472487</v>
      </c>
      <c r="U77" s="137">
        <v>0.11779666632961816</v>
      </c>
      <c r="V77" s="137">
        <v>7.6851969194668343E-2</v>
      </c>
      <c r="W77" s="138">
        <v>0.26588203860901732</v>
      </c>
      <c r="X77" s="137">
        <v>0.33568427703475701</v>
      </c>
      <c r="Z77" s="74">
        <v>436</v>
      </c>
      <c r="AA77" s="137">
        <f t="shared" ca="1" si="0"/>
        <v>0.89176100000000003</v>
      </c>
      <c r="AB77" s="137">
        <f t="shared" ca="1" si="1"/>
        <v>7.9176899999999995E-2</v>
      </c>
      <c r="AC77" s="137">
        <f t="shared" ca="1" si="2"/>
        <v>5.1434300000000002E-2</v>
      </c>
      <c r="AD77" s="137">
        <f t="shared" ca="1" si="3"/>
        <v>0.27550000000000002</v>
      </c>
      <c r="AE77" s="137">
        <f t="shared" ca="1" si="4"/>
        <v>0.33601599999999998</v>
      </c>
      <c r="AG77" s="74">
        <v>436</v>
      </c>
      <c r="AH77" s="136">
        <f t="shared" ca="1" si="5"/>
        <v>2.0453233944954128E-3</v>
      </c>
      <c r="AI77" s="136">
        <f t="shared" ca="1" si="6"/>
        <v>1.8159839449541284E-4</v>
      </c>
      <c r="AJ77" s="136">
        <f t="shared" ca="1" si="7"/>
        <v>1.1796857798165138E-4</v>
      </c>
      <c r="AK77" s="136">
        <f t="shared" ca="1" si="8"/>
        <v>6.3188073394495421E-4</v>
      </c>
      <c r="AL77" s="136">
        <f t="shared" ca="1" si="9"/>
        <v>7.7067889908256871E-4</v>
      </c>
      <c r="AN77" s="74">
        <v>436</v>
      </c>
      <c r="AO77" s="136">
        <f t="shared" ca="1" si="10"/>
        <v>0.91513992194436011</v>
      </c>
      <c r="AP77" s="136">
        <f t="shared" ca="1" si="11"/>
        <v>9.8168074699376565E-2</v>
      </c>
      <c r="AQ77" s="136">
        <f t="shared" ca="1" si="12"/>
        <v>6.685421313752149E-2</v>
      </c>
      <c r="AR77" s="136">
        <f t="shared" ca="1" si="13"/>
        <v>0.31942616841349741</v>
      </c>
      <c r="AS77" s="136">
        <f t="shared" ca="1" si="14"/>
        <v>0.37684197196043867</v>
      </c>
    </row>
    <row r="78" spans="9:45" ht="15" hidden="1" customHeight="1" x14ac:dyDescent="0.2">
      <c r="I78" s="74">
        <v>437</v>
      </c>
      <c r="J78" s="137">
        <v>1.9214479999999999E-2</v>
      </c>
      <c r="L78" s="74">
        <v>437</v>
      </c>
      <c r="M78" s="137">
        <v>0.91344400000000003</v>
      </c>
      <c r="N78" s="137">
        <v>8.3346299999999998E-2</v>
      </c>
      <c r="O78" s="137">
        <v>5.34735E-2</v>
      </c>
      <c r="P78" s="138">
        <v>0.28860000000000002</v>
      </c>
      <c r="Q78" s="137">
        <v>0.35236099999999998</v>
      </c>
      <c r="S78" s="74">
        <v>437</v>
      </c>
      <c r="T78" s="137">
        <v>0.96630004552469284</v>
      </c>
      <c r="U78" s="137">
        <v>0.12288446979907379</v>
      </c>
      <c r="V78" s="137">
        <v>7.8940341346597831E-2</v>
      </c>
      <c r="W78" s="138">
        <v>0.27799180921478656</v>
      </c>
      <c r="X78" s="137">
        <v>0.35126509794724642</v>
      </c>
      <c r="Z78" s="74">
        <v>437</v>
      </c>
      <c r="AA78" s="137">
        <f t="shared" ca="1" si="0"/>
        <v>0.91344400000000003</v>
      </c>
      <c r="AB78" s="137">
        <f t="shared" ca="1" si="1"/>
        <v>8.3346299999999998E-2</v>
      </c>
      <c r="AC78" s="137">
        <f t="shared" ca="1" si="2"/>
        <v>5.34735E-2</v>
      </c>
      <c r="AD78" s="137">
        <f t="shared" ca="1" si="3"/>
        <v>0.28860000000000002</v>
      </c>
      <c r="AE78" s="137">
        <f t="shared" ca="1" si="4"/>
        <v>0.35236099999999998</v>
      </c>
      <c r="AG78" s="74">
        <v>437</v>
      </c>
      <c r="AH78" s="136">
        <f t="shared" ca="1" si="5"/>
        <v>2.0902608695652176E-3</v>
      </c>
      <c r="AI78" s="136">
        <f t="shared" ca="1" si="6"/>
        <v>1.9072379862700229E-4</v>
      </c>
      <c r="AJ78" s="136">
        <f t="shared" ca="1" si="7"/>
        <v>1.2236498855835241E-4</v>
      </c>
      <c r="AK78" s="136">
        <f t="shared" ca="1" si="8"/>
        <v>6.6041189931350123E-4</v>
      </c>
      <c r="AL78" s="136">
        <f t="shared" ca="1" si="9"/>
        <v>8.0631807780320365E-4</v>
      </c>
      <c r="AN78" s="74">
        <v>437</v>
      </c>
      <c r="AO78" s="136">
        <f t="shared" ca="1" si="10"/>
        <v>0.93524631565130889</v>
      </c>
      <c r="AP78" s="136">
        <f t="shared" ca="1" si="11"/>
        <v>0.10310106629845429</v>
      </c>
      <c r="AQ78" s="136">
        <f t="shared" ca="1" si="12"/>
        <v>6.9345711931213319E-2</v>
      </c>
      <c r="AR78" s="136">
        <f t="shared" ca="1" si="13"/>
        <v>0.33384914468806881</v>
      </c>
      <c r="AS78" s="136">
        <f t="shared" ca="1" si="14"/>
        <v>0.39426860502918148</v>
      </c>
    </row>
    <row r="79" spans="9:45" ht="15" hidden="1" customHeight="1" x14ac:dyDescent="0.2">
      <c r="I79" s="74">
        <v>438</v>
      </c>
      <c r="J79" s="137">
        <v>2.045392E-2</v>
      </c>
      <c r="L79" s="74">
        <v>438</v>
      </c>
      <c r="M79" s="137">
        <v>0.93397699999999995</v>
      </c>
      <c r="N79" s="137">
        <v>8.7515999999999997E-2</v>
      </c>
      <c r="O79" s="137">
        <v>5.5510200000000003E-2</v>
      </c>
      <c r="P79" s="138">
        <v>0.30170000000000002</v>
      </c>
      <c r="Q79" s="137">
        <v>0.36912800000000001</v>
      </c>
      <c r="S79" s="74">
        <v>438</v>
      </c>
      <c r="T79" s="137">
        <v>0.97831114258561036</v>
      </c>
      <c r="U79" s="137">
        <v>0.12826524646535359</v>
      </c>
      <c r="V79" s="137">
        <v>8.1155881623882389E-2</v>
      </c>
      <c r="W79" s="138">
        <v>0.29058085681154494</v>
      </c>
      <c r="X79" s="137">
        <v>0.36743540387391344</v>
      </c>
      <c r="Z79" s="74">
        <v>438</v>
      </c>
      <c r="AA79" s="137">
        <f t="shared" ca="1" si="0"/>
        <v>0.93397699999999995</v>
      </c>
      <c r="AB79" s="137">
        <f t="shared" ca="1" si="1"/>
        <v>8.7515999999999997E-2</v>
      </c>
      <c r="AC79" s="137">
        <f t="shared" ca="1" si="2"/>
        <v>5.5510200000000003E-2</v>
      </c>
      <c r="AD79" s="137">
        <f t="shared" ca="1" si="3"/>
        <v>0.30170000000000002</v>
      </c>
      <c r="AE79" s="137">
        <f t="shared" ca="1" si="4"/>
        <v>0.36912800000000001</v>
      </c>
      <c r="AG79" s="74">
        <v>438</v>
      </c>
      <c r="AH79" s="136">
        <f t="shared" ca="1" si="5"/>
        <v>2.1323675799086758E-3</v>
      </c>
      <c r="AI79" s="136">
        <f t="shared" ca="1" si="6"/>
        <v>1.9980821917808217E-4</v>
      </c>
      <c r="AJ79" s="136">
        <f t="shared" ca="1" si="7"/>
        <v>1.2673561643835617E-4</v>
      </c>
      <c r="AK79" s="136">
        <f t="shared" ca="1" si="8"/>
        <v>6.8881278538812792E-4</v>
      </c>
      <c r="AL79" s="136">
        <f t="shared" ca="1" si="9"/>
        <v>8.427579908675799E-4</v>
      </c>
      <c r="AN79" s="74">
        <v>438</v>
      </c>
      <c r="AO79" s="136">
        <f t="shared" ca="1" si="10"/>
        <v>0.95408613908497786</v>
      </c>
      <c r="AP79" s="136">
        <f t="shared" ca="1" si="11"/>
        <v>0.1080119030805575</v>
      </c>
      <c r="AQ79" s="136">
        <f t="shared" ca="1" si="12"/>
        <v>7.1822599360338829E-2</v>
      </c>
      <c r="AR79" s="136">
        <f t="shared" ca="1" si="13"/>
        <v>0.34820626262348692</v>
      </c>
      <c r="AS79" s="136">
        <f t="shared" ca="1" si="14"/>
        <v>0.41208677640197167</v>
      </c>
    </row>
    <row r="80" spans="9:45" ht="15" hidden="1" customHeight="1" x14ac:dyDescent="0.2">
      <c r="I80" s="74">
        <v>439</v>
      </c>
      <c r="J80" s="137">
        <v>2.171824E-2</v>
      </c>
      <c r="L80" s="74">
        <v>439</v>
      </c>
      <c r="M80" s="137">
        <v>0.95221800000000001</v>
      </c>
      <c r="N80" s="137">
        <v>9.1662499999999994E-2</v>
      </c>
      <c r="O80" s="137">
        <v>5.7516600000000001E-2</v>
      </c>
      <c r="P80" s="138">
        <v>0.31490000000000001</v>
      </c>
      <c r="Q80" s="137">
        <v>0.38573200000000002</v>
      </c>
      <c r="S80" s="74">
        <v>439</v>
      </c>
      <c r="T80" s="137">
        <v>0.98956197795813328</v>
      </c>
      <c r="U80" s="137">
        <v>0.13395286290687375</v>
      </c>
      <c r="V80" s="137">
        <v>8.3507214994934145E-2</v>
      </c>
      <c r="W80" s="138">
        <v>0.30365888988273504</v>
      </c>
      <c r="X80" s="137">
        <v>0.38420498901135902</v>
      </c>
      <c r="Z80" s="74">
        <v>439</v>
      </c>
      <c r="AA80" s="137">
        <f t="shared" ca="1" si="0"/>
        <v>0.95221800000000001</v>
      </c>
      <c r="AB80" s="137">
        <f t="shared" ca="1" si="1"/>
        <v>9.1662499999999994E-2</v>
      </c>
      <c r="AC80" s="137">
        <f t="shared" ca="1" si="2"/>
        <v>5.7516600000000001E-2</v>
      </c>
      <c r="AD80" s="137">
        <f t="shared" ca="1" si="3"/>
        <v>0.31490000000000001</v>
      </c>
      <c r="AE80" s="137">
        <f t="shared" ca="1" si="4"/>
        <v>0.38573200000000002</v>
      </c>
      <c r="AG80" s="74">
        <v>439</v>
      </c>
      <c r="AH80" s="136">
        <f t="shared" ca="1" si="5"/>
        <v>2.1690615034168567E-3</v>
      </c>
      <c r="AI80" s="136">
        <f t="shared" ca="1" si="6"/>
        <v>2.0879840546697039E-4</v>
      </c>
      <c r="AJ80" s="136">
        <f t="shared" ca="1" si="7"/>
        <v>1.3101731207289293E-4</v>
      </c>
      <c r="AK80" s="136">
        <f t="shared" ca="1" si="8"/>
        <v>7.1731207289293854E-4</v>
      </c>
      <c r="AL80" s="136">
        <f t="shared" ca="1" si="9"/>
        <v>8.7866059225512533E-4</v>
      </c>
      <c r="AN80" s="74">
        <v>439</v>
      </c>
      <c r="AO80" s="136">
        <f t="shared" ca="1" si="10"/>
        <v>0.97050411698787742</v>
      </c>
      <c r="AP80" s="136">
        <f t="shared" ca="1" si="11"/>
        <v>0.11287179890519367</v>
      </c>
      <c r="AQ80" s="136">
        <f t="shared" ca="1" si="12"/>
        <v>7.4249087815475054E-2</v>
      </c>
      <c r="AR80" s="136">
        <f t="shared" ca="1" si="13"/>
        <v>0.36261312411037211</v>
      </c>
      <c r="AS80" s="136">
        <f t="shared" ca="1" si="14"/>
        <v>0.42964221631540139</v>
      </c>
    </row>
    <row r="81" spans="2:45" ht="15" hidden="1" customHeight="1" x14ac:dyDescent="0.3">
      <c r="B81" s="162"/>
      <c r="I81" s="74">
        <v>440</v>
      </c>
      <c r="J81" s="137">
        <v>2.3E-2</v>
      </c>
      <c r="L81" s="74">
        <v>440</v>
      </c>
      <c r="M81" s="137">
        <v>0.96696000000000004</v>
      </c>
      <c r="N81" s="137">
        <v>9.5761200000000005E-2</v>
      </c>
      <c r="O81" s="137">
        <v>5.9461899999999998E-2</v>
      </c>
      <c r="P81" s="138">
        <v>0.3281</v>
      </c>
      <c r="Q81" s="137">
        <v>0.40158700000000003</v>
      </c>
      <c r="S81" s="74">
        <v>440</v>
      </c>
      <c r="T81" s="137">
        <v>1</v>
      </c>
      <c r="U81" s="137">
        <v>0.13996163268932968</v>
      </c>
      <c r="V81" s="137">
        <v>8.600327708554481E-2</v>
      </c>
      <c r="W81" s="138">
        <v>0.31723785153864686</v>
      </c>
      <c r="X81" s="137">
        <v>0.4015873277354377</v>
      </c>
      <c r="Z81" s="74">
        <v>440</v>
      </c>
      <c r="AA81" s="137">
        <f t="shared" ca="1" si="0"/>
        <v>0.96696000000000004</v>
      </c>
      <c r="AB81" s="137">
        <f t="shared" ca="1" si="1"/>
        <v>9.5761200000000005E-2</v>
      </c>
      <c r="AC81" s="137">
        <f t="shared" ca="1" si="2"/>
        <v>5.9461899999999998E-2</v>
      </c>
      <c r="AD81" s="137">
        <f t="shared" ca="1" si="3"/>
        <v>0.3281</v>
      </c>
      <c r="AE81" s="137">
        <f t="shared" ca="1" si="4"/>
        <v>0.40158700000000003</v>
      </c>
      <c r="AG81" s="74">
        <v>440</v>
      </c>
      <c r="AH81" s="136">
        <f t="shared" ca="1" si="5"/>
        <v>2.1976363636363638E-3</v>
      </c>
      <c r="AI81" s="136">
        <f t="shared" ca="1" si="6"/>
        <v>2.1763909090909093E-4</v>
      </c>
      <c r="AJ81" s="136">
        <f t="shared" ca="1" si="7"/>
        <v>1.3514068181818181E-4</v>
      </c>
      <c r="AK81" s="136">
        <f t="shared" ca="1" si="8"/>
        <v>7.4568181818181819E-4</v>
      </c>
      <c r="AL81" s="136">
        <f t="shared" ca="1" si="9"/>
        <v>9.1269772727272736E-4</v>
      </c>
      <c r="AN81" s="74">
        <v>440</v>
      </c>
      <c r="AO81" s="136">
        <f t="shared" ca="1" si="10"/>
        <v>0.9832893789279834</v>
      </c>
      <c r="AP81" s="136">
        <f t="shared" ca="1" si="11"/>
        <v>0.11765087787936214</v>
      </c>
      <c r="AQ81" s="136">
        <f t="shared" ca="1" si="12"/>
        <v>7.6585851083395662E-2</v>
      </c>
      <c r="AR81" s="136">
        <f t="shared" ca="1" si="13"/>
        <v>0.37695449986322604</v>
      </c>
      <c r="AS81" s="136">
        <f t="shared" ca="1" si="14"/>
        <v>0.44628549160837477</v>
      </c>
    </row>
    <row r="82" spans="2:45" ht="15" hidden="1" customHeight="1" x14ac:dyDescent="0.3">
      <c r="B82" s="162"/>
      <c r="I82" s="74">
        <v>441</v>
      </c>
      <c r="J82" s="137">
        <v>2.4294610000000001E-2</v>
      </c>
      <c r="L82" s="74">
        <v>441</v>
      </c>
      <c r="M82" s="137">
        <v>0.97733999999999999</v>
      </c>
      <c r="N82" s="137">
        <v>9.9797700000000003E-2</v>
      </c>
      <c r="O82" s="137">
        <v>6.1323999999999997E-2</v>
      </c>
      <c r="P82" s="138">
        <v>0.3412</v>
      </c>
      <c r="Q82" s="137">
        <v>0.41647200000000001</v>
      </c>
      <c r="S82" s="74">
        <v>441</v>
      </c>
      <c r="T82" s="137">
        <v>0.99962014562260493</v>
      </c>
      <c r="U82" s="137">
        <v>0.14486417584877184</v>
      </c>
      <c r="V82" s="137">
        <v>8.7780085596441196E-2</v>
      </c>
      <c r="W82" s="138">
        <v>0.32806280962602619</v>
      </c>
      <c r="X82" s="137">
        <v>0.415458835999444</v>
      </c>
      <c r="Z82" s="74">
        <v>441</v>
      </c>
      <c r="AA82" s="137">
        <f t="shared" ca="1" si="0"/>
        <v>0.97733999999999999</v>
      </c>
      <c r="AB82" s="137">
        <f t="shared" ca="1" si="1"/>
        <v>9.9797700000000003E-2</v>
      </c>
      <c r="AC82" s="137">
        <f t="shared" ca="1" si="2"/>
        <v>6.1323999999999997E-2</v>
      </c>
      <c r="AD82" s="137">
        <f t="shared" ca="1" si="3"/>
        <v>0.3412</v>
      </c>
      <c r="AE82" s="137">
        <f t="shared" ca="1" si="4"/>
        <v>0.41647200000000001</v>
      </c>
      <c r="AG82" s="74">
        <v>441</v>
      </c>
      <c r="AH82" s="136">
        <f t="shared" ca="1" si="5"/>
        <v>2.2161904761904762E-3</v>
      </c>
      <c r="AI82" s="136">
        <f t="shared" ca="1" si="6"/>
        <v>2.2629863945578232E-4</v>
      </c>
      <c r="AJ82" s="136">
        <f t="shared" ca="1" si="7"/>
        <v>1.3905668934240361E-4</v>
      </c>
      <c r="AK82" s="136">
        <f t="shared" ca="1" si="8"/>
        <v>7.7369614512471654E-4</v>
      </c>
      <c r="AL82" s="136">
        <f t="shared" ca="1" si="9"/>
        <v>9.443809523809524E-4</v>
      </c>
      <c r="AN82" s="74">
        <v>441</v>
      </c>
      <c r="AO82" s="136">
        <f t="shared" ca="1" si="10"/>
        <v>0.99159105345056242</v>
      </c>
      <c r="AP82" s="136">
        <f t="shared" ca="1" si="11"/>
        <v>0.12233203825501707</v>
      </c>
      <c r="AQ82" s="136">
        <f t="shared" ca="1" si="12"/>
        <v>7.8805099684605237E-2</v>
      </c>
      <c r="AR82" s="136">
        <f t="shared" ca="1" si="13"/>
        <v>0.39111620576013756</v>
      </c>
      <c r="AS82" s="136">
        <f t="shared" ca="1" si="14"/>
        <v>0.46177776607192</v>
      </c>
    </row>
    <row r="83" spans="2:45" ht="15" hidden="1" customHeight="1" x14ac:dyDescent="0.3">
      <c r="B83" s="162"/>
      <c r="I83" s="74">
        <v>442</v>
      </c>
      <c r="J83" s="137">
        <v>2.5610239999999999E-2</v>
      </c>
      <c r="L83" s="74">
        <v>442</v>
      </c>
      <c r="M83" s="137">
        <v>0.98402800000000001</v>
      </c>
      <c r="N83" s="137">
        <v>0.10380399999999999</v>
      </c>
      <c r="O83" s="137">
        <v>6.3128799999999999E-2</v>
      </c>
      <c r="P83" s="138">
        <v>0.3543</v>
      </c>
      <c r="Q83" s="137">
        <v>0.43079699999999999</v>
      </c>
      <c r="S83" s="74">
        <v>442</v>
      </c>
      <c r="T83" s="137">
        <v>0.99823777436493677</v>
      </c>
      <c r="U83" s="137">
        <v>0.15000025591331975</v>
      </c>
      <c r="V83" s="137">
        <v>8.9674507464396244E-2</v>
      </c>
      <c r="W83" s="138">
        <v>0.33915404410459149</v>
      </c>
      <c r="X83" s="137">
        <v>0.42963929967583381</v>
      </c>
      <c r="Z83" s="74">
        <v>442</v>
      </c>
      <c r="AA83" s="137">
        <f t="shared" ca="1" si="0"/>
        <v>0.98402800000000001</v>
      </c>
      <c r="AB83" s="137">
        <f t="shared" ca="1" si="1"/>
        <v>0.10380399999999999</v>
      </c>
      <c r="AC83" s="137">
        <f t="shared" ca="1" si="2"/>
        <v>6.3128799999999999E-2</v>
      </c>
      <c r="AD83" s="137">
        <f t="shared" ca="1" si="3"/>
        <v>0.3543</v>
      </c>
      <c r="AE83" s="137">
        <f t="shared" ca="1" si="4"/>
        <v>0.43079699999999999</v>
      </c>
      <c r="AG83" s="74">
        <v>442</v>
      </c>
      <c r="AH83" s="136">
        <f t="shared" ca="1" si="5"/>
        <v>2.2263076923076924E-3</v>
      </c>
      <c r="AI83" s="136">
        <f t="shared" ca="1" si="6"/>
        <v>2.3485067873303165E-4</v>
      </c>
      <c r="AJ83" s="136">
        <f t="shared" ca="1" si="7"/>
        <v>1.4282533936651583E-4</v>
      </c>
      <c r="AK83" s="136">
        <f t="shared" ca="1" si="8"/>
        <v>8.0158371040723979E-4</v>
      </c>
      <c r="AL83" s="136">
        <f t="shared" ca="1" si="9"/>
        <v>9.7465384615384612E-4</v>
      </c>
      <c r="AN83" s="74">
        <v>442</v>
      </c>
      <c r="AO83" s="136">
        <f t="shared" ca="1" si="10"/>
        <v>0.99611780378878334</v>
      </c>
      <c r="AP83" s="136">
        <f t="shared" ca="1" si="11"/>
        <v>0.12695508149795842</v>
      </c>
      <c r="AQ83" s="136">
        <f t="shared" ca="1" si="12"/>
        <v>8.0940839016751059E-2</v>
      </c>
      <c r="AR83" s="136">
        <f t="shared" ca="1" si="13"/>
        <v>0.40521383153986845</v>
      </c>
      <c r="AS83" s="136">
        <f t="shared" ca="1" si="14"/>
        <v>0.4765804251299357</v>
      </c>
    </row>
    <row r="84" spans="2:45" ht="15" hidden="1" customHeight="1" x14ac:dyDescent="0.2">
      <c r="I84" s="74">
        <v>443</v>
      </c>
      <c r="J84" s="137">
        <v>2.6958570000000001E-2</v>
      </c>
      <c r="L84" s="74">
        <v>443</v>
      </c>
      <c r="M84" s="137">
        <v>0.98814400000000002</v>
      </c>
      <c r="N84" s="137">
        <v>0.107834</v>
      </c>
      <c r="O84" s="137">
        <v>6.4918900000000002E-2</v>
      </c>
      <c r="P84" s="138">
        <v>0.36730000000000002</v>
      </c>
      <c r="Q84" s="137">
        <v>0.44492100000000001</v>
      </c>
      <c r="S84" s="74">
        <v>443</v>
      </c>
      <c r="T84" s="137">
        <v>0.99583182171105422</v>
      </c>
      <c r="U84" s="137">
        <v>0.15537530708727609</v>
      </c>
      <c r="V84" s="137">
        <v>9.1691905893492465E-2</v>
      </c>
      <c r="W84" s="138">
        <v>0.35051128096707707</v>
      </c>
      <c r="X84" s="137">
        <v>0.44412579714784389</v>
      </c>
      <c r="Z84" s="74">
        <v>443</v>
      </c>
      <c r="AA84" s="137">
        <f t="shared" ca="1" si="0"/>
        <v>0.98814400000000002</v>
      </c>
      <c r="AB84" s="137">
        <f t="shared" ca="1" si="1"/>
        <v>0.107834</v>
      </c>
      <c r="AC84" s="137">
        <f t="shared" ca="1" si="2"/>
        <v>6.4918900000000002E-2</v>
      </c>
      <c r="AD84" s="137">
        <f t="shared" ca="1" si="3"/>
        <v>0.36730000000000002</v>
      </c>
      <c r="AE84" s="137">
        <f t="shared" ca="1" si="4"/>
        <v>0.44492100000000001</v>
      </c>
      <c r="AG84" s="74">
        <v>443</v>
      </c>
      <c r="AH84" s="136">
        <f t="shared" ca="1" si="5"/>
        <v>2.2305733634311511E-3</v>
      </c>
      <c r="AI84" s="136">
        <f t="shared" ca="1" si="6"/>
        <v>2.4341760722347628E-4</v>
      </c>
      <c r="AJ84" s="136">
        <f t="shared" ca="1" si="7"/>
        <v>1.4654379232505643E-4</v>
      </c>
      <c r="AK84" s="136">
        <f t="shared" ca="1" si="8"/>
        <v>8.2911963882618511E-4</v>
      </c>
      <c r="AL84" s="136">
        <f t="shared" ca="1" si="9"/>
        <v>1.0043363431151242E-3</v>
      </c>
      <c r="AN84" s="74">
        <v>443</v>
      </c>
      <c r="AO84" s="136">
        <f t="shared" ca="1" si="10"/>
        <v>0.99802639484556599</v>
      </c>
      <c r="AP84" s="136">
        <f t="shared" ca="1" si="11"/>
        <v>0.13158617352017027</v>
      </c>
      <c r="AQ84" s="136">
        <f t="shared" ca="1" si="12"/>
        <v>8.3048131067612149E-2</v>
      </c>
      <c r="AR84" s="136">
        <f t="shared" ca="1" si="13"/>
        <v>0.41913369906559406</v>
      </c>
      <c r="AS84" s="136">
        <f t="shared" ca="1" si="14"/>
        <v>0.49109439547596867</v>
      </c>
    </row>
    <row r="85" spans="2:45" ht="15" hidden="1" customHeight="1" x14ac:dyDescent="0.3">
      <c r="B85" s="162"/>
      <c r="I85" s="74">
        <v>444</v>
      </c>
      <c r="J85" s="137">
        <v>2.8351250000000001E-2</v>
      </c>
      <c r="L85" s="74">
        <v>444</v>
      </c>
      <c r="M85" s="137">
        <v>0.99085100000000004</v>
      </c>
      <c r="N85" s="137">
        <v>0.11194800000000001</v>
      </c>
      <c r="O85" s="137">
        <v>6.6742499999999996E-2</v>
      </c>
      <c r="P85" s="138">
        <v>0.38030000000000003</v>
      </c>
      <c r="Q85" s="137">
        <v>0.45920299999999997</v>
      </c>
      <c r="S85" s="74">
        <v>444</v>
      </c>
      <c r="T85" s="137">
        <v>0.99237542283891833</v>
      </c>
      <c r="U85" s="137">
        <v>0.16099596812928713</v>
      </c>
      <c r="V85" s="137">
        <v>9.3838703754294525E-2</v>
      </c>
      <c r="W85" s="138">
        <v>0.36213208072284442</v>
      </c>
      <c r="X85" s="137">
        <v>0.45891473246124254</v>
      </c>
      <c r="Z85" s="74">
        <v>444</v>
      </c>
      <c r="AA85" s="137">
        <f t="shared" ref="AA85:AA148" ca="1" si="15">OFFSET(M85,0,$AA$8)</f>
        <v>0.99085100000000004</v>
      </c>
      <c r="AB85" s="137">
        <f t="shared" ref="AB85:AB148" ca="1" si="16">OFFSET(N85,0,$AA$8)</f>
        <v>0.11194800000000001</v>
      </c>
      <c r="AC85" s="137">
        <f t="shared" ref="AC85:AC148" ca="1" si="17">OFFSET(O85,0,$AA$8)</f>
        <v>6.6742499999999996E-2</v>
      </c>
      <c r="AD85" s="137">
        <f t="shared" ref="AD85:AD148" ca="1" si="18">OFFSET(P85,0,$AA$8)</f>
        <v>0.38030000000000003</v>
      </c>
      <c r="AE85" s="137">
        <f t="shared" ref="AE85:AE148" ca="1" si="19">OFFSET(Q85,0,$AA$8)</f>
        <v>0.45920299999999997</v>
      </c>
      <c r="AG85" s="74">
        <v>444</v>
      </c>
      <c r="AH85" s="136">
        <f t="shared" ref="AH85:AH148" ca="1" si="20">AA85/$Z85</f>
        <v>2.2316463963963965E-3</v>
      </c>
      <c r="AI85" s="136">
        <f t="shared" ref="AI85:AI148" ca="1" si="21">AB85/$Z85</f>
        <v>2.5213513513513514E-4</v>
      </c>
      <c r="AJ85" s="136">
        <f t="shared" ref="AJ85:AJ148" ca="1" si="22">AC85/$Z85</f>
        <v>1.5032094594594593E-4</v>
      </c>
      <c r="AK85" s="136">
        <f t="shared" ref="AK85:AK148" ca="1" si="23">AD85/$Z85</f>
        <v>8.5653153153153157E-4</v>
      </c>
      <c r="AL85" s="136">
        <f t="shared" ref="AL85:AL148" ca="1" si="24">AE85/$Z85</f>
        <v>1.0342409909909909E-3</v>
      </c>
      <c r="AN85" s="74">
        <v>444</v>
      </c>
      <c r="AO85" s="136">
        <f t="shared" ref="AO85:AO148" ca="1" si="25">IF(AH85=0,"",AH85/AH$11)</f>
        <v>0.99850650244454098</v>
      </c>
      <c r="AP85" s="136">
        <f t="shared" ref="AP85:AP148" ca="1" si="26">IF(AI85=0,"",AI85/AI$11)</f>
        <v>0.13629867625789266</v>
      </c>
      <c r="AQ85" s="136">
        <f t="shared" ref="AQ85:AQ148" ca="1" si="27">IF(AJ85=0,"",AJ85/AJ$11)</f>
        <v>8.5188689490409988E-2</v>
      </c>
      <c r="AR85" s="136">
        <f t="shared" ref="AR85:AR148" ca="1" si="28">IF(AK85=0,"",AK85/AK$11)</f>
        <v>0.43299086448534796</v>
      </c>
      <c r="AS85" s="136">
        <f t="shared" ref="AS85:AS148" ca="1" si="29">IF(AL85=0,"",AL85/AL$11)</f>
        <v>0.50571699185137142</v>
      </c>
    </row>
    <row r="86" spans="2:45" ht="15" hidden="1" customHeight="1" x14ac:dyDescent="0.3">
      <c r="B86" s="162"/>
      <c r="I86" s="74">
        <v>445</v>
      </c>
      <c r="J86" s="137">
        <v>2.98E-2</v>
      </c>
      <c r="L86" s="74">
        <v>445</v>
      </c>
      <c r="M86" s="137">
        <v>0.993336</v>
      </c>
      <c r="N86" s="137">
        <v>0.11622</v>
      </c>
      <c r="O86" s="137">
        <v>6.8653800000000001E-2</v>
      </c>
      <c r="P86" s="138">
        <v>0.3931</v>
      </c>
      <c r="Q86" s="137">
        <v>0.47400199999999998</v>
      </c>
      <c r="S86" s="74">
        <v>445</v>
      </c>
      <c r="T86" s="137">
        <v>0.9878499904810949</v>
      </c>
      <c r="U86" s="137">
        <v>0.16686836089389059</v>
      </c>
      <c r="V86" s="137">
        <v>9.6120937948534421E-2</v>
      </c>
      <c r="W86" s="138">
        <v>0.37401412150753938</v>
      </c>
      <c r="X86" s="137">
        <v>0.47400290137312945</v>
      </c>
      <c r="Z86" s="74">
        <v>445</v>
      </c>
      <c r="AA86" s="137">
        <f t="shared" ca="1" si="15"/>
        <v>0.993336</v>
      </c>
      <c r="AB86" s="137">
        <f t="shared" ca="1" si="16"/>
        <v>0.11622</v>
      </c>
      <c r="AC86" s="137">
        <f t="shared" ca="1" si="17"/>
        <v>6.8653800000000001E-2</v>
      </c>
      <c r="AD86" s="137">
        <f t="shared" ca="1" si="18"/>
        <v>0.3931</v>
      </c>
      <c r="AE86" s="137">
        <f t="shared" ca="1" si="19"/>
        <v>0.47400199999999998</v>
      </c>
      <c r="AG86" s="74">
        <v>445</v>
      </c>
      <c r="AH86" s="136">
        <f t="shared" ca="1" si="20"/>
        <v>2.2322157303370786E-3</v>
      </c>
      <c r="AI86" s="136">
        <f t="shared" ca="1" si="21"/>
        <v>2.6116853932584271E-4</v>
      </c>
      <c r="AJ86" s="136">
        <f t="shared" ca="1" si="22"/>
        <v>1.5427820224719102E-4</v>
      </c>
      <c r="AK86" s="136">
        <f t="shared" ca="1" si="23"/>
        <v>8.8337078651685389E-4</v>
      </c>
      <c r="AL86" s="136">
        <f t="shared" ca="1" si="24"/>
        <v>1.065173033707865E-3</v>
      </c>
      <c r="AN86" s="74">
        <v>445</v>
      </c>
      <c r="AO86" s="136">
        <f t="shared" ca="1" si="25"/>
        <v>0.9987612397733362</v>
      </c>
      <c r="AP86" s="136">
        <f t="shared" ca="1" si="26"/>
        <v>0.1411819347241752</v>
      </c>
      <c r="AQ86" s="136">
        <f t="shared" ca="1" si="27"/>
        <v>8.7431314270072821E-2</v>
      </c>
      <c r="AR86" s="136">
        <f t="shared" ca="1" si="28"/>
        <v>0.44655855206067641</v>
      </c>
      <c r="AS86" s="136">
        <f t="shared" ca="1" si="29"/>
        <v>0.52084195762903518</v>
      </c>
    </row>
    <row r="87" spans="2:45" ht="15" hidden="1" customHeight="1" x14ac:dyDescent="0.2">
      <c r="I87" s="74">
        <v>446</v>
      </c>
      <c r="J87" s="137">
        <v>3.1310829999999998E-2</v>
      </c>
      <c r="L87" s="74">
        <v>446</v>
      </c>
      <c r="M87" s="137">
        <v>0.99637299999999995</v>
      </c>
      <c r="N87" s="137">
        <v>0.12070599999999999</v>
      </c>
      <c r="O87" s="137">
        <v>7.0696300000000004E-2</v>
      </c>
      <c r="P87" s="136">
        <v>0.40600000000000003</v>
      </c>
      <c r="Q87" s="137">
        <v>0.48951699999999998</v>
      </c>
      <c r="S87" s="74">
        <v>446</v>
      </c>
      <c r="T87" s="137">
        <v>0.98223634503192725</v>
      </c>
      <c r="U87" s="137">
        <v>0.17299756885268686</v>
      </c>
      <c r="V87" s="137">
        <v>9.8544865253761854E-2</v>
      </c>
      <c r="W87" s="136">
        <v>0.38615707837909996</v>
      </c>
      <c r="X87" s="137">
        <v>0.48938200959156941</v>
      </c>
      <c r="Z87" s="74">
        <v>446</v>
      </c>
      <c r="AA87" s="137">
        <f t="shared" ca="1" si="15"/>
        <v>0.99637299999999995</v>
      </c>
      <c r="AB87" s="137">
        <f t="shared" ca="1" si="16"/>
        <v>0.12070599999999999</v>
      </c>
      <c r="AC87" s="137">
        <f t="shared" ca="1" si="17"/>
        <v>7.0696300000000004E-2</v>
      </c>
      <c r="AD87" s="137">
        <f t="shared" ca="1" si="18"/>
        <v>0.40600000000000003</v>
      </c>
      <c r="AE87" s="137">
        <f t="shared" ca="1" si="19"/>
        <v>0.48951699999999998</v>
      </c>
      <c r="AG87" s="74">
        <v>446</v>
      </c>
      <c r="AH87" s="136">
        <f t="shared" ca="1" si="20"/>
        <v>2.2340201793721974E-3</v>
      </c>
      <c r="AI87" s="136">
        <f t="shared" ca="1" si="21"/>
        <v>2.7064125560538117E-4</v>
      </c>
      <c r="AJ87" s="136">
        <f t="shared" ca="1" si="22"/>
        <v>1.5851188340807175E-4</v>
      </c>
      <c r="AK87" s="136">
        <f t="shared" ca="1" si="23"/>
        <v>9.1031390134529153E-4</v>
      </c>
      <c r="AL87" s="136">
        <f t="shared" ca="1" si="24"/>
        <v>1.0975717488789238E-3</v>
      </c>
      <c r="AN87" s="74">
        <v>446</v>
      </c>
      <c r="AO87" s="136">
        <f t="shared" ca="1" si="25"/>
        <v>0.99956860517755308</v>
      </c>
      <c r="AP87" s="136">
        <f t="shared" ca="1" si="26"/>
        <v>0.14630267558710844</v>
      </c>
      <c r="AQ87" s="136">
        <f t="shared" ca="1" si="27"/>
        <v>8.983059234503489E-2</v>
      </c>
      <c r="AR87" s="136">
        <f t="shared" ca="1" si="28"/>
        <v>0.46017874250554353</v>
      </c>
      <c r="AS87" s="136">
        <f t="shared" ca="1" si="29"/>
        <v>0.53668408815652258</v>
      </c>
    </row>
    <row r="88" spans="2:45" ht="15" hidden="1" customHeight="1" x14ac:dyDescent="0.2">
      <c r="I88" s="74">
        <v>447</v>
      </c>
      <c r="J88" s="137">
        <v>3.2883679999999998E-2</v>
      </c>
      <c r="L88" s="74">
        <v>447</v>
      </c>
      <c r="M88" s="137">
        <v>0.99903799999999998</v>
      </c>
      <c r="N88" s="137">
        <v>0.125363</v>
      </c>
      <c r="O88" s="137">
        <v>7.2850799999999993E-2</v>
      </c>
      <c r="P88" s="136">
        <v>0.41799999999999998</v>
      </c>
      <c r="Q88" s="137">
        <v>0.50552200000000003</v>
      </c>
      <c r="S88" s="74">
        <v>447</v>
      </c>
      <c r="T88" s="137">
        <v>0.97551960089694223</v>
      </c>
      <c r="U88" s="137">
        <v>0.17938990505047581</v>
      </c>
      <c r="V88" s="137">
        <v>0.10111695897075031</v>
      </c>
      <c r="W88" s="136">
        <v>0.3985565951029989</v>
      </c>
      <c r="X88" s="137">
        <v>0.50505072630982883</v>
      </c>
      <c r="Z88" s="74">
        <v>447</v>
      </c>
      <c r="AA88" s="137">
        <f t="shared" ca="1" si="15"/>
        <v>0.99903799999999998</v>
      </c>
      <c r="AB88" s="137">
        <f t="shared" ca="1" si="16"/>
        <v>0.125363</v>
      </c>
      <c r="AC88" s="137">
        <f t="shared" ca="1" si="17"/>
        <v>7.2850799999999993E-2</v>
      </c>
      <c r="AD88" s="137">
        <f t="shared" ca="1" si="18"/>
        <v>0.41799999999999998</v>
      </c>
      <c r="AE88" s="137">
        <f t="shared" ca="1" si="19"/>
        <v>0.50552200000000003</v>
      </c>
      <c r="AG88" s="74">
        <v>447</v>
      </c>
      <c r="AH88" s="136">
        <f t="shared" ca="1" si="20"/>
        <v>2.2349843400447426E-3</v>
      </c>
      <c r="AI88" s="136">
        <f t="shared" ca="1" si="21"/>
        <v>2.8045413870246083E-4</v>
      </c>
      <c r="AJ88" s="136">
        <f t="shared" ca="1" si="22"/>
        <v>1.6297718120805368E-4</v>
      </c>
      <c r="AK88" s="136">
        <f t="shared" ca="1" si="23"/>
        <v>9.3512304250559285E-4</v>
      </c>
      <c r="AL88" s="136">
        <f t="shared" ca="1" si="24"/>
        <v>1.1309217002237137E-3</v>
      </c>
      <c r="AN88" s="74">
        <v>447</v>
      </c>
      <c r="AO88" s="136">
        <f t="shared" ca="1" si="25"/>
        <v>1</v>
      </c>
      <c r="AP88" s="136">
        <f t="shared" ca="1" si="26"/>
        <v>0.15160730310634954</v>
      </c>
      <c r="AQ88" s="136">
        <f t="shared" ca="1" si="27"/>
        <v>9.2361130357359919E-2</v>
      </c>
      <c r="AR88" s="136">
        <f t="shared" ca="1" si="28"/>
        <v>0.47272017394465277</v>
      </c>
      <c r="AS88" s="136">
        <f t="shared" ca="1" si="29"/>
        <v>0.55299134847533504</v>
      </c>
    </row>
    <row r="89" spans="2:45" ht="15" hidden="1" customHeight="1" x14ac:dyDescent="0.2">
      <c r="I89" s="74">
        <v>448</v>
      </c>
      <c r="J89" s="137">
        <v>3.4521120000000002E-2</v>
      </c>
      <c r="L89" s="74">
        <v>448</v>
      </c>
      <c r="M89" s="137">
        <v>0.99997800000000003</v>
      </c>
      <c r="N89" s="137">
        <v>0.130111</v>
      </c>
      <c r="O89" s="137">
        <v>7.50778E-2</v>
      </c>
      <c r="P89" s="136">
        <v>0.43099999999999999</v>
      </c>
      <c r="Q89" s="137">
        <v>0.52174100000000001</v>
      </c>
      <c r="S89" s="74">
        <v>448</v>
      </c>
      <c r="T89" s="137">
        <v>0.96769166418475094</v>
      </c>
      <c r="U89" s="137">
        <v>0.18605099629848826</v>
      </c>
      <c r="V89" s="137">
        <v>0.10384318499665292</v>
      </c>
      <c r="W89" s="136">
        <v>0.41121220852896923</v>
      </c>
      <c r="X89" s="137">
        <v>0.52099913229673833</v>
      </c>
      <c r="Z89" s="74">
        <v>448</v>
      </c>
      <c r="AA89" s="137">
        <f t="shared" ca="1" si="15"/>
        <v>0.99997800000000003</v>
      </c>
      <c r="AB89" s="137">
        <f t="shared" ca="1" si="16"/>
        <v>0.130111</v>
      </c>
      <c r="AC89" s="137">
        <f t="shared" ca="1" si="17"/>
        <v>7.50778E-2</v>
      </c>
      <c r="AD89" s="137">
        <f t="shared" ca="1" si="18"/>
        <v>0.43099999999999999</v>
      </c>
      <c r="AE89" s="137">
        <f t="shared" ca="1" si="19"/>
        <v>0.52174100000000001</v>
      </c>
      <c r="AG89" s="74">
        <v>448</v>
      </c>
      <c r="AH89" s="136">
        <f t="shared" ca="1" si="20"/>
        <v>2.2320937500000001E-3</v>
      </c>
      <c r="AI89" s="136">
        <f t="shared" ca="1" si="21"/>
        <v>2.9042633928571431E-4</v>
      </c>
      <c r="AJ89" s="136">
        <f t="shared" ca="1" si="22"/>
        <v>1.6758437499999999E-4</v>
      </c>
      <c r="AK89" s="136">
        <f t="shared" ca="1" si="23"/>
        <v>9.6205357142857138E-4</v>
      </c>
      <c r="AL89" s="136">
        <f t="shared" ca="1" si="24"/>
        <v>1.1646004464285714E-3</v>
      </c>
      <c r="AN89" s="74">
        <v>448</v>
      </c>
      <c r="AO89" s="136">
        <f t="shared" ca="1" si="25"/>
        <v>0.9987066620589008</v>
      </c>
      <c r="AP89" s="136">
        <f t="shared" ca="1" si="26"/>
        <v>0.15699805413415513</v>
      </c>
      <c r="AQ89" s="136">
        <f t="shared" ca="1" si="27"/>
        <v>9.4972082536342289E-2</v>
      </c>
      <c r="AR89" s="136">
        <f t="shared" ca="1" si="28"/>
        <v>0.48633400200601801</v>
      </c>
      <c r="AS89" s="136">
        <f t="shared" ca="1" si="29"/>
        <v>0.56945938094398318</v>
      </c>
    </row>
    <row r="90" spans="2:45" ht="15" hidden="1" customHeight="1" x14ac:dyDescent="0.2">
      <c r="I90" s="74">
        <v>449</v>
      </c>
      <c r="J90" s="137">
        <v>3.6225710000000001E-2</v>
      </c>
      <c r="L90" s="74">
        <v>449</v>
      </c>
      <c r="M90" s="137">
        <v>0.99784399999999995</v>
      </c>
      <c r="N90" s="137">
        <v>0.134856</v>
      </c>
      <c r="O90" s="137">
        <v>7.7332499999999998E-2</v>
      </c>
      <c r="P90" s="136">
        <v>0.443</v>
      </c>
      <c r="Q90" s="137">
        <v>0.53789799999999999</v>
      </c>
      <c r="S90" s="74">
        <v>449</v>
      </c>
      <c r="T90" s="137">
        <v>0.95874696022970185</v>
      </c>
      <c r="U90" s="137">
        <v>0.1929856424458101</v>
      </c>
      <c r="V90" s="137">
        <v>0.1067308578290678</v>
      </c>
      <c r="W90" s="136">
        <v>0.42412121804611191</v>
      </c>
      <c r="X90" s="137">
        <v>0.5372234975957294</v>
      </c>
      <c r="Z90" s="74">
        <v>449</v>
      </c>
      <c r="AA90" s="137">
        <f t="shared" ca="1" si="15"/>
        <v>0.99784399999999995</v>
      </c>
      <c r="AB90" s="137">
        <f t="shared" ca="1" si="16"/>
        <v>0.134856</v>
      </c>
      <c r="AC90" s="137">
        <f t="shared" ca="1" si="17"/>
        <v>7.7332499999999998E-2</v>
      </c>
      <c r="AD90" s="137">
        <f t="shared" ca="1" si="18"/>
        <v>0.443</v>
      </c>
      <c r="AE90" s="137">
        <f t="shared" ca="1" si="19"/>
        <v>0.53789799999999999</v>
      </c>
      <c r="AG90" s="74">
        <v>449</v>
      </c>
      <c r="AH90" s="136">
        <f t="shared" ca="1" si="20"/>
        <v>2.222369710467706E-3</v>
      </c>
      <c r="AI90" s="136">
        <f t="shared" ca="1" si="21"/>
        <v>3.0034743875278396E-4</v>
      </c>
      <c r="AJ90" s="136">
        <f t="shared" ca="1" si="22"/>
        <v>1.722327394209354E-4</v>
      </c>
      <c r="AK90" s="136">
        <f t="shared" ca="1" si="23"/>
        <v>9.8663697104677071E-4</v>
      </c>
      <c r="AL90" s="136">
        <f t="shared" ca="1" si="24"/>
        <v>1.1979910913140312E-3</v>
      </c>
      <c r="AN90" s="74">
        <v>449</v>
      </c>
      <c r="AO90" s="136">
        <f t="shared" ca="1" si="25"/>
        <v>0.99435583088837931</v>
      </c>
      <c r="AP90" s="136">
        <f t="shared" ca="1" si="26"/>
        <v>0.16236118102902336</v>
      </c>
      <c r="AQ90" s="136">
        <f t="shared" ca="1" si="27"/>
        <v>9.7606366606346279E-2</v>
      </c>
      <c r="AR90" s="136">
        <f t="shared" ca="1" si="28"/>
        <v>0.4987613173596514</v>
      </c>
      <c r="AS90" s="136">
        <f t="shared" ca="1" si="29"/>
        <v>0.5857865393476277</v>
      </c>
    </row>
    <row r="91" spans="2:45" ht="15" hidden="1" customHeight="1" x14ac:dyDescent="0.2">
      <c r="I91" s="74">
        <v>450</v>
      </c>
      <c r="J91" s="137">
        <v>3.7999999999999999E-2</v>
      </c>
      <c r="L91" s="74">
        <v>450</v>
      </c>
      <c r="M91" s="137">
        <v>0.99132900000000002</v>
      </c>
      <c r="N91" s="137">
        <v>0.13949300000000001</v>
      </c>
      <c r="O91" s="137">
        <v>7.9564700000000002E-2</v>
      </c>
      <c r="P91" s="136">
        <v>0.45500000000000002</v>
      </c>
      <c r="Q91" s="137">
        <v>0.55371499999999996</v>
      </c>
      <c r="S91" s="74">
        <v>450</v>
      </c>
      <c r="T91" s="137">
        <v>0.94867837279950973</v>
      </c>
      <c r="U91" s="137">
        <v>0.20019950530565744</v>
      </c>
      <c r="V91" s="137">
        <v>0.10978600959106141</v>
      </c>
      <c r="W91" s="136">
        <v>0.43727938142856831</v>
      </c>
      <c r="X91" s="137">
        <v>0.55371463204270177</v>
      </c>
      <c r="Z91" s="74">
        <v>450</v>
      </c>
      <c r="AA91" s="137">
        <f t="shared" ca="1" si="15"/>
        <v>0.99132900000000002</v>
      </c>
      <c r="AB91" s="137">
        <f t="shared" ca="1" si="16"/>
        <v>0.13949300000000001</v>
      </c>
      <c r="AC91" s="137">
        <f t="shared" ca="1" si="17"/>
        <v>7.9564700000000002E-2</v>
      </c>
      <c r="AD91" s="137">
        <f t="shared" ca="1" si="18"/>
        <v>0.45500000000000002</v>
      </c>
      <c r="AE91" s="137">
        <f t="shared" ca="1" si="19"/>
        <v>0.55371499999999996</v>
      </c>
      <c r="AG91" s="74">
        <v>450</v>
      </c>
      <c r="AH91" s="136">
        <f t="shared" ca="1" si="20"/>
        <v>2.2029533333333333E-3</v>
      </c>
      <c r="AI91" s="136">
        <f t="shared" ca="1" si="21"/>
        <v>3.0998444444444448E-4</v>
      </c>
      <c r="AJ91" s="136">
        <f t="shared" ca="1" si="22"/>
        <v>1.7681044444444445E-4</v>
      </c>
      <c r="AK91" s="136">
        <f t="shared" ca="1" si="23"/>
        <v>1.0111111111111111E-3</v>
      </c>
      <c r="AL91" s="136">
        <f t="shared" ca="1" si="24"/>
        <v>1.2304777777777777E-3</v>
      </c>
      <c r="AN91" s="74">
        <v>450</v>
      </c>
      <c r="AO91" s="136">
        <f t="shared" ca="1" si="25"/>
        <v>0.98566835295554334</v>
      </c>
      <c r="AP91" s="136">
        <f t="shared" ca="1" si="26"/>
        <v>0.16757073311369858</v>
      </c>
      <c r="AQ91" s="136">
        <f t="shared" ca="1" si="27"/>
        <v>0.10020060714529706</v>
      </c>
      <c r="AR91" s="136">
        <f t="shared" ca="1" si="28"/>
        <v>0.51113340020060172</v>
      </c>
      <c r="AS91" s="136">
        <f t="shared" ca="1" si="29"/>
        <v>0.6016716855531774</v>
      </c>
    </row>
    <row r="92" spans="2:45" ht="15" hidden="1" customHeight="1" x14ac:dyDescent="0.2">
      <c r="I92" s="74">
        <v>451</v>
      </c>
      <c r="J92" s="137">
        <v>3.9846670000000001E-2</v>
      </c>
      <c r="L92" s="74">
        <v>451</v>
      </c>
      <c r="M92" s="137">
        <v>0.979657</v>
      </c>
      <c r="N92" s="137">
        <v>0.14394299999999999</v>
      </c>
      <c r="O92" s="137">
        <v>8.1736799999999998E-2</v>
      </c>
      <c r="P92" s="136">
        <v>0.46700000000000003</v>
      </c>
      <c r="Q92" s="137">
        <v>0.56910000000000005</v>
      </c>
      <c r="S92" s="74">
        <v>451</v>
      </c>
      <c r="T92" s="137">
        <v>0.93447567306643053</v>
      </c>
      <c r="U92" s="137">
        <v>0.20702891210398944</v>
      </c>
      <c r="V92" s="137">
        <v>0.11265176486207826</v>
      </c>
      <c r="W92" s="136">
        <v>0.44923542939235167</v>
      </c>
      <c r="X92" s="137">
        <v>0.56863030293198613</v>
      </c>
      <c r="Z92" s="74">
        <v>451</v>
      </c>
      <c r="AA92" s="137">
        <f t="shared" ca="1" si="15"/>
        <v>0.979657</v>
      </c>
      <c r="AB92" s="137">
        <f t="shared" ca="1" si="16"/>
        <v>0.14394299999999999</v>
      </c>
      <c r="AC92" s="137">
        <f t="shared" ca="1" si="17"/>
        <v>8.1736799999999998E-2</v>
      </c>
      <c r="AD92" s="137">
        <f t="shared" ca="1" si="18"/>
        <v>0.46700000000000003</v>
      </c>
      <c r="AE92" s="137">
        <f t="shared" ca="1" si="19"/>
        <v>0.56910000000000005</v>
      </c>
      <c r="AG92" s="74">
        <v>451</v>
      </c>
      <c r="AH92" s="136">
        <f t="shared" ca="1" si="20"/>
        <v>2.1721884700665189E-3</v>
      </c>
      <c r="AI92" s="136">
        <f t="shared" ca="1" si="21"/>
        <v>3.1916407982261638E-4</v>
      </c>
      <c r="AJ92" s="136">
        <f t="shared" ca="1" si="22"/>
        <v>1.8123458980044346E-4</v>
      </c>
      <c r="AK92" s="136">
        <f t="shared" ca="1" si="23"/>
        <v>1.0354767184035478E-3</v>
      </c>
      <c r="AL92" s="136">
        <f t="shared" ca="1" si="24"/>
        <v>1.2618625277161864E-3</v>
      </c>
      <c r="AN92" s="74">
        <v>451</v>
      </c>
      <c r="AO92" s="136">
        <f t="shared" ca="1" si="25"/>
        <v>0.971903217014502</v>
      </c>
      <c r="AP92" s="136">
        <f t="shared" ca="1" si="26"/>
        <v>0.17253304092496163</v>
      </c>
      <c r="AQ92" s="136">
        <f t="shared" ca="1" si="27"/>
        <v>0.10270782357226237</v>
      </c>
      <c r="AR92" s="136">
        <f t="shared" ca="1" si="28"/>
        <v>0.52345061792917558</v>
      </c>
      <c r="AS92" s="136">
        <f t="shared" ca="1" si="29"/>
        <v>0.61701801340820805</v>
      </c>
    </row>
    <row r="93" spans="2:45" ht="15" hidden="1" customHeight="1" x14ac:dyDescent="0.2">
      <c r="I93" s="74">
        <v>452</v>
      </c>
      <c r="J93" s="137">
        <v>4.1768E-2</v>
      </c>
      <c r="L93" s="74">
        <v>452</v>
      </c>
      <c r="M93" s="137">
        <v>0.96390500000000001</v>
      </c>
      <c r="N93" s="137">
        <v>0.148281</v>
      </c>
      <c r="O93" s="137">
        <v>8.3882600000000002E-2</v>
      </c>
      <c r="P93" s="136">
        <v>0.47899999999999998</v>
      </c>
      <c r="Q93" s="137">
        <v>0.58423999999999998</v>
      </c>
      <c r="S93" s="74">
        <v>452</v>
      </c>
      <c r="T93" s="137">
        <v>0.91925076508320913</v>
      </c>
      <c r="U93" s="137">
        <v>0.21409917805298262</v>
      </c>
      <c r="V93" s="137">
        <v>0.11567806090649191</v>
      </c>
      <c r="W93" s="136">
        <v>0.46135262925020376</v>
      </c>
      <c r="X93" s="137">
        <v>0.58369369213643707</v>
      </c>
      <c r="Z93" s="74">
        <v>452</v>
      </c>
      <c r="AA93" s="137">
        <f t="shared" ca="1" si="15"/>
        <v>0.96390500000000001</v>
      </c>
      <c r="AB93" s="137">
        <f t="shared" ca="1" si="16"/>
        <v>0.148281</v>
      </c>
      <c r="AC93" s="137">
        <f t="shared" ca="1" si="17"/>
        <v>8.3882600000000002E-2</v>
      </c>
      <c r="AD93" s="137">
        <f t="shared" ca="1" si="18"/>
        <v>0.47899999999999998</v>
      </c>
      <c r="AE93" s="137">
        <f t="shared" ca="1" si="19"/>
        <v>0.58423999999999998</v>
      </c>
      <c r="AG93" s="74">
        <v>452</v>
      </c>
      <c r="AH93" s="136">
        <f t="shared" ca="1" si="20"/>
        <v>2.1325331858407081E-3</v>
      </c>
      <c r="AI93" s="136">
        <f t="shared" ca="1" si="21"/>
        <v>3.2805530973451327E-4</v>
      </c>
      <c r="AJ93" s="136">
        <f t="shared" ca="1" si="22"/>
        <v>1.8558097345132744E-4</v>
      </c>
      <c r="AK93" s="136">
        <f t="shared" ca="1" si="23"/>
        <v>1.0597345132743363E-3</v>
      </c>
      <c r="AL93" s="136">
        <f t="shared" ca="1" si="24"/>
        <v>1.2925663716814159E-3</v>
      </c>
      <c r="AN93" s="74">
        <v>452</v>
      </c>
      <c r="AO93" s="136">
        <f t="shared" ca="1" si="25"/>
        <v>0.95416023621803836</v>
      </c>
      <c r="AP93" s="136">
        <f t="shared" ca="1" si="26"/>
        <v>0.17733944312133387</v>
      </c>
      <c r="AQ93" s="136">
        <f t="shared" ca="1" si="27"/>
        <v>0.10517097150491636</v>
      </c>
      <c r="AR93" s="136">
        <f t="shared" ca="1" si="28"/>
        <v>0.53571333469434856</v>
      </c>
      <c r="AS93" s="136">
        <f t="shared" ca="1" si="29"/>
        <v>0.63203139592120594</v>
      </c>
    </row>
    <row r="94" spans="2:45" ht="15" hidden="1" customHeight="1" x14ac:dyDescent="0.2">
      <c r="I94" s="74">
        <v>453</v>
      </c>
      <c r="J94" s="137">
        <v>4.3765999999999999E-2</v>
      </c>
      <c r="L94" s="74">
        <v>453</v>
      </c>
      <c r="M94" s="137">
        <v>0.945573</v>
      </c>
      <c r="N94" s="137">
        <v>0.15263699999999999</v>
      </c>
      <c r="O94" s="137">
        <v>8.6059800000000006E-2</v>
      </c>
      <c r="P94" s="136">
        <v>0.49</v>
      </c>
      <c r="Q94" s="137">
        <v>0.59928099999999995</v>
      </c>
      <c r="S94" s="74">
        <v>453</v>
      </c>
      <c r="T94" s="137">
        <v>0.90302547032800606</v>
      </c>
      <c r="U94" s="137">
        <v>0.22141294067025344</v>
      </c>
      <c r="V94" s="137">
        <v>0.11887020180361874</v>
      </c>
      <c r="W94" s="136">
        <v>0.4736265068502109</v>
      </c>
      <c r="X94" s="137">
        <v>0.59889267320493067</v>
      </c>
      <c r="Z94" s="74">
        <v>453</v>
      </c>
      <c r="AA94" s="137">
        <f t="shared" ca="1" si="15"/>
        <v>0.945573</v>
      </c>
      <c r="AB94" s="137">
        <f t="shared" ca="1" si="16"/>
        <v>0.15263699999999999</v>
      </c>
      <c r="AC94" s="137">
        <f t="shared" ca="1" si="17"/>
        <v>8.6059800000000006E-2</v>
      </c>
      <c r="AD94" s="137">
        <f t="shared" ca="1" si="18"/>
        <v>0.49</v>
      </c>
      <c r="AE94" s="137">
        <f t="shared" ca="1" si="19"/>
        <v>0.59928099999999995</v>
      </c>
      <c r="AG94" s="74">
        <v>453</v>
      </c>
      <c r="AH94" s="136">
        <f t="shared" ca="1" si="20"/>
        <v>2.0873576158940395E-3</v>
      </c>
      <c r="AI94" s="136">
        <f t="shared" ca="1" si="21"/>
        <v>3.3694701986754965E-4</v>
      </c>
      <c r="AJ94" s="136">
        <f t="shared" ca="1" si="22"/>
        <v>1.8997748344370862E-4</v>
      </c>
      <c r="AK94" s="136">
        <f t="shared" ca="1" si="23"/>
        <v>1.0816777041942605E-3</v>
      </c>
      <c r="AL94" s="136">
        <f t="shared" ca="1" si="24"/>
        <v>1.3229161147902868E-3</v>
      </c>
      <c r="AN94" s="74">
        <v>453</v>
      </c>
      <c r="AO94" s="136">
        <f t="shared" ca="1" si="25"/>
        <v>0.9339473116184126</v>
      </c>
      <c r="AP94" s="136">
        <f t="shared" ca="1" si="26"/>
        <v>0.18214610491463054</v>
      </c>
      <c r="AQ94" s="136">
        <f t="shared" ca="1" si="27"/>
        <v>0.10766252663867081</v>
      </c>
      <c r="AR94" s="136">
        <f t="shared" ca="1" si="28"/>
        <v>0.54680598085647669</v>
      </c>
      <c r="AS94" s="136">
        <f t="shared" ca="1" si="29"/>
        <v>0.64687163230921985</v>
      </c>
    </row>
    <row r="95" spans="2:45" ht="15" hidden="1" customHeight="1" x14ac:dyDescent="0.2">
      <c r="I95" s="74">
        <v>454</v>
      </c>
      <c r="J95" s="137">
        <v>4.5842670000000002E-2</v>
      </c>
      <c r="L95" s="74">
        <v>454</v>
      </c>
      <c r="M95" s="137">
        <v>0.92607799999999996</v>
      </c>
      <c r="N95" s="137">
        <v>0.15715699999999999</v>
      </c>
      <c r="O95" s="137">
        <v>8.83322E-2</v>
      </c>
      <c r="P95" s="136">
        <v>0.502</v>
      </c>
      <c r="Q95" s="137">
        <v>0.61436999999999997</v>
      </c>
      <c r="S95" s="74">
        <v>454</v>
      </c>
      <c r="T95" s="137">
        <v>0.88582717654989396</v>
      </c>
      <c r="U95" s="137">
        <v>0.22897127370068043</v>
      </c>
      <c r="V95" s="137">
        <v>0.12223286746227011</v>
      </c>
      <c r="W95" s="136">
        <v>0.48605117796710323</v>
      </c>
      <c r="X95" s="137">
        <v>0.6142172369422183</v>
      </c>
      <c r="Z95" s="74">
        <v>454</v>
      </c>
      <c r="AA95" s="137">
        <f t="shared" ca="1" si="15"/>
        <v>0.92607799999999996</v>
      </c>
      <c r="AB95" s="137">
        <f t="shared" ca="1" si="16"/>
        <v>0.15715699999999999</v>
      </c>
      <c r="AC95" s="137">
        <f t="shared" ca="1" si="17"/>
        <v>8.83322E-2</v>
      </c>
      <c r="AD95" s="137">
        <f t="shared" ca="1" si="18"/>
        <v>0.502</v>
      </c>
      <c r="AE95" s="137">
        <f t="shared" ca="1" si="19"/>
        <v>0.61436999999999997</v>
      </c>
      <c r="AG95" s="74">
        <v>454</v>
      </c>
      <c r="AH95" s="136">
        <f t="shared" ca="1" si="20"/>
        <v>2.0398193832599117E-3</v>
      </c>
      <c r="AI95" s="136">
        <f t="shared" ca="1" si="21"/>
        <v>3.4616079295154181E-4</v>
      </c>
      <c r="AJ95" s="136">
        <f t="shared" ca="1" si="22"/>
        <v>1.9456431718061675E-4</v>
      </c>
      <c r="AK95" s="136">
        <f t="shared" ca="1" si="23"/>
        <v>1.1057268722466961E-3</v>
      </c>
      <c r="AL95" s="136">
        <f t="shared" ca="1" si="24"/>
        <v>1.353237885462555E-3</v>
      </c>
      <c r="AN95" s="74">
        <v>454</v>
      </c>
      <c r="AO95" s="136">
        <f t="shared" ca="1" si="25"/>
        <v>0.91267725984114778</v>
      </c>
      <c r="AP95" s="136">
        <f t="shared" ca="1" si="26"/>
        <v>0.18712686681445723</v>
      </c>
      <c r="AQ95" s="136">
        <f t="shared" ca="1" si="27"/>
        <v>0.11026194052938774</v>
      </c>
      <c r="AR95" s="136">
        <f t="shared" ca="1" si="28"/>
        <v>0.5589632333122716</v>
      </c>
      <c r="AS95" s="136">
        <f t="shared" ca="1" si="29"/>
        <v>0.66169819090200355</v>
      </c>
    </row>
    <row r="96" spans="2:45" ht="15" hidden="1" customHeight="1" x14ac:dyDescent="0.2">
      <c r="I96" s="74">
        <v>455</v>
      </c>
      <c r="J96" s="137">
        <v>4.8000000000000001E-2</v>
      </c>
      <c r="L96" s="74">
        <v>455</v>
      </c>
      <c r="M96" s="137">
        <v>0.90673499999999996</v>
      </c>
      <c r="N96" s="137">
        <v>0.16200600000000001</v>
      </c>
      <c r="O96" s="137">
        <v>9.0770400000000001E-2</v>
      </c>
      <c r="P96" s="136">
        <v>0.51300000000000001</v>
      </c>
      <c r="Q96" s="137">
        <v>0.62965400000000005</v>
      </c>
      <c r="S96" s="74">
        <v>455</v>
      </c>
      <c r="T96" s="137">
        <v>0.86768681870092923</v>
      </c>
      <c r="U96" s="137">
        <v>0.23677562954579284</v>
      </c>
      <c r="V96" s="137">
        <v>0.12577143034752625</v>
      </c>
      <c r="W96" s="136">
        <v>0.49862264712938431</v>
      </c>
      <c r="X96" s="137">
        <v>0.62965404835900041</v>
      </c>
      <c r="Z96" s="74">
        <v>455</v>
      </c>
      <c r="AA96" s="137">
        <f t="shared" ca="1" si="15"/>
        <v>0.90673499999999996</v>
      </c>
      <c r="AB96" s="137">
        <f t="shared" ca="1" si="16"/>
        <v>0.16200600000000001</v>
      </c>
      <c r="AC96" s="137">
        <f t="shared" ca="1" si="17"/>
        <v>9.0770400000000001E-2</v>
      </c>
      <c r="AD96" s="137">
        <f t="shared" ca="1" si="18"/>
        <v>0.51300000000000001</v>
      </c>
      <c r="AE96" s="137">
        <f t="shared" ca="1" si="19"/>
        <v>0.62965400000000005</v>
      </c>
      <c r="AG96" s="74">
        <v>455</v>
      </c>
      <c r="AH96" s="136">
        <f t="shared" ca="1" si="20"/>
        <v>1.9928241758241758E-3</v>
      </c>
      <c r="AI96" s="136">
        <f t="shared" ca="1" si="21"/>
        <v>3.560571428571429E-4</v>
      </c>
      <c r="AJ96" s="136">
        <f t="shared" ca="1" si="22"/>
        <v>1.9949538461538463E-4</v>
      </c>
      <c r="AK96" s="136">
        <f t="shared" ca="1" si="23"/>
        <v>1.1274725274725275E-3</v>
      </c>
      <c r="AL96" s="136">
        <f t="shared" ca="1" si="24"/>
        <v>1.3838549450549452E-3</v>
      </c>
      <c r="AN96" s="74">
        <v>455</v>
      </c>
      <c r="AO96" s="136">
        <f t="shared" ca="1" si="25"/>
        <v>0.89165017406085323</v>
      </c>
      <c r="AP96" s="136">
        <f t="shared" ca="1" si="26"/>
        <v>0.1924766146439115</v>
      </c>
      <c r="AQ96" s="136">
        <f t="shared" ca="1" si="27"/>
        <v>0.11305643580024485</v>
      </c>
      <c r="AR96" s="136">
        <f t="shared" ca="1" si="28"/>
        <v>0.56995602191188954</v>
      </c>
      <c r="AS96" s="136">
        <f t="shared" ca="1" si="29"/>
        <v>0.67666913810992824</v>
      </c>
    </row>
    <row r="97" spans="9:45" ht="15" hidden="1" customHeight="1" x14ac:dyDescent="0.2">
      <c r="I97" s="74">
        <v>456</v>
      </c>
      <c r="J97" s="137">
        <v>5.0243679999999999E-2</v>
      </c>
      <c r="L97" s="74">
        <v>456</v>
      </c>
      <c r="M97" s="137">
        <v>0.88850899999999999</v>
      </c>
      <c r="N97" s="137">
        <v>0.16733100000000001</v>
      </c>
      <c r="O97" s="137">
        <v>9.3439700000000001E-2</v>
      </c>
      <c r="P97" s="136">
        <v>0.52400000000000002</v>
      </c>
      <c r="Q97" s="137">
        <v>0.64519300000000002</v>
      </c>
      <c r="S97" s="74">
        <v>456</v>
      </c>
      <c r="T97" s="137">
        <v>0.84864098083874007</v>
      </c>
      <c r="U97" s="137">
        <v>0.24482795217346681</v>
      </c>
      <c r="V97" s="137">
        <v>0.12949112381556596</v>
      </c>
      <c r="W97" s="136">
        <v>0.51133556461505736</v>
      </c>
      <c r="X97" s="137">
        <v>0.64519055338187337</v>
      </c>
      <c r="Z97" s="74">
        <v>456</v>
      </c>
      <c r="AA97" s="137">
        <f t="shared" ca="1" si="15"/>
        <v>0.88850899999999999</v>
      </c>
      <c r="AB97" s="137">
        <f t="shared" ca="1" si="16"/>
        <v>0.16733100000000001</v>
      </c>
      <c r="AC97" s="137">
        <f t="shared" ca="1" si="17"/>
        <v>9.3439700000000001E-2</v>
      </c>
      <c r="AD97" s="137">
        <f t="shared" ca="1" si="18"/>
        <v>0.52400000000000002</v>
      </c>
      <c r="AE97" s="137">
        <f t="shared" ca="1" si="19"/>
        <v>0.64519300000000002</v>
      </c>
      <c r="AG97" s="74">
        <v>456</v>
      </c>
      <c r="AH97" s="136">
        <f t="shared" ca="1" si="20"/>
        <v>1.948484649122807E-3</v>
      </c>
      <c r="AI97" s="136">
        <f t="shared" ca="1" si="21"/>
        <v>3.6695394736842107E-4</v>
      </c>
      <c r="AJ97" s="136">
        <f t="shared" ca="1" si="22"/>
        <v>2.0491162280701755E-4</v>
      </c>
      <c r="AK97" s="136">
        <f t="shared" ca="1" si="23"/>
        <v>1.149122807017544E-3</v>
      </c>
      <c r="AL97" s="136">
        <f t="shared" ca="1" si="24"/>
        <v>1.4148969298245614E-3</v>
      </c>
      <c r="AN97" s="74">
        <v>456</v>
      </c>
      <c r="AO97" s="136">
        <f t="shared" ca="1" si="25"/>
        <v>0.87181132064835853</v>
      </c>
      <c r="AP97" s="136">
        <f t="shared" ca="1" si="26"/>
        <v>0.19836718610088924</v>
      </c>
      <c r="AQ97" s="136">
        <f t="shared" ca="1" si="27"/>
        <v>0.11612588317904883</v>
      </c>
      <c r="AR97" s="136">
        <f t="shared" ca="1" si="28"/>
        <v>0.58090059652642145</v>
      </c>
      <c r="AS97" s="136">
        <f t="shared" ca="1" si="29"/>
        <v>0.69184786269687815</v>
      </c>
    </row>
    <row r="98" spans="9:45" ht="15" hidden="1" customHeight="1" x14ac:dyDescent="0.2">
      <c r="I98" s="74">
        <v>457</v>
      </c>
      <c r="J98" s="137">
        <v>5.2573040000000001E-2</v>
      </c>
      <c r="L98" s="74">
        <v>457</v>
      </c>
      <c r="M98" s="137">
        <v>0.87135300000000004</v>
      </c>
      <c r="N98" s="137">
        <v>0.17314399999999999</v>
      </c>
      <c r="O98" s="137">
        <v>9.6357700000000004E-2</v>
      </c>
      <c r="P98" s="136">
        <v>0.53500000000000003</v>
      </c>
      <c r="Q98" s="137">
        <v>0.66089200000000003</v>
      </c>
      <c r="S98" s="74">
        <v>457</v>
      </c>
      <c r="T98" s="137">
        <v>0.82873560909272648</v>
      </c>
      <c r="U98" s="137">
        <v>0.25312847343560796</v>
      </c>
      <c r="V98" s="137">
        <v>0.1333969807325254</v>
      </c>
      <c r="W98" s="136">
        <v>0.52418428898984748</v>
      </c>
      <c r="X98" s="137">
        <v>0.66081212028912983</v>
      </c>
      <c r="Z98" s="74">
        <v>457</v>
      </c>
      <c r="AA98" s="137">
        <f t="shared" ca="1" si="15"/>
        <v>0.87135300000000004</v>
      </c>
      <c r="AB98" s="137">
        <f t="shared" ca="1" si="16"/>
        <v>0.17314399999999999</v>
      </c>
      <c r="AC98" s="137">
        <f t="shared" ca="1" si="17"/>
        <v>9.6357700000000004E-2</v>
      </c>
      <c r="AD98" s="137">
        <f t="shared" ca="1" si="18"/>
        <v>0.53500000000000003</v>
      </c>
      <c r="AE98" s="137">
        <f t="shared" ca="1" si="19"/>
        <v>0.66089200000000003</v>
      </c>
      <c r="AG98" s="74">
        <v>457</v>
      </c>
      <c r="AH98" s="136">
        <f t="shared" ca="1" si="20"/>
        <v>1.9066805251641138E-3</v>
      </c>
      <c r="AI98" s="136">
        <f t="shared" ca="1" si="21"/>
        <v>3.7887089715536102E-4</v>
      </c>
      <c r="AJ98" s="136">
        <f t="shared" ca="1" si="22"/>
        <v>2.1084835886214443E-4</v>
      </c>
      <c r="AK98" s="136">
        <f t="shared" ca="1" si="23"/>
        <v>1.1706783369803064E-3</v>
      </c>
      <c r="AL98" s="136">
        <f t="shared" ca="1" si="24"/>
        <v>1.4461531728665209E-3</v>
      </c>
      <c r="AN98" s="74">
        <v>457</v>
      </c>
      <c r="AO98" s="136">
        <f t="shared" ca="1" si="25"/>
        <v>0.85310688357035358</v>
      </c>
      <c r="AP98" s="136">
        <f t="shared" ca="1" si="26"/>
        <v>0.20480922552598224</v>
      </c>
      <c r="AQ98" s="136">
        <f t="shared" ca="1" si="27"/>
        <v>0.11949030296236091</v>
      </c>
      <c r="AR98" s="136">
        <f t="shared" ca="1" si="28"/>
        <v>0.59179727365905155</v>
      </c>
      <c r="AS98" s="136">
        <f t="shared" ca="1" si="29"/>
        <v>0.7071313540160622</v>
      </c>
    </row>
    <row r="99" spans="9:45" ht="15" hidden="1" customHeight="1" x14ac:dyDescent="0.2">
      <c r="I99" s="74">
        <v>458</v>
      </c>
      <c r="J99" s="137">
        <v>5.4980559999999998E-2</v>
      </c>
      <c r="L99" s="74">
        <v>458</v>
      </c>
      <c r="M99" s="137">
        <v>0.85499800000000004</v>
      </c>
      <c r="N99" s="137">
        <v>0.17941699999999999</v>
      </c>
      <c r="O99" s="137">
        <v>9.9530400000000005E-2</v>
      </c>
      <c r="P99" s="136">
        <v>0.54600000000000004</v>
      </c>
      <c r="Q99" s="137">
        <v>0.67666000000000004</v>
      </c>
      <c r="S99" s="74">
        <v>458</v>
      </c>
      <c r="T99" s="137">
        <v>0.80801607334160497</v>
      </c>
      <c r="U99" s="137">
        <v>0.2616784749040697</v>
      </c>
      <c r="V99" s="137">
        <v>0.13749344700390112</v>
      </c>
      <c r="W99" s="136">
        <v>0.53716412474163089</v>
      </c>
      <c r="X99" s="137">
        <v>0.67650654091231299</v>
      </c>
      <c r="Z99" s="74">
        <v>458</v>
      </c>
      <c r="AA99" s="137">
        <f t="shared" ca="1" si="15"/>
        <v>0.85499800000000004</v>
      </c>
      <c r="AB99" s="137">
        <f t="shared" ca="1" si="16"/>
        <v>0.17941699999999999</v>
      </c>
      <c r="AC99" s="137">
        <f t="shared" ca="1" si="17"/>
        <v>9.9530400000000005E-2</v>
      </c>
      <c r="AD99" s="137">
        <f t="shared" ca="1" si="18"/>
        <v>0.54600000000000004</v>
      </c>
      <c r="AE99" s="137">
        <f t="shared" ca="1" si="19"/>
        <v>0.67666000000000004</v>
      </c>
      <c r="AG99" s="74">
        <v>458</v>
      </c>
      <c r="AH99" s="136">
        <f t="shared" ca="1" si="20"/>
        <v>1.8668078602620088E-3</v>
      </c>
      <c r="AI99" s="136">
        <f t="shared" ca="1" si="21"/>
        <v>3.9174017467248905E-4</v>
      </c>
      <c r="AJ99" s="136">
        <f t="shared" ca="1" si="22"/>
        <v>2.1731528384279477E-4</v>
      </c>
      <c r="AK99" s="136">
        <f t="shared" ca="1" si="23"/>
        <v>1.1921397379912665E-3</v>
      </c>
      <c r="AL99" s="136">
        <f t="shared" ca="1" si="24"/>
        <v>1.4774235807860263E-3</v>
      </c>
      <c r="AN99" s="74">
        <v>458</v>
      </c>
      <c r="AO99" s="136">
        <f t="shared" ca="1" si="25"/>
        <v>0.83526664004484119</v>
      </c>
      <c r="AP99" s="136">
        <f t="shared" ca="1" si="26"/>
        <v>0.21176607225438401</v>
      </c>
      <c r="AQ99" s="136">
        <f t="shared" ca="1" si="27"/>
        <v>0.12315518719168514</v>
      </c>
      <c r="AR99" s="136">
        <f t="shared" ca="1" si="28"/>
        <v>0.60264636704874452</v>
      </c>
      <c r="AS99" s="136">
        <f t="shared" ca="1" si="29"/>
        <v>0.72242177159259324</v>
      </c>
    </row>
    <row r="100" spans="9:45" ht="15" hidden="1" customHeight="1" x14ac:dyDescent="0.2">
      <c r="I100" s="74">
        <v>459</v>
      </c>
      <c r="J100" s="137">
        <v>5.7458719999999998E-2</v>
      </c>
      <c r="L100" s="74">
        <v>459</v>
      </c>
      <c r="M100" s="137">
        <v>0.839198</v>
      </c>
      <c r="N100" s="137">
        <v>0.186117</v>
      </c>
      <c r="O100" s="137">
        <v>0.102964</v>
      </c>
      <c r="P100" s="136">
        <v>0.55700000000000005</v>
      </c>
      <c r="Q100" s="137">
        <v>0.69240900000000005</v>
      </c>
      <c r="S100" s="74">
        <v>459</v>
      </c>
      <c r="T100" s="137">
        <v>0.78653490392691516</v>
      </c>
      <c r="U100" s="137">
        <v>0.27047803334549114</v>
      </c>
      <c r="V100" s="137">
        <v>0.14178621202152647</v>
      </c>
      <c r="W100" s="136">
        <v>0.55026894038524843</v>
      </c>
      <c r="X100" s="137">
        <v>0.69225643260507341</v>
      </c>
      <c r="Z100" s="74">
        <v>459</v>
      </c>
      <c r="AA100" s="137">
        <f t="shared" ca="1" si="15"/>
        <v>0.839198</v>
      </c>
      <c r="AB100" s="137">
        <f t="shared" ca="1" si="16"/>
        <v>0.186117</v>
      </c>
      <c r="AC100" s="137">
        <f t="shared" ca="1" si="17"/>
        <v>0.102964</v>
      </c>
      <c r="AD100" s="137">
        <f t="shared" ca="1" si="18"/>
        <v>0.55700000000000005</v>
      </c>
      <c r="AE100" s="137">
        <f t="shared" ca="1" si="19"/>
        <v>0.69240900000000005</v>
      </c>
      <c r="AG100" s="74">
        <v>459</v>
      </c>
      <c r="AH100" s="136">
        <f t="shared" ca="1" si="20"/>
        <v>1.8283180827886711E-3</v>
      </c>
      <c r="AI100" s="136">
        <f t="shared" ca="1" si="21"/>
        <v>4.0548366013071896E-4</v>
      </c>
      <c r="AJ100" s="136">
        <f t="shared" ca="1" si="22"/>
        <v>2.2432244008714598E-4</v>
      </c>
      <c r="AK100" s="136">
        <f t="shared" ca="1" si="23"/>
        <v>1.2135076252723313E-3</v>
      </c>
      <c r="AL100" s="136">
        <f t="shared" ca="1" si="24"/>
        <v>1.5085163398692813E-3</v>
      </c>
      <c r="AN100" s="74">
        <v>459</v>
      </c>
      <c r="AO100" s="136">
        <f t="shared" ca="1" si="25"/>
        <v>0.81804514243355708</v>
      </c>
      <c r="AP100" s="136">
        <f t="shared" ca="1" si="26"/>
        <v>0.21919549645630002</v>
      </c>
      <c r="AQ100" s="136">
        <f t="shared" ca="1" si="27"/>
        <v>0.12712622698094692</v>
      </c>
      <c r="AR100" s="136">
        <f t="shared" ca="1" si="28"/>
        <v>0.61344818770035603</v>
      </c>
      <c r="AS100" s="136">
        <f t="shared" ca="1" si="29"/>
        <v>0.73762532350062249</v>
      </c>
    </row>
    <row r="101" spans="9:45" ht="15" hidden="1" customHeight="1" x14ac:dyDescent="0.2">
      <c r="I101" s="74">
        <v>460</v>
      </c>
      <c r="J101" s="137">
        <v>0.06</v>
      </c>
      <c r="L101" s="74">
        <v>460</v>
      </c>
      <c r="M101" s="137">
        <v>0.82372599999999996</v>
      </c>
      <c r="N101" s="137">
        <v>0.19320200000000001</v>
      </c>
      <c r="O101" s="137">
        <v>0.10666299999999999</v>
      </c>
      <c r="P101" s="136">
        <v>0.56699999999999995</v>
      </c>
      <c r="Q101" s="137">
        <v>0.70804900000000004</v>
      </c>
      <c r="S101" s="74">
        <v>460</v>
      </c>
      <c r="T101" s="137">
        <v>0.76435128493995741</v>
      </c>
      <c r="U101" s="137">
        <v>0.27952779584945459</v>
      </c>
      <c r="V101" s="137">
        <v>0.14627934263714162</v>
      </c>
      <c r="W101" s="136">
        <v>0.56349491330088497</v>
      </c>
      <c r="X101" s="137">
        <v>0.70804848847404789</v>
      </c>
      <c r="Z101" s="74">
        <v>460</v>
      </c>
      <c r="AA101" s="137">
        <f t="shared" ca="1" si="15"/>
        <v>0.82372599999999996</v>
      </c>
      <c r="AB101" s="137">
        <f t="shared" ca="1" si="16"/>
        <v>0.19320200000000001</v>
      </c>
      <c r="AC101" s="137">
        <f t="shared" ca="1" si="17"/>
        <v>0.10666299999999999</v>
      </c>
      <c r="AD101" s="137">
        <f t="shared" ca="1" si="18"/>
        <v>0.56699999999999995</v>
      </c>
      <c r="AE101" s="137">
        <f t="shared" ca="1" si="19"/>
        <v>0.70804900000000004</v>
      </c>
      <c r="AG101" s="74">
        <v>460</v>
      </c>
      <c r="AH101" s="136">
        <f t="shared" ca="1" si="20"/>
        <v>1.7907086956521739E-3</v>
      </c>
      <c r="AI101" s="136">
        <f t="shared" ca="1" si="21"/>
        <v>4.2000434782608697E-4</v>
      </c>
      <c r="AJ101" s="136">
        <f t="shared" ca="1" si="22"/>
        <v>2.3187608695652174E-4</v>
      </c>
      <c r="AK101" s="136">
        <f t="shared" ca="1" si="23"/>
        <v>1.2326086956521737E-3</v>
      </c>
      <c r="AL101" s="136">
        <f t="shared" ca="1" si="24"/>
        <v>1.5392369565217392E-3</v>
      </c>
      <c r="AN101" s="74">
        <v>460</v>
      </c>
      <c r="AO101" s="136">
        <f t="shared" ca="1" si="25"/>
        <v>0.80121755824755592</v>
      </c>
      <c r="AP101" s="136">
        <f t="shared" ca="1" si="26"/>
        <v>0.22704505899415173</v>
      </c>
      <c r="AQ101" s="136">
        <f t="shared" ca="1" si="27"/>
        <v>0.13140696958555276</v>
      </c>
      <c r="AR101" s="136">
        <f t="shared" ca="1" si="28"/>
        <v>0.6231040948933757</v>
      </c>
      <c r="AS101" s="136">
        <f t="shared" ca="1" si="29"/>
        <v>0.75264690742219365</v>
      </c>
    </row>
    <row r="102" spans="9:45" ht="15" hidden="1" customHeight="1" x14ac:dyDescent="0.2">
      <c r="I102" s="74">
        <v>461</v>
      </c>
      <c r="J102" s="137">
        <v>6.2601970000000007E-2</v>
      </c>
      <c r="L102" s="74">
        <v>461</v>
      </c>
      <c r="M102" s="137">
        <v>0.808307</v>
      </c>
      <c r="N102" s="137">
        <v>0.20062099999999999</v>
      </c>
      <c r="O102" s="137">
        <v>0.11062900000000001</v>
      </c>
      <c r="P102" s="136">
        <v>0.57799999999999996</v>
      </c>
      <c r="Q102" s="137">
        <v>0.72359399999999996</v>
      </c>
      <c r="S102" s="74">
        <v>461</v>
      </c>
      <c r="T102" s="137">
        <v>0.74118564588925606</v>
      </c>
      <c r="U102" s="137">
        <v>0.28869349617675266</v>
      </c>
      <c r="V102" s="137">
        <v>0.1509089509153653</v>
      </c>
      <c r="W102" s="136">
        <v>0.57656861730796982</v>
      </c>
      <c r="X102" s="137">
        <v>0.72353242710750587</v>
      </c>
      <c r="Z102" s="74">
        <v>461</v>
      </c>
      <c r="AA102" s="137">
        <f t="shared" ca="1" si="15"/>
        <v>0.808307</v>
      </c>
      <c r="AB102" s="137">
        <f t="shared" ca="1" si="16"/>
        <v>0.20062099999999999</v>
      </c>
      <c r="AC102" s="137">
        <f t="shared" ca="1" si="17"/>
        <v>0.11062900000000001</v>
      </c>
      <c r="AD102" s="137">
        <f t="shared" ca="1" si="18"/>
        <v>0.57799999999999996</v>
      </c>
      <c r="AE102" s="137">
        <f t="shared" ca="1" si="19"/>
        <v>0.72359399999999996</v>
      </c>
      <c r="AG102" s="74">
        <v>461</v>
      </c>
      <c r="AH102" s="136">
        <f t="shared" ca="1" si="20"/>
        <v>1.7533774403470715E-3</v>
      </c>
      <c r="AI102" s="136">
        <f t="shared" ca="1" si="21"/>
        <v>4.3518655097613879E-4</v>
      </c>
      <c r="AJ102" s="136">
        <f t="shared" ca="1" si="22"/>
        <v>2.3997613882863341E-4</v>
      </c>
      <c r="AK102" s="136">
        <f t="shared" ca="1" si="23"/>
        <v>1.2537960954446853E-3</v>
      </c>
      <c r="AL102" s="136">
        <f t="shared" ca="1" si="24"/>
        <v>1.5696182212581345E-3</v>
      </c>
      <c r="AN102" s="74">
        <v>461</v>
      </c>
      <c r="AO102" s="136">
        <f t="shared" ca="1" si="25"/>
        <v>0.78451441870593608</v>
      </c>
      <c r="AP102" s="136">
        <f t="shared" ca="1" si="26"/>
        <v>0.23525222215259609</v>
      </c>
      <c r="AQ102" s="136">
        <f t="shared" ca="1" si="27"/>
        <v>0.13599736648232097</v>
      </c>
      <c r="AR102" s="136">
        <f t="shared" ca="1" si="28"/>
        <v>0.63381467613251896</v>
      </c>
      <c r="AS102" s="136">
        <f t="shared" ca="1" si="29"/>
        <v>0.76750255706764836</v>
      </c>
    </row>
    <row r="103" spans="9:45" ht="15" hidden="1" customHeight="1" x14ac:dyDescent="0.2">
      <c r="I103" s="74">
        <v>462</v>
      </c>
      <c r="J103" s="137">
        <v>6.5277520000000006E-2</v>
      </c>
      <c r="L103" s="74">
        <v>462</v>
      </c>
      <c r="M103" s="137">
        <v>0.792431</v>
      </c>
      <c r="N103" s="137">
        <v>0.208315</v>
      </c>
      <c r="O103" s="137">
        <v>0.114828</v>
      </c>
      <c r="P103" s="136">
        <v>0.58799999999999997</v>
      </c>
      <c r="Q103" s="137">
        <v>0.73910500000000001</v>
      </c>
      <c r="S103" s="74">
        <v>462</v>
      </c>
      <c r="T103" s="137">
        <v>0.71746876696768436</v>
      </c>
      <c r="U103" s="137">
        <v>0.29810001645121742</v>
      </c>
      <c r="V103" s="137">
        <v>0.15574388360712069</v>
      </c>
      <c r="W103" s="136">
        <v>0.58974056292678567</v>
      </c>
      <c r="X103" s="137">
        <v>0.73900776211549546</v>
      </c>
      <c r="Z103" s="74">
        <v>462</v>
      </c>
      <c r="AA103" s="137">
        <f t="shared" ca="1" si="15"/>
        <v>0.792431</v>
      </c>
      <c r="AB103" s="137">
        <f t="shared" ca="1" si="16"/>
        <v>0.208315</v>
      </c>
      <c r="AC103" s="137">
        <f t="shared" ca="1" si="17"/>
        <v>0.114828</v>
      </c>
      <c r="AD103" s="137">
        <f t="shared" ca="1" si="18"/>
        <v>0.58799999999999997</v>
      </c>
      <c r="AE103" s="137">
        <f t="shared" ca="1" si="19"/>
        <v>0.73910500000000001</v>
      </c>
      <c r="AG103" s="74">
        <v>462</v>
      </c>
      <c r="AH103" s="136">
        <f t="shared" ca="1" si="20"/>
        <v>1.7152186147186147E-3</v>
      </c>
      <c r="AI103" s="136">
        <f t="shared" ca="1" si="21"/>
        <v>4.5089826839826838E-4</v>
      </c>
      <c r="AJ103" s="136">
        <f t="shared" ca="1" si="22"/>
        <v>2.4854545454545453E-4</v>
      </c>
      <c r="AK103" s="136">
        <f t="shared" ca="1" si="23"/>
        <v>1.2727272727272726E-3</v>
      </c>
      <c r="AL103" s="136">
        <f t="shared" ca="1" si="24"/>
        <v>1.5997943722943723E-3</v>
      </c>
      <c r="AN103" s="74">
        <v>462</v>
      </c>
      <c r="AO103" s="136">
        <f t="shared" ca="1" si="25"/>
        <v>0.76744099902027829</v>
      </c>
      <c r="AP103" s="136">
        <f t="shared" ca="1" si="26"/>
        <v>0.24374562901247926</v>
      </c>
      <c r="AQ103" s="136">
        <f t="shared" ca="1" si="27"/>
        <v>0.14085370084844498</v>
      </c>
      <c r="AR103" s="136">
        <f t="shared" ca="1" si="28"/>
        <v>0.64338469955320499</v>
      </c>
      <c r="AS103" s="136">
        <f t="shared" ca="1" si="29"/>
        <v>0.78225791143924062</v>
      </c>
    </row>
    <row r="104" spans="9:45" ht="15" hidden="1" customHeight="1" x14ac:dyDescent="0.2">
      <c r="I104" s="74">
        <v>463</v>
      </c>
      <c r="J104" s="137">
        <v>6.8042080000000005E-2</v>
      </c>
      <c r="L104" s="74">
        <v>463</v>
      </c>
      <c r="M104" s="137">
        <v>0.77556899999999995</v>
      </c>
      <c r="N104" s="137">
        <v>0.21621199999999999</v>
      </c>
      <c r="O104" s="137">
        <v>0.119217</v>
      </c>
      <c r="P104" s="136">
        <v>0.59899999999999998</v>
      </c>
      <c r="Q104" s="137">
        <v>0.75456000000000001</v>
      </c>
      <c r="S104" s="74">
        <v>463</v>
      </c>
      <c r="T104" s="137">
        <v>0.69327413877266086</v>
      </c>
      <c r="U104" s="137">
        <v>0.30774641326468616</v>
      </c>
      <c r="V104" s="137">
        <v>0.16078887627032909</v>
      </c>
      <c r="W104" s="136">
        <v>0.60300373199423862</v>
      </c>
      <c r="X104" s="137">
        <v>0.75445961907501491</v>
      </c>
      <c r="Z104" s="74">
        <v>463</v>
      </c>
      <c r="AA104" s="137">
        <f t="shared" ca="1" si="15"/>
        <v>0.77556899999999995</v>
      </c>
      <c r="AB104" s="137">
        <f t="shared" ca="1" si="16"/>
        <v>0.21621199999999999</v>
      </c>
      <c r="AC104" s="137">
        <f t="shared" ca="1" si="17"/>
        <v>0.119217</v>
      </c>
      <c r="AD104" s="137">
        <f t="shared" ca="1" si="18"/>
        <v>0.59899999999999998</v>
      </c>
      <c r="AE104" s="137">
        <f t="shared" ca="1" si="19"/>
        <v>0.75456000000000001</v>
      </c>
      <c r="AG104" s="74">
        <v>463</v>
      </c>
      <c r="AH104" s="136">
        <f t="shared" ca="1" si="20"/>
        <v>1.675095032397408E-3</v>
      </c>
      <c r="AI104" s="136">
        <f t="shared" ca="1" si="21"/>
        <v>4.6698056155507558E-4</v>
      </c>
      <c r="AJ104" s="136">
        <f t="shared" ca="1" si="22"/>
        <v>2.5748812095032397E-4</v>
      </c>
      <c r="AK104" s="136">
        <f t="shared" ca="1" si="23"/>
        <v>1.2937365010799136E-3</v>
      </c>
      <c r="AL104" s="136">
        <f t="shared" ca="1" si="24"/>
        <v>1.6297192224622031E-3</v>
      </c>
      <c r="AN104" s="74">
        <v>463</v>
      </c>
      <c r="AO104" s="136">
        <f t="shared" ca="1" si="25"/>
        <v>0.74948848740652652</v>
      </c>
      <c r="AP104" s="136">
        <f t="shared" ca="1" si="26"/>
        <v>0.25243936091656061</v>
      </c>
      <c r="AQ104" s="136">
        <f t="shared" ca="1" si="27"/>
        <v>0.14592161754353206</v>
      </c>
      <c r="AR104" s="136">
        <f t="shared" ca="1" si="28"/>
        <v>0.65400521218081897</v>
      </c>
      <c r="AS104" s="136">
        <f t="shared" ca="1" si="29"/>
        <v>0.79689038621088715</v>
      </c>
    </row>
    <row r="105" spans="9:45" ht="15" hidden="1" customHeight="1" x14ac:dyDescent="0.2">
      <c r="I105" s="74">
        <v>464</v>
      </c>
      <c r="J105" s="137">
        <v>7.0911089999999996E-2</v>
      </c>
      <c r="L105" s="74">
        <v>464</v>
      </c>
      <c r="M105" s="137">
        <v>0.75724400000000003</v>
      </c>
      <c r="N105" s="137">
        <v>0.22423100000000001</v>
      </c>
      <c r="O105" s="137">
        <v>0.12374</v>
      </c>
      <c r="P105" s="136">
        <v>0.61</v>
      </c>
      <c r="Q105" s="137">
        <v>0.76993800000000001</v>
      </c>
      <c r="S105" s="74">
        <v>464</v>
      </c>
      <c r="T105" s="137">
        <v>0.66867794637916833</v>
      </c>
      <c r="U105" s="137">
        <v>0.31763108638177046</v>
      </c>
      <c r="V105" s="137">
        <v>0.16604813419559988</v>
      </c>
      <c r="W105" s="136">
        <v>0.61635368947600988</v>
      </c>
      <c r="X105" s="137">
        <v>0.76986929706226603</v>
      </c>
      <c r="Z105" s="74">
        <v>464</v>
      </c>
      <c r="AA105" s="137">
        <f t="shared" ca="1" si="15"/>
        <v>0.75724400000000003</v>
      </c>
      <c r="AB105" s="137">
        <f t="shared" ca="1" si="16"/>
        <v>0.22423100000000001</v>
      </c>
      <c r="AC105" s="137">
        <f t="shared" ca="1" si="17"/>
        <v>0.12374</v>
      </c>
      <c r="AD105" s="137">
        <f t="shared" ca="1" si="18"/>
        <v>0.61</v>
      </c>
      <c r="AE105" s="137">
        <f t="shared" ca="1" si="19"/>
        <v>0.76993800000000001</v>
      </c>
      <c r="AG105" s="74">
        <v>464</v>
      </c>
      <c r="AH105" s="136">
        <f t="shared" ca="1" si="20"/>
        <v>1.6319913793103448E-3</v>
      </c>
      <c r="AI105" s="136">
        <f t="shared" ca="1" si="21"/>
        <v>4.832564655172414E-4</v>
      </c>
      <c r="AJ105" s="136">
        <f t="shared" ca="1" si="22"/>
        <v>2.6668103448275861E-4</v>
      </c>
      <c r="AK105" s="136">
        <f t="shared" ca="1" si="23"/>
        <v>1.3146551724137932E-3</v>
      </c>
      <c r="AL105" s="136">
        <f t="shared" ca="1" si="24"/>
        <v>1.6593491379310345E-3</v>
      </c>
      <c r="AN105" s="74">
        <v>464</v>
      </c>
      <c r="AO105" s="136">
        <f t="shared" ca="1" si="25"/>
        <v>0.73020260145432325</v>
      </c>
      <c r="AP105" s="136">
        <f t="shared" ca="1" si="26"/>
        <v>0.26123775453891246</v>
      </c>
      <c r="AQ105" s="136">
        <f t="shared" ca="1" si="27"/>
        <v>0.15113135229805102</v>
      </c>
      <c r="AR105" s="136">
        <f t="shared" ca="1" si="28"/>
        <v>0.66457994673676202</v>
      </c>
      <c r="AS105" s="136">
        <f t="shared" ca="1" si="29"/>
        <v>0.81137864557232486</v>
      </c>
    </row>
    <row r="106" spans="9:45" ht="15" hidden="1" customHeight="1" x14ac:dyDescent="0.2">
      <c r="I106" s="74">
        <v>465</v>
      </c>
      <c r="J106" s="137">
        <v>7.3899999999999993E-2</v>
      </c>
      <c r="L106" s="74">
        <v>465</v>
      </c>
      <c r="M106" s="137">
        <v>0.737043</v>
      </c>
      <c r="N106" s="137">
        <v>0.23227500000000001</v>
      </c>
      <c r="O106" s="137">
        <v>0.12833600000000001</v>
      </c>
      <c r="P106" s="136">
        <v>0.62</v>
      </c>
      <c r="Q106" s="137">
        <v>0.78521600000000003</v>
      </c>
      <c r="S106" s="74">
        <v>465</v>
      </c>
      <c r="T106" s="137">
        <v>0.6437600173150394</v>
      </c>
      <c r="U106" s="137">
        <v>0.3277524901546483</v>
      </c>
      <c r="V106" s="137">
        <v>0.17152522591268093</v>
      </c>
      <c r="W106" s="136">
        <v>0.6297830966317538</v>
      </c>
      <c r="X106" s="137">
        <v>0.78521574607141154</v>
      </c>
      <c r="Z106" s="74">
        <v>465</v>
      </c>
      <c r="AA106" s="137">
        <f t="shared" ca="1" si="15"/>
        <v>0.737043</v>
      </c>
      <c r="AB106" s="137">
        <f t="shared" ca="1" si="16"/>
        <v>0.23227500000000001</v>
      </c>
      <c r="AC106" s="137">
        <f t="shared" ca="1" si="17"/>
        <v>0.12833600000000001</v>
      </c>
      <c r="AD106" s="137">
        <f t="shared" ca="1" si="18"/>
        <v>0.62</v>
      </c>
      <c r="AE106" s="137">
        <f t="shared" ca="1" si="19"/>
        <v>0.78521600000000003</v>
      </c>
      <c r="AG106" s="74">
        <v>465</v>
      </c>
      <c r="AH106" s="136">
        <f t="shared" ca="1" si="20"/>
        <v>1.5850387096774195E-3</v>
      </c>
      <c r="AI106" s="136">
        <f t="shared" ca="1" si="21"/>
        <v>4.9951612903225806E-4</v>
      </c>
      <c r="AJ106" s="136">
        <f t="shared" ca="1" si="22"/>
        <v>2.7599139784946237E-4</v>
      </c>
      <c r="AK106" s="136">
        <f t="shared" ca="1" si="23"/>
        <v>1.3333333333333333E-3</v>
      </c>
      <c r="AL106" s="136">
        <f t="shared" ca="1" si="24"/>
        <v>1.6886365591397849E-3</v>
      </c>
      <c r="AN106" s="74">
        <v>465</v>
      </c>
      <c r="AO106" s="136">
        <f t="shared" ca="1" si="25"/>
        <v>0.70919454838134943</v>
      </c>
      <c r="AP106" s="136">
        <f t="shared" ca="1" si="26"/>
        <v>0.27002736893481066</v>
      </c>
      <c r="AQ106" s="136">
        <f t="shared" ca="1" si="27"/>
        <v>0.15640764728740147</v>
      </c>
      <c r="AR106" s="136">
        <f t="shared" ca="1" si="28"/>
        <v>0.67402206619859573</v>
      </c>
      <c r="AS106" s="136">
        <f t="shared" ca="1" si="29"/>
        <v>0.82569943413300795</v>
      </c>
    </row>
    <row r="107" spans="9:45" ht="15" hidden="1" customHeight="1" x14ac:dyDescent="0.2">
      <c r="I107" s="74">
        <v>466</v>
      </c>
      <c r="J107" s="137">
        <v>7.7016000000000001E-2</v>
      </c>
      <c r="L107" s="74">
        <v>466</v>
      </c>
      <c r="M107" s="137">
        <v>0.71472999999999998</v>
      </c>
      <c r="N107" s="137">
        <v>0.240257</v>
      </c>
      <c r="O107" s="137">
        <v>0.13294700000000001</v>
      </c>
      <c r="P107" s="136">
        <v>0.63100000000000001</v>
      </c>
      <c r="Q107" s="137">
        <v>0.80068300000000003</v>
      </c>
      <c r="S107" s="74">
        <v>466</v>
      </c>
      <c r="T107" s="137">
        <v>0.61860296888733912</v>
      </c>
      <c r="U107" s="137">
        <v>0.33810920923182081</v>
      </c>
      <c r="V107" s="137">
        <v>0.17722459803612536</v>
      </c>
      <c r="W107" s="136">
        <v>0.64328733333733901</v>
      </c>
      <c r="X107" s="137">
        <v>0.80048094824073301</v>
      </c>
      <c r="Z107" s="74">
        <v>466</v>
      </c>
      <c r="AA107" s="137">
        <f t="shared" ca="1" si="15"/>
        <v>0.71472999999999998</v>
      </c>
      <c r="AB107" s="137">
        <f t="shared" ca="1" si="16"/>
        <v>0.240257</v>
      </c>
      <c r="AC107" s="137">
        <f t="shared" ca="1" si="17"/>
        <v>0.13294700000000001</v>
      </c>
      <c r="AD107" s="137">
        <f t="shared" ca="1" si="18"/>
        <v>0.63100000000000001</v>
      </c>
      <c r="AE107" s="137">
        <f t="shared" ca="1" si="19"/>
        <v>0.80068300000000003</v>
      </c>
      <c r="AG107" s="74">
        <v>466</v>
      </c>
      <c r="AH107" s="136">
        <f t="shared" ca="1" si="20"/>
        <v>1.5337553648068669E-3</v>
      </c>
      <c r="AI107" s="136">
        <f t="shared" ca="1" si="21"/>
        <v>5.1557296137339057E-4</v>
      </c>
      <c r="AJ107" s="136">
        <f t="shared" ca="1" si="22"/>
        <v>2.8529399141630901E-4</v>
      </c>
      <c r="AK107" s="136">
        <f t="shared" ca="1" si="23"/>
        <v>1.3540772532188842E-3</v>
      </c>
      <c r="AL107" s="136">
        <f t="shared" ca="1" si="24"/>
        <v>1.7182038626609444E-3</v>
      </c>
      <c r="AN107" s="74">
        <v>466</v>
      </c>
      <c r="AO107" s="136">
        <f t="shared" ca="1" si="25"/>
        <v>0.68624881943296412</v>
      </c>
      <c r="AP107" s="136">
        <f t="shared" ca="1" si="26"/>
        <v>0.27870733728518876</v>
      </c>
      <c r="AQ107" s="136">
        <f t="shared" ca="1" si="27"/>
        <v>0.16167953903764734</v>
      </c>
      <c r="AR107" s="136">
        <f t="shared" ca="1" si="28"/>
        <v>0.68450846100533358</v>
      </c>
      <c r="AS107" s="136">
        <f t="shared" ca="1" si="29"/>
        <v>0.84015707787767313</v>
      </c>
    </row>
    <row r="108" spans="9:45" ht="15" hidden="1" customHeight="1" x14ac:dyDescent="0.2">
      <c r="I108" s="74">
        <v>467</v>
      </c>
      <c r="J108" s="137">
        <v>8.0266400000000002E-2</v>
      </c>
      <c r="L108" s="74">
        <v>467</v>
      </c>
      <c r="M108" s="137">
        <v>0.69055800000000001</v>
      </c>
      <c r="N108" s="137">
        <v>0.24815999999999999</v>
      </c>
      <c r="O108" s="137">
        <v>0.13757</v>
      </c>
      <c r="P108" s="136">
        <v>0.64200000000000002</v>
      </c>
      <c r="Q108" s="137">
        <v>0.81635400000000002</v>
      </c>
      <c r="S108" s="74">
        <v>467</v>
      </c>
      <c r="T108" s="137">
        <v>0.59329269355424752</v>
      </c>
      <c r="U108" s="137">
        <v>0.34869923934183722</v>
      </c>
      <c r="V108" s="137">
        <v>0.18314918903695948</v>
      </c>
      <c r="W108" s="136">
        <v>0.65686027833633298</v>
      </c>
      <c r="X108" s="137">
        <v>0.81564278713278737</v>
      </c>
      <c r="Z108" s="74">
        <v>467</v>
      </c>
      <c r="AA108" s="137">
        <f t="shared" ca="1" si="15"/>
        <v>0.69055800000000001</v>
      </c>
      <c r="AB108" s="137">
        <f t="shared" ca="1" si="16"/>
        <v>0.24815999999999999</v>
      </c>
      <c r="AC108" s="137">
        <f t="shared" ca="1" si="17"/>
        <v>0.13757</v>
      </c>
      <c r="AD108" s="137">
        <f t="shared" ca="1" si="18"/>
        <v>0.64200000000000002</v>
      </c>
      <c r="AE108" s="137">
        <f t="shared" ca="1" si="19"/>
        <v>0.81635400000000002</v>
      </c>
      <c r="AG108" s="74">
        <v>467</v>
      </c>
      <c r="AH108" s="136">
        <f t="shared" ca="1" si="20"/>
        <v>1.478710920770878E-3</v>
      </c>
      <c r="AI108" s="136">
        <f t="shared" ca="1" si="21"/>
        <v>5.3139186295503207E-4</v>
      </c>
      <c r="AJ108" s="136">
        <f t="shared" ca="1" si="22"/>
        <v>2.9458244111349035E-4</v>
      </c>
      <c r="AK108" s="136">
        <f t="shared" ca="1" si="23"/>
        <v>1.3747323340471092E-3</v>
      </c>
      <c r="AL108" s="136">
        <f t="shared" ca="1" si="24"/>
        <v>1.7480813704496788E-3</v>
      </c>
      <c r="AN108" s="74">
        <v>467</v>
      </c>
      <c r="AO108" s="136">
        <f t="shared" ca="1" si="25"/>
        <v>0.66162026027496701</v>
      </c>
      <c r="AP108" s="136">
        <f t="shared" ca="1" si="26"/>
        <v>0.28725868553054945</v>
      </c>
      <c r="AQ108" s="136">
        <f t="shared" ca="1" si="27"/>
        <v>0.16694341528670317</v>
      </c>
      <c r="AR108" s="136">
        <f t="shared" ca="1" si="28"/>
        <v>0.69494994619833805</v>
      </c>
      <c r="AS108" s="136">
        <f t="shared" ca="1" si="29"/>
        <v>0.85476640345512578</v>
      </c>
    </row>
    <row r="109" spans="9:45" ht="15" hidden="1" customHeight="1" x14ac:dyDescent="0.2">
      <c r="I109" s="74">
        <v>468</v>
      </c>
      <c r="J109" s="137">
        <v>8.36668E-2</v>
      </c>
      <c r="L109" s="74">
        <v>468</v>
      </c>
      <c r="M109" s="137">
        <v>0.66488999999999998</v>
      </c>
      <c r="N109" s="137">
        <v>0.25598700000000002</v>
      </c>
      <c r="O109" s="137">
        <v>0.14221800000000001</v>
      </c>
      <c r="P109" s="136">
        <v>0.65300000000000002</v>
      </c>
      <c r="Q109" s="137">
        <v>0.83179800000000004</v>
      </c>
      <c r="S109" s="74">
        <v>468</v>
      </c>
      <c r="T109" s="137">
        <v>0.56791717126906827</v>
      </c>
      <c r="U109" s="137">
        <v>0.35951995440747497</v>
      </c>
      <c r="V109" s="137">
        <v>0.18930365533536864</v>
      </c>
      <c r="W109" s="136">
        <v>0.67049724851593639</v>
      </c>
      <c r="X109" s="137">
        <v>0.8306785573759996</v>
      </c>
      <c r="Z109" s="74">
        <v>468</v>
      </c>
      <c r="AA109" s="137">
        <f t="shared" ca="1" si="15"/>
        <v>0.66488999999999998</v>
      </c>
      <c r="AB109" s="137">
        <f t="shared" ca="1" si="16"/>
        <v>0.25598700000000002</v>
      </c>
      <c r="AC109" s="137">
        <f t="shared" ca="1" si="17"/>
        <v>0.14221800000000001</v>
      </c>
      <c r="AD109" s="137">
        <f t="shared" ca="1" si="18"/>
        <v>0.65300000000000002</v>
      </c>
      <c r="AE109" s="137">
        <f t="shared" ca="1" si="19"/>
        <v>0.83179800000000004</v>
      </c>
      <c r="AG109" s="74">
        <v>468</v>
      </c>
      <c r="AH109" s="136">
        <f t="shared" ca="1" si="20"/>
        <v>1.4207051282051281E-3</v>
      </c>
      <c r="AI109" s="136">
        <f t="shared" ca="1" si="21"/>
        <v>5.4698076923076922E-4</v>
      </c>
      <c r="AJ109" s="136">
        <f t="shared" ca="1" si="22"/>
        <v>3.0388461538461542E-4</v>
      </c>
      <c r="AK109" s="136">
        <f t="shared" ca="1" si="23"/>
        <v>1.3952991452991453E-3</v>
      </c>
      <c r="AL109" s="136">
        <f t="shared" ca="1" si="24"/>
        <v>1.7773461538461539E-3</v>
      </c>
      <c r="AN109" s="74">
        <v>468</v>
      </c>
      <c r="AO109" s="136">
        <f t="shared" ca="1" si="25"/>
        <v>0.63566670367662925</v>
      </c>
      <c r="AP109" s="136">
        <f t="shared" ca="1" si="26"/>
        <v>0.29568570340155165</v>
      </c>
      <c r="AQ109" s="136">
        <f t="shared" ca="1" si="27"/>
        <v>0.17221506941701653</v>
      </c>
      <c r="AR109" s="136">
        <f t="shared" ca="1" si="28"/>
        <v>0.7053468096597485</v>
      </c>
      <c r="AS109" s="136">
        <f t="shared" ca="1" si="29"/>
        <v>0.86907612271336809</v>
      </c>
    </row>
    <row r="110" spans="9:45" ht="15" hidden="1" customHeight="1" x14ac:dyDescent="0.2">
      <c r="I110" s="74">
        <v>469</v>
      </c>
      <c r="J110" s="137">
        <v>8.7232799999999999E-2</v>
      </c>
      <c r="L110" s="74">
        <v>469</v>
      </c>
      <c r="M110" s="137">
        <v>0.63807800000000003</v>
      </c>
      <c r="N110" s="137">
        <v>0.26374399999999998</v>
      </c>
      <c r="O110" s="137">
        <v>0.14690500000000001</v>
      </c>
      <c r="P110" s="136">
        <v>0.66400000000000003</v>
      </c>
      <c r="Q110" s="137">
        <v>0.84658699999999998</v>
      </c>
      <c r="S110" s="74">
        <v>469</v>
      </c>
      <c r="T110" s="137">
        <v>0.54256153358877901</v>
      </c>
      <c r="U110" s="137">
        <v>0.37056892701278016</v>
      </c>
      <c r="V110" s="137">
        <v>0.19569016525854446</v>
      </c>
      <c r="W110" s="136">
        <v>0.68419043745231145</v>
      </c>
      <c r="X110" s="137">
        <v>0.84557084455413933</v>
      </c>
      <c r="Z110" s="74">
        <v>469</v>
      </c>
      <c r="AA110" s="137">
        <f t="shared" ca="1" si="15"/>
        <v>0.63807800000000003</v>
      </c>
      <c r="AB110" s="137">
        <f t="shared" ca="1" si="16"/>
        <v>0.26374399999999998</v>
      </c>
      <c r="AC110" s="137">
        <f t="shared" ca="1" si="17"/>
        <v>0.14690500000000001</v>
      </c>
      <c r="AD110" s="137">
        <f t="shared" ca="1" si="18"/>
        <v>0.66400000000000003</v>
      </c>
      <c r="AE110" s="137">
        <f t="shared" ca="1" si="19"/>
        <v>0.84658699999999998</v>
      </c>
      <c r="AG110" s="74">
        <v>469</v>
      </c>
      <c r="AH110" s="136">
        <f t="shared" ca="1" si="20"/>
        <v>1.3605074626865672E-3</v>
      </c>
      <c r="AI110" s="136">
        <f t="shared" ca="1" si="21"/>
        <v>5.6235394456289971E-4</v>
      </c>
      <c r="AJ110" s="136">
        <f t="shared" ca="1" si="22"/>
        <v>3.1323027718550107E-4</v>
      </c>
      <c r="AK110" s="136">
        <f t="shared" ca="1" si="23"/>
        <v>1.4157782515991472E-3</v>
      </c>
      <c r="AL110" s="136">
        <f t="shared" ca="1" si="24"/>
        <v>1.8050895522388059E-3</v>
      </c>
      <c r="AN110" s="74">
        <v>469</v>
      </c>
      <c r="AO110" s="136">
        <f t="shared" ca="1" si="25"/>
        <v>0.60873243642473618</v>
      </c>
      <c r="AP110" s="136">
        <f t="shared" ca="1" si="26"/>
        <v>0.30399610189689363</v>
      </c>
      <c r="AQ110" s="136">
        <f t="shared" ca="1" si="27"/>
        <v>0.17751136845390736</v>
      </c>
      <c r="AR110" s="136">
        <f t="shared" ca="1" si="28"/>
        <v>0.71569933681641951</v>
      </c>
      <c r="AS110" s="136">
        <f t="shared" ca="1" si="29"/>
        <v>0.88264192420555465</v>
      </c>
    </row>
    <row r="111" spans="9:45" ht="15" hidden="1" customHeight="1" x14ac:dyDescent="0.2">
      <c r="I111" s="74">
        <v>470</v>
      </c>
      <c r="J111" s="137">
        <v>9.0980000000000005E-2</v>
      </c>
      <c r="L111" s="74">
        <v>470</v>
      </c>
      <c r="M111" s="137">
        <v>0.610456</v>
      </c>
      <c r="N111" s="137">
        <v>0.27144099999999999</v>
      </c>
      <c r="O111" s="137">
        <v>0.15165100000000001</v>
      </c>
      <c r="P111" s="136">
        <v>0.67600000000000005</v>
      </c>
      <c r="Q111" s="137">
        <v>0.86029100000000003</v>
      </c>
      <c r="S111" s="74">
        <v>470</v>
      </c>
      <c r="T111" s="137">
        <v>0.51731491502340221</v>
      </c>
      <c r="U111" s="137">
        <v>0.38184490487989065</v>
      </c>
      <c r="V111" s="137">
        <v>0.2023126319512791</v>
      </c>
      <c r="W111" s="136">
        <v>0.69793342855282015</v>
      </c>
      <c r="X111" s="137">
        <v>0.86029024821255051</v>
      </c>
      <c r="Z111" s="74">
        <v>470</v>
      </c>
      <c r="AA111" s="137">
        <f t="shared" ca="1" si="15"/>
        <v>0.610456</v>
      </c>
      <c r="AB111" s="137">
        <f t="shared" ca="1" si="16"/>
        <v>0.27144099999999999</v>
      </c>
      <c r="AC111" s="137">
        <f t="shared" ca="1" si="17"/>
        <v>0.15165100000000001</v>
      </c>
      <c r="AD111" s="137">
        <f t="shared" ca="1" si="18"/>
        <v>0.67600000000000005</v>
      </c>
      <c r="AE111" s="137">
        <f t="shared" ca="1" si="19"/>
        <v>0.86029100000000003</v>
      </c>
      <c r="AG111" s="74">
        <v>470</v>
      </c>
      <c r="AH111" s="136">
        <f t="shared" ca="1" si="20"/>
        <v>1.2988425531914893E-3</v>
      </c>
      <c r="AI111" s="136">
        <f t="shared" ca="1" si="21"/>
        <v>5.7753404255319143E-4</v>
      </c>
      <c r="AJ111" s="136">
        <f t="shared" ca="1" si="22"/>
        <v>3.2266170212765958E-4</v>
      </c>
      <c r="AK111" s="136">
        <f t="shared" ca="1" si="23"/>
        <v>1.4382978723404256E-3</v>
      </c>
      <c r="AL111" s="136">
        <f t="shared" ca="1" si="24"/>
        <v>1.8304063829787235E-3</v>
      </c>
      <c r="AN111" s="74">
        <v>470</v>
      </c>
      <c r="AO111" s="136">
        <f t="shared" ca="1" si="25"/>
        <v>0.58114167957234431</v>
      </c>
      <c r="AP111" s="136">
        <f t="shared" ca="1" si="26"/>
        <v>0.31220212705254252</v>
      </c>
      <c r="AQ111" s="136">
        <f t="shared" ca="1" si="27"/>
        <v>0.18285627049529396</v>
      </c>
      <c r="AR111" s="136">
        <f t="shared" ca="1" si="28"/>
        <v>0.7270833777929534</v>
      </c>
      <c r="AS111" s="136">
        <f t="shared" ca="1" si="29"/>
        <v>0.89502119711827666</v>
      </c>
    </row>
    <row r="112" spans="9:45" ht="15" hidden="1" customHeight="1" x14ac:dyDescent="0.2">
      <c r="I112" s="74">
        <v>471</v>
      </c>
      <c r="J112" s="137">
        <v>9.4917550000000003E-2</v>
      </c>
      <c r="L112" s="74">
        <v>471</v>
      </c>
      <c r="M112" s="137">
        <v>0.58234600000000003</v>
      </c>
      <c r="N112" s="137">
        <v>0.27909699999999998</v>
      </c>
      <c r="O112" s="137">
        <v>0.156475</v>
      </c>
      <c r="P112" s="136">
        <v>0.68700000000000006</v>
      </c>
      <c r="Q112" s="137">
        <v>0.87292499999999995</v>
      </c>
      <c r="S112" s="74">
        <v>471</v>
      </c>
      <c r="T112" s="137">
        <v>0.49090561544349315</v>
      </c>
      <c r="U112" s="137">
        <v>0.39225726869853766</v>
      </c>
      <c r="V112" s="137">
        <v>0.20859697204594727</v>
      </c>
      <c r="W112" s="136">
        <v>0.70975914995601852</v>
      </c>
      <c r="X112" s="137">
        <v>0.87240470676056658</v>
      </c>
      <c r="Z112" s="74">
        <v>471</v>
      </c>
      <c r="AA112" s="137">
        <f t="shared" ca="1" si="15"/>
        <v>0.58234600000000003</v>
      </c>
      <c r="AB112" s="137">
        <f t="shared" ca="1" si="16"/>
        <v>0.27909699999999998</v>
      </c>
      <c r="AC112" s="137">
        <f t="shared" ca="1" si="17"/>
        <v>0.156475</v>
      </c>
      <c r="AD112" s="137">
        <f t="shared" ca="1" si="18"/>
        <v>0.68700000000000006</v>
      </c>
      <c r="AE112" s="137">
        <f t="shared" ca="1" si="19"/>
        <v>0.87292499999999995</v>
      </c>
      <c r="AG112" s="74">
        <v>471</v>
      </c>
      <c r="AH112" s="136">
        <f t="shared" ca="1" si="20"/>
        <v>1.236403397027601E-3</v>
      </c>
      <c r="AI112" s="136">
        <f t="shared" ca="1" si="21"/>
        <v>5.9256263269639065E-4</v>
      </c>
      <c r="AJ112" s="136">
        <f t="shared" ca="1" si="22"/>
        <v>3.3221868365180466E-4</v>
      </c>
      <c r="AK112" s="136">
        <f t="shared" ca="1" si="23"/>
        <v>1.4585987261146497E-3</v>
      </c>
      <c r="AL112" s="136">
        <f t="shared" ca="1" si="24"/>
        <v>1.8533439490445859E-3</v>
      </c>
      <c r="AN112" s="74">
        <v>471</v>
      </c>
      <c r="AO112" s="136">
        <f t="shared" ca="1" si="25"/>
        <v>0.55320450120149356</v>
      </c>
      <c r="AP112" s="136">
        <f t="shared" ca="1" si="26"/>
        <v>0.32032625041774754</v>
      </c>
      <c r="AQ112" s="136">
        <f t="shared" ca="1" si="27"/>
        <v>0.18827232696302496</v>
      </c>
      <c r="AR112" s="136">
        <f t="shared" ca="1" si="28"/>
        <v>0.73734579534782696</v>
      </c>
      <c r="AS112" s="136">
        <f t="shared" ca="1" si="29"/>
        <v>0.90623707137994669</v>
      </c>
    </row>
    <row r="113" spans="9:45" ht="15" hidden="1" customHeight="1" x14ac:dyDescent="0.2">
      <c r="I113" s="74">
        <v>472</v>
      </c>
      <c r="J113" s="137">
        <v>9.9045839999999996E-2</v>
      </c>
      <c r="L113" s="74">
        <v>472</v>
      </c>
      <c r="M113" s="137">
        <v>0.55406500000000003</v>
      </c>
      <c r="N113" s="137">
        <v>0.28675499999999998</v>
      </c>
      <c r="O113" s="137">
        <v>0.16140399999999999</v>
      </c>
      <c r="P113" s="136">
        <v>0.69899999999999995</v>
      </c>
      <c r="Q113" s="137">
        <v>0.88487000000000005</v>
      </c>
      <c r="S113" s="74">
        <v>472</v>
      </c>
      <c r="T113" s="137">
        <v>0.46491654316969006</v>
      </c>
      <c r="U113" s="137">
        <v>0.40282925207641568</v>
      </c>
      <c r="V113" s="137">
        <v>0.21508493868652973</v>
      </c>
      <c r="W113" s="136">
        <v>0.72155094531389918</v>
      </c>
      <c r="X113" s="137">
        <v>0.88422950018567381</v>
      </c>
      <c r="Z113" s="74">
        <v>472</v>
      </c>
      <c r="AA113" s="137">
        <f t="shared" ca="1" si="15"/>
        <v>0.55406500000000003</v>
      </c>
      <c r="AB113" s="137">
        <f t="shared" ca="1" si="16"/>
        <v>0.28675499999999998</v>
      </c>
      <c r="AC113" s="137">
        <f t="shared" ca="1" si="17"/>
        <v>0.16140399999999999</v>
      </c>
      <c r="AD113" s="137">
        <f t="shared" ca="1" si="18"/>
        <v>0.69899999999999995</v>
      </c>
      <c r="AE113" s="137">
        <f t="shared" ca="1" si="19"/>
        <v>0.88487000000000005</v>
      </c>
      <c r="AG113" s="74">
        <v>472</v>
      </c>
      <c r="AH113" s="136">
        <f t="shared" ca="1" si="20"/>
        <v>1.1738665254237288E-3</v>
      </c>
      <c r="AI113" s="136">
        <f t="shared" ca="1" si="21"/>
        <v>6.0753177966101687E-4</v>
      </c>
      <c r="AJ113" s="136">
        <f t="shared" ca="1" si="22"/>
        <v>3.4195762711864406E-4</v>
      </c>
      <c r="AK113" s="136">
        <f t="shared" ca="1" si="23"/>
        <v>1.4809322033898305E-3</v>
      </c>
      <c r="AL113" s="136">
        <f t="shared" ca="1" si="24"/>
        <v>1.8747245762711865E-3</v>
      </c>
      <c r="AN113" s="74">
        <v>472</v>
      </c>
      <c r="AO113" s="136">
        <f t="shared" ca="1" si="25"/>
        <v>0.52522360196950146</v>
      </c>
      <c r="AP113" s="136">
        <f t="shared" ca="1" si="26"/>
        <v>0.3284182401156327</v>
      </c>
      <c r="AQ113" s="136">
        <f t="shared" ca="1" si="27"/>
        <v>0.19379150345396834</v>
      </c>
      <c r="AR113" s="136">
        <f t="shared" ca="1" si="28"/>
        <v>0.74863573772163949</v>
      </c>
      <c r="AS113" s="136">
        <f t="shared" ca="1" si="29"/>
        <v>0.91669164297314143</v>
      </c>
    </row>
    <row r="114" spans="9:45" ht="15" hidden="1" customHeight="1" x14ac:dyDescent="0.2">
      <c r="I114" s="74">
        <v>473</v>
      </c>
      <c r="J114" s="137">
        <v>0.1033674</v>
      </c>
      <c r="L114" s="74">
        <v>473</v>
      </c>
      <c r="M114" s="137">
        <v>0.52590300000000001</v>
      </c>
      <c r="N114" s="137">
        <v>0.29447600000000002</v>
      </c>
      <c r="O114" s="137">
        <v>0.166464</v>
      </c>
      <c r="P114" s="136">
        <v>0.71</v>
      </c>
      <c r="Q114" s="137">
        <v>0.89624199999999998</v>
      </c>
      <c r="S114" s="74">
        <v>473</v>
      </c>
      <c r="T114" s="137">
        <v>0.43942422960670341</v>
      </c>
      <c r="U114" s="137">
        <v>0.41355473723786396</v>
      </c>
      <c r="V114" s="137">
        <v>0.22177827439118622</v>
      </c>
      <c r="W114" s="136">
        <v>0.73330559735869938</v>
      </c>
      <c r="X114" s="137">
        <v>0.89574006513086479</v>
      </c>
      <c r="Z114" s="74">
        <v>473</v>
      </c>
      <c r="AA114" s="137">
        <f t="shared" ca="1" si="15"/>
        <v>0.52590300000000001</v>
      </c>
      <c r="AB114" s="137">
        <f t="shared" ca="1" si="16"/>
        <v>0.29447600000000002</v>
      </c>
      <c r="AC114" s="137">
        <f t="shared" ca="1" si="17"/>
        <v>0.166464</v>
      </c>
      <c r="AD114" s="137">
        <f t="shared" ca="1" si="18"/>
        <v>0.71</v>
      </c>
      <c r="AE114" s="137">
        <f t="shared" ca="1" si="19"/>
        <v>0.89624199999999998</v>
      </c>
      <c r="AG114" s="74">
        <v>473</v>
      </c>
      <c r="AH114" s="136">
        <f t="shared" ca="1" si="20"/>
        <v>1.1118456659619451E-3</v>
      </c>
      <c r="AI114" s="136">
        <f t="shared" ca="1" si="21"/>
        <v>6.2257082452431289E-4</v>
      </c>
      <c r="AJ114" s="136">
        <f t="shared" ca="1" si="22"/>
        <v>3.5193234672304438E-4</v>
      </c>
      <c r="AK114" s="136">
        <f t="shared" ca="1" si="23"/>
        <v>1.5010570824524313E-3</v>
      </c>
      <c r="AL114" s="136">
        <f t="shared" ca="1" si="24"/>
        <v>1.8948033826638477E-3</v>
      </c>
      <c r="AN114" s="74">
        <v>473</v>
      </c>
      <c r="AO114" s="136">
        <f t="shared" ca="1" si="25"/>
        <v>0.49747358227113431</v>
      </c>
      <c r="AP114" s="136">
        <f t="shared" ca="1" si="26"/>
        <v>0.3365480150712401</v>
      </c>
      <c r="AQ114" s="136">
        <f t="shared" ca="1" si="27"/>
        <v>0.19944429712011996</v>
      </c>
      <c r="AR114" s="136">
        <f t="shared" ca="1" si="28"/>
        <v>0.75880919714746775</v>
      </c>
      <c r="AS114" s="136">
        <f t="shared" ca="1" si="29"/>
        <v>0.92650965797865104</v>
      </c>
    </row>
    <row r="115" spans="9:45" ht="15" hidden="1" customHeight="1" x14ac:dyDescent="0.2">
      <c r="I115" s="74">
        <v>474</v>
      </c>
      <c r="J115" s="137">
        <v>0.1078846</v>
      </c>
      <c r="L115" s="74">
        <v>474</v>
      </c>
      <c r="M115" s="137">
        <v>0.498108</v>
      </c>
      <c r="N115" s="137">
        <v>0.30232300000000001</v>
      </c>
      <c r="O115" s="137">
        <v>0.17169000000000001</v>
      </c>
      <c r="P115" s="136">
        <v>0.72199999999999998</v>
      </c>
      <c r="Q115" s="137">
        <v>0.90715800000000002</v>
      </c>
      <c r="S115" s="74">
        <v>474</v>
      </c>
      <c r="T115" s="137">
        <v>0.41450521605495655</v>
      </c>
      <c r="U115" s="137">
        <v>0.42442797353766537</v>
      </c>
      <c r="V115" s="137">
        <v>0.22867674404711427</v>
      </c>
      <c r="W115" s="136">
        <v>0.74501497110398784</v>
      </c>
      <c r="X115" s="137">
        <v>0.90691586660604906</v>
      </c>
      <c r="Z115" s="74">
        <v>474</v>
      </c>
      <c r="AA115" s="137">
        <f t="shared" ca="1" si="15"/>
        <v>0.498108</v>
      </c>
      <c r="AB115" s="137">
        <f t="shared" ca="1" si="16"/>
        <v>0.30232300000000001</v>
      </c>
      <c r="AC115" s="137">
        <f t="shared" ca="1" si="17"/>
        <v>0.17169000000000001</v>
      </c>
      <c r="AD115" s="137">
        <f t="shared" ca="1" si="18"/>
        <v>0.72199999999999998</v>
      </c>
      <c r="AE115" s="137">
        <f t="shared" ca="1" si="19"/>
        <v>0.90715800000000002</v>
      </c>
      <c r="AG115" s="74">
        <v>474</v>
      </c>
      <c r="AH115" s="136">
        <f t="shared" ca="1" si="20"/>
        <v>1.0508607594936709E-3</v>
      </c>
      <c r="AI115" s="136">
        <f t="shared" ca="1" si="21"/>
        <v>6.378122362869198E-4</v>
      </c>
      <c r="AJ115" s="136">
        <f t="shared" ca="1" si="22"/>
        <v>3.6221518987341776E-4</v>
      </c>
      <c r="AK115" s="136">
        <f t="shared" ca="1" si="23"/>
        <v>1.5232067510548522E-3</v>
      </c>
      <c r="AL115" s="136">
        <f t="shared" ca="1" si="24"/>
        <v>1.9138354430379748E-3</v>
      </c>
      <c r="AN115" s="74">
        <v>474</v>
      </c>
      <c r="AO115" s="136">
        <f t="shared" ca="1" si="25"/>
        <v>0.47018707946411542</v>
      </c>
      <c r="AP115" s="136">
        <f t="shared" ca="1" si="26"/>
        <v>0.34478718509580408</v>
      </c>
      <c r="AQ115" s="136">
        <f t="shared" ca="1" si="27"/>
        <v>0.20527170810867737</v>
      </c>
      <c r="AR115" s="136">
        <f t="shared" ca="1" si="28"/>
        <v>0.77000622119523121</v>
      </c>
      <c r="AS115" s="136">
        <f t="shared" ca="1" si="29"/>
        <v>0.93581584135851781</v>
      </c>
    </row>
    <row r="116" spans="9:45" ht="15" hidden="1" customHeight="1" x14ac:dyDescent="0.2">
      <c r="I116" s="74">
        <v>475</v>
      </c>
      <c r="J116" s="137">
        <v>0.11260000000000001</v>
      </c>
      <c r="L116" s="74">
        <v>475</v>
      </c>
      <c r="M116" s="137">
        <v>0.47089399999999998</v>
      </c>
      <c r="N116" s="137">
        <v>0.31037199999999998</v>
      </c>
      <c r="O116" s="137">
        <v>0.177116</v>
      </c>
      <c r="P116" s="136">
        <v>0.73399999999999999</v>
      </c>
      <c r="Q116" s="137">
        <v>0.91773400000000005</v>
      </c>
      <c r="S116" s="74">
        <v>475</v>
      </c>
      <c r="T116" s="137">
        <v>0.39022491977263141</v>
      </c>
      <c r="U116" s="137">
        <v>0.43544669635854016</v>
      </c>
      <c r="V116" s="137">
        <v>0.23578056279459578</v>
      </c>
      <c r="W116" s="136">
        <v>0.75667258616425337</v>
      </c>
      <c r="X116" s="137">
        <v>0.91773437689211645</v>
      </c>
      <c r="Z116" s="74">
        <v>475</v>
      </c>
      <c r="AA116" s="137">
        <f t="shared" ca="1" si="15"/>
        <v>0.47089399999999998</v>
      </c>
      <c r="AB116" s="137">
        <f t="shared" ca="1" si="16"/>
        <v>0.31037199999999998</v>
      </c>
      <c r="AC116" s="137">
        <f t="shared" ca="1" si="17"/>
        <v>0.177116</v>
      </c>
      <c r="AD116" s="137">
        <f t="shared" ca="1" si="18"/>
        <v>0.73399999999999999</v>
      </c>
      <c r="AE116" s="137">
        <f t="shared" ca="1" si="19"/>
        <v>0.91773400000000005</v>
      </c>
      <c r="AG116" s="74">
        <v>475</v>
      </c>
      <c r="AH116" s="136">
        <f t="shared" ca="1" si="20"/>
        <v>9.913557894736841E-4</v>
      </c>
      <c r="AI116" s="136">
        <f t="shared" ca="1" si="21"/>
        <v>6.5341473684210518E-4</v>
      </c>
      <c r="AJ116" s="136">
        <f t="shared" ca="1" si="22"/>
        <v>3.7287578947368418E-4</v>
      </c>
      <c r="AK116" s="136">
        <f t="shared" ca="1" si="23"/>
        <v>1.5452631578947368E-3</v>
      </c>
      <c r="AL116" s="136">
        <f t="shared" ca="1" si="24"/>
        <v>1.9320715789473686E-3</v>
      </c>
      <c r="AN116" s="74">
        <v>475</v>
      </c>
      <c r="AO116" s="136">
        <f t="shared" ca="1" si="25"/>
        <v>0.4435627452556728</v>
      </c>
      <c r="AP116" s="136">
        <f t="shared" ca="1" si="26"/>
        <v>0.35322155173353997</v>
      </c>
      <c r="AQ116" s="136">
        <f t="shared" ca="1" si="27"/>
        <v>0.2113131982244677</v>
      </c>
      <c r="AR116" s="136">
        <f t="shared" ca="1" si="28"/>
        <v>0.78115609987858314</v>
      </c>
      <c r="AS116" s="136">
        <f t="shared" ca="1" si="29"/>
        <v>0.94473283834028965</v>
      </c>
    </row>
    <row r="117" spans="9:45" ht="15" hidden="1" customHeight="1" x14ac:dyDescent="0.2">
      <c r="I117" s="74">
        <v>476</v>
      </c>
      <c r="J117" s="137">
        <v>0.117532</v>
      </c>
      <c r="L117" s="74">
        <v>476</v>
      </c>
      <c r="M117" s="137">
        <v>0.44445000000000001</v>
      </c>
      <c r="N117" s="137">
        <v>0.31869199999999998</v>
      </c>
      <c r="O117" s="137">
        <v>0.182777</v>
      </c>
      <c r="P117" s="136">
        <v>0.745</v>
      </c>
      <c r="Q117" s="137">
        <v>0.92834499999999998</v>
      </c>
      <c r="S117" s="74">
        <v>476</v>
      </c>
      <c r="T117" s="137">
        <v>0.36664604108679433</v>
      </c>
      <c r="U117" s="137">
        <v>0.4466033742503272</v>
      </c>
      <c r="V117" s="137">
        <v>0.24309050732971785</v>
      </c>
      <c r="W117" s="136">
        <v>0.76827199039551264</v>
      </c>
      <c r="X117" s="137">
        <v>0.92816887329738917</v>
      </c>
      <c r="Z117" s="74">
        <v>476</v>
      </c>
      <c r="AA117" s="137">
        <f t="shared" ca="1" si="15"/>
        <v>0.44445000000000001</v>
      </c>
      <c r="AB117" s="137">
        <f t="shared" ca="1" si="16"/>
        <v>0.31869199999999998</v>
      </c>
      <c r="AC117" s="137">
        <f t="shared" ca="1" si="17"/>
        <v>0.182777</v>
      </c>
      <c r="AD117" s="137">
        <f t="shared" ca="1" si="18"/>
        <v>0.745</v>
      </c>
      <c r="AE117" s="137">
        <f t="shared" ca="1" si="19"/>
        <v>0.92834499999999998</v>
      </c>
      <c r="AG117" s="74">
        <v>476</v>
      </c>
      <c r="AH117" s="136">
        <f t="shared" ca="1" si="20"/>
        <v>9.3371848739495799E-4</v>
      </c>
      <c r="AI117" s="136">
        <f t="shared" ca="1" si="21"/>
        <v>6.695210084033613E-4</v>
      </c>
      <c r="AJ117" s="136">
        <f t="shared" ca="1" si="22"/>
        <v>3.8398529411764706E-4</v>
      </c>
      <c r="AK117" s="136">
        <f t="shared" ca="1" si="23"/>
        <v>1.5651260504201681E-3</v>
      </c>
      <c r="AL117" s="136">
        <f t="shared" ca="1" si="24"/>
        <v>1.9503046218487395E-3</v>
      </c>
      <c r="AN117" s="74">
        <v>476</v>
      </c>
      <c r="AO117" s="136">
        <f t="shared" ca="1" si="25"/>
        <v>0.41777406251368443</v>
      </c>
      <c r="AP117" s="136">
        <f t="shared" ca="1" si="26"/>
        <v>0.36192824583261018</v>
      </c>
      <c r="AQ117" s="136">
        <f t="shared" ca="1" si="27"/>
        <v>0.21760908823201952</v>
      </c>
      <c r="AR117" s="136">
        <f t="shared" ca="1" si="28"/>
        <v>0.79119712077408699</v>
      </c>
      <c r="AS117" s="136">
        <f t="shared" ca="1" si="29"/>
        <v>0.9536483229214443</v>
      </c>
    </row>
    <row r="118" spans="9:45" ht="15" hidden="1" customHeight="1" x14ac:dyDescent="0.2">
      <c r="I118" s="74">
        <v>477</v>
      </c>
      <c r="J118" s="137">
        <v>0.1226744</v>
      </c>
      <c r="L118" s="74">
        <v>477</v>
      </c>
      <c r="M118" s="137">
        <v>0.41899199999999998</v>
      </c>
      <c r="N118" s="137">
        <v>0.32730700000000001</v>
      </c>
      <c r="O118" s="137">
        <v>0.18868499999999999</v>
      </c>
      <c r="P118" s="136">
        <v>0.75700000000000001</v>
      </c>
      <c r="Q118" s="137">
        <v>0.93894999999999995</v>
      </c>
      <c r="S118" s="74">
        <v>477</v>
      </c>
      <c r="T118" s="137">
        <v>0.34382385074051242</v>
      </c>
      <c r="U118" s="137">
        <v>0.45789299542547329</v>
      </c>
      <c r="V118" s="137">
        <v>0.25060573188019714</v>
      </c>
      <c r="W118" s="136">
        <v>0.77980497217581735</v>
      </c>
      <c r="X118" s="137">
        <v>0.93819691379738279</v>
      </c>
      <c r="Z118" s="74">
        <v>477</v>
      </c>
      <c r="AA118" s="137">
        <f t="shared" ca="1" si="15"/>
        <v>0.41899199999999998</v>
      </c>
      <c r="AB118" s="137">
        <f t="shared" ca="1" si="16"/>
        <v>0.32730700000000001</v>
      </c>
      <c r="AC118" s="137">
        <f t="shared" ca="1" si="17"/>
        <v>0.18868499999999999</v>
      </c>
      <c r="AD118" s="137">
        <f t="shared" ca="1" si="18"/>
        <v>0.75700000000000001</v>
      </c>
      <c r="AE118" s="137">
        <f t="shared" ca="1" si="19"/>
        <v>0.93894999999999995</v>
      </c>
      <c r="AG118" s="74">
        <v>477</v>
      </c>
      <c r="AH118" s="136">
        <f t="shared" ca="1" si="20"/>
        <v>8.7838993710691814E-4</v>
      </c>
      <c r="AI118" s="136">
        <f t="shared" ca="1" si="21"/>
        <v>6.8617819706498951E-4</v>
      </c>
      <c r="AJ118" s="136">
        <f t="shared" ca="1" si="22"/>
        <v>3.9556603773584903E-4</v>
      </c>
      <c r="AK118" s="136">
        <f t="shared" ca="1" si="23"/>
        <v>1.5870020964360587E-3</v>
      </c>
      <c r="AL118" s="136">
        <f t="shared" ca="1" si="24"/>
        <v>1.9684486373165618E-3</v>
      </c>
      <c r="AN118" s="74">
        <v>477</v>
      </c>
      <c r="AO118" s="136">
        <f t="shared" ca="1" si="25"/>
        <v>0.39301838557371438</v>
      </c>
      <c r="AP118" s="136">
        <f t="shared" ca="1" si="26"/>
        <v>0.37093275352861643</v>
      </c>
      <c r="AQ118" s="136">
        <f t="shared" ca="1" si="27"/>
        <v>0.22417203503860636</v>
      </c>
      <c r="AR118" s="136">
        <f t="shared" ca="1" si="28"/>
        <v>0.8022558240760016</v>
      </c>
      <c r="AS118" s="136">
        <f t="shared" ca="1" si="29"/>
        <v>0.96252027539907703</v>
      </c>
    </row>
    <row r="119" spans="9:45" ht="15" hidden="1" customHeight="1" x14ac:dyDescent="0.2">
      <c r="I119" s="74">
        <v>478</v>
      </c>
      <c r="J119" s="137">
        <v>0.12799279999999999</v>
      </c>
      <c r="L119" s="74">
        <v>478</v>
      </c>
      <c r="M119" s="137">
        <v>0.39469900000000002</v>
      </c>
      <c r="N119" s="137">
        <v>0.33623199999999998</v>
      </c>
      <c r="O119" s="137">
        <v>0.19484499999999999</v>
      </c>
      <c r="P119" s="136">
        <v>0.76900000000000002</v>
      </c>
      <c r="Q119" s="137">
        <v>0.94903499999999996</v>
      </c>
      <c r="S119" s="74">
        <v>478</v>
      </c>
      <c r="T119" s="137">
        <v>0.32180589836584617</v>
      </c>
      <c r="U119" s="137">
        <v>0.46931128788698839</v>
      </c>
      <c r="V119" s="137">
        <v>0.25832652388483568</v>
      </c>
      <c r="W119" s="136">
        <v>0.79126690209028394</v>
      </c>
      <c r="X119" s="137">
        <v>0.94779409804236514</v>
      </c>
      <c r="Z119" s="74">
        <v>478</v>
      </c>
      <c r="AA119" s="137">
        <f t="shared" ca="1" si="15"/>
        <v>0.39469900000000002</v>
      </c>
      <c r="AB119" s="137">
        <f t="shared" ca="1" si="16"/>
        <v>0.33623199999999998</v>
      </c>
      <c r="AC119" s="137">
        <f t="shared" ca="1" si="17"/>
        <v>0.19484499999999999</v>
      </c>
      <c r="AD119" s="137">
        <f t="shared" ca="1" si="18"/>
        <v>0.76900000000000002</v>
      </c>
      <c r="AE119" s="137">
        <f t="shared" ca="1" si="19"/>
        <v>0.94903499999999996</v>
      </c>
      <c r="AG119" s="74">
        <v>478</v>
      </c>
      <c r="AH119" s="136">
        <f t="shared" ca="1" si="20"/>
        <v>8.2573012552301255E-4</v>
      </c>
      <c r="AI119" s="136">
        <f t="shared" ca="1" si="21"/>
        <v>7.0341422594142255E-4</v>
      </c>
      <c r="AJ119" s="136">
        <f t="shared" ca="1" si="22"/>
        <v>4.0762552301255227E-4</v>
      </c>
      <c r="AK119" s="136">
        <f t="shared" ca="1" si="23"/>
        <v>1.6087866108786611E-3</v>
      </c>
      <c r="AL119" s="136">
        <f t="shared" ca="1" si="24"/>
        <v>1.9854288702928868E-3</v>
      </c>
      <c r="AN119" s="74">
        <v>478</v>
      </c>
      <c r="AO119" s="136">
        <f t="shared" ca="1" si="25"/>
        <v>0.36945678353454686</v>
      </c>
      <c r="AP119" s="136">
        <f t="shared" ca="1" si="26"/>
        <v>0.38025016943949902</v>
      </c>
      <c r="AQ119" s="136">
        <f t="shared" ca="1" si="27"/>
        <v>0.23100629050570978</v>
      </c>
      <c r="AR119" s="136">
        <f t="shared" ca="1" si="28"/>
        <v>0.81326825665280356</v>
      </c>
      <c r="AS119" s="136">
        <f t="shared" ca="1" si="29"/>
        <v>0.97082316845449002</v>
      </c>
    </row>
    <row r="120" spans="9:45" ht="15" hidden="1" customHeight="1" x14ac:dyDescent="0.2">
      <c r="I120" s="74">
        <v>479</v>
      </c>
      <c r="J120" s="137">
        <v>0.13345280000000001</v>
      </c>
      <c r="L120" s="74">
        <v>479</v>
      </c>
      <c r="M120" s="137">
        <v>0.37170700000000001</v>
      </c>
      <c r="N120" s="137">
        <v>0.34548000000000001</v>
      </c>
      <c r="O120" s="137">
        <v>0.201261</v>
      </c>
      <c r="P120" s="136">
        <v>0.78100000000000003</v>
      </c>
      <c r="Q120" s="137">
        <v>0.95809100000000003</v>
      </c>
      <c r="S120" s="74">
        <v>479</v>
      </c>
      <c r="T120" s="137">
        <v>0.30063324181579049</v>
      </c>
      <c r="U120" s="137">
        <v>0.48085263471547457</v>
      </c>
      <c r="V120" s="137">
        <v>0.26625146127295879</v>
      </c>
      <c r="W120" s="136">
        <v>0.80264961182908279</v>
      </c>
      <c r="X120" s="137">
        <v>0.95693843902327635</v>
      </c>
      <c r="Z120" s="74">
        <v>479</v>
      </c>
      <c r="AA120" s="137">
        <f t="shared" ca="1" si="15"/>
        <v>0.37170700000000001</v>
      </c>
      <c r="AB120" s="137">
        <f t="shared" ca="1" si="16"/>
        <v>0.34548000000000001</v>
      </c>
      <c r="AC120" s="137">
        <f t="shared" ca="1" si="17"/>
        <v>0.201261</v>
      </c>
      <c r="AD120" s="137">
        <f t="shared" ca="1" si="18"/>
        <v>0.78100000000000003</v>
      </c>
      <c r="AE120" s="137">
        <f t="shared" ca="1" si="19"/>
        <v>0.95809100000000003</v>
      </c>
      <c r="AG120" s="74">
        <v>479</v>
      </c>
      <c r="AH120" s="136">
        <f t="shared" ca="1" si="20"/>
        <v>7.7600626304801673E-4</v>
      </c>
      <c r="AI120" s="136">
        <f t="shared" ca="1" si="21"/>
        <v>7.2125260960334027E-4</v>
      </c>
      <c r="AJ120" s="136">
        <f t="shared" ca="1" si="22"/>
        <v>4.2016910229645095E-4</v>
      </c>
      <c r="AK120" s="136">
        <f t="shared" ca="1" si="23"/>
        <v>1.6304801670146139E-3</v>
      </c>
      <c r="AL120" s="136">
        <f t="shared" ca="1" si="24"/>
        <v>2.0001899791231735E-3</v>
      </c>
      <c r="AN120" s="74">
        <v>479</v>
      </c>
      <c r="AO120" s="136">
        <f t="shared" ca="1" si="25"/>
        <v>0.34720881446197593</v>
      </c>
      <c r="AP120" s="136">
        <f t="shared" ca="1" si="26"/>
        <v>0.38989320502197222</v>
      </c>
      <c r="AQ120" s="136">
        <f t="shared" ca="1" si="27"/>
        <v>0.23811488787376145</v>
      </c>
      <c r="AR120" s="136">
        <f t="shared" ca="1" si="28"/>
        <v>0.82423470830026613</v>
      </c>
      <c r="AS120" s="136">
        <f t="shared" ca="1" si="29"/>
        <v>0.97804096741920765</v>
      </c>
    </row>
    <row r="121" spans="9:45" ht="15" hidden="1" customHeight="1" x14ac:dyDescent="0.2">
      <c r="I121" s="74">
        <v>480</v>
      </c>
      <c r="J121" s="137">
        <v>0.13902</v>
      </c>
      <c r="L121" s="74">
        <v>480</v>
      </c>
      <c r="M121" s="137">
        <v>0.35010799999999997</v>
      </c>
      <c r="N121" s="137">
        <v>0.35506599999999999</v>
      </c>
      <c r="O121" s="137">
        <v>0.20794000000000001</v>
      </c>
      <c r="P121" s="136">
        <v>0.79300000000000004</v>
      </c>
      <c r="Q121" s="137">
        <v>0.96560500000000005</v>
      </c>
      <c r="S121" s="74">
        <v>480</v>
      </c>
      <c r="T121" s="137">
        <v>0.28033801894372362</v>
      </c>
      <c r="U121" s="137">
        <v>0.49251107404930783</v>
      </c>
      <c r="V121" s="137">
        <v>0.27438034636636099</v>
      </c>
      <c r="W121" s="136">
        <v>0.81394488815649479</v>
      </c>
      <c r="X121" s="137">
        <v>0.96560387515390145</v>
      </c>
      <c r="Z121" s="74">
        <v>480</v>
      </c>
      <c r="AA121" s="137">
        <f t="shared" ca="1" si="15"/>
        <v>0.35010799999999997</v>
      </c>
      <c r="AB121" s="137">
        <f t="shared" ca="1" si="16"/>
        <v>0.35506599999999999</v>
      </c>
      <c r="AC121" s="137">
        <f t="shared" ca="1" si="17"/>
        <v>0.20794000000000001</v>
      </c>
      <c r="AD121" s="137">
        <f t="shared" ca="1" si="18"/>
        <v>0.79300000000000004</v>
      </c>
      <c r="AE121" s="137">
        <f t="shared" ca="1" si="19"/>
        <v>0.96560500000000005</v>
      </c>
      <c r="AG121" s="74">
        <v>480</v>
      </c>
      <c r="AH121" s="136">
        <f t="shared" ca="1" si="20"/>
        <v>7.2939166666666666E-4</v>
      </c>
      <c r="AI121" s="136">
        <f t="shared" ca="1" si="21"/>
        <v>7.3972083333333335E-4</v>
      </c>
      <c r="AJ121" s="136">
        <f t="shared" ca="1" si="22"/>
        <v>4.3320833333333335E-4</v>
      </c>
      <c r="AK121" s="136">
        <f t="shared" ca="1" si="23"/>
        <v>1.6520833333333333E-3</v>
      </c>
      <c r="AL121" s="136">
        <f t="shared" ca="1" si="24"/>
        <v>2.0116770833333336E-3</v>
      </c>
      <c r="AN121" s="74">
        <v>480</v>
      </c>
      <c r="AO121" s="136">
        <f t="shared" ca="1" si="25"/>
        <v>0.32635202564867405</v>
      </c>
      <c r="AP121" s="136">
        <f t="shared" ca="1" si="26"/>
        <v>0.3998767182117684</v>
      </c>
      <c r="AQ121" s="136">
        <f t="shared" ca="1" si="27"/>
        <v>0.24550437705642081</v>
      </c>
      <c r="AR121" s="136">
        <f t="shared" ca="1" si="28"/>
        <v>0.83515546639919758</v>
      </c>
      <c r="AS121" s="136">
        <f t="shared" ca="1" si="29"/>
        <v>0.98365786313002168</v>
      </c>
    </row>
    <row r="122" spans="9:45" ht="15" hidden="1" customHeight="1" x14ac:dyDescent="0.2">
      <c r="I122" s="74">
        <v>481</v>
      </c>
      <c r="J122" s="137">
        <v>0.14467640000000001</v>
      </c>
      <c r="L122" s="74">
        <v>481</v>
      </c>
      <c r="M122" s="137">
        <v>0.32990399999999998</v>
      </c>
      <c r="N122" s="137">
        <v>0.364985</v>
      </c>
      <c r="O122" s="137">
        <v>0.21487500000000001</v>
      </c>
      <c r="P122" s="136">
        <v>0.80500000000000005</v>
      </c>
      <c r="Q122" s="137">
        <v>0.97197599999999995</v>
      </c>
      <c r="S122" s="74">
        <v>481</v>
      </c>
      <c r="T122" s="137">
        <v>0.26040420924025565</v>
      </c>
      <c r="U122" s="137">
        <v>0.50323750442436921</v>
      </c>
      <c r="V122" s="137">
        <v>0.28212657721829693</v>
      </c>
      <c r="W122" s="136">
        <v>0.8234381802432682</v>
      </c>
      <c r="X122" s="137">
        <v>0.97175324599304747</v>
      </c>
      <c r="Z122" s="74">
        <v>481</v>
      </c>
      <c r="AA122" s="137">
        <f t="shared" ca="1" si="15"/>
        <v>0.32990399999999998</v>
      </c>
      <c r="AB122" s="137">
        <f t="shared" ca="1" si="16"/>
        <v>0.364985</v>
      </c>
      <c r="AC122" s="137">
        <f t="shared" ca="1" si="17"/>
        <v>0.21487500000000001</v>
      </c>
      <c r="AD122" s="137">
        <f t="shared" ca="1" si="18"/>
        <v>0.80500000000000005</v>
      </c>
      <c r="AE122" s="137">
        <f t="shared" ca="1" si="19"/>
        <v>0.97197599999999995</v>
      </c>
      <c r="AG122" s="74">
        <v>481</v>
      </c>
      <c r="AH122" s="136">
        <f t="shared" ca="1" si="20"/>
        <v>6.8587110187110184E-4</v>
      </c>
      <c r="AI122" s="136">
        <f t="shared" ca="1" si="21"/>
        <v>7.5880457380457381E-4</v>
      </c>
      <c r="AJ122" s="136">
        <f t="shared" ca="1" si="22"/>
        <v>4.4672557172557175E-4</v>
      </c>
      <c r="AK122" s="136">
        <f t="shared" ca="1" si="23"/>
        <v>1.6735966735966737E-3</v>
      </c>
      <c r="AL122" s="136">
        <f t="shared" ca="1" si="24"/>
        <v>2.0207401247401245E-3</v>
      </c>
      <c r="AN122" s="74">
        <v>481</v>
      </c>
      <c r="AO122" s="136">
        <f t="shared" ca="1" si="25"/>
        <v>0.30687960071226777</v>
      </c>
      <c r="AP122" s="136">
        <f t="shared" ca="1" si="26"/>
        <v>0.41019296613526846</v>
      </c>
      <c r="AQ122" s="136">
        <f t="shared" ca="1" si="27"/>
        <v>0.25316475876116556</v>
      </c>
      <c r="AR122" s="136">
        <f t="shared" ca="1" si="28"/>
        <v>0.84603081594054519</v>
      </c>
      <c r="AS122" s="136">
        <f t="shared" ca="1" si="29"/>
        <v>0.98808945506767554</v>
      </c>
    </row>
    <row r="123" spans="9:45" ht="15" hidden="1" customHeight="1" x14ac:dyDescent="0.2">
      <c r="I123" s="74">
        <v>482</v>
      </c>
      <c r="J123" s="137">
        <v>0.1504693</v>
      </c>
      <c r="L123" s="74">
        <v>482</v>
      </c>
      <c r="M123" s="137">
        <v>0.31086399999999997</v>
      </c>
      <c r="N123" s="137">
        <v>0.37514199999999998</v>
      </c>
      <c r="O123" s="137">
        <v>0.222022</v>
      </c>
      <c r="P123" s="136">
        <v>0.81699999999999995</v>
      </c>
      <c r="Q123" s="137">
        <v>0.97783299999999995</v>
      </c>
      <c r="S123" s="74">
        <v>482</v>
      </c>
      <c r="T123" s="137">
        <v>0.24146711873626417</v>
      </c>
      <c r="U123" s="137">
        <v>0.51402353027900438</v>
      </c>
      <c r="V123" s="137">
        <v>0.2900400691515016</v>
      </c>
      <c r="W123" s="136">
        <v>0.83278903814777361</v>
      </c>
      <c r="X123" s="137">
        <v>0.97734748559709717</v>
      </c>
      <c r="Z123" s="74">
        <v>482</v>
      </c>
      <c r="AA123" s="137">
        <f t="shared" ca="1" si="15"/>
        <v>0.31086399999999997</v>
      </c>
      <c r="AB123" s="137">
        <f t="shared" ca="1" si="16"/>
        <v>0.37514199999999998</v>
      </c>
      <c r="AC123" s="137">
        <f t="shared" ca="1" si="17"/>
        <v>0.222022</v>
      </c>
      <c r="AD123" s="137">
        <f t="shared" ca="1" si="18"/>
        <v>0.81699999999999995</v>
      </c>
      <c r="AE123" s="137">
        <f t="shared" ca="1" si="19"/>
        <v>0.97783299999999995</v>
      </c>
      <c r="AG123" s="74">
        <v>482</v>
      </c>
      <c r="AH123" s="136">
        <f t="shared" ca="1" si="20"/>
        <v>6.449460580912862E-4</v>
      </c>
      <c r="AI123" s="136">
        <f t="shared" ca="1" si="21"/>
        <v>7.783029045643153E-4</v>
      </c>
      <c r="AJ123" s="136">
        <f t="shared" ca="1" si="22"/>
        <v>4.6062655601659751E-4</v>
      </c>
      <c r="AK123" s="136">
        <f t="shared" ca="1" si="23"/>
        <v>1.6950207468879666E-3</v>
      </c>
      <c r="AL123" s="136">
        <f t="shared" ca="1" si="24"/>
        <v>2.028699170124481E-3</v>
      </c>
      <c r="AN123" s="74">
        <v>482</v>
      </c>
      <c r="AO123" s="136">
        <f t="shared" ca="1" si="25"/>
        <v>0.28856849085500746</v>
      </c>
      <c r="AP123" s="136">
        <f t="shared" ca="1" si="26"/>
        <v>0.42073333239706273</v>
      </c>
      <c r="AQ123" s="136">
        <f t="shared" ca="1" si="27"/>
        <v>0.26104261388592698</v>
      </c>
      <c r="AR123" s="136">
        <f t="shared" ca="1" si="28"/>
        <v>0.85686103955018567</v>
      </c>
      <c r="AS123" s="136">
        <f t="shared" ca="1" si="29"/>
        <v>0.9919812216142021</v>
      </c>
    </row>
    <row r="124" spans="9:45" ht="15" hidden="1" customHeight="1" x14ac:dyDescent="0.2">
      <c r="I124" s="74">
        <v>483</v>
      </c>
      <c r="J124" s="137">
        <v>0.15646189999999999</v>
      </c>
      <c r="L124" s="74">
        <v>483</v>
      </c>
      <c r="M124" s="137">
        <v>0.29274099999999997</v>
      </c>
      <c r="N124" s="137">
        <v>0.38540999999999997</v>
      </c>
      <c r="O124" s="137">
        <v>0.22931599999999999</v>
      </c>
      <c r="P124" s="136">
        <v>0.82799999999999996</v>
      </c>
      <c r="Q124" s="137">
        <v>0.98300600000000005</v>
      </c>
      <c r="S124" s="74">
        <v>483</v>
      </c>
      <c r="T124" s="137">
        <v>0.22352957891802952</v>
      </c>
      <c r="U124" s="137">
        <v>0.52486305023013025</v>
      </c>
      <c r="V124" s="137">
        <v>0.2981178634024424</v>
      </c>
      <c r="W124" s="136">
        <v>0.84198625127832827</v>
      </c>
      <c r="X124" s="137">
        <v>0.98236979337955532</v>
      </c>
      <c r="Z124" s="74">
        <v>483</v>
      </c>
      <c r="AA124" s="137">
        <f t="shared" ca="1" si="15"/>
        <v>0.29274099999999997</v>
      </c>
      <c r="AB124" s="137">
        <f t="shared" ca="1" si="16"/>
        <v>0.38540999999999997</v>
      </c>
      <c r="AC124" s="137">
        <f t="shared" ca="1" si="17"/>
        <v>0.22931599999999999</v>
      </c>
      <c r="AD124" s="137">
        <f t="shared" ca="1" si="18"/>
        <v>0.82799999999999996</v>
      </c>
      <c r="AE124" s="137">
        <f t="shared" ca="1" si="19"/>
        <v>0.98300600000000005</v>
      </c>
      <c r="AG124" s="74">
        <v>483</v>
      </c>
      <c r="AH124" s="136">
        <f t="shared" ca="1" si="20"/>
        <v>6.0608902691511378E-4</v>
      </c>
      <c r="AI124" s="136">
        <f t="shared" ca="1" si="21"/>
        <v>7.9795031055900621E-4</v>
      </c>
      <c r="AJ124" s="136">
        <f t="shared" ca="1" si="22"/>
        <v>4.7477432712215317E-4</v>
      </c>
      <c r="AK124" s="136">
        <f t="shared" ca="1" si="23"/>
        <v>1.7142857142857142E-3</v>
      </c>
      <c r="AL124" s="136">
        <f t="shared" ca="1" si="24"/>
        <v>2.035209109730849E-3</v>
      </c>
      <c r="AN124" s="74">
        <v>483</v>
      </c>
      <c r="AO124" s="136">
        <f t="shared" ca="1" si="25"/>
        <v>0.27118267276225316</v>
      </c>
      <c r="AP124" s="136">
        <f t="shared" ca="1" si="26"/>
        <v>0.4313542854329912</v>
      </c>
      <c r="AQ124" s="136">
        <f t="shared" ca="1" si="27"/>
        <v>0.26906032606907121</v>
      </c>
      <c r="AR124" s="136">
        <f t="shared" ca="1" si="28"/>
        <v>0.86659979939819454</v>
      </c>
      <c r="AS124" s="136">
        <f t="shared" ca="1" si="29"/>
        <v>0.99516441305946868</v>
      </c>
    </row>
    <row r="125" spans="9:45" ht="15" hidden="1" customHeight="1" x14ac:dyDescent="0.2">
      <c r="I125" s="74">
        <v>484</v>
      </c>
      <c r="J125" s="137">
        <v>0.16271769999999999</v>
      </c>
      <c r="L125" s="74">
        <v>484</v>
      </c>
      <c r="M125" s="137">
        <v>0.27533800000000003</v>
      </c>
      <c r="N125" s="137">
        <v>0.395646</v>
      </c>
      <c r="O125" s="137">
        <v>0.23668400000000001</v>
      </c>
      <c r="P125" s="136">
        <v>0.84</v>
      </c>
      <c r="Q125" s="137">
        <v>0.98732500000000001</v>
      </c>
      <c r="S125" s="74">
        <v>484</v>
      </c>
      <c r="T125" s="137">
        <v>0.20658795661032717</v>
      </c>
      <c r="U125" s="137">
        <v>0.53575101191410313</v>
      </c>
      <c r="V125" s="137">
        <v>0.30635713540738835</v>
      </c>
      <c r="W125" s="136">
        <v>0.851024376362298</v>
      </c>
      <c r="X125" s="137">
        <v>0.98679968003534912</v>
      </c>
      <c r="Z125" s="74">
        <v>484</v>
      </c>
      <c r="AA125" s="137">
        <f t="shared" ca="1" si="15"/>
        <v>0.27533800000000003</v>
      </c>
      <c r="AB125" s="137">
        <f t="shared" ca="1" si="16"/>
        <v>0.395646</v>
      </c>
      <c r="AC125" s="137">
        <f t="shared" ca="1" si="17"/>
        <v>0.23668400000000001</v>
      </c>
      <c r="AD125" s="137">
        <f t="shared" ca="1" si="18"/>
        <v>0.84</v>
      </c>
      <c r="AE125" s="137">
        <f t="shared" ca="1" si="19"/>
        <v>0.98732500000000001</v>
      </c>
      <c r="AG125" s="74">
        <v>484</v>
      </c>
      <c r="AH125" s="136">
        <f t="shared" ca="1" si="20"/>
        <v>5.6888016528925626E-4</v>
      </c>
      <c r="AI125" s="136">
        <f t="shared" ca="1" si="21"/>
        <v>8.1745041322314044E-4</v>
      </c>
      <c r="AJ125" s="136">
        <f t="shared" ca="1" si="22"/>
        <v>4.8901652892561988E-4</v>
      </c>
      <c r="AK125" s="136">
        <f t="shared" ca="1" si="23"/>
        <v>1.7355371900826446E-3</v>
      </c>
      <c r="AL125" s="136">
        <f t="shared" ca="1" si="24"/>
        <v>2.0399276859504132E-3</v>
      </c>
      <c r="AN125" s="74">
        <v>484</v>
      </c>
      <c r="AO125" s="136">
        <f t="shared" ca="1" si="25"/>
        <v>0.25453429587693116</v>
      </c>
      <c r="AP125" s="136">
        <f t="shared" ca="1" si="26"/>
        <v>0.44189560954710172</v>
      </c>
      <c r="AQ125" s="136">
        <f t="shared" ca="1" si="27"/>
        <v>0.27713155326539002</v>
      </c>
      <c r="AR125" s="136">
        <f t="shared" ca="1" si="28"/>
        <v>0.87734277211800693</v>
      </c>
      <c r="AS125" s="136">
        <f t="shared" ca="1" si="29"/>
        <v>0.99747167431904504</v>
      </c>
    </row>
    <row r="126" spans="9:45" ht="15" hidden="1" customHeight="1" x14ac:dyDescent="0.2">
      <c r="I126" s="74">
        <v>485</v>
      </c>
      <c r="J126" s="137">
        <v>0.16930000000000001</v>
      </c>
      <c r="L126" s="74">
        <v>485</v>
      </c>
      <c r="M126" s="137">
        <v>0.25849699999999998</v>
      </c>
      <c r="N126" s="137">
        <v>0.40568799999999999</v>
      </c>
      <c r="O126" s="137">
        <v>0.24404600000000001</v>
      </c>
      <c r="P126" s="136">
        <v>0.85099999999999998</v>
      </c>
      <c r="Q126" s="137">
        <v>0.99062099999999997</v>
      </c>
      <c r="S126" s="74">
        <v>485</v>
      </c>
      <c r="T126" s="137">
        <v>0.19063164697285637</v>
      </c>
      <c r="U126" s="137">
        <v>0.54667976618570724</v>
      </c>
      <c r="V126" s="137">
        <v>0.31475453778096313</v>
      </c>
      <c r="W126" s="136">
        <v>0.85989614110349355</v>
      </c>
      <c r="X126" s="137">
        <v>0.99062207143545178</v>
      </c>
      <c r="Z126" s="74">
        <v>485</v>
      </c>
      <c r="AA126" s="137">
        <f t="shared" ca="1" si="15"/>
        <v>0.25849699999999998</v>
      </c>
      <c r="AB126" s="137">
        <f t="shared" ca="1" si="16"/>
        <v>0.40568799999999999</v>
      </c>
      <c r="AC126" s="137">
        <f t="shared" ca="1" si="17"/>
        <v>0.24404600000000001</v>
      </c>
      <c r="AD126" s="137">
        <f t="shared" ca="1" si="18"/>
        <v>0.85099999999999998</v>
      </c>
      <c r="AE126" s="137">
        <f t="shared" ca="1" si="19"/>
        <v>0.99062099999999997</v>
      </c>
      <c r="AG126" s="74">
        <v>485</v>
      </c>
      <c r="AH126" s="136">
        <f t="shared" ca="1" si="20"/>
        <v>5.3298350515463915E-4</v>
      </c>
      <c r="AI126" s="136">
        <f t="shared" ca="1" si="21"/>
        <v>8.3647010309278352E-4</v>
      </c>
      <c r="AJ126" s="136">
        <f t="shared" ca="1" si="22"/>
        <v>5.0318762886597936E-4</v>
      </c>
      <c r="AK126" s="136">
        <f t="shared" ca="1" si="23"/>
        <v>1.7546391752577318E-3</v>
      </c>
      <c r="AL126" s="136">
        <f t="shared" ca="1" si="24"/>
        <v>2.042517525773196E-3</v>
      </c>
      <c r="AN126" s="74">
        <v>485</v>
      </c>
      <c r="AO126" s="136">
        <f t="shared" ca="1" si="25"/>
        <v>0.23847303786655133</v>
      </c>
      <c r="AP126" s="136">
        <f t="shared" ca="1" si="26"/>
        <v>0.45217723313232155</v>
      </c>
      <c r="AQ126" s="136">
        <f t="shared" ca="1" si="27"/>
        <v>0.28516248618002821</v>
      </c>
      <c r="AR126" s="136">
        <f t="shared" ca="1" si="28"/>
        <v>0.88699914175516226</v>
      </c>
      <c r="AS126" s="136">
        <f t="shared" ca="1" si="29"/>
        <v>0.99873803875051059</v>
      </c>
    </row>
    <row r="127" spans="9:45" ht="15" hidden="1" customHeight="1" x14ac:dyDescent="0.2">
      <c r="I127" s="74">
        <v>486</v>
      </c>
      <c r="J127" s="137">
        <v>0.17624310000000001</v>
      </c>
      <c r="L127" s="74">
        <v>486</v>
      </c>
      <c r="M127" s="137">
        <v>0.24215800000000001</v>
      </c>
      <c r="N127" s="137">
        <v>0.415435</v>
      </c>
      <c r="O127" s="137">
        <v>0.25134699999999999</v>
      </c>
      <c r="P127" s="136">
        <v>0.86199999999999999</v>
      </c>
      <c r="Q127" s="137">
        <v>0.99334299999999998</v>
      </c>
      <c r="S127" s="74">
        <v>486</v>
      </c>
      <c r="T127" s="137">
        <v>0.17564427546933817</v>
      </c>
      <c r="U127" s="137">
        <v>0.55764395666777744</v>
      </c>
      <c r="V127" s="137">
        <v>0.32330766424321661</v>
      </c>
      <c r="W127" s="136">
        <v>0.86859434989416706</v>
      </c>
      <c r="X127" s="137">
        <v>0.99381374731885352</v>
      </c>
      <c r="Z127" s="74">
        <v>486</v>
      </c>
      <c r="AA127" s="137">
        <f t="shared" ca="1" si="15"/>
        <v>0.24215800000000001</v>
      </c>
      <c r="AB127" s="137">
        <f t="shared" ca="1" si="16"/>
        <v>0.415435</v>
      </c>
      <c r="AC127" s="137">
        <f t="shared" ca="1" si="17"/>
        <v>0.25134699999999999</v>
      </c>
      <c r="AD127" s="137">
        <f t="shared" ca="1" si="18"/>
        <v>0.86199999999999999</v>
      </c>
      <c r="AE127" s="137">
        <f t="shared" ca="1" si="19"/>
        <v>0.99334299999999998</v>
      </c>
      <c r="AG127" s="74">
        <v>486</v>
      </c>
      <c r="AH127" s="136">
        <f t="shared" ca="1" si="20"/>
        <v>4.9826748971193414E-4</v>
      </c>
      <c r="AI127" s="136">
        <f t="shared" ca="1" si="21"/>
        <v>8.5480452674897118E-4</v>
      </c>
      <c r="AJ127" s="136">
        <f t="shared" ca="1" si="22"/>
        <v>5.1717489711934151E-4</v>
      </c>
      <c r="AK127" s="136">
        <f t="shared" ca="1" si="23"/>
        <v>1.7736625514403292E-3</v>
      </c>
      <c r="AL127" s="136">
        <f t="shared" ca="1" si="24"/>
        <v>2.0439156378600823E-3</v>
      </c>
      <c r="AN127" s="74">
        <v>486</v>
      </c>
      <c r="AO127" s="136">
        <f t="shared" ca="1" si="25"/>
        <v>0.22294003621607444</v>
      </c>
      <c r="AP127" s="136">
        <f t="shared" ca="1" si="26"/>
        <v>0.46208841696217701</v>
      </c>
      <c r="AQ127" s="136">
        <f t="shared" ca="1" si="27"/>
        <v>0.29308923946485127</v>
      </c>
      <c r="AR127" s="136">
        <f t="shared" ca="1" si="28"/>
        <v>0.89661577324566288</v>
      </c>
      <c r="AS127" s="136">
        <f t="shared" ca="1" si="29"/>
        <v>0.9994216792608076</v>
      </c>
    </row>
    <row r="128" spans="9:45" ht="15" hidden="1" customHeight="1" x14ac:dyDescent="0.2">
      <c r="I128" s="74">
        <v>487</v>
      </c>
      <c r="J128" s="137">
        <v>0.1835581</v>
      </c>
      <c r="L128" s="74">
        <v>487</v>
      </c>
      <c r="M128" s="137">
        <v>0.22650400000000001</v>
      </c>
      <c r="N128" s="137">
        <v>0.425064</v>
      </c>
      <c r="O128" s="137">
        <v>0.25869500000000001</v>
      </c>
      <c r="P128" s="136">
        <v>0.873</v>
      </c>
      <c r="Q128" s="137">
        <v>0.99588699999999997</v>
      </c>
      <c r="S128" s="74">
        <v>487</v>
      </c>
      <c r="T128" s="137">
        <v>0.16160358838736111</v>
      </c>
      <c r="U128" s="137">
        <v>0.56863815890420688</v>
      </c>
      <c r="V128" s="137">
        <v>0.33201216756673374</v>
      </c>
      <c r="W128" s="136">
        <v>0.87710987385021355</v>
      </c>
      <c r="X128" s="137">
        <v>0.99636393692811576</v>
      </c>
      <c r="Z128" s="74">
        <v>487</v>
      </c>
      <c r="AA128" s="137">
        <f t="shared" ca="1" si="15"/>
        <v>0.22650400000000001</v>
      </c>
      <c r="AB128" s="137">
        <f t="shared" ca="1" si="16"/>
        <v>0.425064</v>
      </c>
      <c r="AC128" s="137">
        <f t="shared" ca="1" si="17"/>
        <v>0.25869500000000001</v>
      </c>
      <c r="AD128" s="137">
        <f t="shared" ca="1" si="18"/>
        <v>0.873</v>
      </c>
      <c r="AE128" s="137">
        <f t="shared" ca="1" si="19"/>
        <v>0.99588699999999997</v>
      </c>
      <c r="AG128" s="74">
        <v>487</v>
      </c>
      <c r="AH128" s="136">
        <f t="shared" ca="1" si="20"/>
        <v>4.6510061601642713E-4</v>
      </c>
      <c r="AI128" s="136">
        <f t="shared" ca="1" si="21"/>
        <v>8.7282135523613963E-4</v>
      </c>
      <c r="AJ128" s="136">
        <f t="shared" ca="1" si="22"/>
        <v>5.3120123203285422E-4</v>
      </c>
      <c r="AK128" s="136">
        <f t="shared" ca="1" si="23"/>
        <v>1.7926078028747433E-3</v>
      </c>
      <c r="AL128" s="136">
        <f t="shared" ca="1" si="24"/>
        <v>2.0449425051334703E-3</v>
      </c>
      <c r="AN128" s="74">
        <v>487</v>
      </c>
      <c r="AO128" s="136">
        <f t="shared" ca="1" si="25"/>
        <v>0.20810016772069026</v>
      </c>
      <c r="AP128" s="136">
        <f t="shared" ca="1" si="26"/>
        <v>0.47182791586958001</v>
      </c>
      <c r="AQ128" s="136">
        <f t="shared" ca="1" si="27"/>
        <v>0.30103813229622955</v>
      </c>
      <c r="AR128" s="136">
        <f t="shared" ca="1" si="28"/>
        <v>0.90619291138301972</v>
      </c>
      <c r="AS128" s="136">
        <f t="shared" ca="1" si="29"/>
        <v>0.9999237906962003</v>
      </c>
    </row>
    <row r="129" spans="9:45" ht="15" hidden="1" customHeight="1" x14ac:dyDescent="0.2">
      <c r="I129" s="74">
        <v>488</v>
      </c>
      <c r="J129" s="137">
        <v>0.19127350000000001</v>
      </c>
      <c r="L129" s="74">
        <v>488</v>
      </c>
      <c r="M129" s="137">
        <v>0.211726</v>
      </c>
      <c r="N129" s="137">
        <v>0.43485099999999999</v>
      </c>
      <c r="O129" s="137">
        <v>0.26625199999999999</v>
      </c>
      <c r="P129" s="136">
        <v>0.88400000000000001</v>
      </c>
      <c r="Q129" s="137">
        <v>0.99800800000000001</v>
      </c>
      <c r="S129" s="74">
        <v>488</v>
      </c>
      <c r="T129" s="137">
        <v>0.14848274918833798</v>
      </c>
      <c r="U129" s="137">
        <v>0.5796555520835166</v>
      </c>
      <c r="V129" s="137">
        <v>0.34086546292963776</v>
      </c>
      <c r="W129" s="136">
        <v>0.88543360336494414</v>
      </c>
      <c r="X129" s="137">
        <v>0.99825386418653483</v>
      </c>
      <c r="Z129" s="74">
        <v>488</v>
      </c>
      <c r="AA129" s="137">
        <f t="shared" ca="1" si="15"/>
        <v>0.211726</v>
      </c>
      <c r="AB129" s="137">
        <f t="shared" ca="1" si="16"/>
        <v>0.43485099999999999</v>
      </c>
      <c r="AC129" s="137">
        <f t="shared" ca="1" si="17"/>
        <v>0.26625199999999999</v>
      </c>
      <c r="AD129" s="137">
        <f t="shared" ca="1" si="18"/>
        <v>0.88400000000000001</v>
      </c>
      <c r="AE129" s="137">
        <f t="shared" ca="1" si="19"/>
        <v>0.99800800000000001</v>
      </c>
      <c r="AG129" s="74">
        <v>488</v>
      </c>
      <c r="AH129" s="136">
        <f t="shared" ca="1" si="20"/>
        <v>4.3386475409836064E-4</v>
      </c>
      <c r="AI129" s="136">
        <f t="shared" ca="1" si="21"/>
        <v>8.9108811475409832E-4</v>
      </c>
      <c r="AJ129" s="136">
        <f t="shared" ca="1" si="22"/>
        <v>5.455983606557377E-4</v>
      </c>
      <c r="AK129" s="136">
        <f t="shared" ca="1" si="23"/>
        <v>1.8114754098360656E-3</v>
      </c>
      <c r="AL129" s="136">
        <f t="shared" ca="1" si="24"/>
        <v>2.0450983606557379E-3</v>
      </c>
      <c r="AN129" s="74">
        <v>488</v>
      </c>
      <c r="AO129" s="136">
        <f t="shared" ca="1" si="25"/>
        <v>0.19412429265149797</v>
      </c>
      <c r="AP129" s="136">
        <f t="shared" ca="1" si="26"/>
        <v>0.48170252196319174</v>
      </c>
      <c r="AQ129" s="136">
        <f t="shared" ca="1" si="27"/>
        <v>0.30919715838597583</v>
      </c>
      <c r="AR129" s="136">
        <f t="shared" ca="1" si="28"/>
        <v>0.9157307989542397</v>
      </c>
      <c r="AS129" s="136">
        <f t="shared" ca="1" si="29"/>
        <v>1</v>
      </c>
    </row>
    <row r="130" spans="9:45" ht="15" hidden="1" customHeight="1" x14ac:dyDescent="0.2">
      <c r="I130" s="74">
        <v>489</v>
      </c>
      <c r="J130" s="137">
        <v>0.19941800000000001</v>
      </c>
      <c r="L130" s="74">
        <v>489</v>
      </c>
      <c r="M130" s="137">
        <v>0.19796</v>
      </c>
      <c r="N130" s="137">
        <v>0.44509700000000002</v>
      </c>
      <c r="O130" s="137">
        <v>0.274202</v>
      </c>
      <c r="P130" s="136">
        <v>0.89400000000000002</v>
      </c>
      <c r="Q130" s="137">
        <v>0.99946100000000004</v>
      </c>
      <c r="S130" s="74">
        <v>489</v>
      </c>
      <c r="T130" s="137">
        <v>0.13625140834486479</v>
      </c>
      <c r="U130" s="137">
        <v>0.59069187887115104</v>
      </c>
      <c r="V130" s="137">
        <v>0.34986218168133726</v>
      </c>
      <c r="W130" s="136">
        <v>0.89355851972628464</v>
      </c>
      <c r="X130" s="137">
        <v>0.99947054563906368</v>
      </c>
      <c r="Z130" s="74">
        <v>489</v>
      </c>
      <c r="AA130" s="137">
        <f t="shared" ca="1" si="15"/>
        <v>0.19796</v>
      </c>
      <c r="AB130" s="137">
        <f t="shared" ca="1" si="16"/>
        <v>0.44509700000000002</v>
      </c>
      <c r="AC130" s="137">
        <f t="shared" ca="1" si="17"/>
        <v>0.274202</v>
      </c>
      <c r="AD130" s="137">
        <f t="shared" ca="1" si="18"/>
        <v>0.89400000000000002</v>
      </c>
      <c r="AE130" s="137">
        <f t="shared" ca="1" si="19"/>
        <v>0.99946100000000004</v>
      </c>
      <c r="AG130" s="74">
        <v>489</v>
      </c>
      <c r="AH130" s="136">
        <f t="shared" ca="1" si="20"/>
        <v>4.0482617586912065E-4</v>
      </c>
      <c r="AI130" s="136">
        <f t="shared" ca="1" si="21"/>
        <v>9.1021881390593046E-4</v>
      </c>
      <c r="AJ130" s="136">
        <f t="shared" ca="1" si="22"/>
        <v>5.6074028629856851E-4</v>
      </c>
      <c r="AK130" s="136">
        <f t="shared" ca="1" si="23"/>
        <v>1.8282208588957056E-3</v>
      </c>
      <c r="AL130" s="136">
        <f t="shared" ca="1" si="24"/>
        <v>2.0438875255623721E-3</v>
      </c>
      <c r="AN130" s="74">
        <v>489</v>
      </c>
      <c r="AO130" s="136">
        <f t="shared" ca="1" si="25"/>
        <v>0.18113154916379251</v>
      </c>
      <c r="AP130" s="136">
        <f t="shared" ca="1" si="26"/>
        <v>0.4920441547105881</v>
      </c>
      <c r="AQ130" s="136">
        <f t="shared" ca="1" si="27"/>
        <v>0.31777826991209568</v>
      </c>
      <c r="AR130" s="136">
        <f t="shared" ca="1" si="28"/>
        <v>0.92419590058519119</v>
      </c>
      <c r="AS130" s="136">
        <f t="shared" ca="1" si="29"/>
        <v>0.99940793307712716</v>
      </c>
    </row>
    <row r="131" spans="9:45" ht="15" hidden="1" customHeight="1" x14ac:dyDescent="0.2">
      <c r="I131" s="74">
        <v>490</v>
      </c>
      <c r="J131" s="137">
        <v>0.20802000000000001</v>
      </c>
      <c r="L131" s="74">
        <v>490</v>
      </c>
      <c r="M131" s="137">
        <v>0.18529699999999999</v>
      </c>
      <c r="N131" s="137">
        <v>0.45613700000000001</v>
      </c>
      <c r="O131" s="137">
        <v>0.282752</v>
      </c>
      <c r="P131" s="136">
        <v>0.90400000000000003</v>
      </c>
      <c r="Q131" s="137">
        <v>1</v>
      </c>
      <c r="S131" s="74">
        <v>490</v>
      </c>
      <c r="T131" s="137">
        <v>0.12487514341290934</v>
      </c>
      <c r="U131" s="137">
        <v>0.60174016391719687</v>
      </c>
      <c r="V131" s="137">
        <v>0.35899962919277095</v>
      </c>
      <c r="W131" s="136">
        <v>0.9014756492270195</v>
      </c>
      <c r="X131" s="137">
        <v>1</v>
      </c>
      <c r="Z131" s="74">
        <v>490</v>
      </c>
      <c r="AA131" s="137">
        <f t="shared" ca="1" si="15"/>
        <v>0.18529699999999999</v>
      </c>
      <c r="AB131" s="137">
        <f t="shared" ca="1" si="16"/>
        <v>0.45613700000000001</v>
      </c>
      <c r="AC131" s="137">
        <f t="shared" ca="1" si="17"/>
        <v>0.282752</v>
      </c>
      <c r="AD131" s="137">
        <f t="shared" ca="1" si="18"/>
        <v>0.90400000000000003</v>
      </c>
      <c r="AE131" s="137">
        <f t="shared" ca="1" si="19"/>
        <v>1</v>
      </c>
      <c r="AG131" s="74">
        <v>490</v>
      </c>
      <c r="AH131" s="136">
        <f t="shared" ca="1" si="20"/>
        <v>3.7815714285714284E-4</v>
      </c>
      <c r="AI131" s="136">
        <f t="shared" ca="1" si="21"/>
        <v>9.3089183673469389E-4</v>
      </c>
      <c r="AJ131" s="136">
        <f t="shared" ca="1" si="22"/>
        <v>5.7704489795918365E-4</v>
      </c>
      <c r="AK131" s="136">
        <f t="shared" ca="1" si="23"/>
        <v>1.8448979591836735E-3</v>
      </c>
      <c r="AL131" s="136">
        <f t="shared" ca="1" si="24"/>
        <v>2.0408163265306124E-3</v>
      </c>
      <c r="AN131" s="74">
        <v>490</v>
      </c>
      <c r="AO131" s="136">
        <f t="shared" ca="1" si="25"/>
        <v>0.16919901230698217</v>
      </c>
      <c r="AP131" s="136">
        <f t="shared" ca="1" si="26"/>
        <v>0.50321953351806548</v>
      </c>
      <c r="AQ131" s="136">
        <f t="shared" ca="1" si="27"/>
        <v>0.32701828959981982</v>
      </c>
      <c r="AR131" s="136">
        <f t="shared" ca="1" si="28"/>
        <v>0.93262645078091422</v>
      </c>
      <c r="AS131" s="136">
        <f t="shared" ca="1" si="29"/>
        <v>0.99790619649034751</v>
      </c>
    </row>
    <row r="132" spans="9:45" ht="15" hidden="1" customHeight="1" x14ac:dyDescent="0.2">
      <c r="I132" s="74">
        <v>491</v>
      </c>
      <c r="J132" s="137">
        <v>0.2171199</v>
      </c>
      <c r="L132" s="74">
        <v>491</v>
      </c>
      <c r="M132" s="137">
        <v>0.17375099999999999</v>
      </c>
      <c r="N132" s="137">
        <v>0.46823599999999999</v>
      </c>
      <c r="O132" s="137">
        <v>0.29207100000000003</v>
      </c>
      <c r="P132" s="136">
        <v>0.91400000000000003</v>
      </c>
      <c r="Q132" s="137">
        <v>0.99956100000000003</v>
      </c>
      <c r="S132" s="74">
        <v>491</v>
      </c>
      <c r="T132" s="137">
        <v>0.11431731091548299</v>
      </c>
      <c r="U132" s="137">
        <v>0.61279469933498498</v>
      </c>
      <c r="V132" s="137">
        <v>0.36827310205825753</v>
      </c>
      <c r="W132" s="136">
        <v>0.90917398420807294</v>
      </c>
      <c r="X132" s="137">
        <v>0.99983192541432753</v>
      </c>
      <c r="Z132" s="74">
        <v>491</v>
      </c>
      <c r="AA132" s="137">
        <f t="shared" ca="1" si="15"/>
        <v>0.17375099999999999</v>
      </c>
      <c r="AB132" s="137">
        <f t="shared" ca="1" si="16"/>
        <v>0.46823599999999999</v>
      </c>
      <c r="AC132" s="137">
        <f t="shared" ca="1" si="17"/>
        <v>0.29207100000000003</v>
      </c>
      <c r="AD132" s="137">
        <f t="shared" ca="1" si="18"/>
        <v>0.91400000000000003</v>
      </c>
      <c r="AE132" s="137">
        <f t="shared" ca="1" si="19"/>
        <v>0.99956100000000003</v>
      </c>
      <c r="AG132" s="74">
        <v>491</v>
      </c>
      <c r="AH132" s="136">
        <f t="shared" ca="1" si="20"/>
        <v>3.5387169042769853E-4</v>
      </c>
      <c r="AI132" s="136">
        <f t="shared" ca="1" si="21"/>
        <v>9.5363747454175151E-4</v>
      </c>
      <c r="AJ132" s="136">
        <f t="shared" ca="1" si="22"/>
        <v>5.9484928716904283E-4</v>
      </c>
      <c r="AK132" s="136">
        <f t="shared" ca="1" si="23"/>
        <v>1.8615071283095725E-3</v>
      </c>
      <c r="AL132" s="136">
        <f t="shared" ca="1" si="24"/>
        <v>2.0357657841140529E-3</v>
      </c>
      <c r="AN132" s="74">
        <v>491</v>
      </c>
      <c r="AO132" s="136">
        <f t="shared" ca="1" si="25"/>
        <v>0.15833296193055846</v>
      </c>
      <c r="AP132" s="136">
        <f t="shared" ca="1" si="26"/>
        <v>0.51551532213190487</v>
      </c>
      <c r="AQ132" s="136">
        <f t="shared" ca="1" si="27"/>
        <v>0.3371082512776189</v>
      </c>
      <c r="AR132" s="136">
        <f t="shared" ca="1" si="28"/>
        <v>0.94102266064997442</v>
      </c>
      <c r="AS132" s="136">
        <f t="shared" ca="1" si="29"/>
        <v>0.99543661237951775</v>
      </c>
    </row>
    <row r="133" spans="9:45" ht="15" hidden="1" customHeight="1" x14ac:dyDescent="0.2">
      <c r="I133" s="74">
        <v>492</v>
      </c>
      <c r="J133" s="137">
        <v>0.22673450000000001</v>
      </c>
      <c r="L133" s="74">
        <v>492</v>
      </c>
      <c r="M133" s="137">
        <v>0.16314899999999999</v>
      </c>
      <c r="N133" s="137">
        <v>0.48125499999999999</v>
      </c>
      <c r="O133" s="137">
        <v>0.30209399999999997</v>
      </c>
      <c r="P133" s="136">
        <v>0.92300000000000004</v>
      </c>
      <c r="Q133" s="137">
        <v>0.99836499999999995</v>
      </c>
      <c r="S133" s="74">
        <v>492</v>
      </c>
      <c r="T133" s="137">
        <v>0.10453988066414834</v>
      </c>
      <c r="U133" s="137">
        <v>0.62385117873690399</v>
      </c>
      <c r="V133" s="137">
        <v>0.37767827166057272</v>
      </c>
      <c r="W133" s="136">
        <v>0.91664674372409449</v>
      </c>
      <c r="X133" s="137">
        <v>0.99895747276238467</v>
      </c>
      <c r="Z133" s="74">
        <v>492</v>
      </c>
      <c r="AA133" s="137">
        <f t="shared" ca="1" si="15"/>
        <v>0.16314899999999999</v>
      </c>
      <c r="AB133" s="137">
        <f t="shared" ca="1" si="16"/>
        <v>0.48125499999999999</v>
      </c>
      <c r="AC133" s="137">
        <f t="shared" ca="1" si="17"/>
        <v>0.30209399999999997</v>
      </c>
      <c r="AD133" s="137">
        <f t="shared" ca="1" si="18"/>
        <v>0.92300000000000004</v>
      </c>
      <c r="AE133" s="137">
        <f t="shared" ca="1" si="19"/>
        <v>0.99836499999999995</v>
      </c>
      <c r="AG133" s="74">
        <v>492</v>
      </c>
      <c r="AH133" s="136">
        <f t="shared" ca="1" si="20"/>
        <v>3.3160365853658532E-4</v>
      </c>
      <c r="AI133" s="136">
        <f t="shared" ca="1" si="21"/>
        <v>9.7816056910569101E-4</v>
      </c>
      <c r="AJ133" s="136">
        <f t="shared" ca="1" si="22"/>
        <v>6.1401219512195119E-4</v>
      </c>
      <c r="AK133" s="136">
        <f t="shared" ca="1" si="23"/>
        <v>1.8760162601626016E-3</v>
      </c>
      <c r="AL133" s="136">
        <f t="shared" ca="1" si="24"/>
        <v>2.0291971544715444E-3</v>
      </c>
      <c r="AN133" s="74">
        <v>492</v>
      </c>
      <c r="AO133" s="136">
        <f t="shared" ca="1" si="25"/>
        <v>0.14836956688920105</v>
      </c>
      <c r="AP133" s="136">
        <f t="shared" ca="1" si="26"/>
        <v>0.52877196454717412</v>
      </c>
      <c r="AQ133" s="136">
        <f t="shared" ca="1" si="27"/>
        <v>0.34796810187968097</v>
      </c>
      <c r="AR133" s="136">
        <f t="shared" ca="1" si="28"/>
        <v>0.94835726692271938</v>
      </c>
      <c r="AS133" s="136">
        <f t="shared" ca="1" si="29"/>
        <v>0.99222472303039011</v>
      </c>
    </row>
    <row r="134" spans="9:45" ht="15" hidden="1" customHeight="1" x14ac:dyDescent="0.2">
      <c r="I134" s="74">
        <v>493</v>
      </c>
      <c r="J134" s="137">
        <v>0.23685709999999999</v>
      </c>
      <c r="L134" s="74">
        <v>493</v>
      </c>
      <c r="M134" s="137">
        <v>0.153311</v>
      </c>
      <c r="N134" s="137">
        <v>0.49492700000000001</v>
      </c>
      <c r="O134" s="137">
        <v>0.31267299999999998</v>
      </c>
      <c r="P134" s="136">
        <v>0.93200000000000005</v>
      </c>
      <c r="Q134" s="137">
        <v>0.99658999999999998</v>
      </c>
      <c r="S134" s="74">
        <v>493</v>
      </c>
      <c r="T134" s="137">
        <v>9.5502776989662266E-2</v>
      </c>
      <c r="U134" s="137">
        <v>0.63490244567357823</v>
      </c>
      <c r="V134" s="137">
        <v>0.38721038804016183</v>
      </c>
      <c r="W134" s="136">
        <v>0.92388305125895065</v>
      </c>
      <c r="X134" s="137">
        <v>0.99736930900177401</v>
      </c>
      <c r="Z134" s="74">
        <v>493</v>
      </c>
      <c r="AA134" s="137">
        <f t="shared" ca="1" si="15"/>
        <v>0.153311</v>
      </c>
      <c r="AB134" s="137">
        <f t="shared" ca="1" si="16"/>
        <v>0.49492700000000001</v>
      </c>
      <c r="AC134" s="137">
        <f t="shared" ca="1" si="17"/>
        <v>0.31267299999999998</v>
      </c>
      <c r="AD134" s="137">
        <f t="shared" ca="1" si="18"/>
        <v>0.93200000000000005</v>
      </c>
      <c r="AE134" s="137">
        <f t="shared" ca="1" si="19"/>
        <v>0.99658999999999998</v>
      </c>
      <c r="AG134" s="74">
        <v>493</v>
      </c>
      <c r="AH134" s="136">
        <f t="shared" ca="1" si="20"/>
        <v>3.1097565922920894E-4</v>
      </c>
      <c r="AI134" s="136">
        <f t="shared" ca="1" si="21"/>
        <v>1.0039087221095334E-3</v>
      </c>
      <c r="AJ134" s="136">
        <f t="shared" ca="1" si="22"/>
        <v>6.342251521298174E-4</v>
      </c>
      <c r="AK134" s="136">
        <f t="shared" ca="1" si="23"/>
        <v>1.8904665314401624E-3</v>
      </c>
      <c r="AL134" s="136">
        <f t="shared" ca="1" si="24"/>
        <v>2.0214807302231237E-3</v>
      </c>
      <c r="AN134" s="74">
        <v>493</v>
      </c>
      <c r="AO134" s="136">
        <f t="shared" ca="1" si="25"/>
        <v>0.13913997232883674</v>
      </c>
      <c r="AP134" s="136">
        <f t="shared" ca="1" si="26"/>
        <v>0.54269084645400734</v>
      </c>
      <c r="AQ134" s="136">
        <f t="shared" ca="1" si="27"/>
        <v>0.35942302792069525</v>
      </c>
      <c r="AR134" s="136">
        <f t="shared" ca="1" si="28"/>
        <v>0.95566211820044322</v>
      </c>
      <c r="AS134" s="136">
        <f t="shared" ca="1" si="29"/>
        <v>0.98845159191998888</v>
      </c>
    </row>
    <row r="135" spans="9:45" ht="15" hidden="1" customHeight="1" x14ac:dyDescent="0.2">
      <c r="I135" s="74">
        <v>494</v>
      </c>
      <c r="J135" s="137">
        <v>0.24748120000000001</v>
      </c>
      <c r="L135" s="74">
        <v>494</v>
      </c>
      <c r="M135" s="137">
        <v>0.14408599999999999</v>
      </c>
      <c r="N135" s="137">
        <v>0.50894700000000004</v>
      </c>
      <c r="O135" s="137">
        <v>0.32363700000000001</v>
      </c>
      <c r="P135" s="136">
        <v>0.94099999999999995</v>
      </c>
      <c r="Q135" s="137">
        <v>0.99441599999999997</v>
      </c>
      <c r="S135" s="74">
        <v>494</v>
      </c>
      <c r="T135" s="137">
        <v>8.7165374416776825E-2</v>
      </c>
      <c r="U135" s="137">
        <v>0.64594419551943894</v>
      </c>
      <c r="V135" s="137">
        <v>0.39686609690434982</v>
      </c>
      <c r="W135" s="136">
        <v>0.93087207026943308</v>
      </c>
      <c r="X135" s="137">
        <v>0.99505938465413024</v>
      </c>
      <c r="Z135" s="74">
        <v>494</v>
      </c>
      <c r="AA135" s="137">
        <f t="shared" ca="1" si="15"/>
        <v>0.14408599999999999</v>
      </c>
      <c r="AB135" s="137">
        <f t="shared" ca="1" si="16"/>
        <v>0.50894700000000004</v>
      </c>
      <c r="AC135" s="137">
        <f t="shared" ca="1" si="17"/>
        <v>0.32363700000000001</v>
      </c>
      <c r="AD135" s="137">
        <f t="shared" ca="1" si="18"/>
        <v>0.94099999999999995</v>
      </c>
      <c r="AE135" s="137">
        <f t="shared" ca="1" si="19"/>
        <v>0.99441599999999997</v>
      </c>
      <c r="AG135" s="74">
        <v>494</v>
      </c>
      <c r="AH135" s="136">
        <f t="shared" ca="1" si="20"/>
        <v>2.9167206477732791E-4</v>
      </c>
      <c r="AI135" s="136">
        <f t="shared" ca="1" si="21"/>
        <v>1.0302570850202429E-3</v>
      </c>
      <c r="AJ135" s="136">
        <f t="shared" ca="1" si="22"/>
        <v>6.5513562753036442E-4</v>
      </c>
      <c r="AK135" s="136">
        <f t="shared" ca="1" si="23"/>
        <v>1.9048582995951416E-3</v>
      </c>
      <c r="AL135" s="136">
        <f t="shared" ca="1" si="24"/>
        <v>2.0129878542510119E-3</v>
      </c>
      <c r="AN135" s="74">
        <v>494</v>
      </c>
      <c r="AO135" s="136">
        <f t="shared" ca="1" si="25"/>
        <v>0.13050295679990709</v>
      </c>
      <c r="AP135" s="136">
        <f t="shared" ca="1" si="26"/>
        <v>0.55693418855850019</v>
      </c>
      <c r="AQ135" s="136">
        <f t="shared" ca="1" si="27"/>
        <v>0.37127324603091533</v>
      </c>
      <c r="AR135" s="136">
        <f t="shared" ca="1" si="28"/>
        <v>0.96293739518149579</v>
      </c>
      <c r="AS135" s="136">
        <f t="shared" ca="1" si="29"/>
        <v>0.98429879607627768</v>
      </c>
    </row>
    <row r="136" spans="9:45" ht="15" hidden="1" customHeight="1" x14ac:dyDescent="0.2">
      <c r="I136" s="74">
        <v>495</v>
      </c>
      <c r="J136" s="137">
        <v>0.2586</v>
      </c>
      <c r="L136" s="74">
        <v>495</v>
      </c>
      <c r="M136" s="137">
        <v>0.135351</v>
      </c>
      <c r="N136" s="137">
        <v>0.52297000000000005</v>
      </c>
      <c r="O136" s="137">
        <v>0.33478599999999997</v>
      </c>
      <c r="P136" s="136">
        <v>0.94899999999999995</v>
      </c>
      <c r="Q136" s="137">
        <v>0.99202199999999996</v>
      </c>
      <c r="S136" s="74">
        <v>495</v>
      </c>
      <c r="T136" s="137">
        <v>7.9487163599101976E-2</v>
      </c>
      <c r="U136" s="137">
        <v>0.65696918568507279</v>
      </c>
      <c r="V136" s="137">
        <v>0.40663990946256839</v>
      </c>
      <c r="W136" s="136">
        <v>0.9376051842460853</v>
      </c>
      <c r="X136" s="137">
        <v>0.99202130656228005</v>
      </c>
      <c r="Z136" s="74">
        <v>495</v>
      </c>
      <c r="AA136" s="137">
        <f t="shared" ca="1" si="15"/>
        <v>0.135351</v>
      </c>
      <c r="AB136" s="137">
        <f t="shared" ca="1" si="16"/>
        <v>0.52297000000000005</v>
      </c>
      <c r="AC136" s="137">
        <f t="shared" ca="1" si="17"/>
        <v>0.33478599999999997</v>
      </c>
      <c r="AD136" s="137">
        <f t="shared" ca="1" si="18"/>
        <v>0.94899999999999995</v>
      </c>
      <c r="AE136" s="137">
        <f t="shared" ca="1" si="19"/>
        <v>0.99202199999999996</v>
      </c>
      <c r="AG136" s="74">
        <v>495</v>
      </c>
      <c r="AH136" s="136">
        <f t="shared" ca="1" si="20"/>
        <v>2.7343636363636364E-4</v>
      </c>
      <c r="AI136" s="136">
        <f t="shared" ca="1" si="21"/>
        <v>1.0565050505050506E-3</v>
      </c>
      <c r="AJ136" s="136">
        <f t="shared" ca="1" si="22"/>
        <v>6.7633535353535347E-4</v>
      </c>
      <c r="AK136" s="136">
        <f t="shared" ca="1" si="23"/>
        <v>1.917171717171717E-3</v>
      </c>
      <c r="AL136" s="136">
        <f t="shared" ca="1" si="24"/>
        <v>2.0040848484848485E-3</v>
      </c>
      <c r="AN136" s="74">
        <v>495</v>
      </c>
      <c r="AO136" s="136">
        <f t="shared" ca="1" si="25"/>
        <v>0.12234374923221596</v>
      </c>
      <c r="AP136" s="136">
        <f t="shared" ca="1" si="26"/>
        <v>0.57112325803556729</v>
      </c>
      <c r="AQ136" s="136">
        <f t="shared" ca="1" si="27"/>
        <v>0.38328738594040068</v>
      </c>
      <c r="AR136" s="136">
        <f t="shared" ca="1" si="28"/>
        <v>0.96916203154919289</v>
      </c>
      <c r="AS136" s="136">
        <f t="shared" ca="1" si="29"/>
        <v>0.97994545741177019</v>
      </c>
    </row>
    <row r="137" spans="9:45" ht="15" hidden="1" customHeight="1" x14ac:dyDescent="0.2">
      <c r="I137" s="74">
        <v>496</v>
      </c>
      <c r="J137" s="137">
        <v>0.27018490000000001</v>
      </c>
      <c r="L137" s="74">
        <v>496</v>
      </c>
      <c r="M137" s="137">
        <v>0.12701100000000001</v>
      </c>
      <c r="N137" s="137">
        <v>0.53670099999999998</v>
      </c>
      <c r="O137" s="137">
        <v>0.345943</v>
      </c>
      <c r="P137" s="136">
        <v>0.95699999999999996</v>
      </c>
      <c r="Q137" s="137">
        <v>0.988792</v>
      </c>
      <c r="S137" s="74">
        <v>496</v>
      </c>
      <c r="T137" s="137">
        <v>7.2427417482516923E-2</v>
      </c>
      <c r="U137" s="137">
        <v>0.66797314103762073</v>
      </c>
      <c r="V137" s="137">
        <v>0.41652780719475913</v>
      </c>
      <c r="W137" s="136">
        <v>0.94406957144796844</v>
      </c>
      <c r="X137" s="137">
        <v>0.98825722935020521</v>
      </c>
      <c r="Z137" s="74">
        <v>496</v>
      </c>
      <c r="AA137" s="137">
        <f t="shared" ca="1" si="15"/>
        <v>0.12701100000000001</v>
      </c>
      <c r="AB137" s="137">
        <f t="shared" ca="1" si="16"/>
        <v>0.53670099999999998</v>
      </c>
      <c r="AC137" s="137">
        <f t="shared" ca="1" si="17"/>
        <v>0.345943</v>
      </c>
      <c r="AD137" s="137">
        <f t="shared" ca="1" si="18"/>
        <v>0.95699999999999996</v>
      </c>
      <c r="AE137" s="137">
        <f t="shared" ca="1" si="19"/>
        <v>0.988792</v>
      </c>
      <c r="AG137" s="74">
        <v>496</v>
      </c>
      <c r="AH137" s="136">
        <f t="shared" ca="1" si="20"/>
        <v>2.5607056451612905E-4</v>
      </c>
      <c r="AI137" s="136">
        <f t="shared" ca="1" si="21"/>
        <v>1.0820584677419354E-3</v>
      </c>
      <c r="AJ137" s="136">
        <f t="shared" ca="1" si="22"/>
        <v>6.9746572580645159E-4</v>
      </c>
      <c r="AK137" s="136">
        <f t="shared" ca="1" si="23"/>
        <v>1.9294354838709676E-3</v>
      </c>
      <c r="AL137" s="136">
        <f t="shared" ca="1" si="24"/>
        <v>1.9935322580645161E-3</v>
      </c>
      <c r="AN137" s="74">
        <v>496</v>
      </c>
      <c r="AO137" s="136">
        <f t="shared" ca="1" si="25"/>
        <v>0.11457376229804041</v>
      </c>
      <c r="AP137" s="136">
        <f t="shared" ca="1" si="26"/>
        <v>0.58493687009477646</v>
      </c>
      <c r="AQ137" s="136">
        <f t="shared" ca="1" si="27"/>
        <v>0.39526222225407476</v>
      </c>
      <c r="AR137" s="136">
        <f t="shared" ca="1" si="28"/>
        <v>0.97536156857669776</v>
      </c>
      <c r="AS137" s="136">
        <f t="shared" ca="1" si="29"/>
        <v>0.97478551468072772</v>
      </c>
    </row>
    <row r="138" spans="9:45" ht="15" hidden="1" customHeight="1" x14ac:dyDescent="0.2">
      <c r="I138" s="74">
        <v>497</v>
      </c>
      <c r="J138" s="137">
        <v>0.28229389999999999</v>
      </c>
      <c r="L138" s="74">
        <v>497</v>
      </c>
      <c r="M138" s="137">
        <v>0.119017</v>
      </c>
      <c r="N138" s="137">
        <v>0.55019499999999999</v>
      </c>
      <c r="O138" s="137">
        <v>0.357126</v>
      </c>
      <c r="P138" s="136">
        <v>0.96399999999999997</v>
      </c>
      <c r="Q138" s="137">
        <v>0.98421999999999998</v>
      </c>
      <c r="S138" s="74">
        <v>497</v>
      </c>
      <c r="T138" s="137">
        <v>6.5946689651330534E-2</v>
      </c>
      <c r="U138" s="137">
        <v>0.67895188749337443</v>
      </c>
      <c r="V138" s="137">
        <v>0.42652353504399759</v>
      </c>
      <c r="W138" s="136">
        <v>0.95025683045682574</v>
      </c>
      <c r="X138" s="137">
        <v>0.98376643310011991</v>
      </c>
      <c r="Z138" s="74">
        <v>497</v>
      </c>
      <c r="AA138" s="137">
        <f t="shared" ca="1" si="15"/>
        <v>0.119017</v>
      </c>
      <c r="AB138" s="137">
        <f t="shared" ca="1" si="16"/>
        <v>0.55019499999999999</v>
      </c>
      <c r="AC138" s="137">
        <f t="shared" ca="1" si="17"/>
        <v>0.357126</v>
      </c>
      <c r="AD138" s="137">
        <f t="shared" ca="1" si="18"/>
        <v>0.96399999999999997</v>
      </c>
      <c r="AE138" s="137">
        <f t="shared" ca="1" si="19"/>
        <v>0.98421999999999998</v>
      </c>
      <c r="AG138" s="74">
        <v>497</v>
      </c>
      <c r="AH138" s="136">
        <f t="shared" ca="1" si="20"/>
        <v>2.3947082494969819E-4</v>
      </c>
      <c r="AI138" s="136">
        <f t="shared" ca="1" si="21"/>
        <v>1.1070321931589537E-3</v>
      </c>
      <c r="AJ138" s="136">
        <f t="shared" ca="1" si="22"/>
        <v>7.1856338028169011E-4</v>
      </c>
      <c r="AK138" s="136">
        <f t="shared" ca="1" si="23"/>
        <v>1.9396378269617705E-3</v>
      </c>
      <c r="AL138" s="136">
        <f t="shared" ca="1" si="24"/>
        <v>1.980321931589537E-3</v>
      </c>
      <c r="AN138" s="74">
        <v>497</v>
      </c>
      <c r="AO138" s="136">
        <f t="shared" ca="1" si="25"/>
        <v>0.10714653371795177</v>
      </c>
      <c r="AP138" s="136">
        <f t="shared" ca="1" si="26"/>
        <v>0.59843711358025231</v>
      </c>
      <c r="AQ138" s="136">
        <f t="shared" ca="1" si="27"/>
        <v>0.40721851699900896</v>
      </c>
      <c r="AR138" s="136">
        <f t="shared" ca="1" si="28"/>
        <v>0.98051902185429518</v>
      </c>
      <c r="AS138" s="136">
        <f t="shared" ca="1" si="29"/>
        <v>0.96832600802367719</v>
      </c>
    </row>
    <row r="139" spans="9:45" ht="15" hidden="1" customHeight="1" x14ac:dyDescent="0.2">
      <c r="I139" s="74">
        <v>498</v>
      </c>
      <c r="J139" s="137">
        <v>0.29505049999999999</v>
      </c>
      <c r="L139" s="74">
        <v>498</v>
      </c>
      <c r="M139" s="137">
        <v>0.111333</v>
      </c>
      <c r="N139" s="137">
        <v>0.56361600000000001</v>
      </c>
      <c r="O139" s="137">
        <v>0.36841600000000002</v>
      </c>
      <c r="P139" s="136">
        <v>0.97</v>
      </c>
      <c r="Q139" s="137">
        <v>0.978657</v>
      </c>
      <c r="S139" s="74">
        <v>498</v>
      </c>
      <c r="T139" s="137">
        <v>6.0005630031677318E-2</v>
      </c>
      <c r="U139" s="137">
        <v>0.68989818119352808</v>
      </c>
      <c r="V139" s="137">
        <v>0.43662339277857637</v>
      </c>
      <c r="W139" s="136">
        <v>0.95615433858098386</v>
      </c>
      <c r="X139" s="137">
        <v>0.97854769886932313</v>
      </c>
      <c r="Z139" s="74">
        <v>498</v>
      </c>
      <c r="AA139" s="137">
        <f t="shared" ca="1" si="15"/>
        <v>0.111333</v>
      </c>
      <c r="AB139" s="137">
        <f t="shared" ca="1" si="16"/>
        <v>0.56361600000000001</v>
      </c>
      <c r="AC139" s="137">
        <f t="shared" ca="1" si="17"/>
        <v>0.36841600000000002</v>
      </c>
      <c r="AD139" s="137">
        <f t="shared" ca="1" si="18"/>
        <v>0.97</v>
      </c>
      <c r="AE139" s="137">
        <f t="shared" ca="1" si="19"/>
        <v>0.978657</v>
      </c>
      <c r="AG139" s="74">
        <v>498</v>
      </c>
      <c r="AH139" s="136">
        <f t="shared" ca="1" si="20"/>
        <v>2.2356024096385543E-4</v>
      </c>
      <c r="AI139" s="136">
        <f t="shared" ca="1" si="21"/>
        <v>1.1317590361445784E-3</v>
      </c>
      <c r="AJ139" s="136">
        <f t="shared" ca="1" si="22"/>
        <v>7.3979116465863455E-4</v>
      </c>
      <c r="AK139" s="136">
        <f t="shared" ca="1" si="23"/>
        <v>1.9477911646586345E-3</v>
      </c>
      <c r="AL139" s="136">
        <f t="shared" ca="1" si="24"/>
        <v>1.9651746987951807E-3</v>
      </c>
      <c r="AN139" s="74">
        <v>498</v>
      </c>
      <c r="AO139" s="136">
        <f t="shared" ca="1" si="25"/>
        <v>0.10002765431429374</v>
      </c>
      <c r="AP139" s="136">
        <f t="shared" ca="1" si="26"/>
        <v>0.6118038978849113</v>
      </c>
      <c r="AQ139" s="136">
        <f t="shared" ca="1" si="27"/>
        <v>0.41924855792562188</v>
      </c>
      <c r="AR139" s="136">
        <f t="shared" ca="1" si="28"/>
        <v>0.98464066899493663</v>
      </c>
      <c r="AS139" s="136">
        <f t="shared" ca="1" si="29"/>
        <v>0.96091940446574386</v>
      </c>
    </row>
    <row r="140" spans="9:45" ht="15" hidden="1" customHeight="1" x14ac:dyDescent="0.2">
      <c r="I140" s="74">
        <v>499</v>
      </c>
      <c r="J140" s="137">
        <v>0.30857800000000002</v>
      </c>
      <c r="L140" s="74">
        <v>499</v>
      </c>
      <c r="M140" s="137">
        <v>0.103934</v>
      </c>
      <c r="N140" s="137">
        <v>0.57715000000000005</v>
      </c>
      <c r="O140" s="137">
        <v>0.37990699999999999</v>
      </c>
      <c r="P140" s="136">
        <v>0.97599999999999998</v>
      </c>
      <c r="Q140" s="137">
        <v>0.97245099999999995</v>
      </c>
      <c r="S140" s="74">
        <v>499</v>
      </c>
      <c r="T140" s="137">
        <v>5.4566738950904047E-2</v>
      </c>
      <c r="U140" s="137">
        <v>0.70080630430706348</v>
      </c>
      <c r="V140" s="137">
        <v>0.44682246487644517</v>
      </c>
      <c r="W140" s="136">
        <v>0.96175178273000883</v>
      </c>
      <c r="X140" s="137">
        <v>0.97260836402711248</v>
      </c>
      <c r="Z140" s="74">
        <v>499</v>
      </c>
      <c r="AA140" s="137">
        <f t="shared" ca="1" si="15"/>
        <v>0.103934</v>
      </c>
      <c r="AB140" s="137">
        <f t="shared" ca="1" si="16"/>
        <v>0.57715000000000005</v>
      </c>
      <c r="AC140" s="137">
        <f t="shared" ca="1" si="17"/>
        <v>0.37990699999999999</v>
      </c>
      <c r="AD140" s="137">
        <f t="shared" ca="1" si="18"/>
        <v>0.97599999999999998</v>
      </c>
      <c r="AE140" s="137">
        <f t="shared" ca="1" si="19"/>
        <v>0.97245099999999995</v>
      </c>
      <c r="AG140" s="74">
        <v>499</v>
      </c>
      <c r="AH140" s="136">
        <f t="shared" ca="1" si="20"/>
        <v>2.0828456913827656E-4</v>
      </c>
      <c r="AI140" s="136">
        <f t="shared" ca="1" si="21"/>
        <v>1.1566132264529058E-3</v>
      </c>
      <c r="AJ140" s="136">
        <f t="shared" ca="1" si="22"/>
        <v>7.6133667334669333E-4</v>
      </c>
      <c r="AK140" s="136">
        <f t="shared" ca="1" si="23"/>
        <v>1.9559118236472947E-3</v>
      </c>
      <c r="AL140" s="136">
        <f t="shared" ca="1" si="24"/>
        <v>1.9487995991983966E-3</v>
      </c>
      <c r="AN140" s="74">
        <v>499</v>
      </c>
      <c r="AO140" s="136">
        <f t="shared" ca="1" si="25"/>
        <v>9.3192853930290573E-2</v>
      </c>
      <c r="AP140" s="136">
        <f t="shared" ca="1" si="26"/>
        <v>0.62523952333501431</v>
      </c>
      <c r="AQ140" s="136">
        <f t="shared" ca="1" si="27"/>
        <v>0.43145865704381109</v>
      </c>
      <c r="AR140" s="136">
        <f t="shared" ca="1" si="28"/>
        <v>0.98874579650775984</v>
      </c>
      <c r="AS140" s="136">
        <f t="shared" ca="1" si="29"/>
        <v>0.95291240592141291</v>
      </c>
    </row>
    <row r="141" spans="9:45" ht="15" hidden="1" customHeight="1" x14ac:dyDescent="0.2">
      <c r="I141" s="74">
        <v>500</v>
      </c>
      <c r="J141" s="137">
        <v>0.32300000000000001</v>
      </c>
      <c r="L141" s="74">
        <v>500</v>
      </c>
      <c r="M141" s="137">
        <v>9.6798999999999996E-2</v>
      </c>
      <c r="N141" s="137">
        <v>0.59100299999999995</v>
      </c>
      <c r="O141" s="137">
        <v>0.39170500000000003</v>
      </c>
      <c r="P141" s="136">
        <v>0.98199999999999998</v>
      </c>
      <c r="Q141" s="137">
        <v>0.96595200000000003</v>
      </c>
      <c r="S141" s="74">
        <v>500</v>
      </c>
      <c r="T141" s="137">
        <v>4.9593641694700229E-2</v>
      </c>
      <c r="U141" s="137">
        <v>0.71167219779739144</v>
      </c>
      <c r="V141" s="137">
        <v>0.45711450248350266</v>
      </c>
      <c r="W141" s="136">
        <v>0.96703457062139109</v>
      </c>
      <c r="X141" s="137">
        <v>0.96595078552967473</v>
      </c>
      <c r="Z141" s="74">
        <v>500</v>
      </c>
      <c r="AA141" s="137">
        <f t="shared" ca="1" si="15"/>
        <v>9.6798999999999996E-2</v>
      </c>
      <c r="AB141" s="137">
        <f t="shared" ca="1" si="16"/>
        <v>0.59100299999999995</v>
      </c>
      <c r="AC141" s="137">
        <f t="shared" ca="1" si="17"/>
        <v>0.39170500000000003</v>
      </c>
      <c r="AD141" s="137">
        <f t="shared" ca="1" si="18"/>
        <v>0.98199999999999998</v>
      </c>
      <c r="AE141" s="137">
        <f t="shared" ca="1" si="19"/>
        <v>0.96595200000000003</v>
      </c>
      <c r="AG141" s="74">
        <v>500</v>
      </c>
      <c r="AH141" s="136">
        <f t="shared" ca="1" si="20"/>
        <v>1.9359799999999999E-4</v>
      </c>
      <c r="AI141" s="136">
        <f t="shared" ca="1" si="21"/>
        <v>1.182006E-3</v>
      </c>
      <c r="AJ141" s="136">
        <f t="shared" ca="1" si="22"/>
        <v>7.8341000000000001E-4</v>
      </c>
      <c r="AK141" s="136">
        <f t="shared" ca="1" si="23"/>
        <v>1.964E-3</v>
      </c>
      <c r="AL141" s="136">
        <f t="shared" ca="1" si="24"/>
        <v>1.9319040000000001E-3</v>
      </c>
      <c r="AN141" s="74">
        <v>500</v>
      </c>
      <c r="AO141" s="136">
        <f t="shared" ca="1" si="25"/>
        <v>8.6621636013845316E-2</v>
      </c>
      <c r="AP141" s="136">
        <f t="shared" ca="1" si="26"/>
        <v>0.63896629496932222</v>
      </c>
      <c r="AQ141" s="136">
        <f t="shared" ca="1" si="27"/>
        <v>0.44396787695628498</v>
      </c>
      <c r="AR141" s="136">
        <f t="shared" ca="1" si="28"/>
        <v>0.9928345035105316</v>
      </c>
      <c r="AS141" s="136">
        <f t="shared" ca="1" si="29"/>
        <v>0.94465089658599932</v>
      </c>
    </row>
    <row r="142" spans="9:45" ht="15" hidden="1" customHeight="1" x14ac:dyDescent="0.2">
      <c r="I142" s="74">
        <v>501</v>
      </c>
      <c r="J142" s="137">
        <v>0.33840209999999998</v>
      </c>
      <c r="L142" s="74">
        <v>501</v>
      </c>
      <c r="M142" s="137">
        <v>8.9916899999999994E-2</v>
      </c>
      <c r="N142" s="137">
        <v>0.60535000000000005</v>
      </c>
      <c r="O142" s="137">
        <v>0.40390500000000001</v>
      </c>
      <c r="P142" s="136">
        <v>0.98599999999999999</v>
      </c>
      <c r="Q142" s="137">
        <v>0.95884400000000003</v>
      </c>
      <c r="S142" s="74">
        <v>501</v>
      </c>
      <c r="T142" s="137">
        <v>4.5051680966960571E-2</v>
      </c>
      <c r="U142" s="137">
        <v>0.72249026552523965</v>
      </c>
      <c r="V142" s="137">
        <v>0.46749610839412703</v>
      </c>
      <c r="W142" s="136">
        <v>0.97199493085293509</v>
      </c>
      <c r="X142" s="137">
        <v>0.95858802645955521</v>
      </c>
      <c r="Z142" s="74">
        <v>501</v>
      </c>
      <c r="AA142" s="137">
        <f t="shared" ca="1" si="15"/>
        <v>8.9916899999999994E-2</v>
      </c>
      <c r="AB142" s="137">
        <f t="shared" ca="1" si="16"/>
        <v>0.60535000000000005</v>
      </c>
      <c r="AC142" s="137">
        <f t="shared" ca="1" si="17"/>
        <v>0.40390500000000001</v>
      </c>
      <c r="AD142" s="137">
        <f t="shared" ca="1" si="18"/>
        <v>0.98599999999999999</v>
      </c>
      <c r="AE142" s="137">
        <f t="shared" ca="1" si="19"/>
        <v>0.95884400000000003</v>
      </c>
      <c r="AG142" s="74">
        <v>501</v>
      </c>
      <c r="AH142" s="136">
        <f t="shared" ca="1" si="20"/>
        <v>1.794748502994012E-4</v>
      </c>
      <c r="AI142" s="136">
        <f t="shared" ca="1" si="21"/>
        <v>1.2082834331337325E-3</v>
      </c>
      <c r="AJ142" s="136">
        <f t="shared" ca="1" si="22"/>
        <v>8.0619760479041917E-4</v>
      </c>
      <c r="AK142" s="136">
        <f t="shared" ca="1" si="23"/>
        <v>1.9680638722554891E-3</v>
      </c>
      <c r="AL142" s="136">
        <f t="shared" ca="1" si="24"/>
        <v>1.9138602794411179E-3</v>
      </c>
      <c r="AN142" s="74">
        <v>501</v>
      </c>
      <c r="AO142" s="136">
        <f t="shared" ca="1" si="25"/>
        <v>8.0302509097584213E-2</v>
      </c>
      <c r="AP142" s="136">
        <f t="shared" ca="1" si="26"/>
        <v>0.65317129400550744</v>
      </c>
      <c r="AQ142" s="136">
        <f t="shared" ca="1" si="27"/>
        <v>0.45688188688687209</v>
      </c>
      <c r="AR142" s="136">
        <f t="shared" ca="1" si="28"/>
        <v>0.99488885819134054</v>
      </c>
      <c r="AS142" s="136">
        <f t="shared" ca="1" si="29"/>
        <v>0.93582798571480941</v>
      </c>
    </row>
    <row r="143" spans="9:45" ht="15" hidden="1" customHeight="1" x14ac:dyDescent="0.2">
      <c r="I143" s="74">
        <v>502</v>
      </c>
      <c r="J143" s="137">
        <v>0.3546858</v>
      </c>
      <c r="L143" s="74">
        <v>502</v>
      </c>
      <c r="M143" s="137">
        <v>8.3287799999999995E-2</v>
      </c>
      <c r="N143" s="137">
        <v>0.62016000000000004</v>
      </c>
      <c r="O143" s="137">
        <v>0.41649999999999998</v>
      </c>
      <c r="P143" s="136">
        <v>0.99</v>
      </c>
      <c r="Q143" s="137">
        <v>0.95071600000000001</v>
      </c>
      <c r="S143" s="74">
        <v>502</v>
      </c>
      <c r="T143" s="137">
        <v>4.0907788320244207E-2</v>
      </c>
      <c r="U143" s="137">
        <v>0.73325494415210668</v>
      </c>
      <c r="V143" s="137">
        <v>0.47796049254087714</v>
      </c>
      <c r="W143" s="136">
        <v>0.97661861956829565</v>
      </c>
      <c r="X143" s="137">
        <v>0.95052599837873819</v>
      </c>
      <c r="Z143" s="74">
        <v>502</v>
      </c>
      <c r="AA143" s="137">
        <f t="shared" ca="1" si="15"/>
        <v>8.3287799999999995E-2</v>
      </c>
      <c r="AB143" s="137">
        <f t="shared" ca="1" si="16"/>
        <v>0.62016000000000004</v>
      </c>
      <c r="AC143" s="137">
        <f t="shared" ca="1" si="17"/>
        <v>0.41649999999999998</v>
      </c>
      <c r="AD143" s="137">
        <f t="shared" ca="1" si="18"/>
        <v>0.99</v>
      </c>
      <c r="AE143" s="137">
        <f t="shared" ca="1" si="19"/>
        <v>0.95071600000000001</v>
      </c>
      <c r="AG143" s="74">
        <v>502</v>
      </c>
      <c r="AH143" s="136">
        <f t="shared" ca="1" si="20"/>
        <v>1.6591195219123504E-4</v>
      </c>
      <c r="AI143" s="136">
        <f t="shared" ca="1" si="21"/>
        <v>1.2353784860557769E-3</v>
      </c>
      <c r="AJ143" s="136">
        <f t="shared" ca="1" si="22"/>
        <v>8.2968127490039832E-4</v>
      </c>
      <c r="AK143" s="136">
        <f t="shared" ca="1" si="23"/>
        <v>1.9721115537848603E-3</v>
      </c>
      <c r="AL143" s="136">
        <f t="shared" ca="1" si="24"/>
        <v>1.8938565737051793E-3</v>
      </c>
      <c r="AN143" s="74">
        <v>502</v>
      </c>
      <c r="AO143" s="136">
        <f t="shared" ca="1" si="25"/>
        <v>7.4234055791153164E-2</v>
      </c>
      <c r="AP143" s="136">
        <f t="shared" ca="1" si="26"/>
        <v>0.66781828021166578</v>
      </c>
      <c r="AQ143" s="136">
        <f t="shared" ca="1" si="27"/>
        <v>0.47019036541263665</v>
      </c>
      <c r="AR143" s="136">
        <f t="shared" ca="1" si="28"/>
        <v>0.99693502819214597</v>
      </c>
      <c r="AS143" s="136">
        <f t="shared" ca="1" si="29"/>
        <v>0.92604669298054465</v>
      </c>
    </row>
    <row r="144" spans="9:45" ht="15" hidden="1" customHeight="1" x14ac:dyDescent="0.2">
      <c r="I144" s="74">
        <v>503</v>
      </c>
      <c r="J144" s="137">
        <v>0.37169859999999999</v>
      </c>
      <c r="L144" s="74">
        <v>503</v>
      </c>
      <c r="M144" s="137">
        <v>7.6915700000000004E-2</v>
      </c>
      <c r="N144" s="137">
        <v>0.63534299999999999</v>
      </c>
      <c r="O144" s="137">
        <v>0.42945299999999997</v>
      </c>
      <c r="P144" s="136">
        <v>0.99399999999999999</v>
      </c>
      <c r="Q144" s="137">
        <v>0.941778</v>
      </c>
      <c r="S144" s="74">
        <v>503</v>
      </c>
      <c r="T144" s="137">
        <v>3.7130688307164525E-2</v>
      </c>
      <c r="U144" s="137">
        <v>0.74396070961923833</v>
      </c>
      <c r="V144" s="137">
        <v>0.48850273549080153</v>
      </c>
      <c r="W144" s="136">
        <v>0.98089382378530443</v>
      </c>
      <c r="X144" s="137">
        <v>0.9417811637176452</v>
      </c>
      <c r="Z144" s="74">
        <v>503</v>
      </c>
      <c r="AA144" s="137">
        <f t="shared" ca="1" si="15"/>
        <v>7.6915700000000004E-2</v>
      </c>
      <c r="AB144" s="137">
        <f t="shared" ca="1" si="16"/>
        <v>0.63534299999999999</v>
      </c>
      <c r="AC144" s="137">
        <f t="shared" ca="1" si="17"/>
        <v>0.42945299999999997</v>
      </c>
      <c r="AD144" s="137">
        <f t="shared" ca="1" si="18"/>
        <v>0.99399999999999999</v>
      </c>
      <c r="AE144" s="137">
        <f t="shared" ca="1" si="19"/>
        <v>0.941778</v>
      </c>
      <c r="AG144" s="74">
        <v>503</v>
      </c>
      <c r="AH144" s="136">
        <f t="shared" ca="1" si="20"/>
        <v>1.5291391650099404E-4</v>
      </c>
      <c r="AI144" s="136">
        <f t="shared" ca="1" si="21"/>
        <v>1.2631073558648112E-3</v>
      </c>
      <c r="AJ144" s="136">
        <f t="shared" ca="1" si="22"/>
        <v>8.537833001988071E-4</v>
      </c>
      <c r="AK144" s="136">
        <f t="shared" ca="1" si="23"/>
        <v>1.9761431411530815E-3</v>
      </c>
      <c r="AL144" s="136">
        <f t="shared" ca="1" si="24"/>
        <v>1.8723220675944334E-3</v>
      </c>
      <c r="AN144" s="74">
        <v>503</v>
      </c>
      <c r="AO144" s="136">
        <f t="shared" ca="1" si="25"/>
        <v>6.8418339118176019E-2</v>
      </c>
      <c r="AP144" s="136">
        <f t="shared" ca="1" si="26"/>
        <v>0.68280789380547613</v>
      </c>
      <c r="AQ144" s="136">
        <f t="shared" ca="1" si="27"/>
        <v>0.48384927326686522</v>
      </c>
      <c r="AR144" s="136">
        <f t="shared" ca="1" si="28"/>
        <v>0.99897306232813743</v>
      </c>
      <c r="AS144" s="136">
        <f t="shared" ca="1" si="29"/>
        <v>0.91551687860827102</v>
      </c>
    </row>
    <row r="145" spans="9:45" ht="15" hidden="1" customHeight="1" x14ac:dyDescent="0.2">
      <c r="I145" s="74">
        <v>504</v>
      </c>
      <c r="J145" s="137">
        <v>0.38928750000000001</v>
      </c>
      <c r="L145" s="74">
        <v>504</v>
      </c>
      <c r="M145" s="137">
        <v>7.0805199999999999E-2</v>
      </c>
      <c r="N145" s="137">
        <v>0.65079600000000004</v>
      </c>
      <c r="O145" s="137">
        <v>0.44272</v>
      </c>
      <c r="P145" s="136">
        <v>0.997</v>
      </c>
      <c r="Q145" s="137">
        <v>0.93223599999999995</v>
      </c>
      <c r="S145" s="74">
        <v>504</v>
      </c>
      <c r="T145" s="137">
        <v>3.3691085202912106E-2</v>
      </c>
      <c r="U145" s="137">
        <v>0.75460382107431534</v>
      </c>
      <c r="V145" s="137">
        <v>0.49911888219923939</v>
      </c>
      <c r="W145" s="136">
        <v>0.98480671225085625</v>
      </c>
      <c r="X145" s="137">
        <v>0.93236722800947347</v>
      </c>
      <c r="Z145" s="74">
        <v>504</v>
      </c>
      <c r="AA145" s="137">
        <f t="shared" ca="1" si="15"/>
        <v>7.0805199999999999E-2</v>
      </c>
      <c r="AB145" s="137">
        <f t="shared" ca="1" si="16"/>
        <v>0.65079600000000004</v>
      </c>
      <c r="AC145" s="137">
        <f t="shared" ca="1" si="17"/>
        <v>0.44272</v>
      </c>
      <c r="AD145" s="137">
        <f t="shared" ca="1" si="18"/>
        <v>0.997</v>
      </c>
      <c r="AE145" s="137">
        <f t="shared" ca="1" si="19"/>
        <v>0.93223599999999995</v>
      </c>
      <c r="AG145" s="74">
        <v>504</v>
      </c>
      <c r="AH145" s="136">
        <f t="shared" ca="1" si="20"/>
        <v>1.4048650793650793E-4</v>
      </c>
      <c r="AI145" s="136">
        <f t="shared" ca="1" si="21"/>
        <v>1.2912619047619049E-3</v>
      </c>
      <c r="AJ145" s="136">
        <f t="shared" ca="1" si="22"/>
        <v>8.7841269841269841E-4</v>
      </c>
      <c r="AK145" s="136">
        <f t="shared" ca="1" si="23"/>
        <v>1.9781746031746032E-3</v>
      </c>
      <c r="AL145" s="136">
        <f t="shared" ca="1" si="24"/>
        <v>1.8496746031746031E-3</v>
      </c>
      <c r="AN145" s="74">
        <v>504</v>
      </c>
      <c r="AO145" s="136">
        <f t="shared" ca="1" si="25"/>
        <v>6.2857938384344794E-2</v>
      </c>
      <c r="AP145" s="136">
        <f t="shared" ca="1" si="26"/>
        <v>0.69802762009731267</v>
      </c>
      <c r="AQ145" s="136">
        <f t="shared" ca="1" si="27"/>
        <v>0.4978070497003193</v>
      </c>
      <c r="AR145" s="136">
        <f t="shared" ca="1" si="28"/>
        <v>1</v>
      </c>
      <c r="AS145" s="136">
        <f t="shared" ca="1" si="29"/>
        <v>0.90444285651939282</v>
      </c>
    </row>
    <row r="146" spans="9:45" ht="15" hidden="1" customHeight="1" x14ac:dyDescent="0.2">
      <c r="I146" s="74">
        <v>505</v>
      </c>
      <c r="J146" s="137">
        <v>0.4073</v>
      </c>
      <c r="L146" s="74">
        <v>505</v>
      </c>
      <c r="M146" s="137">
        <v>6.4961400000000002E-2</v>
      </c>
      <c r="N146" s="137">
        <v>0.666404</v>
      </c>
      <c r="O146" s="137">
        <v>0.45625199999999999</v>
      </c>
      <c r="P146" s="136">
        <v>0.998</v>
      </c>
      <c r="Q146" s="137">
        <v>0.92229899999999998</v>
      </c>
      <c r="S146" s="74">
        <v>505</v>
      </c>
      <c r="T146" s="137">
        <v>3.0561171639796225E-2</v>
      </c>
      <c r="U146" s="137">
        <v>0.76517540135145024</v>
      </c>
      <c r="V146" s="137">
        <v>0.50980371981277894</v>
      </c>
      <c r="W146" s="136">
        <v>0.98834825539661908</v>
      </c>
      <c r="X146" s="137">
        <v>0.92229955692143961</v>
      </c>
      <c r="Z146" s="74">
        <v>505</v>
      </c>
      <c r="AA146" s="137">
        <f t="shared" ca="1" si="15"/>
        <v>6.4961400000000002E-2</v>
      </c>
      <c r="AB146" s="137">
        <f t="shared" ca="1" si="16"/>
        <v>0.666404</v>
      </c>
      <c r="AC146" s="137">
        <f t="shared" ca="1" si="17"/>
        <v>0.45625199999999999</v>
      </c>
      <c r="AD146" s="137">
        <f t="shared" ca="1" si="18"/>
        <v>0.998</v>
      </c>
      <c r="AE146" s="137">
        <f t="shared" ca="1" si="19"/>
        <v>0.92229899999999998</v>
      </c>
      <c r="AG146" s="74">
        <v>505</v>
      </c>
      <c r="AH146" s="136">
        <f t="shared" ca="1" si="20"/>
        <v>1.2863643564356436E-4</v>
      </c>
      <c r="AI146" s="136">
        <f t="shared" ca="1" si="21"/>
        <v>1.3196118811881188E-3</v>
      </c>
      <c r="AJ146" s="136">
        <f t="shared" ca="1" si="22"/>
        <v>9.0346930693069305E-4</v>
      </c>
      <c r="AK146" s="136">
        <f t="shared" ca="1" si="23"/>
        <v>1.9762376237623764E-3</v>
      </c>
      <c r="AL146" s="136">
        <f t="shared" ca="1" si="24"/>
        <v>1.8263346534653465E-3</v>
      </c>
      <c r="AN146" s="74">
        <v>505</v>
      </c>
      <c r="AO146" s="136">
        <f t="shared" ca="1" si="25"/>
        <v>5.755585546563121E-2</v>
      </c>
      <c r="AP146" s="136">
        <f t="shared" ca="1" si="26"/>
        <v>0.71335299018809528</v>
      </c>
      <c r="AQ146" s="136">
        <f t="shared" ca="1" si="27"/>
        <v>0.51200693135546649</v>
      </c>
      <c r="AR146" s="136">
        <f t="shared" ca="1" si="28"/>
        <v>0.99902082485079002</v>
      </c>
      <c r="AS146" s="136">
        <f t="shared" ca="1" si="29"/>
        <v>0.89303022710347912</v>
      </c>
    </row>
    <row r="147" spans="9:45" ht="15" hidden="1" customHeight="1" x14ac:dyDescent="0.2">
      <c r="I147" s="74">
        <v>506</v>
      </c>
      <c r="J147" s="137">
        <v>0.42562990000000001</v>
      </c>
      <c r="L147" s="74">
        <v>506</v>
      </c>
      <c r="M147" s="137">
        <v>5.9404899999999997E-2</v>
      </c>
      <c r="N147" s="137">
        <v>0.68205499999999997</v>
      </c>
      <c r="O147" s="137">
        <v>0.469997</v>
      </c>
      <c r="P147" s="138">
        <v>1</v>
      </c>
      <c r="Q147" s="137">
        <v>0.91183199999999998</v>
      </c>
      <c r="S147" s="74">
        <v>506</v>
      </c>
      <c r="T147" s="137">
        <v>2.7715262736881949E-2</v>
      </c>
      <c r="U147" s="137">
        <v>0.77567358122576813</v>
      </c>
      <c r="V147" s="137">
        <v>0.52055065826146185</v>
      </c>
      <c r="W147" s="138">
        <v>0.9915006425740639</v>
      </c>
      <c r="X147" s="137">
        <v>0.91159723660504144</v>
      </c>
      <c r="Z147" s="74">
        <v>506</v>
      </c>
      <c r="AA147" s="137">
        <f t="shared" ca="1" si="15"/>
        <v>5.9404899999999997E-2</v>
      </c>
      <c r="AB147" s="137">
        <f t="shared" ca="1" si="16"/>
        <v>0.68205499999999997</v>
      </c>
      <c r="AC147" s="137">
        <f t="shared" ca="1" si="17"/>
        <v>0.469997</v>
      </c>
      <c r="AD147" s="137">
        <f t="shared" ca="1" si="18"/>
        <v>1</v>
      </c>
      <c r="AE147" s="137">
        <f t="shared" ca="1" si="19"/>
        <v>0.91183199999999998</v>
      </c>
      <c r="AG147" s="74">
        <v>506</v>
      </c>
      <c r="AH147" s="136">
        <f t="shared" ca="1" si="20"/>
        <v>1.1740098814229249E-4</v>
      </c>
      <c r="AI147" s="136">
        <f t="shared" ca="1" si="21"/>
        <v>1.3479347826086956E-3</v>
      </c>
      <c r="AJ147" s="136">
        <f t="shared" ca="1" si="22"/>
        <v>9.2884782608695655E-4</v>
      </c>
      <c r="AK147" s="136">
        <f t="shared" ca="1" si="23"/>
        <v>1.976284584980237E-3</v>
      </c>
      <c r="AL147" s="136">
        <f t="shared" ca="1" si="24"/>
        <v>1.8020395256916997E-3</v>
      </c>
      <c r="AN147" s="74">
        <v>506</v>
      </c>
      <c r="AO147" s="136">
        <f t="shared" ca="1" si="25"/>
        <v>5.2528774380558842E-2</v>
      </c>
      <c r="AP147" s="136">
        <f t="shared" ca="1" si="26"/>
        <v>0.72866372412979041</v>
      </c>
      <c r="AQ147" s="136">
        <f t="shared" ca="1" si="27"/>
        <v>0.52638924364417961</v>
      </c>
      <c r="AR147" s="136">
        <f t="shared" ca="1" si="28"/>
        <v>0.99904456452361023</v>
      </c>
      <c r="AS147" s="136">
        <f t="shared" ca="1" si="29"/>
        <v>0.88115054041405416</v>
      </c>
    </row>
    <row r="148" spans="9:45" ht="15" hidden="1" customHeight="1" x14ac:dyDescent="0.2">
      <c r="I148" s="74">
        <v>507</v>
      </c>
      <c r="J148" s="137">
        <v>0.44430960000000003</v>
      </c>
      <c r="L148" s="74">
        <v>507</v>
      </c>
      <c r="M148" s="137">
        <v>5.4207600000000002E-2</v>
      </c>
      <c r="N148" s="137">
        <v>0.69767199999999996</v>
      </c>
      <c r="O148" s="137">
        <v>0.48392600000000002</v>
      </c>
      <c r="P148" s="138">
        <v>1</v>
      </c>
      <c r="Q148" s="137">
        <v>0.90060200000000001</v>
      </c>
      <c r="S148" s="74">
        <v>507</v>
      </c>
      <c r="T148" s="137">
        <v>2.5129161646593963E-2</v>
      </c>
      <c r="U148" s="137">
        <v>0.7860913184908469</v>
      </c>
      <c r="V148" s="137">
        <v>0.53135405595125218</v>
      </c>
      <c r="W148" s="138">
        <v>0.99425549522664991</v>
      </c>
      <c r="X148" s="137">
        <v>0.90028082449405755</v>
      </c>
      <c r="Z148" s="74">
        <v>507</v>
      </c>
      <c r="AA148" s="137">
        <f t="shared" ca="1" si="15"/>
        <v>5.4207600000000002E-2</v>
      </c>
      <c r="AB148" s="137">
        <f t="shared" ca="1" si="16"/>
        <v>0.69767199999999996</v>
      </c>
      <c r="AC148" s="137">
        <f t="shared" ca="1" si="17"/>
        <v>0.48392600000000002</v>
      </c>
      <c r="AD148" s="137">
        <f t="shared" ca="1" si="18"/>
        <v>1</v>
      </c>
      <c r="AE148" s="137">
        <f t="shared" ca="1" si="19"/>
        <v>0.90060200000000001</v>
      </c>
      <c r="AG148" s="74">
        <v>507</v>
      </c>
      <c r="AH148" s="136">
        <f t="shared" ca="1" si="20"/>
        <v>1.0691834319526628E-4</v>
      </c>
      <c r="AI148" s="136">
        <f t="shared" ca="1" si="21"/>
        <v>1.3760788954635108E-3</v>
      </c>
      <c r="AJ148" s="136">
        <f t="shared" ca="1" si="22"/>
        <v>9.5448915187376735E-4</v>
      </c>
      <c r="AK148" s="136">
        <f t="shared" ca="1" si="23"/>
        <v>1.9723865877712033E-3</v>
      </c>
      <c r="AL148" s="136">
        <f t="shared" ca="1" si="24"/>
        <v>1.7763353057199211E-3</v>
      </c>
      <c r="AN148" s="74">
        <v>507</v>
      </c>
      <c r="AO148" s="136">
        <f t="shared" ca="1" si="25"/>
        <v>4.7838520064586165E-2</v>
      </c>
      <c r="AP148" s="136">
        <f t="shared" ca="1" si="26"/>
        <v>0.7438778089280399</v>
      </c>
      <c r="AQ148" s="136">
        <f t="shared" ca="1" si="27"/>
        <v>0.54092049161384403</v>
      </c>
      <c r="AR148" s="136">
        <f t="shared" ca="1" si="28"/>
        <v>0.99707406242395824</v>
      </c>
      <c r="AS148" s="136">
        <f t="shared" ca="1" si="29"/>
        <v>0.86858184422501772</v>
      </c>
    </row>
    <row r="149" spans="9:45" ht="15" hidden="1" customHeight="1" x14ac:dyDescent="0.2">
      <c r="I149" s="74">
        <v>508</v>
      </c>
      <c r="J149" s="137">
        <v>0.46339439999999998</v>
      </c>
      <c r="L149" s="74">
        <v>508</v>
      </c>
      <c r="M149" s="137">
        <v>4.9428100000000003E-2</v>
      </c>
      <c r="N149" s="137">
        <v>0.71318599999999999</v>
      </c>
      <c r="O149" s="137">
        <v>0.49801200000000001</v>
      </c>
      <c r="P149" s="138">
        <v>1</v>
      </c>
      <c r="Q149" s="137">
        <v>0.88866299999999998</v>
      </c>
      <c r="S149" s="74">
        <v>508</v>
      </c>
      <c r="T149" s="137">
        <v>2.2780591689741624E-2</v>
      </c>
      <c r="U149" s="137">
        <v>0.79642154470648752</v>
      </c>
      <c r="V149" s="137">
        <v>0.54221059549223483</v>
      </c>
      <c r="W149" s="138">
        <v>0.99659797411079032</v>
      </c>
      <c r="X149" s="137">
        <v>0.88837637369524003</v>
      </c>
      <c r="Z149" s="74">
        <v>508</v>
      </c>
      <c r="AA149" s="137">
        <f t="shared" ref="AA149:AA212" ca="1" si="30">OFFSET(M149,0,$AA$8)</f>
        <v>4.9428100000000003E-2</v>
      </c>
      <c r="AB149" s="137">
        <f t="shared" ref="AB149:AB212" ca="1" si="31">OFFSET(N149,0,$AA$8)</f>
        <v>0.71318599999999999</v>
      </c>
      <c r="AC149" s="137">
        <f t="shared" ref="AC149:AC212" ca="1" si="32">OFFSET(O149,0,$AA$8)</f>
        <v>0.49801200000000001</v>
      </c>
      <c r="AD149" s="137">
        <f t="shared" ref="AD149:AD212" ca="1" si="33">OFFSET(P149,0,$AA$8)</f>
        <v>1</v>
      </c>
      <c r="AE149" s="137">
        <f t="shared" ref="AE149:AE212" ca="1" si="34">OFFSET(Q149,0,$AA$8)</f>
        <v>0.88866299999999998</v>
      </c>
      <c r="AG149" s="74">
        <v>508</v>
      </c>
      <c r="AH149" s="136">
        <f t="shared" ref="AH149:AH212" ca="1" si="35">AA149/$Z149</f>
        <v>9.7299409448818903E-5</v>
      </c>
      <c r="AI149" s="136">
        <f t="shared" ref="AI149:AI212" ca="1" si="36">AB149/$Z149</f>
        <v>1.4039094488188977E-3</v>
      </c>
      <c r="AJ149" s="136">
        <f t="shared" ref="AJ149:AJ212" ca="1" si="37">AC149/$Z149</f>
        <v>9.8033858267716528E-4</v>
      </c>
      <c r="AK149" s="136">
        <f t="shared" ref="AK149:AK212" ca="1" si="38">AD149/$Z149</f>
        <v>1.968503937007874E-3</v>
      </c>
      <c r="AL149" s="136">
        <f t="shared" ref="AL149:AL212" ca="1" si="39">AE149/$Z149</f>
        <v>1.7493366141732283E-3</v>
      </c>
      <c r="AN149" s="74">
        <v>508</v>
      </c>
      <c r="AO149" s="136">
        <f t="shared" ref="AO149:AO212" ca="1" si="40">IF(AH149=0,"",AH149/AH$11)</f>
        <v>4.3534716420818881E-2</v>
      </c>
      <c r="AP149" s="136">
        <f t="shared" ref="AP149:AP212" ca="1" si="41">IF(AI149=0,"",AI149/AI$11)</f>
        <v>0.75892239039753973</v>
      </c>
      <c r="AQ149" s="136">
        <f t="shared" ref="AQ149:AQ212" ca="1" si="42">IF(AJ149=0,"",AJ149/AJ$11)</f>
        <v>0.55556967520138179</v>
      </c>
      <c r="AR149" s="136">
        <f t="shared" ref="AR149:AR212" ca="1" si="43">IF(AK149=0,"",AK149/AK$11)</f>
        <v>0.99511131820658827</v>
      </c>
      <c r="AS149" s="136">
        <f t="shared" ref="AS149:AS212" ca="1" si="44">IF(AL149=0,"",AL149/AL$11)</f>
        <v>0.85538018504514524</v>
      </c>
    </row>
    <row r="150" spans="9:45" ht="15" hidden="1" customHeight="1" x14ac:dyDescent="0.2">
      <c r="I150" s="74">
        <v>509</v>
      </c>
      <c r="J150" s="137">
        <v>0.48293950000000002</v>
      </c>
      <c r="L150" s="74">
        <v>509</v>
      </c>
      <c r="M150" s="137">
        <v>4.5099300000000002E-2</v>
      </c>
      <c r="N150" s="137">
        <v>0.72852600000000001</v>
      </c>
      <c r="O150" s="137">
        <v>0.51222699999999999</v>
      </c>
      <c r="P150" s="136">
        <v>0.998</v>
      </c>
      <c r="Q150" s="137">
        <v>0.87607299999999999</v>
      </c>
      <c r="S150" s="74">
        <v>509</v>
      </c>
      <c r="T150" s="137">
        <v>2.0648856208157096E-2</v>
      </c>
      <c r="U150" s="137">
        <v>0.80666274518108894</v>
      </c>
      <c r="V150" s="137">
        <v>0.55311444430651513</v>
      </c>
      <c r="W150" s="136">
        <v>0.99851823410087837</v>
      </c>
      <c r="X150" s="137">
        <v>0.87590297212805612</v>
      </c>
      <c r="Z150" s="74">
        <v>509</v>
      </c>
      <c r="AA150" s="137">
        <f t="shared" ca="1" si="30"/>
        <v>4.5099300000000002E-2</v>
      </c>
      <c r="AB150" s="137">
        <f t="shared" ca="1" si="31"/>
        <v>0.72852600000000001</v>
      </c>
      <c r="AC150" s="137">
        <f t="shared" ca="1" si="32"/>
        <v>0.51222699999999999</v>
      </c>
      <c r="AD150" s="137">
        <f t="shared" ca="1" si="33"/>
        <v>0.998</v>
      </c>
      <c r="AE150" s="137">
        <f t="shared" ca="1" si="34"/>
        <v>0.87607299999999999</v>
      </c>
      <c r="AG150" s="74">
        <v>509</v>
      </c>
      <c r="AH150" s="136">
        <f t="shared" ca="1" si="35"/>
        <v>8.8603732809430262E-5</v>
      </c>
      <c r="AI150" s="136">
        <f t="shared" ca="1" si="36"/>
        <v>1.4312888015717091E-3</v>
      </c>
      <c r="AJ150" s="136">
        <f t="shared" ca="1" si="37"/>
        <v>1.0063398821218074E-3</v>
      </c>
      <c r="AK150" s="136">
        <f t="shared" ca="1" si="38"/>
        <v>1.9607072691552063E-3</v>
      </c>
      <c r="AL150" s="136">
        <f t="shared" ca="1" si="39"/>
        <v>1.7211650294695481E-3</v>
      </c>
      <c r="AN150" s="74">
        <v>509</v>
      </c>
      <c r="AO150" s="136">
        <f t="shared" ca="1" si="40"/>
        <v>3.9644006099683222E-2</v>
      </c>
      <c r="AP150" s="136">
        <f t="shared" ca="1" si="41"/>
        <v>0.77372306280285919</v>
      </c>
      <c r="AQ150" s="136">
        <f t="shared" ca="1" si="42"/>
        <v>0.57030492457596527</v>
      </c>
      <c r="AR150" s="136">
        <f t="shared" ca="1" si="43"/>
        <v>0.99116997357494874</v>
      </c>
      <c r="AS150" s="136">
        <f t="shared" ca="1" si="44"/>
        <v>0.84160501156417522</v>
      </c>
    </row>
    <row r="151" spans="9:45" ht="15" hidden="1" customHeight="1" x14ac:dyDescent="0.2">
      <c r="I151" s="74">
        <v>510</v>
      </c>
      <c r="J151" s="137">
        <v>0.503</v>
      </c>
      <c r="L151" s="74">
        <v>510</v>
      </c>
      <c r="M151" s="137">
        <v>4.1233699999999998E-2</v>
      </c>
      <c r="N151" s="137">
        <v>0.74361200000000005</v>
      </c>
      <c r="O151" s="137">
        <v>0.52653799999999995</v>
      </c>
      <c r="P151" s="136">
        <v>0.997</v>
      </c>
      <c r="Q151" s="137">
        <v>0.86288799999999999</v>
      </c>
      <c r="S151" s="74">
        <v>510</v>
      </c>
      <c r="T151" s="137">
        <v>1.8714834892494179E-2</v>
      </c>
      <c r="U151" s="137">
        <v>0.81680427104952769</v>
      </c>
      <c r="V151" s="137">
        <v>0.56406090517512075</v>
      </c>
      <c r="W151" s="136">
        <v>1</v>
      </c>
      <c r="X151" s="137">
        <v>0.86288714685677381</v>
      </c>
      <c r="Z151" s="74">
        <v>510</v>
      </c>
      <c r="AA151" s="137">
        <f t="shared" ca="1" si="30"/>
        <v>4.1233699999999998E-2</v>
      </c>
      <c r="AB151" s="137">
        <f t="shared" ca="1" si="31"/>
        <v>0.74361200000000005</v>
      </c>
      <c r="AC151" s="137">
        <f t="shared" ca="1" si="32"/>
        <v>0.52653799999999995</v>
      </c>
      <c r="AD151" s="137">
        <f t="shared" ca="1" si="33"/>
        <v>0.997</v>
      </c>
      <c r="AE151" s="137">
        <f t="shared" ca="1" si="34"/>
        <v>0.86288799999999999</v>
      </c>
      <c r="AG151" s="74">
        <v>510</v>
      </c>
      <c r="AH151" s="136">
        <f t="shared" ca="1" si="35"/>
        <v>8.0850392156862742E-5</v>
      </c>
      <c r="AI151" s="136">
        <f t="shared" ca="1" si="36"/>
        <v>1.4580627450980392E-3</v>
      </c>
      <c r="AJ151" s="136">
        <f t="shared" ca="1" si="37"/>
        <v>1.032427450980392E-3</v>
      </c>
      <c r="AK151" s="136">
        <f t="shared" ca="1" si="38"/>
        <v>1.9549019607843139E-3</v>
      </c>
      <c r="AL151" s="136">
        <f t="shared" ca="1" si="39"/>
        <v>1.6919372549019608E-3</v>
      </c>
      <c r="AN151" s="74">
        <v>510</v>
      </c>
      <c r="AO151" s="136">
        <f t="shared" ca="1" si="40"/>
        <v>3.6174925572518411E-2</v>
      </c>
      <c r="AP151" s="136">
        <f t="shared" ca="1" si="41"/>
        <v>0.78819646437335633</v>
      </c>
      <c r="AQ151" s="136">
        <f t="shared" ca="1" si="42"/>
        <v>0.58508906386586024</v>
      </c>
      <c r="AR151" s="136">
        <f t="shared" ca="1" si="43"/>
        <v>0.9882352941176471</v>
      </c>
      <c r="AS151" s="136">
        <f t="shared" ca="1" si="44"/>
        <v>0.82731338866237225</v>
      </c>
    </row>
    <row r="152" spans="9:45" ht="15" hidden="1" customHeight="1" x14ac:dyDescent="0.2">
      <c r="I152" s="74">
        <v>511</v>
      </c>
      <c r="J152" s="137">
        <v>0.52356930000000002</v>
      </c>
      <c r="L152" s="74">
        <v>511</v>
      </c>
      <c r="M152" s="137">
        <v>3.7814199999999999E-2</v>
      </c>
      <c r="N152" s="137">
        <v>0.75839599999999996</v>
      </c>
      <c r="O152" s="137">
        <v>0.54092300000000004</v>
      </c>
      <c r="P152" s="136">
        <v>0.99399999999999999</v>
      </c>
      <c r="Q152" s="137">
        <v>0.84880100000000003</v>
      </c>
      <c r="S152" s="74">
        <v>511</v>
      </c>
      <c r="T152" s="137">
        <v>1.6937448979510276E-2</v>
      </c>
      <c r="U152" s="137">
        <v>0.82570326140904793</v>
      </c>
      <c r="V152" s="137">
        <v>0.57424999488673834</v>
      </c>
      <c r="W152" s="136">
        <v>0.9996523700882427</v>
      </c>
      <c r="X152" s="137">
        <v>0.84818580509035668</v>
      </c>
      <c r="Z152" s="74">
        <v>511</v>
      </c>
      <c r="AA152" s="137">
        <f t="shared" ca="1" si="30"/>
        <v>3.7814199999999999E-2</v>
      </c>
      <c r="AB152" s="137">
        <f t="shared" ca="1" si="31"/>
        <v>0.75839599999999996</v>
      </c>
      <c r="AC152" s="137">
        <f t="shared" ca="1" si="32"/>
        <v>0.54092300000000004</v>
      </c>
      <c r="AD152" s="137">
        <f t="shared" ca="1" si="33"/>
        <v>0.99399999999999999</v>
      </c>
      <c r="AE152" s="137">
        <f t="shared" ca="1" si="34"/>
        <v>0.84880100000000003</v>
      </c>
      <c r="AG152" s="74">
        <v>511</v>
      </c>
      <c r="AH152" s="136">
        <f t="shared" ca="1" si="35"/>
        <v>7.4000391389432484E-5</v>
      </c>
      <c r="AI152" s="136">
        <f t="shared" ca="1" si="36"/>
        <v>1.4841409001956946E-3</v>
      </c>
      <c r="AJ152" s="136">
        <f t="shared" ca="1" si="37"/>
        <v>1.0585577299412918E-3</v>
      </c>
      <c r="AK152" s="136">
        <f t="shared" ca="1" si="38"/>
        <v>1.9452054794520549E-3</v>
      </c>
      <c r="AL152" s="136">
        <f t="shared" ca="1" si="39"/>
        <v>1.6610587084148727E-3</v>
      </c>
      <c r="AN152" s="74">
        <v>511</v>
      </c>
      <c r="AO152" s="136">
        <f t="shared" ca="1" si="40"/>
        <v>3.3110026796854895E-2</v>
      </c>
      <c r="AP152" s="136">
        <f t="shared" ca="1" si="41"/>
        <v>0.80229373811171656</v>
      </c>
      <c r="AQ152" s="136">
        <f t="shared" ca="1" si="42"/>
        <v>0.59989740748484155</v>
      </c>
      <c r="AR152" s="136">
        <f t="shared" ca="1" si="43"/>
        <v>0.98333356233082814</v>
      </c>
      <c r="AS152" s="136">
        <f t="shared" ca="1" si="44"/>
        <v>0.81221458115211287</v>
      </c>
    </row>
    <row r="153" spans="9:45" ht="15" hidden="1" customHeight="1" x14ac:dyDescent="0.2">
      <c r="I153" s="74">
        <v>512</v>
      </c>
      <c r="J153" s="137">
        <v>0.544512</v>
      </c>
      <c r="L153" s="74">
        <v>512</v>
      </c>
      <c r="M153" s="137">
        <v>3.4762700000000001E-2</v>
      </c>
      <c r="N153" s="137">
        <v>0.77296600000000004</v>
      </c>
      <c r="O153" s="137">
        <v>0.55540599999999996</v>
      </c>
      <c r="P153" s="136">
        <v>0.99</v>
      </c>
      <c r="Q153" s="137">
        <v>0.83367800000000003</v>
      </c>
      <c r="S153" s="74">
        <v>512</v>
      </c>
      <c r="T153" s="137">
        <v>1.5328370883466011E-2</v>
      </c>
      <c r="U153" s="137">
        <v>0.83446667977849842</v>
      </c>
      <c r="V153" s="137">
        <v>0.5844414371231027</v>
      </c>
      <c r="W153" s="136">
        <v>0.99884247015332794</v>
      </c>
      <c r="X153" s="137">
        <v>0.83303835925254111</v>
      </c>
      <c r="Z153" s="74">
        <v>512</v>
      </c>
      <c r="AA153" s="137">
        <f t="shared" ca="1" si="30"/>
        <v>3.4762700000000001E-2</v>
      </c>
      <c r="AB153" s="137">
        <f t="shared" ca="1" si="31"/>
        <v>0.77296600000000004</v>
      </c>
      <c r="AC153" s="137">
        <f t="shared" ca="1" si="32"/>
        <v>0.55540599999999996</v>
      </c>
      <c r="AD153" s="137">
        <f t="shared" ca="1" si="33"/>
        <v>0.99</v>
      </c>
      <c r="AE153" s="137">
        <f t="shared" ca="1" si="34"/>
        <v>0.83367800000000003</v>
      </c>
      <c r="AG153" s="74">
        <v>512</v>
      </c>
      <c r="AH153" s="136">
        <f t="shared" ca="1" si="35"/>
        <v>6.7895898437500001E-5</v>
      </c>
      <c r="AI153" s="136">
        <f t="shared" ca="1" si="36"/>
        <v>1.5096992187500001E-3</v>
      </c>
      <c r="AJ153" s="136">
        <f t="shared" ca="1" si="37"/>
        <v>1.0847773437499999E-3</v>
      </c>
      <c r="AK153" s="136">
        <f t="shared" ca="1" si="38"/>
        <v>1.93359375E-3</v>
      </c>
      <c r="AL153" s="136">
        <f t="shared" ca="1" si="39"/>
        <v>1.6282773437500001E-3</v>
      </c>
      <c r="AN153" s="74">
        <v>512</v>
      </c>
      <c r="AO153" s="136">
        <f t="shared" ca="1" si="40"/>
        <v>3.0378690902210428E-2</v>
      </c>
      <c r="AP153" s="136">
        <f t="shared" ca="1" si="41"/>
        <v>0.81610999971469511</v>
      </c>
      <c r="AQ153" s="136">
        <f t="shared" ca="1" si="42"/>
        <v>0.61475637823740514</v>
      </c>
      <c r="AR153" s="136">
        <f t="shared" ca="1" si="43"/>
        <v>0.97746364092276827</v>
      </c>
      <c r="AS153" s="136">
        <f t="shared" ca="1" si="44"/>
        <v>0.79618534495715465</v>
      </c>
    </row>
    <row r="154" spans="9:45" ht="15" hidden="1" customHeight="1" x14ac:dyDescent="0.2">
      <c r="I154" s="74">
        <v>513</v>
      </c>
      <c r="J154" s="137">
        <v>0.56569000000000003</v>
      </c>
      <c r="L154" s="74">
        <v>513</v>
      </c>
      <c r="M154" s="137">
        <v>3.2002900000000001E-2</v>
      </c>
      <c r="N154" s="137">
        <v>0.78745699999999996</v>
      </c>
      <c r="O154" s="137">
        <v>0.570025</v>
      </c>
      <c r="P154" s="136">
        <v>0.98599999999999999</v>
      </c>
      <c r="Q154" s="137">
        <v>0.817832</v>
      </c>
      <c r="S154" s="74">
        <v>513</v>
      </c>
      <c r="T154" s="137">
        <v>1.3872093265157323E-2</v>
      </c>
      <c r="U154" s="137">
        <v>0.8430901201485782</v>
      </c>
      <c r="V154" s="137">
        <v>0.59462888240606326</v>
      </c>
      <c r="W154" s="136">
        <v>0.99756223598592797</v>
      </c>
      <c r="X154" s="137">
        <v>0.81747597888912271</v>
      </c>
      <c r="Z154" s="74">
        <v>513</v>
      </c>
      <c r="AA154" s="137">
        <f t="shared" ca="1" si="30"/>
        <v>3.2002900000000001E-2</v>
      </c>
      <c r="AB154" s="137">
        <f t="shared" ca="1" si="31"/>
        <v>0.78745699999999996</v>
      </c>
      <c r="AC154" s="137">
        <f t="shared" ca="1" si="32"/>
        <v>0.570025</v>
      </c>
      <c r="AD154" s="137">
        <f t="shared" ca="1" si="33"/>
        <v>0.98599999999999999</v>
      </c>
      <c r="AE154" s="137">
        <f t="shared" ca="1" si="34"/>
        <v>0.817832</v>
      </c>
      <c r="AG154" s="74">
        <v>513</v>
      </c>
      <c r="AH154" s="136">
        <f t="shared" ca="1" si="35"/>
        <v>6.2383820662768037E-5</v>
      </c>
      <c r="AI154" s="136">
        <f t="shared" ca="1" si="36"/>
        <v>1.5350038986354775E-3</v>
      </c>
      <c r="AJ154" s="136">
        <f t="shared" ca="1" si="37"/>
        <v>1.1111598440545808E-3</v>
      </c>
      <c r="AK154" s="136">
        <f t="shared" ca="1" si="38"/>
        <v>1.9220272904483431E-3</v>
      </c>
      <c r="AL154" s="136">
        <f t="shared" ca="1" si="39"/>
        <v>1.5942144249512671E-3</v>
      </c>
      <c r="AN154" s="74">
        <v>513</v>
      </c>
      <c r="AO154" s="136">
        <f t="shared" ca="1" si="40"/>
        <v>2.7912419583897022E-2</v>
      </c>
      <c r="AP154" s="136">
        <f t="shared" ca="1" si="41"/>
        <v>0.82978914986436292</v>
      </c>
      <c r="AQ154" s="136">
        <f t="shared" ca="1" si="42"/>
        <v>0.62970765872785506</v>
      </c>
      <c r="AR154" s="136">
        <f t="shared" ca="1" si="43"/>
        <v>0.97161660419856055</v>
      </c>
      <c r="AS154" s="136">
        <f t="shared" ca="1" si="44"/>
        <v>0.77952946206465112</v>
      </c>
    </row>
    <row r="155" spans="9:45" ht="15" hidden="1" customHeight="1" x14ac:dyDescent="0.2">
      <c r="I155" s="74">
        <v>514</v>
      </c>
      <c r="J155" s="137">
        <v>0.58696530000000002</v>
      </c>
      <c r="L155" s="74">
        <v>514</v>
      </c>
      <c r="M155" s="137">
        <v>2.94746E-2</v>
      </c>
      <c r="N155" s="137">
        <v>0.80201699999999998</v>
      </c>
      <c r="O155" s="137">
        <v>0.58482800000000001</v>
      </c>
      <c r="P155" s="136">
        <v>0.98099999999999998</v>
      </c>
      <c r="Q155" s="137">
        <v>0.80157900000000004</v>
      </c>
      <c r="S155" s="74">
        <v>514</v>
      </c>
      <c r="T155" s="137">
        <v>1.2554458921318321E-2</v>
      </c>
      <c r="U155" s="137">
        <v>0.85156734652529065</v>
      </c>
      <c r="V155" s="137">
        <v>0.60481005120856224</v>
      </c>
      <c r="W155" s="136">
        <v>0.99580430624110261</v>
      </c>
      <c r="X155" s="137">
        <v>0.80153040243152229</v>
      </c>
      <c r="Z155" s="74">
        <v>514</v>
      </c>
      <c r="AA155" s="137">
        <f t="shared" ca="1" si="30"/>
        <v>2.94746E-2</v>
      </c>
      <c r="AB155" s="137">
        <f t="shared" ca="1" si="31"/>
        <v>0.80201699999999998</v>
      </c>
      <c r="AC155" s="137">
        <f t="shared" ca="1" si="32"/>
        <v>0.58482800000000001</v>
      </c>
      <c r="AD155" s="137">
        <f t="shared" ca="1" si="33"/>
        <v>0.98099999999999998</v>
      </c>
      <c r="AE155" s="137">
        <f t="shared" ca="1" si="34"/>
        <v>0.80157900000000004</v>
      </c>
      <c r="AG155" s="74">
        <v>514</v>
      </c>
      <c r="AH155" s="136">
        <f t="shared" ca="1" si="35"/>
        <v>5.7343579766536967E-5</v>
      </c>
      <c r="AI155" s="136">
        <f t="shared" ca="1" si="36"/>
        <v>1.5603443579766537E-3</v>
      </c>
      <c r="AJ155" s="136">
        <f t="shared" ca="1" si="37"/>
        <v>1.1377976653696499E-3</v>
      </c>
      <c r="AK155" s="136">
        <f t="shared" ca="1" si="38"/>
        <v>1.9085603112840466E-3</v>
      </c>
      <c r="AL155" s="136">
        <f t="shared" ca="1" si="39"/>
        <v>1.5594922178988329E-3</v>
      </c>
      <c r="AN155" s="74">
        <v>514</v>
      </c>
      <c r="AO155" s="136">
        <f t="shared" ca="1" si="40"/>
        <v>2.5657262442111337E-2</v>
      </c>
      <c r="AP155" s="136">
        <f t="shared" ca="1" si="41"/>
        <v>0.84348764159625944</v>
      </c>
      <c r="AQ155" s="136">
        <f t="shared" ca="1" si="42"/>
        <v>0.64480363270826391</v>
      </c>
      <c r="AR155" s="136">
        <f t="shared" ca="1" si="43"/>
        <v>0.96480882335723117</v>
      </c>
      <c r="AS155" s="136">
        <f t="shared" ca="1" si="44"/>
        <v>0.76255120433366308</v>
      </c>
    </row>
    <row r="156" spans="9:45" ht="15" hidden="1" customHeight="1" x14ac:dyDescent="0.2">
      <c r="I156" s="74">
        <v>515</v>
      </c>
      <c r="J156" s="137">
        <v>0.60819999999999996</v>
      </c>
      <c r="L156" s="74">
        <v>515</v>
      </c>
      <c r="M156" s="137">
        <v>2.7130000000000001E-2</v>
      </c>
      <c r="N156" s="137">
        <v>0.81680799999999998</v>
      </c>
      <c r="O156" s="137">
        <v>0.59986700000000004</v>
      </c>
      <c r="P156" s="136">
        <v>0.97499999999999998</v>
      </c>
      <c r="Q156" s="137">
        <v>0.78523299999999996</v>
      </c>
      <c r="S156" s="74">
        <v>515</v>
      </c>
      <c r="T156" s="137">
        <v>1.136250271494698E-2</v>
      </c>
      <c r="U156" s="137">
        <v>0.85989416112173711</v>
      </c>
      <c r="V156" s="137">
        <v>0.61497717903771665</v>
      </c>
      <c r="W156" s="136">
        <v>0.99355519845516393</v>
      </c>
      <c r="X156" s="137">
        <v>0.78523382654028662</v>
      </c>
      <c r="Z156" s="74">
        <v>515</v>
      </c>
      <c r="AA156" s="137">
        <f t="shared" ca="1" si="30"/>
        <v>2.7130000000000001E-2</v>
      </c>
      <c r="AB156" s="137">
        <f t="shared" ca="1" si="31"/>
        <v>0.81680799999999998</v>
      </c>
      <c r="AC156" s="137">
        <f t="shared" ca="1" si="32"/>
        <v>0.59986700000000004</v>
      </c>
      <c r="AD156" s="137">
        <f t="shared" ca="1" si="33"/>
        <v>0.97499999999999998</v>
      </c>
      <c r="AE156" s="137">
        <f t="shared" ca="1" si="34"/>
        <v>0.78523299999999996</v>
      </c>
      <c r="AG156" s="74">
        <v>515</v>
      </c>
      <c r="AH156" s="136">
        <f t="shared" ca="1" si="35"/>
        <v>5.2679611650485436E-5</v>
      </c>
      <c r="AI156" s="136">
        <f t="shared" ca="1" si="36"/>
        <v>1.5860349514563107E-3</v>
      </c>
      <c r="AJ156" s="136">
        <f t="shared" ca="1" si="37"/>
        <v>1.1647902912621359E-3</v>
      </c>
      <c r="AK156" s="136">
        <f t="shared" ca="1" si="38"/>
        <v>1.8932038834951455E-3</v>
      </c>
      <c r="AL156" s="136">
        <f t="shared" ca="1" si="39"/>
        <v>1.5247242718446602E-3</v>
      </c>
      <c r="AN156" s="74">
        <v>515</v>
      </c>
      <c r="AO156" s="136">
        <f t="shared" ca="1" si="40"/>
        <v>2.3570461191433151E-2</v>
      </c>
      <c r="AP156" s="136">
        <f t="shared" ca="1" si="41"/>
        <v>0.85737540809766422</v>
      </c>
      <c r="AQ156" s="136">
        <f t="shared" ca="1" si="42"/>
        <v>0.66010067871350031</v>
      </c>
      <c r="AR156" s="136">
        <f t="shared" ca="1" si="43"/>
        <v>0.95704589496645265</v>
      </c>
      <c r="AS156" s="136">
        <f t="shared" ca="1" si="44"/>
        <v>0.74555058141837949</v>
      </c>
    </row>
    <row r="157" spans="9:45" ht="15" hidden="1" customHeight="1" x14ac:dyDescent="0.2">
      <c r="I157" s="74">
        <v>516</v>
      </c>
      <c r="J157" s="137">
        <v>0.62934559999999995</v>
      </c>
      <c r="L157" s="74">
        <v>516</v>
      </c>
      <c r="M157" s="137">
        <v>2.4937600000000001E-2</v>
      </c>
      <c r="N157" s="137">
        <v>0.83191899999999996</v>
      </c>
      <c r="O157" s="137">
        <v>0.61516199999999999</v>
      </c>
      <c r="P157" s="136">
        <v>0.96799999999999997</v>
      </c>
      <c r="Q157" s="137">
        <v>0.76871800000000001</v>
      </c>
      <c r="S157" s="74">
        <v>516</v>
      </c>
      <c r="T157" s="137">
        <v>1.02844009546282E-2</v>
      </c>
      <c r="U157" s="137">
        <v>0.86806250948471853</v>
      </c>
      <c r="V157" s="137">
        <v>0.62512806945530319</v>
      </c>
      <c r="W157" s="136">
        <v>0.99081141183173049</v>
      </c>
      <c r="X157" s="137">
        <v>0.76861702511904517</v>
      </c>
      <c r="Z157" s="74">
        <v>516</v>
      </c>
      <c r="AA157" s="137">
        <f t="shared" ca="1" si="30"/>
        <v>2.4937600000000001E-2</v>
      </c>
      <c r="AB157" s="137">
        <f t="shared" ca="1" si="31"/>
        <v>0.83191899999999996</v>
      </c>
      <c r="AC157" s="137">
        <f t="shared" ca="1" si="32"/>
        <v>0.61516199999999999</v>
      </c>
      <c r="AD157" s="137">
        <f t="shared" ca="1" si="33"/>
        <v>0.96799999999999997</v>
      </c>
      <c r="AE157" s="137">
        <f t="shared" ca="1" si="34"/>
        <v>0.76871800000000001</v>
      </c>
      <c r="AG157" s="74">
        <v>516</v>
      </c>
      <c r="AH157" s="136">
        <f t="shared" ca="1" si="35"/>
        <v>4.8328682170542638E-5</v>
      </c>
      <c r="AI157" s="136">
        <f t="shared" ca="1" si="36"/>
        <v>1.6122461240310076E-3</v>
      </c>
      <c r="AJ157" s="136">
        <f t="shared" ca="1" si="37"/>
        <v>1.1921744186046512E-3</v>
      </c>
      <c r="AK157" s="136">
        <f t="shared" ca="1" si="38"/>
        <v>1.8759689922480619E-3</v>
      </c>
      <c r="AL157" s="136">
        <f t="shared" ca="1" si="39"/>
        <v>1.4897635658914729E-3</v>
      </c>
      <c r="AN157" s="74">
        <v>516</v>
      </c>
      <c r="AO157" s="136">
        <f t="shared" ca="1" si="40"/>
        <v>2.1623722951712106E-2</v>
      </c>
      <c r="AP157" s="136">
        <f t="shared" ca="1" si="41"/>
        <v>0.87154458814146729</v>
      </c>
      <c r="AQ157" s="136">
        <f t="shared" ca="1" si="42"/>
        <v>0.67561959330299637</v>
      </c>
      <c r="AR157" s="136">
        <f t="shared" ca="1" si="43"/>
        <v>0.94833337220965219</v>
      </c>
      <c r="AS157" s="136">
        <f t="shared" ca="1" si="44"/>
        <v>0.72845570391724179</v>
      </c>
    </row>
    <row r="158" spans="9:45" ht="15" hidden="1" customHeight="1" x14ac:dyDescent="0.2">
      <c r="I158" s="74">
        <v>517</v>
      </c>
      <c r="J158" s="137">
        <v>0.65030679999999996</v>
      </c>
      <c r="L158" s="74">
        <v>517</v>
      </c>
      <c r="M158" s="137">
        <v>2.28931E-2</v>
      </c>
      <c r="N158" s="137">
        <v>0.84709599999999996</v>
      </c>
      <c r="O158" s="137">
        <v>0.63056900000000005</v>
      </c>
      <c r="P158" s="136">
        <v>0.96099999999999997</v>
      </c>
      <c r="Q158" s="137">
        <v>0.751807</v>
      </c>
      <c r="S158" s="74">
        <v>517</v>
      </c>
      <c r="T158" s="137">
        <v>9.3094494913534605E-3</v>
      </c>
      <c r="U158" s="137">
        <v>0.87606836871436855</v>
      </c>
      <c r="V158" s="137">
        <v>0.63525486542201404</v>
      </c>
      <c r="W158" s="136">
        <v>0.98756343136075397</v>
      </c>
      <c r="X158" s="137">
        <v>0.75171635631486833</v>
      </c>
      <c r="Z158" s="74">
        <v>517</v>
      </c>
      <c r="AA158" s="137">
        <f t="shared" ca="1" si="30"/>
        <v>2.28931E-2</v>
      </c>
      <c r="AB158" s="137">
        <f t="shared" ca="1" si="31"/>
        <v>0.84709599999999996</v>
      </c>
      <c r="AC158" s="137">
        <f t="shared" ca="1" si="32"/>
        <v>0.63056900000000005</v>
      </c>
      <c r="AD158" s="137">
        <f t="shared" ca="1" si="33"/>
        <v>0.96099999999999997</v>
      </c>
      <c r="AE158" s="137">
        <f t="shared" ca="1" si="34"/>
        <v>0.751807</v>
      </c>
      <c r="AG158" s="74">
        <v>517</v>
      </c>
      <c r="AH158" s="136">
        <f t="shared" ca="1" si="35"/>
        <v>4.428065764023211E-5</v>
      </c>
      <c r="AI158" s="136">
        <f t="shared" ca="1" si="36"/>
        <v>1.6384835589941971E-3</v>
      </c>
      <c r="AJ158" s="136">
        <f t="shared" ca="1" si="37"/>
        <v>1.2196692456479692E-3</v>
      </c>
      <c r="AK158" s="136">
        <f t="shared" ca="1" si="38"/>
        <v>1.8588007736943908E-3</v>
      </c>
      <c r="AL158" s="136">
        <f t="shared" ca="1" si="39"/>
        <v>1.4541721470019342E-3</v>
      </c>
      <c r="AN158" s="74">
        <v>517</v>
      </c>
      <c r="AO158" s="136">
        <f t="shared" ca="1" si="40"/>
        <v>1.9812513603270101E-2</v>
      </c>
      <c r="AP158" s="136">
        <f t="shared" ca="1" si="41"/>
        <v>0.88572796505150653</v>
      </c>
      <c r="AQ158" s="136">
        <f t="shared" ca="1" si="42"/>
        <v>0.69120124274543659</v>
      </c>
      <c r="AR158" s="136">
        <f t="shared" ca="1" si="43"/>
        <v>0.93965455360278127</v>
      </c>
      <c r="AS158" s="136">
        <f t="shared" ca="1" si="44"/>
        <v>0.71105242416588221</v>
      </c>
    </row>
    <row r="159" spans="9:45" ht="15" hidden="1" customHeight="1" x14ac:dyDescent="0.2">
      <c r="I159" s="74">
        <v>518</v>
      </c>
      <c r="J159" s="137">
        <v>0.6708752</v>
      </c>
      <c r="L159" s="74">
        <v>518</v>
      </c>
      <c r="M159" s="137">
        <v>2.09956E-2</v>
      </c>
      <c r="N159" s="137">
        <v>0.86197199999999996</v>
      </c>
      <c r="O159" s="137">
        <v>0.64588299999999998</v>
      </c>
      <c r="P159" s="136">
        <v>0.95299999999999996</v>
      </c>
      <c r="Q159" s="137">
        <v>0.73459300000000005</v>
      </c>
      <c r="S159" s="74">
        <v>518</v>
      </c>
      <c r="T159" s="137">
        <v>8.4278345263072933E-3</v>
      </c>
      <c r="U159" s="137">
        <v>0.88390379799937158</v>
      </c>
      <c r="V159" s="137">
        <v>0.64535547673979388</v>
      </c>
      <c r="W159" s="136">
        <v>0.98380494235452232</v>
      </c>
      <c r="X159" s="137">
        <v>0.73456291693453102</v>
      </c>
      <c r="Z159" s="74">
        <v>518</v>
      </c>
      <c r="AA159" s="137">
        <f t="shared" ca="1" si="30"/>
        <v>2.09956E-2</v>
      </c>
      <c r="AB159" s="137">
        <f t="shared" ca="1" si="31"/>
        <v>0.86197199999999996</v>
      </c>
      <c r="AC159" s="137">
        <f t="shared" ca="1" si="32"/>
        <v>0.64588299999999998</v>
      </c>
      <c r="AD159" s="137">
        <f t="shared" ca="1" si="33"/>
        <v>0.95299999999999996</v>
      </c>
      <c r="AE159" s="137">
        <f t="shared" ca="1" si="34"/>
        <v>0.73459300000000005</v>
      </c>
      <c r="AG159" s="74">
        <v>518</v>
      </c>
      <c r="AH159" s="136">
        <f t="shared" ca="1" si="35"/>
        <v>4.0532046332046331E-5</v>
      </c>
      <c r="AI159" s="136">
        <f t="shared" ca="1" si="36"/>
        <v>1.66403861003861E-3</v>
      </c>
      <c r="AJ159" s="136">
        <f t="shared" ca="1" si="37"/>
        <v>1.2468783783783784E-3</v>
      </c>
      <c r="AK159" s="136">
        <f t="shared" ca="1" si="38"/>
        <v>1.8397683397683396E-3</v>
      </c>
      <c r="AL159" s="136">
        <f t="shared" ca="1" si="39"/>
        <v>1.4181332046332047E-3</v>
      </c>
      <c r="AN159" s="74">
        <v>518</v>
      </c>
      <c r="AO159" s="136">
        <f t="shared" ca="1" si="40"/>
        <v>1.8135270840973727E-2</v>
      </c>
      <c r="AP159" s="136">
        <f t="shared" ca="1" si="41"/>
        <v>0.89954246031092178</v>
      </c>
      <c r="AQ159" s="136">
        <f t="shared" ca="1" si="42"/>
        <v>0.70662098578183075</v>
      </c>
      <c r="AR159" s="136">
        <f t="shared" ca="1" si="43"/>
        <v>0.93003334327306231</v>
      </c>
      <c r="AS159" s="136">
        <f t="shared" ca="1" si="44"/>
        <v>0.69343031705257252</v>
      </c>
    </row>
    <row r="160" spans="9:45" ht="15" hidden="1" customHeight="1" x14ac:dyDescent="0.2">
      <c r="I160" s="74">
        <v>519</v>
      </c>
      <c r="J160" s="137">
        <v>0.69084239999999997</v>
      </c>
      <c r="L160" s="74">
        <v>519</v>
      </c>
      <c r="M160" s="137">
        <v>1.9242700000000001E-2</v>
      </c>
      <c r="N160" s="137">
        <v>0.87615200000000004</v>
      </c>
      <c r="O160" s="137">
        <v>0.66088000000000002</v>
      </c>
      <c r="P160" s="136">
        <v>0.94399999999999995</v>
      </c>
      <c r="Q160" s="137">
        <v>0.71716899999999995</v>
      </c>
      <c r="S160" s="74">
        <v>519</v>
      </c>
      <c r="T160" s="137">
        <v>7.6307108996294644E-3</v>
      </c>
      <c r="U160" s="137">
        <v>0.89156497715978078</v>
      </c>
      <c r="V160" s="137">
        <v>0.65542348669624584</v>
      </c>
      <c r="W160" s="136">
        <v>0.97953058271270632</v>
      </c>
      <c r="X160" s="137">
        <v>0.71718962772490502</v>
      </c>
      <c r="Z160" s="74">
        <v>519</v>
      </c>
      <c r="AA160" s="137">
        <f t="shared" ca="1" si="30"/>
        <v>1.9242700000000001E-2</v>
      </c>
      <c r="AB160" s="137">
        <f t="shared" ca="1" si="31"/>
        <v>0.87615200000000004</v>
      </c>
      <c r="AC160" s="137">
        <f t="shared" ca="1" si="32"/>
        <v>0.66088000000000002</v>
      </c>
      <c r="AD160" s="137">
        <f t="shared" ca="1" si="33"/>
        <v>0.94399999999999995</v>
      </c>
      <c r="AE160" s="137">
        <f t="shared" ca="1" si="34"/>
        <v>0.71716899999999995</v>
      </c>
      <c r="AG160" s="74">
        <v>519</v>
      </c>
      <c r="AH160" s="136">
        <f t="shared" ca="1" si="35"/>
        <v>3.7076493256262043E-5</v>
      </c>
      <c r="AI160" s="136">
        <f t="shared" ca="1" si="36"/>
        <v>1.6881541425818882E-3</v>
      </c>
      <c r="AJ160" s="136">
        <f t="shared" ca="1" si="37"/>
        <v>1.2733718689788055E-3</v>
      </c>
      <c r="AK160" s="136">
        <f t="shared" ca="1" si="38"/>
        <v>1.8188824662813102E-3</v>
      </c>
      <c r="AL160" s="136">
        <f t="shared" ca="1" si="39"/>
        <v>1.3818285163776493E-3</v>
      </c>
      <c r="AN160" s="74">
        <v>519</v>
      </c>
      <c r="AO160" s="136">
        <f t="shared" ca="1" si="40"/>
        <v>1.6589151249050721E-2</v>
      </c>
      <c r="AP160" s="136">
        <f t="shared" ca="1" si="41"/>
        <v>0.91257878371400991</v>
      </c>
      <c r="AQ160" s="136">
        <f t="shared" ca="1" si="42"/>
        <v>0.72163516580893394</v>
      </c>
      <c r="AR160" s="136">
        <f t="shared" ca="1" si="43"/>
        <v>0.91947518857149479</v>
      </c>
      <c r="AS160" s="136">
        <f t="shared" ca="1" si="44"/>
        <v>0.67567826710035672</v>
      </c>
    </row>
    <row r="161" spans="9:45" ht="15" hidden="1" customHeight="1" x14ac:dyDescent="0.2">
      <c r="I161" s="74">
        <v>520</v>
      </c>
      <c r="J161" s="137">
        <v>0.71</v>
      </c>
      <c r="L161" s="74">
        <v>520</v>
      </c>
      <c r="M161" s="137">
        <v>1.7629800000000001E-2</v>
      </c>
      <c r="N161" s="137">
        <v>0.88921399999999995</v>
      </c>
      <c r="O161" s="137">
        <v>0.67531300000000005</v>
      </c>
      <c r="P161" s="136">
        <v>0.93500000000000005</v>
      </c>
      <c r="Q161" s="137">
        <v>0.69962800000000003</v>
      </c>
      <c r="S161" s="74">
        <v>520</v>
      </c>
      <c r="T161" s="137">
        <v>6.9099674245864176E-3</v>
      </c>
      <c r="U161" s="137">
        <v>0.89904203958249596</v>
      </c>
      <c r="V161" s="137">
        <v>0.66545393883056914</v>
      </c>
      <c r="W161" s="136">
        <v>0.9747314972866904</v>
      </c>
      <c r="X161" s="137">
        <v>0.69962770653195061</v>
      </c>
      <c r="Z161" s="74">
        <v>520</v>
      </c>
      <c r="AA161" s="137">
        <f t="shared" ca="1" si="30"/>
        <v>1.7629800000000001E-2</v>
      </c>
      <c r="AB161" s="137">
        <f t="shared" ca="1" si="31"/>
        <v>0.88921399999999995</v>
      </c>
      <c r="AC161" s="137">
        <f t="shared" ca="1" si="32"/>
        <v>0.67531300000000005</v>
      </c>
      <c r="AD161" s="137">
        <f t="shared" ca="1" si="33"/>
        <v>0.93500000000000005</v>
      </c>
      <c r="AE161" s="137">
        <f t="shared" ca="1" si="34"/>
        <v>0.69962800000000003</v>
      </c>
      <c r="AG161" s="74">
        <v>520</v>
      </c>
      <c r="AH161" s="136">
        <f t="shared" ca="1" si="35"/>
        <v>3.390346153846154E-5</v>
      </c>
      <c r="AI161" s="136">
        <f t="shared" ca="1" si="36"/>
        <v>1.710026923076923E-3</v>
      </c>
      <c r="AJ161" s="136">
        <f t="shared" ca="1" si="37"/>
        <v>1.2986788461538462E-3</v>
      </c>
      <c r="AK161" s="136">
        <f t="shared" ca="1" si="38"/>
        <v>1.7980769230769231E-3</v>
      </c>
      <c r="AL161" s="136">
        <f t="shared" ca="1" si="39"/>
        <v>1.3454384615384615E-3</v>
      </c>
      <c r="AN161" s="74">
        <v>520</v>
      </c>
      <c r="AO161" s="136">
        <f t="shared" ca="1" si="40"/>
        <v>1.5169440309269828E-2</v>
      </c>
      <c r="AP161" s="136">
        <f t="shared" ca="1" si="41"/>
        <v>0.92440272497453624</v>
      </c>
      <c r="AQ161" s="136">
        <f t="shared" ca="1" si="42"/>
        <v>0.73597693439573264</v>
      </c>
      <c r="AR161" s="136">
        <f t="shared" ca="1" si="43"/>
        <v>0.90895764215724095</v>
      </c>
      <c r="AS161" s="136">
        <f t="shared" ca="1" si="44"/>
        <v>0.65788447510517867</v>
      </c>
    </row>
    <row r="162" spans="9:45" ht="15" hidden="1" customHeight="1" x14ac:dyDescent="0.2">
      <c r="I162" s="74">
        <v>521</v>
      </c>
      <c r="J162" s="137">
        <v>0.72818519999999998</v>
      </c>
      <c r="L162" s="74">
        <v>521</v>
      </c>
      <c r="M162" s="137">
        <v>1.6150100000000001E-2</v>
      </c>
      <c r="N162" s="137">
        <v>0.90081199999999995</v>
      </c>
      <c r="O162" s="137">
        <v>0.688975</v>
      </c>
      <c r="P162" s="136">
        <v>0.92500000000000004</v>
      </c>
      <c r="Q162" s="137">
        <v>0.68188800000000005</v>
      </c>
      <c r="S162" s="74">
        <v>521</v>
      </c>
      <c r="T162" s="137">
        <v>6.256853696157463E-3</v>
      </c>
      <c r="U162" s="137">
        <v>0.90612267830661175</v>
      </c>
      <c r="V162" s="137">
        <v>0.67528639488465847</v>
      </c>
      <c r="W162" s="136">
        <v>0.96918570524929859</v>
      </c>
      <c r="X162" s="137">
        <v>0.68175447922458998</v>
      </c>
      <c r="Z162" s="74">
        <v>521</v>
      </c>
      <c r="AA162" s="137">
        <f t="shared" ca="1" si="30"/>
        <v>1.6150100000000001E-2</v>
      </c>
      <c r="AB162" s="137">
        <f t="shared" ca="1" si="31"/>
        <v>0.90081199999999995</v>
      </c>
      <c r="AC162" s="137">
        <f t="shared" ca="1" si="32"/>
        <v>0.688975</v>
      </c>
      <c r="AD162" s="137">
        <f t="shared" ca="1" si="33"/>
        <v>0.92500000000000004</v>
      </c>
      <c r="AE162" s="137">
        <f t="shared" ca="1" si="34"/>
        <v>0.68188800000000005</v>
      </c>
      <c r="AG162" s="74">
        <v>521</v>
      </c>
      <c r="AH162" s="136">
        <f t="shared" ca="1" si="35"/>
        <v>3.0998272552783108E-5</v>
      </c>
      <c r="AI162" s="136">
        <f t="shared" ca="1" si="36"/>
        <v>1.7290057581573896E-3</v>
      </c>
      <c r="AJ162" s="136">
        <f t="shared" ca="1" si="37"/>
        <v>1.3224088291746642E-3</v>
      </c>
      <c r="AK162" s="136">
        <f t="shared" ca="1" si="38"/>
        <v>1.7754318618042227E-3</v>
      </c>
      <c r="AL162" s="136">
        <f t="shared" ca="1" si="39"/>
        <v>1.3088061420345491E-3</v>
      </c>
      <c r="AN162" s="74">
        <v>521</v>
      </c>
      <c r="AO162" s="136">
        <f t="shared" ca="1" si="40"/>
        <v>1.3869570357778234E-2</v>
      </c>
      <c r="AP162" s="136">
        <f t="shared" ca="1" si="41"/>
        <v>0.93466226336452707</v>
      </c>
      <c r="AQ162" s="136">
        <f t="shared" ca="1" si="42"/>
        <v>0.74942500141295387</v>
      </c>
      <c r="AR162" s="136">
        <f t="shared" ca="1" si="43"/>
        <v>0.89751018891607648</v>
      </c>
      <c r="AS162" s="136">
        <f t="shared" ca="1" si="44"/>
        <v>0.63997222197904213</v>
      </c>
    </row>
    <row r="163" spans="9:45" ht="15" hidden="1" customHeight="1" x14ac:dyDescent="0.2">
      <c r="I163" s="74">
        <v>522</v>
      </c>
      <c r="J163" s="137">
        <v>0.7454636</v>
      </c>
      <c r="L163" s="74">
        <v>522</v>
      </c>
      <c r="M163" s="137">
        <v>1.47911E-2</v>
      </c>
      <c r="N163" s="137">
        <v>0.91100599999999998</v>
      </c>
      <c r="O163" s="137">
        <v>0.70188600000000001</v>
      </c>
      <c r="P163" s="136">
        <v>0.91500000000000004</v>
      </c>
      <c r="Q163" s="137">
        <v>0.66388100000000005</v>
      </c>
      <c r="S163" s="74">
        <v>522</v>
      </c>
      <c r="T163" s="137">
        <v>5.666475299597626E-3</v>
      </c>
      <c r="U163" s="137">
        <v>0.91300677448649004</v>
      </c>
      <c r="V163" s="137">
        <v>0.68507007937169606</v>
      </c>
      <c r="W163" s="136">
        <v>0.9631146744113992</v>
      </c>
      <c r="X163" s="137">
        <v>0.66376752405075068</v>
      </c>
      <c r="Z163" s="74">
        <v>522</v>
      </c>
      <c r="AA163" s="137">
        <f t="shared" ca="1" si="30"/>
        <v>1.47911E-2</v>
      </c>
      <c r="AB163" s="137">
        <f t="shared" ca="1" si="31"/>
        <v>0.91100599999999998</v>
      </c>
      <c r="AC163" s="137">
        <f t="shared" ca="1" si="32"/>
        <v>0.70188600000000001</v>
      </c>
      <c r="AD163" s="137">
        <f t="shared" ca="1" si="33"/>
        <v>0.91500000000000004</v>
      </c>
      <c r="AE163" s="137">
        <f t="shared" ca="1" si="34"/>
        <v>0.66388100000000005</v>
      </c>
      <c r="AG163" s="74">
        <v>522</v>
      </c>
      <c r="AH163" s="136">
        <f t="shared" ca="1" si="35"/>
        <v>2.833544061302682E-5</v>
      </c>
      <c r="AI163" s="136">
        <f t="shared" ca="1" si="36"/>
        <v>1.7452222222222222E-3</v>
      </c>
      <c r="AJ163" s="136">
        <f t="shared" ca="1" si="37"/>
        <v>1.3446091954022988E-3</v>
      </c>
      <c r="AK163" s="136">
        <f t="shared" ca="1" si="38"/>
        <v>1.7528735632183908E-3</v>
      </c>
      <c r="AL163" s="136">
        <f t="shared" ca="1" si="39"/>
        <v>1.2718026819923372E-3</v>
      </c>
      <c r="AN163" s="74">
        <v>522</v>
      </c>
      <c r="AO163" s="136">
        <f t="shared" ca="1" si="40"/>
        <v>1.2678138323089802E-2</v>
      </c>
      <c r="AP163" s="136">
        <f t="shared" ca="1" si="41"/>
        <v>0.94342852509332475</v>
      </c>
      <c r="AQ163" s="136">
        <f t="shared" ca="1" si="42"/>
        <v>0.76200621618138287</v>
      </c>
      <c r="AR163" s="136">
        <f t="shared" ca="1" si="43"/>
        <v>0.88610659564901595</v>
      </c>
      <c r="AS163" s="136">
        <f t="shared" ca="1" si="44"/>
        <v>0.6218784907658661</v>
      </c>
    </row>
    <row r="164" spans="9:45" ht="15" hidden="1" customHeight="1" x14ac:dyDescent="0.2">
      <c r="I164" s="74">
        <v>523</v>
      </c>
      <c r="J164" s="137">
        <v>0.76196940000000002</v>
      </c>
      <c r="L164" s="74">
        <v>523</v>
      </c>
      <c r="M164" s="137">
        <v>1.3540699999999999E-2</v>
      </c>
      <c r="N164" s="137">
        <v>0.91996800000000001</v>
      </c>
      <c r="O164" s="137">
        <v>0.71414</v>
      </c>
      <c r="P164" s="136">
        <v>0.90400000000000003</v>
      </c>
      <c r="Q164" s="137">
        <v>0.64572399999999996</v>
      </c>
      <c r="S164" s="74">
        <v>523</v>
      </c>
      <c r="T164" s="137">
        <v>5.1327723174907063E-3</v>
      </c>
      <c r="U164" s="137">
        <v>0.91968478139672138</v>
      </c>
      <c r="V164" s="137">
        <v>0.69479710466251621</v>
      </c>
      <c r="W164" s="136">
        <v>0.95651327109072992</v>
      </c>
      <c r="X164" s="137">
        <v>0.64569585724306</v>
      </c>
      <c r="Z164" s="74">
        <v>523</v>
      </c>
      <c r="AA164" s="137">
        <f t="shared" ca="1" si="30"/>
        <v>1.3540699999999999E-2</v>
      </c>
      <c r="AB164" s="137">
        <f t="shared" ca="1" si="31"/>
        <v>0.91996800000000001</v>
      </c>
      <c r="AC164" s="137">
        <f t="shared" ca="1" si="32"/>
        <v>0.71414</v>
      </c>
      <c r="AD164" s="137">
        <f t="shared" ca="1" si="33"/>
        <v>0.90400000000000003</v>
      </c>
      <c r="AE164" s="137">
        <f t="shared" ca="1" si="34"/>
        <v>0.64572399999999996</v>
      </c>
      <c r="AG164" s="74">
        <v>523</v>
      </c>
      <c r="AH164" s="136">
        <f t="shared" ca="1" si="35"/>
        <v>2.5890439770554494E-5</v>
      </c>
      <c r="AI164" s="136">
        <f t="shared" ca="1" si="36"/>
        <v>1.7590210325047801E-3</v>
      </c>
      <c r="AJ164" s="136">
        <f t="shared" ca="1" si="37"/>
        <v>1.3654684512428299E-3</v>
      </c>
      <c r="AK164" s="136">
        <f t="shared" ca="1" si="38"/>
        <v>1.72848948374761E-3</v>
      </c>
      <c r="AL164" s="136">
        <f t="shared" ca="1" si="39"/>
        <v>1.2346539196940727E-3</v>
      </c>
      <c r="AN164" s="74">
        <v>523</v>
      </c>
      <c r="AO164" s="136">
        <f t="shared" ca="1" si="40"/>
        <v>1.1584170549506485E-2</v>
      </c>
      <c r="AP164" s="136">
        <f t="shared" ca="1" si="41"/>
        <v>0.95088785667136289</v>
      </c>
      <c r="AQ164" s="136">
        <f t="shared" ca="1" si="42"/>
        <v>0.77382740755040869</v>
      </c>
      <c r="AR164" s="136">
        <f t="shared" ca="1" si="43"/>
        <v>0.87378003992858122</v>
      </c>
      <c r="AS164" s="136">
        <f t="shared" ca="1" si="44"/>
        <v>0.60371371052206735</v>
      </c>
    </row>
    <row r="165" spans="9:45" ht="15" hidden="1" customHeight="1" x14ac:dyDescent="0.2">
      <c r="I165" s="74">
        <v>524</v>
      </c>
      <c r="J165" s="137">
        <v>0.77783679999999999</v>
      </c>
      <c r="L165" s="74">
        <v>524</v>
      </c>
      <c r="M165" s="137">
        <v>1.2388400000000001E-2</v>
      </c>
      <c r="N165" s="137">
        <v>0.92788999999999999</v>
      </c>
      <c r="O165" s="137">
        <v>0.72584099999999996</v>
      </c>
      <c r="P165" s="136">
        <v>0.89200000000000002</v>
      </c>
      <c r="Q165" s="137">
        <v>0.62753300000000001</v>
      </c>
      <c r="S165" s="74">
        <v>524</v>
      </c>
      <c r="T165" s="137">
        <v>4.6502681876588285E-3</v>
      </c>
      <c r="U165" s="137">
        <v>0.92614929399606516</v>
      </c>
      <c r="V165" s="137">
        <v>0.7044643172813726</v>
      </c>
      <c r="W165" s="136">
        <v>0.94938638657718899</v>
      </c>
      <c r="X165" s="137">
        <v>0.62756974763329898</v>
      </c>
      <c r="Z165" s="74">
        <v>524</v>
      </c>
      <c r="AA165" s="137">
        <f t="shared" ca="1" si="30"/>
        <v>1.2388400000000001E-2</v>
      </c>
      <c r="AB165" s="137">
        <f t="shared" ca="1" si="31"/>
        <v>0.92788999999999999</v>
      </c>
      <c r="AC165" s="137">
        <f t="shared" ca="1" si="32"/>
        <v>0.72584099999999996</v>
      </c>
      <c r="AD165" s="137">
        <f t="shared" ca="1" si="33"/>
        <v>0.89200000000000002</v>
      </c>
      <c r="AE165" s="137">
        <f t="shared" ca="1" si="34"/>
        <v>0.62753300000000001</v>
      </c>
      <c r="AG165" s="74">
        <v>524</v>
      </c>
      <c r="AH165" s="136">
        <f t="shared" ca="1" si="35"/>
        <v>2.364198473282443E-5</v>
      </c>
      <c r="AI165" s="136">
        <f t="shared" ca="1" si="36"/>
        <v>1.7707824427480915E-3</v>
      </c>
      <c r="AJ165" s="136">
        <f t="shared" ca="1" si="37"/>
        <v>1.3851927480916029E-3</v>
      </c>
      <c r="AK165" s="136">
        <f t="shared" ca="1" si="38"/>
        <v>1.7022900763358779E-3</v>
      </c>
      <c r="AL165" s="136">
        <f t="shared" ca="1" si="39"/>
        <v>1.1975820610687024E-3</v>
      </c>
      <c r="AN165" s="74">
        <v>524</v>
      </c>
      <c r="AO165" s="136">
        <f t="shared" ca="1" si="40"/>
        <v>1.0578143349474716E-2</v>
      </c>
      <c r="AP165" s="136">
        <f t="shared" ca="1" si="41"/>
        <v>0.95724581486005478</v>
      </c>
      <c r="AQ165" s="136">
        <f t="shared" ca="1" si="42"/>
        <v>0.78500540399723129</v>
      </c>
      <c r="AR165" s="136">
        <f t="shared" ca="1" si="43"/>
        <v>0.86053580589095535</v>
      </c>
      <c r="AS165" s="136">
        <f t="shared" ca="1" si="44"/>
        <v>0.58558653417760853</v>
      </c>
    </row>
    <row r="166" spans="9:45" ht="15" hidden="1" customHeight="1" x14ac:dyDescent="0.2">
      <c r="I166" s="74">
        <v>525</v>
      </c>
      <c r="J166" s="137">
        <v>0.79320000000000002</v>
      </c>
      <c r="L166" s="74">
        <v>525</v>
      </c>
      <c r="M166" s="137">
        <v>1.1325200000000001E-2</v>
      </c>
      <c r="N166" s="137">
        <v>0.93497699999999995</v>
      </c>
      <c r="O166" s="137">
        <v>0.73710799999999999</v>
      </c>
      <c r="P166" s="136">
        <v>0.88</v>
      </c>
      <c r="Q166" s="137">
        <v>0.60942200000000002</v>
      </c>
      <c r="S166" s="74">
        <v>525</v>
      </c>
      <c r="T166" s="137">
        <v>4.2140142512285391E-3</v>
      </c>
      <c r="U166" s="137">
        <v>0.93239513754063308</v>
      </c>
      <c r="V166" s="137">
        <v>0.71406870505742748</v>
      </c>
      <c r="W166" s="136">
        <v>0.94172912040522583</v>
      </c>
      <c r="X166" s="137">
        <v>0.60942182023746561</v>
      </c>
      <c r="Z166" s="74">
        <v>525</v>
      </c>
      <c r="AA166" s="137">
        <f t="shared" ca="1" si="30"/>
        <v>1.1325200000000001E-2</v>
      </c>
      <c r="AB166" s="137">
        <f t="shared" ca="1" si="31"/>
        <v>0.93497699999999995</v>
      </c>
      <c r="AC166" s="137">
        <f t="shared" ca="1" si="32"/>
        <v>0.73710799999999999</v>
      </c>
      <c r="AD166" s="137">
        <f t="shared" ca="1" si="33"/>
        <v>0.88</v>
      </c>
      <c r="AE166" s="137">
        <f t="shared" ca="1" si="34"/>
        <v>0.60942200000000002</v>
      </c>
      <c r="AG166" s="74">
        <v>525</v>
      </c>
      <c r="AH166" s="136">
        <f t="shared" ca="1" si="35"/>
        <v>2.1571809523809525E-5</v>
      </c>
      <c r="AI166" s="136">
        <f t="shared" ca="1" si="36"/>
        <v>1.7809085714285712E-3</v>
      </c>
      <c r="AJ166" s="136">
        <f t="shared" ca="1" si="37"/>
        <v>1.404015238095238E-3</v>
      </c>
      <c r="AK166" s="136">
        <f t="shared" ca="1" si="38"/>
        <v>1.6761904761904763E-3</v>
      </c>
      <c r="AL166" s="136">
        <f t="shared" ca="1" si="39"/>
        <v>1.1608038095238095E-3</v>
      </c>
      <c r="AN166" s="74">
        <v>525</v>
      </c>
      <c r="AO166" s="136">
        <f t="shared" ca="1" si="40"/>
        <v>9.6518839695215377E-3</v>
      </c>
      <c r="AP166" s="136">
        <f t="shared" ca="1" si="41"/>
        <v>0.96271977601198533</v>
      </c>
      <c r="AQ166" s="136">
        <f t="shared" ca="1" si="42"/>
        <v>0.79567233564980755</v>
      </c>
      <c r="AR166" s="136">
        <f t="shared" ca="1" si="43"/>
        <v>0.84734202607823472</v>
      </c>
      <c r="AS166" s="136">
        <f t="shared" ca="1" si="44"/>
        <v>0.56760292407237112</v>
      </c>
    </row>
    <row r="167" spans="9:45" ht="15" hidden="1" customHeight="1" x14ac:dyDescent="0.2">
      <c r="I167" s="74">
        <v>526</v>
      </c>
      <c r="J167" s="137">
        <v>0.80811040000000001</v>
      </c>
      <c r="L167" s="74">
        <v>526</v>
      </c>
      <c r="M167" s="137">
        <v>1.0343700000000001E-2</v>
      </c>
      <c r="N167" s="137">
        <v>0.94141399999999997</v>
      </c>
      <c r="O167" s="137">
        <v>0.74804599999999999</v>
      </c>
      <c r="P167" s="136">
        <v>0.86699999999999999</v>
      </c>
      <c r="Q167" s="137">
        <v>0.59133899999999995</v>
      </c>
      <c r="S167" s="74">
        <v>526</v>
      </c>
      <c r="T167" s="137">
        <v>3.8195394501359015E-3</v>
      </c>
      <c r="U167" s="137">
        <v>0.93841512727140985</v>
      </c>
      <c r="V167" s="137">
        <v>0.72360240228025097</v>
      </c>
      <c r="W167" s="136">
        <v>0.93354874618597561</v>
      </c>
      <c r="X167" s="137">
        <v>0.59127974231349956</v>
      </c>
      <c r="Z167" s="74">
        <v>526</v>
      </c>
      <c r="AA167" s="137">
        <f t="shared" ca="1" si="30"/>
        <v>1.0343700000000001E-2</v>
      </c>
      <c r="AB167" s="137">
        <f t="shared" ca="1" si="31"/>
        <v>0.94141399999999997</v>
      </c>
      <c r="AC167" s="137">
        <f t="shared" ca="1" si="32"/>
        <v>0.74804599999999999</v>
      </c>
      <c r="AD167" s="137">
        <f t="shared" ca="1" si="33"/>
        <v>0.86699999999999999</v>
      </c>
      <c r="AE167" s="137">
        <f t="shared" ca="1" si="34"/>
        <v>0.59133899999999995</v>
      </c>
      <c r="AG167" s="74">
        <v>526</v>
      </c>
      <c r="AH167" s="136">
        <f t="shared" ca="1" si="35"/>
        <v>1.9664828897338405E-5</v>
      </c>
      <c r="AI167" s="136">
        <f t="shared" ca="1" si="36"/>
        <v>1.7897604562737643E-3</v>
      </c>
      <c r="AJ167" s="136">
        <f t="shared" ca="1" si="37"/>
        <v>1.4221406844106463E-3</v>
      </c>
      <c r="AK167" s="136">
        <f t="shared" ca="1" si="38"/>
        <v>1.6482889733840304E-3</v>
      </c>
      <c r="AL167" s="136">
        <f t="shared" ca="1" si="39"/>
        <v>1.1242186311787071E-3</v>
      </c>
      <c r="AN167" s="74">
        <v>526</v>
      </c>
      <c r="AO167" s="136">
        <f t="shared" ca="1" si="40"/>
        <v>8.7986428114949257E-3</v>
      </c>
      <c r="AP167" s="136">
        <f t="shared" ca="1" si="41"/>
        <v>0.96750490913569875</v>
      </c>
      <c r="AQ167" s="136">
        <f t="shared" ca="1" si="42"/>
        <v>0.80594424425390632</v>
      </c>
      <c r="AR167" s="136">
        <f t="shared" ca="1" si="43"/>
        <v>0.83323735464949977</v>
      </c>
      <c r="AS167" s="136">
        <f t="shared" ca="1" si="44"/>
        <v>0.54971372174893296</v>
      </c>
    </row>
    <row r="168" spans="9:45" ht="15" hidden="1" customHeight="1" x14ac:dyDescent="0.2">
      <c r="I168" s="74">
        <v>527</v>
      </c>
      <c r="J168" s="137">
        <v>0.82249620000000001</v>
      </c>
      <c r="L168" s="74">
        <v>527</v>
      </c>
      <c r="M168" s="137">
        <v>9.4409200000000002E-3</v>
      </c>
      <c r="N168" s="137">
        <v>0.94727899999999998</v>
      </c>
      <c r="O168" s="137">
        <v>0.75868400000000003</v>
      </c>
      <c r="P168" s="136">
        <v>0.85399999999999998</v>
      </c>
      <c r="Q168" s="137">
        <v>0.57320700000000002</v>
      </c>
      <c r="S168" s="74">
        <v>527</v>
      </c>
      <c r="T168" s="137">
        <v>3.4627887667432367E-3</v>
      </c>
      <c r="U168" s="137">
        <v>0.9442000084893506</v>
      </c>
      <c r="V168" s="137">
        <v>0.73306418181548505</v>
      </c>
      <c r="W168" s="136">
        <v>0.92484510014953936</v>
      </c>
      <c r="X168" s="137">
        <v>0.57317072437992866</v>
      </c>
      <c r="Z168" s="74">
        <v>527</v>
      </c>
      <c r="AA168" s="137">
        <f t="shared" ca="1" si="30"/>
        <v>9.4409200000000002E-3</v>
      </c>
      <c r="AB168" s="137">
        <f t="shared" ca="1" si="31"/>
        <v>0.94727899999999998</v>
      </c>
      <c r="AC168" s="137">
        <f t="shared" ca="1" si="32"/>
        <v>0.75868400000000003</v>
      </c>
      <c r="AD168" s="137">
        <f t="shared" ca="1" si="33"/>
        <v>0.85399999999999998</v>
      </c>
      <c r="AE168" s="137">
        <f t="shared" ca="1" si="34"/>
        <v>0.57320700000000002</v>
      </c>
      <c r="AG168" s="74">
        <v>527</v>
      </c>
      <c r="AH168" s="136">
        <f t="shared" ca="1" si="35"/>
        <v>1.7914459203036054E-5</v>
      </c>
      <c r="AI168" s="136">
        <f t="shared" ca="1" si="36"/>
        <v>1.7974933586337762E-3</v>
      </c>
      <c r="AJ168" s="136">
        <f t="shared" ca="1" si="37"/>
        <v>1.4396280834914612E-3</v>
      </c>
      <c r="AK168" s="136">
        <f t="shared" ca="1" si="38"/>
        <v>1.6204933586337761E-3</v>
      </c>
      <c r="AL168" s="136">
        <f t="shared" ca="1" si="39"/>
        <v>1.0876793168880456E-3</v>
      </c>
      <c r="AN168" s="74">
        <v>527</v>
      </c>
      <c r="AO168" s="136">
        <f t="shared" ca="1" si="40"/>
        <v>8.0154741498893109E-3</v>
      </c>
      <c r="AP168" s="136">
        <f t="shared" ca="1" si="41"/>
        <v>0.97168514508233217</v>
      </c>
      <c r="AQ168" s="136">
        <f t="shared" ca="1" si="42"/>
        <v>0.81585456380994548</v>
      </c>
      <c r="AR168" s="136">
        <f t="shared" ca="1" si="43"/>
        <v>0.8191862113855799</v>
      </c>
      <c r="AS168" s="136">
        <f t="shared" ca="1" si="44"/>
        <v>0.53184694575731473</v>
      </c>
    </row>
    <row r="169" spans="9:45" ht="15" hidden="1" customHeight="1" x14ac:dyDescent="0.2">
      <c r="I169" s="74">
        <v>528</v>
      </c>
      <c r="J169" s="137">
        <v>0.83630680000000002</v>
      </c>
      <c r="L169" s="74">
        <v>528</v>
      </c>
      <c r="M169" s="137">
        <v>8.6136500000000005E-3</v>
      </c>
      <c r="N169" s="137">
        <v>0.95262199999999997</v>
      </c>
      <c r="O169" s="137">
        <v>0.76903200000000005</v>
      </c>
      <c r="P169" s="136">
        <v>0.84</v>
      </c>
      <c r="Q169" s="137">
        <v>0.55510499999999996</v>
      </c>
      <c r="S169" s="74">
        <v>528</v>
      </c>
      <c r="T169" s="137">
        <v>3.1401182285727088E-3</v>
      </c>
      <c r="U169" s="137">
        <v>0.94974277845316835</v>
      </c>
      <c r="V169" s="137">
        <v>0.74244963828428934</v>
      </c>
      <c r="W169" s="136">
        <v>0.915625754701202</v>
      </c>
      <c r="X169" s="137">
        <v>0.55512143865110575</v>
      </c>
      <c r="Z169" s="74">
        <v>528</v>
      </c>
      <c r="AA169" s="137">
        <f t="shared" ca="1" si="30"/>
        <v>8.6136500000000005E-3</v>
      </c>
      <c r="AB169" s="137">
        <f t="shared" ca="1" si="31"/>
        <v>0.95262199999999997</v>
      </c>
      <c r="AC169" s="137">
        <f t="shared" ca="1" si="32"/>
        <v>0.76903200000000005</v>
      </c>
      <c r="AD169" s="137">
        <f t="shared" ca="1" si="33"/>
        <v>0.84</v>
      </c>
      <c r="AE169" s="137">
        <f t="shared" ca="1" si="34"/>
        <v>0.55510499999999996</v>
      </c>
      <c r="AG169" s="74">
        <v>528</v>
      </c>
      <c r="AH169" s="136">
        <f t="shared" ca="1" si="35"/>
        <v>1.6313731060606062E-5</v>
      </c>
      <c r="AI169" s="136">
        <f t="shared" ca="1" si="36"/>
        <v>1.8042083333333332E-3</v>
      </c>
      <c r="AJ169" s="136">
        <f t="shared" ca="1" si="37"/>
        <v>1.4565000000000001E-3</v>
      </c>
      <c r="AK169" s="136">
        <f t="shared" ca="1" si="38"/>
        <v>1.5909090909090907E-3</v>
      </c>
      <c r="AL169" s="136">
        <f t="shared" ca="1" si="39"/>
        <v>1.0513352272727271E-3</v>
      </c>
      <c r="AN169" s="74">
        <v>528</v>
      </c>
      <c r="AO169" s="136">
        <f t="shared" ca="1" si="40"/>
        <v>7.2992596718952736E-3</v>
      </c>
      <c r="AP169" s="136">
        <f t="shared" ca="1" si="41"/>
        <v>0.97531511185457254</v>
      </c>
      <c r="AQ169" s="136">
        <f t="shared" ca="1" si="42"/>
        <v>0.82541608198367278</v>
      </c>
      <c r="AR169" s="136">
        <f t="shared" ca="1" si="43"/>
        <v>0.8042308744415062</v>
      </c>
      <c r="AS169" s="136">
        <f t="shared" ca="1" si="44"/>
        <v>0.51407562956318065</v>
      </c>
    </row>
    <row r="170" spans="9:45" ht="15" hidden="1" customHeight="1" x14ac:dyDescent="0.2">
      <c r="I170" s="74">
        <v>529</v>
      </c>
      <c r="J170" s="137">
        <v>0.84949160000000001</v>
      </c>
      <c r="L170" s="74">
        <v>529</v>
      </c>
      <c r="M170" s="137">
        <v>7.8583100000000003E-3</v>
      </c>
      <c r="N170" s="137">
        <v>0.95749799999999996</v>
      </c>
      <c r="O170" s="137">
        <v>0.77909899999999999</v>
      </c>
      <c r="P170" s="136">
        <v>0.82599999999999996</v>
      </c>
      <c r="Q170" s="137">
        <v>0.53711200000000003</v>
      </c>
      <c r="S170" s="74">
        <v>529</v>
      </c>
      <c r="T170" s="137">
        <v>2.8482296295360417E-3</v>
      </c>
      <c r="U170" s="137">
        <v>0.95503656606795606</v>
      </c>
      <c r="V170" s="137">
        <v>0.75175270590209098</v>
      </c>
      <c r="W170" s="136">
        <v>0.9058952865651041</v>
      </c>
      <c r="X170" s="137">
        <v>0.53715917729999019</v>
      </c>
      <c r="Z170" s="74">
        <v>529</v>
      </c>
      <c r="AA170" s="137">
        <f t="shared" ca="1" si="30"/>
        <v>7.8583100000000003E-3</v>
      </c>
      <c r="AB170" s="137">
        <f t="shared" ca="1" si="31"/>
        <v>0.95749799999999996</v>
      </c>
      <c r="AC170" s="137">
        <f t="shared" ca="1" si="32"/>
        <v>0.77909899999999999</v>
      </c>
      <c r="AD170" s="137">
        <f t="shared" ca="1" si="33"/>
        <v>0.82599999999999996</v>
      </c>
      <c r="AE170" s="137">
        <f t="shared" ca="1" si="34"/>
        <v>0.53711200000000003</v>
      </c>
      <c r="AG170" s="74">
        <v>529</v>
      </c>
      <c r="AH170" s="136">
        <f t="shared" ca="1" si="35"/>
        <v>1.4855028355387524E-5</v>
      </c>
      <c r="AI170" s="136">
        <f t="shared" ca="1" si="36"/>
        <v>1.8100151228733459E-3</v>
      </c>
      <c r="AJ170" s="136">
        <f t="shared" ca="1" si="37"/>
        <v>1.4727769376181475E-3</v>
      </c>
      <c r="AK170" s="136">
        <f t="shared" ca="1" si="38"/>
        <v>1.5614366729678638E-3</v>
      </c>
      <c r="AL170" s="136">
        <f t="shared" ca="1" si="39"/>
        <v>1.0153345935727789E-3</v>
      </c>
      <c r="AN170" s="74">
        <v>529</v>
      </c>
      <c r="AO170" s="136">
        <f t="shared" ca="1" si="40"/>
        <v>6.6465916960698427E-3</v>
      </c>
      <c r="AP170" s="136">
        <f t="shared" ca="1" si="41"/>
        <v>0.97845413382066115</v>
      </c>
      <c r="AQ170" s="136">
        <f t="shared" ca="1" si="42"/>
        <v>0.8346404184584163</v>
      </c>
      <c r="AR170" s="136">
        <f t="shared" ca="1" si="43"/>
        <v>0.78933207941404548</v>
      </c>
      <c r="AS170" s="136">
        <f t="shared" ca="1" si="44"/>
        <v>0.49647225439426945</v>
      </c>
    </row>
    <row r="171" spans="9:45" ht="15" hidden="1" customHeight="1" x14ac:dyDescent="0.2">
      <c r="I171" s="74">
        <v>530</v>
      </c>
      <c r="J171" s="137">
        <v>0.86199999999999999</v>
      </c>
      <c r="L171" s="74">
        <v>530</v>
      </c>
      <c r="M171" s="137">
        <v>7.1708900000000001E-3</v>
      </c>
      <c r="N171" s="137">
        <v>0.96196199999999998</v>
      </c>
      <c r="O171" s="137">
        <v>0.78890000000000005</v>
      </c>
      <c r="P171" s="136">
        <v>0.81100000000000005</v>
      </c>
      <c r="Q171" s="137">
        <v>0.51930900000000002</v>
      </c>
      <c r="S171" s="74">
        <v>530</v>
      </c>
      <c r="T171" s="137">
        <v>2.5841278701101604E-3</v>
      </c>
      <c r="U171" s="137">
        <v>0.96007243349852012</v>
      </c>
      <c r="V171" s="137">
        <v>0.76096906124801311</v>
      </c>
      <c r="W171" s="136">
        <v>0.8956596305513389</v>
      </c>
      <c r="X171" s="137">
        <v>0.51930918020327987</v>
      </c>
      <c r="Z171" s="74">
        <v>530</v>
      </c>
      <c r="AA171" s="137">
        <f t="shared" ca="1" si="30"/>
        <v>7.1708900000000001E-3</v>
      </c>
      <c r="AB171" s="137">
        <f t="shared" ca="1" si="31"/>
        <v>0.96196199999999998</v>
      </c>
      <c r="AC171" s="137">
        <f t="shared" ca="1" si="32"/>
        <v>0.78890000000000005</v>
      </c>
      <c r="AD171" s="137">
        <f t="shared" ca="1" si="33"/>
        <v>0.81100000000000005</v>
      </c>
      <c r="AE171" s="137">
        <f t="shared" ca="1" si="34"/>
        <v>0.51930900000000002</v>
      </c>
      <c r="AG171" s="74">
        <v>530</v>
      </c>
      <c r="AH171" s="136">
        <f t="shared" ca="1" si="35"/>
        <v>1.3529981132075471E-5</v>
      </c>
      <c r="AI171" s="136">
        <f t="shared" ca="1" si="36"/>
        <v>1.815022641509434E-3</v>
      </c>
      <c r="AJ171" s="136">
        <f t="shared" ca="1" si="37"/>
        <v>1.4884905660377359E-3</v>
      </c>
      <c r="AK171" s="136">
        <f t="shared" ca="1" si="38"/>
        <v>1.5301886792452831E-3</v>
      </c>
      <c r="AL171" s="136">
        <f t="shared" ca="1" si="39"/>
        <v>9.7982830188679255E-4</v>
      </c>
      <c r="AN171" s="74">
        <v>530</v>
      </c>
      <c r="AO171" s="136">
        <f t="shared" ca="1" si="40"/>
        <v>6.0537252497279747E-3</v>
      </c>
      <c r="AP171" s="136">
        <f t="shared" ca="1" si="41"/>
        <v>0.98116108761775778</v>
      </c>
      <c r="AQ171" s="136">
        <f t="shared" ca="1" si="42"/>
        <v>0.84354552082974743</v>
      </c>
      <c r="AR171" s="136">
        <f t="shared" ca="1" si="43"/>
        <v>0.77353570144395456</v>
      </c>
      <c r="AS171" s="136">
        <f t="shared" ca="1" si="44"/>
        <v>0.47911059963522812</v>
      </c>
    </row>
    <row r="172" spans="9:45" ht="15" hidden="1" customHeight="1" x14ac:dyDescent="0.2">
      <c r="I172" s="74">
        <v>531</v>
      </c>
      <c r="J172" s="137">
        <v>0.8738108</v>
      </c>
      <c r="L172" s="74">
        <v>531</v>
      </c>
      <c r="M172" s="137">
        <v>6.5464800000000004E-3</v>
      </c>
      <c r="N172" s="137">
        <v>0.96608000000000005</v>
      </c>
      <c r="O172" s="137">
        <v>0.79847199999999996</v>
      </c>
      <c r="P172" s="136">
        <v>0.79600000000000004</v>
      </c>
      <c r="Q172" s="137">
        <v>0.50164500000000001</v>
      </c>
      <c r="S172" s="74">
        <v>531</v>
      </c>
      <c r="T172" s="137">
        <v>2.3451358188411988E-3</v>
      </c>
      <c r="U172" s="137">
        <v>0.96484155514321213</v>
      </c>
      <c r="V172" s="137">
        <v>0.77009623476797162</v>
      </c>
      <c r="W172" s="136">
        <v>0.88493016634518851</v>
      </c>
      <c r="X172" s="137">
        <v>0.50159361553435355</v>
      </c>
      <c r="Z172" s="74">
        <v>531</v>
      </c>
      <c r="AA172" s="137">
        <f t="shared" ca="1" si="30"/>
        <v>6.5464800000000004E-3</v>
      </c>
      <c r="AB172" s="137">
        <f t="shared" ca="1" si="31"/>
        <v>0.96608000000000005</v>
      </c>
      <c r="AC172" s="137">
        <f t="shared" ca="1" si="32"/>
        <v>0.79847199999999996</v>
      </c>
      <c r="AD172" s="137">
        <f t="shared" ca="1" si="33"/>
        <v>0.79600000000000004</v>
      </c>
      <c r="AE172" s="137">
        <f t="shared" ca="1" si="34"/>
        <v>0.50164500000000001</v>
      </c>
      <c r="AG172" s="74">
        <v>531</v>
      </c>
      <c r="AH172" s="136">
        <f t="shared" ca="1" si="35"/>
        <v>1.232858757062147E-5</v>
      </c>
      <c r="AI172" s="136">
        <f t="shared" ca="1" si="36"/>
        <v>1.8193596986817327E-3</v>
      </c>
      <c r="AJ172" s="136">
        <f t="shared" ca="1" si="37"/>
        <v>1.5037137476459511E-3</v>
      </c>
      <c r="AK172" s="136">
        <f t="shared" ca="1" si="38"/>
        <v>1.4990583804143126E-3</v>
      </c>
      <c r="AL172" s="136">
        <f t="shared" ca="1" si="39"/>
        <v>9.4471751412429378E-4</v>
      </c>
      <c r="AN172" s="74">
        <v>531</v>
      </c>
      <c r="AO172" s="136">
        <f t="shared" ca="1" si="40"/>
        <v>5.5161852142439002E-3</v>
      </c>
      <c r="AP172" s="136">
        <f t="shared" ca="1" si="41"/>
        <v>0.9835056047796451</v>
      </c>
      <c r="AQ172" s="136">
        <f t="shared" ca="1" si="42"/>
        <v>0.85217268108953392</v>
      </c>
      <c r="AR172" s="136">
        <f t="shared" ca="1" si="43"/>
        <v>0.75779882018938172</v>
      </c>
      <c r="AS172" s="136">
        <f t="shared" ca="1" si="44"/>
        <v>0.46194233602601914</v>
      </c>
    </row>
    <row r="173" spans="9:45" ht="15" hidden="1" customHeight="1" x14ac:dyDescent="0.2">
      <c r="I173" s="74">
        <v>532</v>
      </c>
      <c r="J173" s="137">
        <v>0.88496240000000004</v>
      </c>
      <c r="L173" s="74">
        <v>532</v>
      </c>
      <c r="M173" s="137">
        <v>5.9777700000000003E-3</v>
      </c>
      <c r="N173" s="137">
        <v>0.96996599999999999</v>
      </c>
      <c r="O173" s="137">
        <v>0.80794500000000002</v>
      </c>
      <c r="P173" s="136">
        <v>0.78100000000000003</v>
      </c>
      <c r="Q173" s="137">
        <v>0.48406700000000003</v>
      </c>
      <c r="S173" s="74">
        <v>532</v>
      </c>
      <c r="T173" s="137">
        <v>2.128820285748258E-3</v>
      </c>
      <c r="U173" s="137">
        <v>0.96933746814407873</v>
      </c>
      <c r="V173" s="137">
        <v>0.7791283370294434</v>
      </c>
      <c r="W173" s="136">
        <v>0.8737134071086583</v>
      </c>
      <c r="X173" s="137">
        <v>0.48403748975711541</v>
      </c>
      <c r="Z173" s="74">
        <v>532</v>
      </c>
      <c r="AA173" s="137">
        <f t="shared" ca="1" si="30"/>
        <v>5.9777700000000003E-3</v>
      </c>
      <c r="AB173" s="137">
        <f t="shared" ca="1" si="31"/>
        <v>0.96996599999999999</v>
      </c>
      <c r="AC173" s="137">
        <f t="shared" ca="1" si="32"/>
        <v>0.80794500000000002</v>
      </c>
      <c r="AD173" s="137">
        <f t="shared" ca="1" si="33"/>
        <v>0.78100000000000003</v>
      </c>
      <c r="AE173" s="137">
        <f t="shared" ca="1" si="34"/>
        <v>0.48406700000000003</v>
      </c>
      <c r="AG173" s="74">
        <v>532</v>
      </c>
      <c r="AH173" s="136">
        <f t="shared" ca="1" si="35"/>
        <v>1.123640977443609E-5</v>
      </c>
      <c r="AI173" s="136">
        <f t="shared" ca="1" si="36"/>
        <v>1.8232443609022557E-3</v>
      </c>
      <c r="AJ173" s="136">
        <f t="shared" ca="1" si="37"/>
        <v>1.5186936090225563E-3</v>
      </c>
      <c r="AK173" s="136">
        <f t="shared" ca="1" si="38"/>
        <v>1.4680451127819549E-3</v>
      </c>
      <c r="AL173" s="136">
        <f t="shared" ca="1" si="39"/>
        <v>9.0990037593984972E-4</v>
      </c>
      <c r="AN173" s="74">
        <v>532</v>
      </c>
      <c r="AO173" s="136">
        <f t="shared" ca="1" si="40"/>
        <v>5.0275116353661548E-3</v>
      </c>
      <c r="AP173" s="136">
        <f t="shared" ca="1" si="41"/>
        <v>0.98560556723859616</v>
      </c>
      <c r="AQ173" s="136">
        <f t="shared" ca="1" si="42"/>
        <v>0.86066194884520575</v>
      </c>
      <c r="AR173" s="136">
        <f t="shared" ca="1" si="43"/>
        <v>0.74212110014253285</v>
      </c>
      <c r="AS173" s="136">
        <f t="shared" ca="1" si="44"/>
        <v>0.44491765943624362</v>
      </c>
    </row>
    <row r="174" spans="9:45" ht="15" hidden="1" customHeight="1" x14ac:dyDescent="0.2">
      <c r="I174" s="74">
        <v>533</v>
      </c>
      <c r="J174" s="137">
        <v>0.8954936</v>
      </c>
      <c r="L174" s="74">
        <v>533</v>
      </c>
      <c r="M174" s="137">
        <v>5.4579399999999997E-3</v>
      </c>
      <c r="N174" s="137">
        <v>0.97374300000000003</v>
      </c>
      <c r="O174" s="137">
        <v>0.81747800000000004</v>
      </c>
      <c r="P174" s="136">
        <v>0.76500000000000001</v>
      </c>
      <c r="Q174" s="137">
        <v>0.46664299999999997</v>
      </c>
      <c r="S174" s="74">
        <v>533</v>
      </c>
      <c r="T174" s="137">
        <v>1.9329872970546584E-3</v>
      </c>
      <c r="U174" s="137">
        <v>0.97355165635358631</v>
      </c>
      <c r="V174" s="137">
        <v>0.78806129862279395</v>
      </c>
      <c r="W174" s="136">
        <v>0.86202527552268249</v>
      </c>
      <c r="X174" s="137">
        <v>0.46666152936510219</v>
      </c>
      <c r="Z174" s="74">
        <v>533</v>
      </c>
      <c r="AA174" s="137">
        <f t="shared" ca="1" si="30"/>
        <v>5.4579399999999997E-3</v>
      </c>
      <c r="AB174" s="137">
        <f t="shared" ca="1" si="31"/>
        <v>0.97374300000000003</v>
      </c>
      <c r="AC174" s="137">
        <f t="shared" ca="1" si="32"/>
        <v>0.81747800000000004</v>
      </c>
      <c r="AD174" s="137">
        <f t="shared" ca="1" si="33"/>
        <v>0.76500000000000001</v>
      </c>
      <c r="AE174" s="137">
        <f t="shared" ca="1" si="34"/>
        <v>0.46664299999999997</v>
      </c>
      <c r="AG174" s="74">
        <v>533</v>
      </c>
      <c r="AH174" s="136">
        <f t="shared" ca="1" si="35"/>
        <v>1.0240037523452156E-5</v>
      </c>
      <c r="AI174" s="136">
        <f t="shared" ca="1" si="36"/>
        <v>1.8269099437148218E-3</v>
      </c>
      <c r="AJ174" s="136">
        <f t="shared" ca="1" si="37"/>
        <v>1.5337298311444653E-3</v>
      </c>
      <c r="AK174" s="136">
        <f t="shared" ca="1" si="38"/>
        <v>1.4352720450281427E-3</v>
      </c>
      <c r="AL174" s="136">
        <f t="shared" ca="1" si="39"/>
        <v>8.7550281425891182E-4</v>
      </c>
      <c r="AN174" s="74">
        <v>533</v>
      </c>
      <c r="AO174" s="136">
        <f t="shared" ca="1" si="40"/>
        <v>4.5817043725895458E-3</v>
      </c>
      <c r="AP174" s="136">
        <f t="shared" ca="1" si="41"/>
        <v>0.98758710021613483</v>
      </c>
      <c r="AQ174" s="136">
        <f t="shared" ca="1" si="42"/>
        <v>0.86918315691365911</v>
      </c>
      <c r="AR174" s="136">
        <f t="shared" ca="1" si="43"/>
        <v>0.72555377201021454</v>
      </c>
      <c r="AS174" s="136">
        <f t="shared" ca="1" si="44"/>
        <v>0.42809814486291586</v>
      </c>
    </row>
    <row r="175" spans="9:45" ht="15" hidden="1" customHeight="1" x14ac:dyDescent="0.2">
      <c r="I175" s="74">
        <v>534</v>
      </c>
      <c r="J175" s="137">
        <v>0.9054432</v>
      </c>
      <c r="L175" s="74">
        <v>534</v>
      </c>
      <c r="M175" s="137">
        <v>4.9812499999999996E-3</v>
      </c>
      <c r="N175" s="137">
        <v>0.97753900000000005</v>
      </c>
      <c r="O175" s="137">
        <v>0.82723899999999995</v>
      </c>
      <c r="P175" s="136">
        <v>0.749</v>
      </c>
      <c r="Q175" s="137">
        <v>0.44944200000000001</v>
      </c>
      <c r="S175" s="74">
        <v>534</v>
      </c>
      <c r="T175" s="137">
        <v>1.7556583242822395E-3</v>
      </c>
      <c r="U175" s="137">
        <v>0.97747351756456025</v>
      </c>
      <c r="V175" s="137">
        <v>0.79689114316246656</v>
      </c>
      <c r="W175" s="136">
        <v>0.84987685088192289</v>
      </c>
      <c r="X175" s="137">
        <v>0.44948685960805734</v>
      </c>
      <c r="Z175" s="74">
        <v>534</v>
      </c>
      <c r="AA175" s="137">
        <f t="shared" ca="1" si="30"/>
        <v>4.9812499999999996E-3</v>
      </c>
      <c r="AB175" s="137">
        <f t="shared" ca="1" si="31"/>
        <v>0.97753900000000005</v>
      </c>
      <c r="AC175" s="137">
        <f t="shared" ca="1" si="32"/>
        <v>0.82723899999999995</v>
      </c>
      <c r="AD175" s="137">
        <f t="shared" ca="1" si="33"/>
        <v>0.749</v>
      </c>
      <c r="AE175" s="137">
        <f t="shared" ca="1" si="34"/>
        <v>0.44944200000000001</v>
      </c>
      <c r="AG175" s="74">
        <v>534</v>
      </c>
      <c r="AH175" s="136">
        <f t="shared" ca="1" si="35"/>
        <v>9.3281835205992498E-6</v>
      </c>
      <c r="AI175" s="136">
        <f t="shared" ca="1" si="36"/>
        <v>1.8305973782771537E-3</v>
      </c>
      <c r="AJ175" s="136">
        <f t="shared" ca="1" si="37"/>
        <v>1.5491367041198501E-3</v>
      </c>
      <c r="AK175" s="136">
        <f t="shared" ca="1" si="38"/>
        <v>1.4026217228464419E-3</v>
      </c>
      <c r="AL175" s="136">
        <f t="shared" ca="1" si="39"/>
        <v>8.4165168539325843E-4</v>
      </c>
      <c r="AN175" s="74">
        <v>534</v>
      </c>
      <c r="AO175" s="136">
        <f t="shared" ca="1" si="40"/>
        <v>4.1737131457540806E-3</v>
      </c>
      <c r="AP175" s="136">
        <f t="shared" ca="1" si="41"/>
        <v>0.98958044576618709</v>
      </c>
      <c r="AQ175" s="136">
        <f t="shared" ca="1" si="42"/>
        <v>0.87791441728232522</v>
      </c>
      <c r="AR175" s="136">
        <f t="shared" ca="1" si="43"/>
        <v>0.70904849379599466</v>
      </c>
      <c r="AS175" s="136">
        <f t="shared" ca="1" si="44"/>
        <v>0.41154582174883375</v>
      </c>
    </row>
    <row r="176" spans="9:45" ht="15" hidden="1" customHeight="1" x14ac:dyDescent="0.2">
      <c r="I176" s="74">
        <v>535</v>
      </c>
      <c r="J176" s="137">
        <v>0.9148501</v>
      </c>
      <c r="L176" s="74">
        <v>535</v>
      </c>
      <c r="M176" s="137">
        <v>4.5428700000000001E-3</v>
      </c>
      <c r="N176" s="137">
        <v>0.98148100000000005</v>
      </c>
      <c r="O176" s="137">
        <v>0.83740300000000001</v>
      </c>
      <c r="P176" s="136">
        <v>0.73299999999999998</v>
      </c>
      <c r="Q176" s="137">
        <v>0.432533</v>
      </c>
      <c r="S176" s="74">
        <v>535</v>
      </c>
      <c r="T176" s="137">
        <v>1.5950562384267801E-3</v>
      </c>
      <c r="U176" s="137">
        <v>0.98109485902686899</v>
      </c>
      <c r="V176" s="137">
        <v>0.80561399109201759</v>
      </c>
      <c r="W176" s="136">
        <v>0.83728054483560632</v>
      </c>
      <c r="X176" s="137">
        <v>0.43253374949164164</v>
      </c>
      <c r="Z176" s="74">
        <v>535</v>
      </c>
      <c r="AA176" s="137">
        <f t="shared" ca="1" si="30"/>
        <v>4.5428700000000001E-3</v>
      </c>
      <c r="AB176" s="137">
        <f t="shared" ca="1" si="31"/>
        <v>0.98148100000000005</v>
      </c>
      <c r="AC176" s="137">
        <f t="shared" ca="1" si="32"/>
        <v>0.83740300000000001</v>
      </c>
      <c r="AD176" s="137">
        <f t="shared" ca="1" si="33"/>
        <v>0.73299999999999998</v>
      </c>
      <c r="AE176" s="137">
        <f t="shared" ca="1" si="34"/>
        <v>0.432533</v>
      </c>
      <c r="AG176" s="74">
        <v>535</v>
      </c>
      <c r="AH176" s="136">
        <f t="shared" ca="1" si="35"/>
        <v>8.4913457943925238E-6</v>
      </c>
      <c r="AI176" s="136">
        <f t="shared" ca="1" si="36"/>
        <v>1.834543925233645E-3</v>
      </c>
      <c r="AJ176" s="136">
        <f t="shared" ca="1" si="37"/>
        <v>1.5652392523364486E-3</v>
      </c>
      <c r="AK176" s="136">
        <f t="shared" ca="1" si="38"/>
        <v>1.3700934579439251E-3</v>
      </c>
      <c r="AL176" s="136">
        <f t="shared" ca="1" si="39"/>
        <v>8.084728971962617E-4</v>
      </c>
      <c r="AN176" s="74">
        <v>535</v>
      </c>
      <c r="AO176" s="136">
        <f t="shared" ca="1" si="40"/>
        <v>3.7992864836907691E-3</v>
      </c>
      <c r="AP176" s="136">
        <f t="shared" ca="1" si="41"/>
        <v>0.99171386174437304</v>
      </c>
      <c r="AQ176" s="136">
        <f t="shared" ca="1" si="42"/>
        <v>0.8870399251840746</v>
      </c>
      <c r="AR176" s="136">
        <f t="shared" ca="1" si="43"/>
        <v>0.69260491755640752</v>
      </c>
      <c r="AS176" s="136">
        <f t="shared" ca="1" si="44"/>
        <v>0.39532225576526009</v>
      </c>
    </row>
    <row r="177" spans="9:45" ht="15" hidden="1" customHeight="1" x14ac:dyDescent="0.2">
      <c r="I177" s="74">
        <v>536</v>
      </c>
      <c r="J177" s="137">
        <v>0.92373479999999997</v>
      </c>
      <c r="L177" s="74">
        <v>536</v>
      </c>
      <c r="M177" s="137">
        <v>4.1390799999999998E-3</v>
      </c>
      <c r="N177" s="137">
        <v>0.98562899999999998</v>
      </c>
      <c r="O177" s="137">
        <v>0.848078</v>
      </c>
      <c r="P177" s="136">
        <v>0.71699999999999997</v>
      </c>
      <c r="Q177" s="137">
        <v>0.41586200000000001</v>
      </c>
      <c r="S177" s="74">
        <v>536</v>
      </c>
      <c r="T177" s="137">
        <v>1.4495593447223616E-3</v>
      </c>
      <c r="U177" s="137">
        <v>0.98440996197231734</v>
      </c>
      <c r="V177" s="137">
        <v>0.81422418849319034</v>
      </c>
      <c r="W177" s="136">
        <v>0.82425387967926078</v>
      </c>
      <c r="X177" s="137">
        <v>0.41581964183456555</v>
      </c>
      <c r="Z177" s="74">
        <v>536</v>
      </c>
      <c r="AA177" s="137">
        <f t="shared" ca="1" si="30"/>
        <v>4.1390799999999998E-3</v>
      </c>
      <c r="AB177" s="137">
        <f t="shared" ca="1" si="31"/>
        <v>0.98562899999999998</v>
      </c>
      <c r="AC177" s="137">
        <f t="shared" ca="1" si="32"/>
        <v>0.848078</v>
      </c>
      <c r="AD177" s="137">
        <f t="shared" ca="1" si="33"/>
        <v>0.71699999999999997</v>
      </c>
      <c r="AE177" s="137">
        <f t="shared" ca="1" si="34"/>
        <v>0.41586200000000001</v>
      </c>
      <c r="AG177" s="74">
        <v>536</v>
      </c>
      <c r="AH177" s="136">
        <f t="shared" ca="1" si="35"/>
        <v>7.7221641791044766E-6</v>
      </c>
      <c r="AI177" s="136">
        <f t="shared" ca="1" si="36"/>
        <v>1.8388600746268656E-3</v>
      </c>
      <c r="AJ177" s="136">
        <f t="shared" ca="1" si="37"/>
        <v>1.5822350746268656E-3</v>
      </c>
      <c r="AK177" s="136">
        <f t="shared" ca="1" si="38"/>
        <v>1.3376865671641789E-3</v>
      </c>
      <c r="AL177" s="136">
        <f t="shared" ca="1" si="39"/>
        <v>7.7586194029850744E-4</v>
      </c>
      <c r="AN177" s="74">
        <v>536</v>
      </c>
      <c r="AO177" s="136">
        <f t="shared" ca="1" si="40"/>
        <v>3.4551312242974753E-3</v>
      </c>
      <c r="AP177" s="136">
        <f t="shared" ca="1" si="41"/>
        <v>0.99404707662341785</v>
      </c>
      <c r="AQ177" s="136">
        <f t="shared" ca="1" si="42"/>
        <v>0.89667166225585404</v>
      </c>
      <c r="AR177" s="136">
        <f t="shared" ca="1" si="43"/>
        <v>0.6762226979445799</v>
      </c>
      <c r="AS177" s="136">
        <f t="shared" ca="1" si="44"/>
        <v>0.37937634454400326</v>
      </c>
    </row>
    <row r="178" spans="9:45" ht="15" hidden="1" customHeight="1" x14ac:dyDescent="0.2">
      <c r="I178" s="74">
        <v>537</v>
      </c>
      <c r="J178" s="137">
        <v>0.93209240000000004</v>
      </c>
      <c r="L178" s="74">
        <v>537</v>
      </c>
      <c r="M178" s="137">
        <v>3.76794E-3</v>
      </c>
      <c r="N178" s="137">
        <v>0.98975400000000002</v>
      </c>
      <c r="O178" s="137">
        <v>0.85906400000000005</v>
      </c>
      <c r="P178" s="136">
        <v>0.7</v>
      </c>
      <c r="Q178" s="137">
        <v>0.399372</v>
      </c>
      <c r="S178" s="74">
        <v>537</v>
      </c>
      <c r="T178" s="137">
        <v>1.3177226166880592E-3</v>
      </c>
      <c r="U178" s="137">
        <v>0.98740426776968793</v>
      </c>
      <c r="V178" s="137">
        <v>0.82271800149909957</v>
      </c>
      <c r="W178" s="136">
        <v>0.81081168706439621</v>
      </c>
      <c r="X178" s="137">
        <v>0.39936407949754082</v>
      </c>
      <c r="Z178" s="74">
        <v>537</v>
      </c>
      <c r="AA178" s="137">
        <f t="shared" ca="1" si="30"/>
        <v>3.76794E-3</v>
      </c>
      <c r="AB178" s="137">
        <f t="shared" ca="1" si="31"/>
        <v>0.98975400000000002</v>
      </c>
      <c r="AC178" s="137">
        <f t="shared" ca="1" si="32"/>
        <v>0.85906400000000005</v>
      </c>
      <c r="AD178" s="137">
        <f t="shared" ca="1" si="33"/>
        <v>0.7</v>
      </c>
      <c r="AE178" s="137">
        <f t="shared" ca="1" si="34"/>
        <v>0.399372</v>
      </c>
      <c r="AG178" s="74">
        <v>537</v>
      </c>
      <c r="AH178" s="136">
        <f t="shared" ca="1" si="35"/>
        <v>7.0166480446927375E-6</v>
      </c>
      <c r="AI178" s="136">
        <f t="shared" ca="1" si="36"/>
        <v>1.8431173184357541E-3</v>
      </c>
      <c r="AJ178" s="136">
        <f t="shared" ca="1" si="37"/>
        <v>1.5997467411545624E-3</v>
      </c>
      <c r="AK178" s="136">
        <f t="shared" ca="1" si="38"/>
        <v>1.3035381750465549E-3</v>
      </c>
      <c r="AL178" s="136">
        <f t="shared" ca="1" si="39"/>
        <v>7.4370949720670393E-4</v>
      </c>
      <c r="AN178" s="74">
        <v>537</v>
      </c>
      <c r="AO178" s="136">
        <f t="shared" ca="1" si="40"/>
        <v>3.139461838266066E-3</v>
      </c>
      <c r="AP178" s="136">
        <f t="shared" ca="1" si="41"/>
        <v>0.99634844844669679</v>
      </c>
      <c r="AQ178" s="136">
        <f t="shared" ca="1" si="42"/>
        <v>0.90659573446615005</v>
      </c>
      <c r="AR178" s="136">
        <f t="shared" ca="1" si="43"/>
        <v>0.65896012058521924</v>
      </c>
      <c r="AS178" s="136">
        <f t="shared" ca="1" si="44"/>
        <v>0.36365463466913239</v>
      </c>
    </row>
    <row r="179" spans="9:45" ht="15" hidden="1" customHeight="1" x14ac:dyDescent="0.2">
      <c r="I179" s="74">
        <v>538</v>
      </c>
      <c r="J179" s="137">
        <v>0.93992260000000005</v>
      </c>
      <c r="L179" s="74">
        <v>538</v>
      </c>
      <c r="M179" s="137">
        <v>3.4278300000000002E-3</v>
      </c>
      <c r="N179" s="137">
        <v>0.99355099999999996</v>
      </c>
      <c r="O179" s="137">
        <v>0.87006799999999995</v>
      </c>
      <c r="P179" s="136">
        <v>0.68300000000000005</v>
      </c>
      <c r="Q179" s="137">
        <v>0.38313599999999998</v>
      </c>
      <c r="S179" s="74">
        <v>538</v>
      </c>
      <c r="T179" s="137">
        <v>1.1982294791213412E-3</v>
      </c>
      <c r="U179" s="137">
        <v>0.99007250495400767</v>
      </c>
      <c r="V179" s="137">
        <v>0.83108989141785528</v>
      </c>
      <c r="W179" s="136">
        <v>0.79697371837547715</v>
      </c>
      <c r="X179" s="137">
        <v>0.38318279419075446</v>
      </c>
      <c r="Z179" s="74">
        <v>538</v>
      </c>
      <c r="AA179" s="137">
        <f t="shared" ca="1" si="30"/>
        <v>3.4278300000000002E-3</v>
      </c>
      <c r="AB179" s="137">
        <f t="shared" ca="1" si="31"/>
        <v>0.99355099999999996</v>
      </c>
      <c r="AC179" s="137">
        <f t="shared" ca="1" si="32"/>
        <v>0.87006799999999995</v>
      </c>
      <c r="AD179" s="137">
        <f t="shared" ca="1" si="33"/>
        <v>0.68300000000000005</v>
      </c>
      <c r="AE179" s="137">
        <f t="shared" ca="1" si="34"/>
        <v>0.38313599999999998</v>
      </c>
      <c r="AG179" s="74">
        <v>538</v>
      </c>
      <c r="AH179" s="136">
        <f t="shared" ca="1" si="35"/>
        <v>6.3714312267658E-6</v>
      </c>
      <c r="AI179" s="136">
        <f t="shared" ca="1" si="36"/>
        <v>1.8467490706319703E-3</v>
      </c>
      <c r="AJ179" s="136">
        <f t="shared" ca="1" si="37"/>
        <v>1.6172267657992565E-3</v>
      </c>
      <c r="AK179" s="136">
        <f t="shared" ca="1" si="38"/>
        <v>1.2695167286245353E-3</v>
      </c>
      <c r="AL179" s="136">
        <f t="shared" ca="1" si="39"/>
        <v>7.1214869888475835E-4</v>
      </c>
      <c r="AN179" s="74">
        <v>538</v>
      </c>
      <c r="AO179" s="136">
        <f t="shared" ca="1" si="40"/>
        <v>2.8507722012218882E-3</v>
      </c>
      <c r="AP179" s="136">
        <f t="shared" ca="1" si="41"/>
        <v>0.99831169334144598</v>
      </c>
      <c r="AQ179" s="136">
        <f t="shared" ca="1" si="42"/>
        <v>0.91650187484047307</v>
      </c>
      <c r="AR179" s="136">
        <f t="shared" ca="1" si="43"/>
        <v>0.64176171637589352</v>
      </c>
      <c r="AS179" s="136">
        <f t="shared" ca="1" si="44"/>
        <v>0.34822222372542311</v>
      </c>
    </row>
    <row r="180" spans="9:45" ht="15" hidden="1" customHeight="1" x14ac:dyDescent="0.2">
      <c r="I180" s="74">
        <v>539</v>
      </c>
      <c r="J180" s="137">
        <v>0.94722519999999999</v>
      </c>
      <c r="L180" s="74">
        <v>539</v>
      </c>
      <c r="M180" s="137">
        <v>3.1169600000000002E-3</v>
      </c>
      <c r="N180" s="137">
        <v>0.99671399999999999</v>
      </c>
      <c r="O180" s="137">
        <v>0.88077899999999998</v>
      </c>
      <c r="P180" s="136">
        <v>0.66700000000000004</v>
      </c>
      <c r="Q180" s="137">
        <v>0.36722399999999999</v>
      </c>
      <c r="S180" s="74">
        <v>539</v>
      </c>
      <c r="T180" s="137">
        <v>1.0898958527078254E-3</v>
      </c>
      <c r="U180" s="137">
        <v>0.99240512865863595</v>
      </c>
      <c r="V180" s="137">
        <v>0.83933822088422583</v>
      </c>
      <c r="W180" s="136">
        <v>0.78275707192659405</v>
      </c>
      <c r="X180" s="137">
        <v>0.36729244902329167</v>
      </c>
      <c r="Z180" s="74">
        <v>539</v>
      </c>
      <c r="AA180" s="137">
        <f t="shared" ca="1" si="30"/>
        <v>3.1169600000000002E-3</v>
      </c>
      <c r="AB180" s="137">
        <f t="shared" ca="1" si="31"/>
        <v>0.99671399999999999</v>
      </c>
      <c r="AC180" s="137">
        <f t="shared" ca="1" si="32"/>
        <v>0.88077899999999998</v>
      </c>
      <c r="AD180" s="137">
        <f t="shared" ca="1" si="33"/>
        <v>0.66700000000000004</v>
      </c>
      <c r="AE180" s="137">
        <f t="shared" ca="1" si="34"/>
        <v>0.36722399999999999</v>
      </c>
      <c r="AG180" s="74">
        <v>539</v>
      </c>
      <c r="AH180" s="136">
        <f t="shared" ca="1" si="35"/>
        <v>5.782857142857143E-6</v>
      </c>
      <c r="AI180" s="136">
        <f t="shared" ca="1" si="36"/>
        <v>1.8491910946196661E-3</v>
      </c>
      <c r="AJ180" s="136">
        <f t="shared" ca="1" si="37"/>
        <v>1.6340983302411873E-3</v>
      </c>
      <c r="AK180" s="136">
        <f t="shared" ca="1" si="38"/>
        <v>1.2374768089053803E-3</v>
      </c>
      <c r="AL180" s="136">
        <f t="shared" ca="1" si="39"/>
        <v>6.8130612244897957E-4</v>
      </c>
      <c r="AN180" s="74">
        <v>539</v>
      </c>
      <c r="AO180" s="136">
        <f t="shared" ca="1" si="40"/>
        <v>2.5874262469066673E-3</v>
      </c>
      <c r="AP180" s="136">
        <f t="shared" ca="1" si="41"/>
        <v>0.9996317974861324</v>
      </c>
      <c r="AQ180" s="136">
        <f t="shared" ca="1" si="42"/>
        <v>0.92606319349381572</v>
      </c>
      <c r="AR180" s="136">
        <f t="shared" ca="1" si="43"/>
        <v>0.62556500670843695</v>
      </c>
      <c r="AS180" s="136">
        <f t="shared" ca="1" si="44"/>
        <v>0.33314100463633761</v>
      </c>
    </row>
    <row r="181" spans="9:45" ht="15" hidden="1" customHeight="1" x14ac:dyDescent="0.2">
      <c r="I181" s="74">
        <v>540</v>
      </c>
      <c r="J181" s="137">
        <v>0.95399999999999996</v>
      </c>
      <c r="L181" s="74">
        <v>540</v>
      </c>
      <c r="M181" s="137">
        <v>2.83352E-3</v>
      </c>
      <c r="N181" s="137">
        <v>0.99893100000000001</v>
      </c>
      <c r="O181" s="137">
        <v>0.89087099999999997</v>
      </c>
      <c r="P181" s="136">
        <v>0.65</v>
      </c>
      <c r="Q181" s="137">
        <v>0.35170699999999999</v>
      </c>
      <c r="S181" s="74">
        <v>540</v>
      </c>
      <c r="T181" s="137">
        <v>9.9165818309597314E-4</v>
      </c>
      <c r="U181" s="137">
        <v>0.99439286618859746</v>
      </c>
      <c r="V181" s="137">
        <v>0.84745373869772533</v>
      </c>
      <c r="W181" s="136">
        <v>0.76818177609937677</v>
      </c>
      <c r="X181" s="137">
        <v>0.35170699017193663</v>
      </c>
      <c r="Z181" s="74">
        <v>540</v>
      </c>
      <c r="AA181" s="137">
        <f t="shared" ca="1" si="30"/>
        <v>2.83352E-3</v>
      </c>
      <c r="AB181" s="137">
        <f t="shared" ca="1" si="31"/>
        <v>0.99893100000000001</v>
      </c>
      <c r="AC181" s="137">
        <f t="shared" ca="1" si="32"/>
        <v>0.89087099999999997</v>
      </c>
      <c r="AD181" s="137">
        <f t="shared" ca="1" si="33"/>
        <v>0.65</v>
      </c>
      <c r="AE181" s="137">
        <f t="shared" ca="1" si="34"/>
        <v>0.35170699999999999</v>
      </c>
      <c r="AG181" s="74">
        <v>540</v>
      </c>
      <c r="AH181" s="136">
        <f t="shared" ca="1" si="35"/>
        <v>5.2472592592592593E-6</v>
      </c>
      <c r="AI181" s="136">
        <f t="shared" ca="1" si="36"/>
        <v>1.8498722222222222E-3</v>
      </c>
      <c r="AJ181" s="136">
        <f t="shared" ca="1" si="37"/>
        <v>1.649761111111111E-3</v>
      </c>
      <c r="AK181" s="136">
        <f t="shared" ca="1" si="38"/>
        <v>1.2037037037037038E-3</v>
      </c>
      <c r="AL181" s="136">
        <f t="shared" ca="1" si="39"/>
        <v>6.5130925925925922E-4</v>
      </c>
      <c r="AN181" s="74">
        <v>540</v>
      </c>
      <c r="AO181" s="136">
        <f t="shared" ca="1" si="40"/>
        <v>2.3477834565741136E-3</v>
      </c>
      <c r="AP181" s="136">
        <f t="shared" ca="1" si="41"/>
        <v>1</v>
      </c>
      <c r="AQ181" s="136">
        <f t="shared" ca="1" si="42"/>
        <v>0.93493947994669679</v>
      </c>
      <c r="AR181" s="136">
        <f t="shared" ca="1" si="43"/>
        <v>0.60849214309595456</v>
      </c>
      <c r="AS181" s="136">
        <f t="shared" ca="1" si="44"/>
        <v>0.31847331736671297</v>
      </c>
    </row>
    <row r="182" spans="9:45" ht="15" hidden="1" customHeight="1" x14ac:dyDescent="0.2">
      <c r="I182" s="74">
        <v>541</v>
      </c>
      <c r="J182" s="137">
        <v>0.96025609999999995</v>
      </c>
      <c r="L182" s="74">
        <v>541</v>
      </c>
      <c r="M182" s="137">
        <v>2.5755600000000002E-3</v>
      </c>
      <c r="N182" s="137">
        <v>0.999942</v>
      </c>
      <c r="O182" s="137">
        <v>0.900057</v>
      </c>
      <c r="P182" s="136">
        <v>0.63300000000000001</v>
      </c>
      <c r="Q182" s="137">
        <v>0.33653699999999998</v>
      </c>
      <c r="S182" s="74">
        <v>541</v>
      </c>
      <c r="T182" s="137">
        <v>9.0275728136525988E-4</v>
      </c>
      <c r="U182" s="137">
        <v>0.99625840873050542</v>
      </c>
      <c r="V182" s="137">
        <v>0.85563196356450022</v>
      </c>
      <c r="W182" s="136">
        <v>0.75344230199121598</v>
      </c>
      <c r="X182" s="137">
        <v>0.33651854306645868</v>
      </c>
      <c r="Z182" s="74">
        <v>541</v>
      </c>
      <c r="AA182" s="137">
        <f t="shared" ca="1" si="30"/>
        <v>2.5755600000000002E-3</v>
      </c>
      <c r="AB182" s="137">
        <f t="shared" ca="1" si="31"/>
        <v>0.999942</v>
      </c>
      <c r="AC182" s="137">
        <f t="shared" ca="1" si="32"/>
        <v>0.900057</v>
      </c>
      <c r="AD182" s="137">
        <f t="shared" ca="1" si="33"/>
        <v>0.63300000000000001</v>
      </c>
      <c r="AE182" s="137">
        <f t="shared" ca="1" si="34"/>
        <v>0.33653699999999998</v>
      </c>
      <c r="AG182" s="74">
        <v>541</v>
      </c>
      <c r="AH182" s="136">
        <f t="shared" ca="1" si="35"/>
        <v>4.7607393715341964E-6</v>
      </c>
      <c r="AI182" s="136">
        <f t="shared" ca="1" si="36"/>
        <v>1.8483216266173752E-3</v>
      </c>
      <c r="AJ182" s="136">
        <f t="shared" ca="1" si="37"/>
        <v>1.6636913123844732E-3</v>
      </c>
      <c r="AK182" s="136">
        <f t="shared" ca="1" si="38"/>
        <v>1.1700554528650648E-3</v>
      </c>
      <c r="AL182" s="136">
        <f t="shared" ca="1" si="39"/>
        <v>6.2206469500924208E-4</v>
      </c>
      <c r="AN182" s="74">
        <v>541</v>
      </c>
      <c r="AO182" s="136">
        <f t="shared" ca="1" si="40"/>
        <v>2.1300996549438421E-3</v>
      </c>
      <c r="AP182" s="136">
        <f t="shared" ca="1" si="41"/>
        <v>0.99916178231868125</v>
      </c>
      <c r="AQ182" s="136">
        <f t="shared" ca="1" si="42"/>
        <v>0.94283389268703499</v>
      </c>
      <c r="AR182" s="136">
        <f t="shared" ca="1" si="43"/>
        <v>0.59148239543028347</v>
      </c>
      <c r="AS182" s="136">
        <f t="shared" ca="1" si="44"/>
        <v>0.30417348474612438</v>
      </c>
    </row>
    <row r="183" spans="9:45" ht="15" hidden="1" customHeight="1" x14ac:dyDescent="0.2">
      <c r="I183" s="74">
        <v>542</v>
      </c>
      <c r="J183" s="137">
        <v>0.96600739999999996</v>
      </c>
      <c r="L183" s="74">
        <v>542</v>
      </c>
      <c r="M183" s="137">
        <v>2.3408399999999998E-3</v>
      </c>
      <c r="N183" s="137">
        <v>0.99969200000000003</v>
      </c>
      <c r="O183" s="137">
        <v>0.90825299999999998</v>
      </c>
      <c r="P183" s="136">
        <v>0.61599999999999999</v>
      </c>
      <c r="Q183" s="137">
        <v>0.32164700000000002</v>
      </c>
      <c r="S183" s="74">
        <v>542</v>
      </c>
      <c r="T183" s="137">
        <v>8.2207605786287262E-4</v>
      </c>
      <c r="U183" s="137">
        <v>0.99775979513215918</v>
      </c>
      <c r="V183" s="137">
        <v>0.86367231794459687</v>
      </c>
      <c r="W183" s="136">
        <v>0.73838182814748388</v>
      </c>
      <c r="X183" s="137">
        <v>0.32165551346612192</v>
      </c>
      <c r="Z183" s="74">
        <v>542</v>
      </c>
      <c r="AA183" s="137">
        <f t="shared" ca="1" si="30"/>
        <v>2.3408399999999998E-3</v>
      </c>
      <c r="AB183" s="137">
        <f t="shared" ca="1" si="31"/>
        <v>0.99969200000000003</v>
      </c>
      <c r="AC183" s="137">
        <f t="shared" ca="1" si="32"/>
        <v>0.90825299999999998</v>
      </c>
      <c r="AD183" s="137">
        <f t="shared" ca="1" si="33"/>
        <v>0.61599999999999999</v>
      </c>
      <c r="AE183" s="137">
        <f t="shared" ca="1" si="34"/>
        <v>0.32164700000000002</v>
      </c>
      <c r="AG183" s="74">
        <v>542</v>
      </c>
      <c r="AH183" s="136">
        <f t="shared" ca="1" si="35"/>
        <v>4.3188929889298887E-6</v>
      </c>
      <c r="AI183" s="136">
        <f t="shared" ca="1" si="36"/>
        <v>1.8444501845018451E-3</v>
      </c>
      <c r="AJ183" s="136">
        <f t="shared" ca="1" si="37"/>
        <v>1.6757435424354242E-3</v>
      </c>
      <c r="AK183" s="136">
        <f t="shared" ca="1" si="38"/>
        <v>1.1365313653136531E-3</v>
      </c>
      <c r="AL183" s="136">
        <f t="shared" ca="1" si="39"/>
        <v>5.9344464944649446E-4</v>
      </c>
      <c r="AN183" s="74">
        <v>542</v>
      </c>
      <c r="AO183" s="136">
        <f t="shared" ca="1" si="40"/>
        <v>1.9324041388332179E-3</v>
      </c>
      <c r="AP183" s="136">
        <f t="shared" ca="1" si="41"/>
        <v>0.99706896635603093</v>
      </c>
      <c r="AQ183" s="136">
        <f t="shared" ca="1" si="42"/>
        <v>0.94966403653037301</v>
      </c>
      <c r="AR183" s="136">
        <f t="shared" ca="1" si="43"/>
        <v>0.57453541436116462</v>
      </c>
      <c r="AS183" s="136">
        <f t="shared" ca="1" si="44"/>
        <v>0.29017902554878244</v>
      </c>
    </row>
    <row r="184" spans="9:45" ht="15" hidden="1" customHeight="1" x14ac:dyDescent="0.2">
      <c r="I184" s="74">
        <v>543</v>
      </c>
      <c r="J184" s="137">
        <v>0.97126060000000003</v>
      </c>
      <c r="L184" s="74">
        <v>543</v>
      </c>
      <c r="M184" s="137">
        <v>2.12722E-3</v>
      </c>
      <c r="N184" s="137">
        <v>0.99817800000000001</v>
      </c>
      <c r="O184" s="137">
        <v>0.91543300000000005</v>
      </c>
      <c r="P184" s="136">
        <v>0.59899999999999998</v>
      </c>
      <c r="Q184" s="137">
        <v>0.307085</v>
      </c>
      <c r="S184" s="74">
        <v>543</v>
      </c>
      <c r="T184" s="137">
        <v>7.4883649180949266E-4</v>
      </c>
      <c r="U184" s="137">
        <v>0.99888846960813704</v>
      </c>
      <c r="V184" s="137">
        <v>0.87157346558808746</v>
      </c>
      <c r="W184" s="136">
        <v>0.72301948256403337</v>
      </c>
      <c r="X184" s="137">
        <v>0.3071298304492468</v>
      </c>
      <c r="Z184" s="74">
        <v>543</v>
      </c>
      <c r="AA184" s="137">
        <f t="shared" ca="1" si="30"/>
        <v>2.12722E-3</v>
      </c>
      <c r="AB184" s="137">
        <f t="shared" ca="1" si="31"/>
        <v>0.99817800000000001</v>
      </c>
      <c r="AC184" s="137">
        <f t="shared" ca="1" si="32"/>
        <v>0.91543300000000005</v>
      </c>
      <c r="AD184" s="137">
        <f t="shared" ca="1" si="33"/>
        <v>0.59899999999999998</v>
      </c>
      <c r="AE184" s="137">
        <f t="shared" ca="1" si="34"/>
        <v>0.307085</v>
      </c>
      <c r="AG184" s="74">
        <v>543</v>
      </c>
      <c r="AH184" s="136">
        <f t="shared" ca="1" si="35"/>
        <v>3.9175322283609578E-6</v>
      </c>
      <c r="AI184" s="136">
        <f t="shared" ca="1" si="36"/>
        <v>1.8382651933701658E-3</v>
      </c>
      <c r="AJ184" s="136">
        <f t="shared" ca="1" si="37"/>
        <v>1.6858802946593003E-3</v>
      </c>
      <c r="AK184" s="136">
        <f t="shared" ca="1" si="38"/>
        <v>1.1031307550644566E-3</v>
      </c>
      <c r="AL184" s="136">
        <f t="shared" ca="1" si="39"/>
        <v>5.6553406998158381E-4</v>
      </c>
      <c r="AN184" s="74">
        <v>543</v>
      </c>
      <c r="AO184" s="136">
        <f t="shared" ca="1" si="40"/>
        <v>1.7528231219206358E-3</v>
      </c>
      <c r="AP184" s="136">
        <f t="shared" ca="1" si="41"/>
        <v>0.99372549697615709</v>
      </c>
      <c r="AQ184" s="136">
        <f t="shared" ca="1" si="42"/>
        <v>0.95540865603237857</v>
      </c>
      <c r="AR184" s="136">
        <f t="shared" ca="1" si="43"/>
        <v>0.55765085311182161</v>
      </c>
      <c r="AS184" s="136">
        <f t="shared" ca="1" si="44"/>
        <v>0.27653147685290386</v>
      </c>
    </row>
    <row r="185" spans="9:45" ht="15" hidden="1" customHeight="1" x14ac:dyDescent="0.2">
      <c r="I185" s="74">
        <v>544</v>
      </c>
      <c r="J185" s="137">
        <v>0.97602250000000002</v>
      </c>
      <c r="L185" s="74">
        <v>544</v>
      </c>
      <c r="M185" s="137">
        <v>1.9327599999999999E-3</v>
      </c>
      <c r="N185" s="137">
        <v>0.99540499999999998</v>
      </c>
      <c r="O185" s="137">
        <v>0.92157500000000003</v>
      </c>
      <c r="P185" s="136">
        <v>0.58099999999999996</v>
      </c>
      <c r="Q185" s="137">
        <v>0.29289900000000002</v>
      </c>
      <c r="S185" s="74">
        <v>544</v>
      </c>
      <c r="T185" s="137">
        <v>6.8233398072923234E-4</v>
      </c>
      <c r="U185" s="137">
        <v>0.99963855947576985</v>
      </c>
      <c r="V185" s="137">
        <v>0.87932617288895831</v>
      </c>
      <c r="W185" s="136">
        <v>0.70738036372174184</v>
      </c>
      <c r="X185" s="137">
        <v>0.29295303387525928</v>
      </c>
      <c r="Z185" s="74">
        <v>544</v>
      </c>
      <c r="AA185" s="137">
        <f t="shared" ca="1" si="30"/>
        <v>1.9327599999999999E-3</v>
      </c>
      <c r="AB185" s="137">
        <f t="shared" ca="1" si="31"/>
        <v>0.99540499999999998</v>
      </c>
      <c r="AC185" s="137">
        <f t="shared" ca="1" si="32"/>
        <v>0.92157500000000003</v>
      </c>
      <c r="AD185" s="137">
        <f t="shared" ca="1" si="33"/>
        <v>0.58099999999999996</v>
      </c>
      <c r="AE185" s="137">
        <f t="shared" ca="1" si="34"/>
        <v>0.29289900000000002</v>
      </c>
      <c r="AG185" s="74">
        <v>544</v>
      </c>
      <c r="AH185" s="136">
        <f t="shared" ca="1" si="35"/>
        <v>3.5528676470588234E-6</v>
      </c>
      <c r="AI185" s="136">
        <f t="shared" ca="1" si="36"/>
        <v>1.8297886029411765E-3</v>
      </c>
      <c r="AJ185" s="136">
        <f t="shared" ca="1" si="37"/>
        <v>1.6940716911764706E-3</v>
      </c>
      <c r="AK185" s="136">
        <f t="shared" ca="1" si="38"/>
        <v>1.0680147058823529E-3</v>
      </c>
      <c r="AL185" s="136">
        <f t="shared" ca="1" si="39"/>
        <v>5.3841727941176479E-4</v>
      </c>
      <c r="AN185" s="74">
        <v>544</v>
      </c>
      <c r="AO185" s="136">
        <f t="shared" ca="1" si="40"/>
        <v>1.5896610922059963E-3</v>
      </c>
      <c r="AP185" s="136">
        <f t="shared" ca="1" si="41"/>
        <v>0.98914323971148688</v>
      </c>
      <c r="AQ185" s="136">
        <f t="shared" ca="1" si="42"/>
        <v>0.96005081903902278</v>
      </c>
      <c r="AR185" s="136">
        <f t="shared" ca="1" si="43"/>
        <v>0.5398991090919818</v>
      </c>
      <c r="AS185" s="136">
        <f t="shared" ca="1" si="44"/>
        <v>0.26327207031701266</v>
      </c>
    </row>
    <row r="186" spans="9:45" ht="15" hidden="1" customHeight="1" x14ac:dyDescent="0.2">
      <c r="I186" s="74">
        <v>545</v>
      </c>
      <c r="J186" s="137">
        <v>0.98029999999999995</v>
      </c>
      <c r="L186" s="74">
        <v>545</v>
      </c>
      <c r="M186" s="137">
        <v>1.7557300000000001E-3</v>
      </c>
      <c r="N186" s="137">
        <v>0.99138300000000001</v>
      </c>
      <c r="O186" s="137">
        <v>0.92666000000000004</v>
      </c>
      <c r="P186" s="136">
        <v>0.56399999999999995</v>
      </c>
      <c r="Q186" s="137">
        <v>0.27913500000000002</v>
      </c>
      <c r="S186" s="74">
        <v>545</v>
      </c>
      <c r="T186" s="137">
        <v>6.2192927487553467E-4</v>
      </c>
      <c r="U186" s="137">
        <v>1</v>
      </c>
      <c r="V186" s="137">
        <v>0.88692725328912225</v>
      </c>
      <c r="W186" s="136">
        <v>0.69148696854127023</v>
      </c>
      <c r="X186" s="137">
        <v>0.27913545316485583</v>
      </c>
      <c r="Z186" s="74">
        <v>545</v>
      </c>
      <c r="AA186" s="137">
        <f t="shared" ca="1" si="30"/>
        <v>1.7557300000000001E-3</v>
      </c>
      <c r="AB186" s="137">
        <f t="shared" ca="1" si="31"/>
        <v>0.99138300000000001</v>
      </c>
      <c r="AC186" s="137">
        <f t="shared" ca="1" si="32"/>
        <v>0.92666000000000004</v>
      </c>
      <c r="AD186" s="137">
        <f t="shared" ca="1" si="33"/>
        <v>0.56399999999999995</v>
      </c>
      <c r="AE186" s="137">
        <f t="shared" ca="1" si="34"/>
        <v>0.27913500000000002</v>
      </c>
      <c r="AG186" s="74">
        <v>545</v>
      </c>
      <c r="AH186" s="136">
        <f t="shared" ca="1" si="35"/>
        <v>3.2215229357798165E-6</v>
      </c>
      <c r="AI186" s="136">
        <f t="shared" ca="1" si="36"/>
        <v>1.819051376146789E-3</v>
      </c>
      <c r="AJ186" s="136">
        <f t="shared" ca="1" si="37"/>
        <v>1.7002935779816515E-3</v>
      </c>
      <c r="AK186" s="136">
        <f t="shared" ca="1" si="38"/>
        <v>1.0348623853211009E-3</v>
      </c>
      <c r="AL186" s="136">
        <f t="shared" ca="1" si="39"/>
        <v>5.1217431192660554E-4</v>
      </c>
      <c r="AN186" s="74">
        <v>545</v>
      </c>
      <c r="AO186" s="136">
        <f t="shared" ca="1" si="40"/>
        <v>1.4414073861991016E-3</v>
      </c>
      <c r="AP186" s="136">
        <f t="shared" ca="1" si="41"/>
        <v>0.98333893243804238</v>
      </c>
      <c r="AQ186" s="136">
        <f t="shared" ca="1" si="42"/>
        <v>0.96357683718476839</v>
      </c>
      <c r="AR186" s="136">
        <f t="shared" ca="1" si="43"/>
        <v>0.52314006238900179</v>
      </c>
      <c r="AS186" s="136">
        <f t="shared" ca="1" si="44"/>
        <v>0.25043994058182245</v>
      </c>
    </row>
    <row r="187" spans="9:45" ht="15" hidden="1" customHeight="1" x14ac:dyDescent="0.2">
      <c r="I187" s="74">
        <v>546</v>
      </c>
      <c r="J187" s="137">
        <v>0.98409239999999998</v>
      </c>
      <c r="L187" s="74">
        <v>546</v>
      </c>
      <c r="M187" s="137">
        <v>1.5945499999999999E-3</v>
      </c>
      <c r="N187" s="137">
        <v>0.98619900000000005</v>
      </c>
      <c r="O187" s="137">
        <v>0.93074400000000002</v>
      </c>
      <c r="P187" s="136">
        <v>0.54800000000000004</v>
      </c>
      <c r="Q187" s="137">
        <v>0.265737</v>
      </c>
      <c r="S187" s="74">
        <v>546</v>
      </c>
      <c r="T187" s="137">
        <v>5.6704953677365149E-4</v>
      </c>
      <c r="U187" s="137">
        <v>0.99996315931714685</v>
      </c>
      <c r="V187" s="137">
        <v>0.8943715997652244</v>
      </c>
      <c r="W187" s="136">
        <v>0.67536414457952287</v>
      </c>
      <c r="X187" s="137">
        <v>0.26568558987654917</v>
      </c>
      <c r="Z187" s="74">
        <v>546</v>
      </c>
      <c r="AA187" s="137">
        <f t="shared" ca="1" si="30"/>
        <v>1.5945499999999999E-3</v>
      </c>
      <c r="AB187" s="137">
        <f t="shared" ca="1" si="31"/>
        <v>0.98619900000000005</v>
      </c>
      <c r="AC187" s="137">
        <f t="shared" ca="1" si="32"/>
        <v>0.93074400000000002</v>
      </c>
      <c r="AD187" s="137">
        <f t="shared" ca="1" si="33"/>
        <v>0.54800000000000004</v>
      </c>
      <c r="AE187" s="137">
        <f t="shared" ca="1" si="34"/>
        <v>0.265737</v>
      </c>
      <c r="AG187" s="74">
        <v>546</v>
      </c>
      <c r="AH187" s="136">
        <f t="shared" ca="1" si="35"/>
        <v>2.9204212454212451E-6</v>
      </c>
      <c r="AI187" s="136">
        <f t="shared" ca="1" si="36"/>
        <v>1.8062252747252747E-3</v>
      </c>
      <c r="AJ187" s="136">
        <f t="shared" ca="1" si="37"/>
        <v>1.7046593406593407E-3</v>
      </c>
      <c r="AK187" s="136">
        <f t="shared" ca="1" si="38"/>
        <v>1.0036630036630038E-3</v>
      </c>
      <c r="AL187" s="136">
        <f t="shared" ca="1" si="39"/>
        <v>4.8669780219780218E-4</v>
      </c>
      <c r="AN187" s="74">
        <v>546</v>
      </c>
      <c r="AO187" s="136">
        <f t="shared" ca="1" si="40"/>
        <v>1.3066853279888218E-3</v>
      </c>
      <c r="AP187" s="136">
        <f t="shared" ca="1" si="41"/>
        <v>0.97640542575177702</v>
      </c>
      <c r="AQ187" s="136">
        <f t="shared" ca="1" si="42"/>
        <v>0.96605096744517938</v>
      </c>
      <c r="AR187" s="136">
        <f t="shared" ca="1" si="43"/>
        <v>0.50736825862201995</v>
      </c>
      <c r="AS187" s="136">
        <f t="shared" ca="1" si="44"/>
        <v>0.23798258878939593</v>
      </c>
    </row>
    <row r="188" spans="9:45" ht="15" hidden="1" customHeight="1" x14ac:dyDescent="0.2">
      <c r="I188" s="74">
        <v>547</v>
      </c>
      <c r="J188" s="137">
        <v>0.98741820000000002</v>
      </c>
      <c r="L188" s="74">
        <v>547</v>
      </c>
      <c r="M188" s="137">
        <v>1.44783E-3</v>
      </c>
      <c r="N188" s="137">
        <v>0.98022900000000002</v>
      </c>
      <c r="O188" s="137">
        <v>0.93415999999999999</v>
      </c>
      <c r="P188" s="136">
        <v>0.53100000000000003</v>
      </c>
      <c r="Q188" s="137">
        <v>0.25264799999999998</v>
      </c>
      <c r="S188" s="74">
        <v>547</v>
      </c>
      <c r="T188" s="137">
        <v>5.1717318620988269E-4</v>
      </c>
      <c r="U188" s="137">
        <v>0.99952117697300957</v>
      </c>
      <c r="V188" s="137">
        <v>0.90165210306749211</v>
      </c>
      <c r="W188" s="136">
        <v>0.65903730703893937</v>
      </c>
      <c r="X188" s="137">
        <v>0.25261317652995391</v>
      </c>
      <c r="Z188" s="74">
        <v>547</v>
      </c>
      <c r="AA188" s="137">
        <f t="shared" ca="1" si="30"/>
        <v>1.44783E-3</v>
      </c>
      <c r="AB188" s="137">
        <f t="shared" ca="1" si="31"/>
        <v>0.98022900000000002</v>
      </c>
      <c r="AC188" s="137">
        <f t="shared" ca="1" si="32"/>
        <v>0.93415999999999999</v>
      </c>
      <c r="AD188" s="137">
        <f t="shared" ca="1" si="33"/>
        <v>0.53100000000000003</v>
      </c>
      <c r="AE188" s="137">
        <f t="shared" ca="1" si="34"/>
        <v>0.25264799999999998</v>
      </c>
      <c r="AG188" s="74">
        <v>547</v>
      </c>
      <c r="AH188" s="136">
        <f t="shared" ca="1" si="35"/>
        <v>2.646855575868373E-6</v>
      </c>
      <c r="AI188" s="136">
        <f t="shared" ca="1" si="36"/>
        <v>1.7920091407678245E-3</v>
      </c>
      <c r="AJ188" s="136">
        <f t="shared" ca="1" si="37"/>
        <v>1.7077879341864716E-3</v>
      </c>
      <c r="AK188" s="136">
        <f t="shared" ca="1" si="38"/>
        <v>9.7074954296160886E-4</v>
      </c>
      <c r="AL188" s="136">
        <f t="shared" ca="1" si="39"/>
        <v>4.618793418647166E-4</v>
      </c>
      <c r="AN188" s="74">
        <v>547</v>
      </c>
      <c r="AO188" s="136">
        <f t="shared" ca="1" si="40"/>
        <v>1.1842837233550303E-3</v>
      </c>
      <c r="AP188" s="136">
        <f t="shared" ca="1" si="41"/>
        <v>0.96872049822723016</v>
      </c>
      <c r="AQ188" s="136">
        <f t="shared" ca="1" si="42"/>
        <v>0.96782397905608497</v>
      </c>
      <c r="AR188" s="136">
        <f t="shared" ca="1" si="43"/>
        <v>0.4907299595312446</v>
      </c>
      <c r="AS188" s="136">
        <f t="shared" ca="1" si="44"/>
        <v>0.22584700606606528</v>
      </c>
    </row>
    <row r="189" spans="9:45" ht="15" hidden="1" customHeight="1" x14ac:dyDescent="0.2">
      <c r="I189" s="74">
        <v>548</v>
      </c>
      <c r="J189" s="137">
        <v>0.99031279999999999</v>
      </c>
      <c r="L189" s="74">
        <v>548</v>
      </c>
      <c r="M189" s="137">
        <v>1.3143E-3</v>
      </c>
      <c r="N189" s="137">
        <v>0.97390600000000005</v>
      </c>
      <c r="O189" s="137">
        <v>0.93731799999999998</v>
      </c>
      <c r="P189" s="136">
        <v>0.51400000000000001</v>
      </c>
      <c r="Q189" s="137">
        <v>0.23991699999999999</v>
      </c>
      <c r="S189" s="74">
        <v>548</v>
      </c>
      <c r="T189" s="137">
        <v>4.7183266084982407E-4</v>
      </c>
      <c r="U189" s="137">
        <v>0.99866309251907071</v>
      </c>
      <c r="V189" s="137">
        <v>0.90876376049264351</v>
      </c>
      <c r="W189" s="136">
        <v>0.64253087308392098</v>
      </c>
      <c r="X189" s="137">
        <v>0.23992416940964331</v>
      </c>
      <c r="Z189" s="74">
        <v>548</v>
      </c>
      <c r="AA189" s="137">
        <f t="shared" ca="1" si="30"/>
        <v>1.3143E-3</v>
      </c>
      <c r="AB189" s="137">
        <f t="shared" ca="1" si="31"/>
        <v>0.97390600000000005</v>
      </c>
      <c r="AC189" s="137">
        <f t="shared" ca="1" si="32"/>
        <v>0.93731799999999998</v>
      </c>
      <c r="AD189" s="137">
        <f t="shared" ca="1" si="33"/>
        <v>0.51400000000000001</v>
      </c>
      <c r="AE189" s="137">
        <f t="shared" ca="1" si="34"/>
        <v>0.23991699999999999</v>
      </c>
      <c r="AG189" s="74">
        <v>548</v>
      </c>
      <c r="AH189" s="136">
        <f t="shared" ca="1" si="35"/>
        <v>2.3983576642335765E-6</v>
      </c>
      <c r="AI189" s="136">
        <f t="shared" ca="1" si="36"/>
        <v>1.7772007299270073E-3</v>
      </c>
      <c r="AJ189" s="136">
        <f t="shared" ca="1" si="37"/>
        <v>1.7104343065693431E-3</v>
      </c>
      <c r="AK189" s="136">
        <f t="shared" ca="1" si="38"/>
        <v>9.3795620437956209E-4</v>
      </c>
      <c r="AL189" s="136">
        <f t="shared" ca="1" si="39"/>
        <v>4.3780474452554741E-4</v>
      </c>
      <c r="AN189" s="74">
        <v>548</v>
      </c>
      <c r="AO189" s="136">
        <f t="shared" ca="1" si="40"/>
        <v>1.0730981963773237E-3</v>
      </c>
      <c r="AP189" s="136">
        <f t="shared" ca="1" si="41"/>
        <v>0.96071539892203162</v>
      </c>
      <c r="AQ189" s="136">
        <f t="shared" ca="1" si="42"/>
        <v>0.96932371014001184</v>
      </c>
      <c r="AR189" s="136">
        <f t="shared" ca="1" si="43"/>
        <v>0.47415238415977862</v>
      </c>
      <c r="AS189" s="136">
        <f t="shared" ca="1" si="44"/>
        <v>0.21407515303330948</v>
      </c>
    </row>
    <row r="190" spans="9:45" ht="15" hidden="1" customHeight="1" x14ac:dyDescent="0.2">
      <c r="I190" s="74">
        <v>549</v>
      </c>
      <c r="J190" s="137">
        <v>0.99281160000000002</v>
      </c>
      <c r="L190" s="74">
        <v>549</v>
      </c>
      <c r="M190" s="137">
        <v>1.1928100000000001E-3</v>
      </c>
      <c r="N190" s="137">
        <v>0.96765299999999999</v>
      </c>
      <c r="O190" s="137">
        <v>0.94063399999999997</v>
      </c>
      <c r="P190" s="136">
        <v>0.497</v>
      </c>
      <c r="Q190" s="137">
        <v>0.22759199999999999</v>
      </c>
      <c r="S190" s="74">
        <v>549</v>
      </c>
      <c r="T190" s="137">
        <v>4.3060195772008208E-4</v>
      </c>
      <c r="U190" s="137">
        <v>0.99738538482525141</v>
      </c>
      <c r="V190" s="137">
        <v>0.91570165687072747</v>
      </c>
      <c r="W190" s="136">
        <v>0.62586980560094085</v>
      </c>
      <c r="X190" s="137">
        <v>0.22762554571901431</v>
      </c>
      <c r="Z190" s="74">
        <v>549</v>
      </c>
      <c r="AA190" s="137">
        <f t="shared" ca="1" si="30"/>
        <v>1.1928100000000001E-3</v>
      </c>
      <c r="AB190" s="137">
        <f t="shared" ca="1" si="31"/>
        <v>0.96765299999999999</v>
      </c>
      <c r="AC190" s="137">
        <f t="shared" ca="1" si="32"/>
        <v>0.94063399999999997</v>
      </c>
      <c r="AD190" s="137">
        <f t="shared" ca="1" si="33"/>
        <v>0.497</v>
      </c>
      <c r="AE190" s="137">
        <f t="shared" ca="1" si="34"/>
        <v>0.22759199999999999</v>
      </c>
      <c r="AG190" s="74">
        <v>549</v>
      </c>
      <c r="AH190" s="136">
        <f t="shared" ca="1" si="35"/>
        <v>2.1726958105646633E-6</v>
      </c>
      <c r="AI190" s="136">
        <f t="shared" ca="1" si="36"/>
        <v>1.7625737704918033E-3</v>
      </c>
      <c r="AJ190" s="136">
        <f t="shared" ca="1" si="37"/>
        <v>1.7133588342440802E-3</v>
      </c>
      <c r="AK190" s="136">
        <f t="shared" ca="1" si="38"/>
        <v>9.0528233151183966E-4</v>
      </c>
      <c r="AL190" s="136">
        <f t="shared" ca="1" si="39"/>
        <v>4.1455737704918031E-4</v>
      </c>
      <c r="AN190" s="74">
        <v>549</v>
      </c>
      <c r="AO190" s="136">
        <f t="shared" ca="1" si="40"/>
        <v>9.7213021659076494E-4</v>
      </c>
      <c r="AP190" s="136">
        <f t="shared" ca="1" si="41"/>
        <v>0.95280838823259439</v>
      </c>
      <c r="AQ190" s="136">
        <f t="shared" ca="1" si="42"/>
        <v>0.97098107517601207</v>
      </c>
      <c r="AR190" s="136">
        <f t="shared" ca="1" si="43"/>
        <v>0.45763520068401925</v>
      </c>
      <c r="AS190" s="136">
        <f t="shared" ca="1" si="44"/>
        <v>0.20270779392549956</v>
      </c>
    </row>
    <row r="191" spans="9:45" ht="15" hidden="1" customHeight="1" x14ac:dyDescent="0.2">
      <c r="I191" s="74">
        <v>550</v>
      </c>
      <c r="J191" s="137">
        <v>0.99495009999999995</v>
      </c>
      <c r="L191" s="74">
        <v>550</v>
      </c>
      <c r="M191" s="137">
        <v>1.0823E-3</v>
      </c>
      <c r="N191" s="137">
        <v>0.96187599999999995</v>
      </c>
      <c r="O191" s="137">
        <v>0.94452700000000001</v>
      </c>
      <c r="P191" s="136">
        <v>0.48099999999999998</v>
      </c>
      <c r="Q191" s="137">
        <v>0.215722</v>
      </c>
      <c r="S191" s="74">
        <v>550</v>
      </c>
      <c r="T191" s="137">
        <v>3.9309815004836553E-4</v>
      </c>
      <c r="U191" s="137">
        <v>0.99567820339793067</v>
      </c>
      <c r="V191" s="137">
        <v>0.92245884616601093</v>
      </c>
      <c r="W191" s="136">
        <v>0.60908092693559757</v>
      </c>
      <c r="X191" s="137">
        <v>0.21572227912497058</v>
      </c>
      <c r="Z191" s="74">
        <v>550</v>
      </c>
      <c r="AA191" s="137">
        <f t="shared" ca="1" si="30"/>
        <v>1.0823E-3</v>
      </c>
      <c r="AB191" s="137">
        <f t="shared" ca="1" si="31"/>
        <v>0.96187599999999995</v>
      </c>
      <c r="AC191" s="137">
        <f t="shared" ca="1" si="32"/>
        <v>0.94452700000000001</v>
      </c>
      <c r="AD191" s="137">
        <f t="shared" ca="1" si="33"/>
        <v>0.48099999999999998</v>
      </c>
      <c r="AE191" s="137">
        <f t="shared" ca="1" si="34"/>
        <v>0.215722</v>
      </c>
      <c r="AG191" s="74">
        <v>550</v>
      </c>
      <c r="AH191" s="136">
        <f t="shared" ca="1" si="35"/>
        <v>1.967818181818182E-6</v>
      </c>
      <c r="AI191" s="136">
        <f t="shared" ca="1" si="36"/>
        <v>1.7488654545454545E-3</v>
      </c>
      <c r="AJ191" s="136">
        <f t="shared" ca="1" si="37"/>
        <v>1.7173218181818183E-3</v>
      </c>
      <c r="AK191" s="136">
        <f t="shared" ca="1" si="38"/>
        <v>8.7454545454545456E-4</v>
      </c>
      <c r="AL191" s="136">
        <f t="shared" ca="1" si="39"/>
        <v>3.9222181818181819E-4</v>
      </c>
      <c r="AN191" s="74">
        <v>550</v>
      </c>
      <c r="AO191" s="136">
        <f t="shared" ca="1" si="40"/>
        <v>8.8046173145839041E-4</v>
      </c>
      <c r="AP191" s="136">
        <f t="shared" ca="1" si="41"/>
        <v>0.94539797589077268</v>
      </c>
      <c r="AQ191" s="136">
        <f t="shared" ca="1" si="42"/>
        <v>0.97322694587621938</v>
      </c>
      <c r="AR191" s="136">
        <f t="shared" ca="1" si="43"/>
        <v>0.44209720069298808</v>
      </c>
      <c r="AS191" s="136">
        <f t="shared" ca="1" si="44"/>
        <v>0.19178628555354993</v>
      </c>
    </row>
    <row r="192" spans="9:45" ht="15" hidden="1" customHeight="1" x14ac:dyDescent="0.2">
      <c r="I192" s="74">
        <v>551</v>
      </c>
      <c r="J192" s="137">
        <v>0.99671080000000001</v>
      </c>
      <c r="L192" s="74">
        <v>551</v>
      </c>
      <c r="M192" s="137">
        <v>9.8181900000000009E-4</v>
      </c>
      <c r="N192" s="137">
        <v>0.95682</v>
      </c>
      <c r="O192" s="137">
        <v>0.949291</v>
      </c>
      <c r="P192" s="136">
        <v>0.46500000000000002</v>
      </c>
      <c r="Q192" s="137">
        <v>0.204238</v>
      </c>
      <c r="S192" s="74">
        <v>551</v>
      </c>
      <c r="T192" s="137">
        <v>3.5889135736058743E-4</v>
      </c>
      <c r="U192" s="137">
        <v>0.99330586549808253</v>
      </c>
      <c r="V192" s="137">
        <v>0.92881452847850055</v>
      </c>
      <c r="W192" s="136">
        <v>0.59205492753791178</v>
      </c>
      <c r="X192" s="137">
        <v>0.20417144384280664</v>
      </c>
      <c r="Z192" s="74">
        <v>551</v>
      </c>
      <c r="AA192" s="137">
        <f t="shared" ca="1" si="30"/>
        <v>9.8181900000000009E-4</v>
      </c>
      <c r="AB192" s="137">
        <f t="shared" ca="1" si="31"/>
        <v>0.95682</v>
      </c>
      <c r="AC192" s="137">
        <f t="shared" ca="1" si="32"/>
        <v>0.949291</v>
      </c>
      <c r="AD192" s="137">
        <f t="shared" ca="1" si="33"/>
        <v>0.46500000000000002</v>
      </c>
      <c r="AE192" s="137">
        <f t="shared" ca="1" si="34"/>
        <v>0.204238</v>
      </c>
      <c r="AG192" s="74">
        <v>551</v>
      </c>
      <c r="AH192" s="136">
        <f t="shared" ca="1" si="35"/>
        <v>1.781885662431942E-6</v>
      </c>
      <c r="AI192" s="136">
        <f t="shared" ca="1" si="36"/>
        <v>1.7365154264972777E-3</v>
      </c>
      <c r="AJ192" s="136">
        <f t="shared" ca="1" si="37"/>
        <v>1.7228511796733212E-3</v>
      </c>
      <c r="AK192" s="136">
        <f t="shared" ca="1" si="38"/>
        <v>8.4392014519056265E-4</v>
      </c>
      <c r="AL192" s="136">
        <f t="shared" ca="1" si="39"/>
        <v>3.7066787658802177E-4</v>
      </c>
      <c r="AN192" s="74">
        <v>551</v>
      </c>
      <c r="AO192" s="136">
        <f t="shared" ca="1" si="40"/>
        <v>7.9726986471693583E-4</v>
      </c>
      <c r="AP192" s="136">
        <f t="shared" ca="1" si="41"/>
        <v>0.93872182393832004</v>
      </c>
      <c r="AQ192" s="136">
        <f t="shared" ca="1" si="42"/>
        <v>0.97636050159073218</v>
      </c>
      <c r="AR192" s="136">
        <f t="shared" ca="1" si="43"/>
        <v>0.42661559997597148</v>
      </c>
      <c r="AS192" s="136">
        <f t="shared" ca="1" si="44"/>
        <v>0.1812469677346821</v>
      </c>
    </row>
    <row r="193" spans="9:45" ht="15" hidden="1" customHeight="1" x14ac:dyDescent="0.2">
      <c r="I193" s="74">
        <v>552</v>
      </c>
      <c r="J193" s="137">
        <v>0.99809829999999999</v>
      </c>
      <c r="L193" s="74">
        <v>552</v>
      </c>
      <c r="M193" s="137">
        <v>8.9053299999999999E-4</v>
      </c>
      <c r="N193" s="137">
        <v>0.95215099999999997</v>
      </c>
      <c r="O193" s="137">
        <v>0.95467999999999997</v>
      </c>
      <c r="P193" s="136">
        <v>0.44800000000000001</v>
      </c>
      <c r="Q193" s="137">
        <v>0.193075</v>
      </c>
      <c r="S193" s="74">
        <v>552</v>
      </c>
      <c r="T193" s="137">
        <v>3.2776381052011279E-4</v>
      </c>
      <c r="U193" s="137">
        <v>0.99049434414010085</v>
      </c>
      <c r="V193" s="137">
        <v>0.93497500308860038</v>
      </c>
      <c r="W193" s="136">
        <v>0.5749604873936347</v>
      </c>
      <c r="X193" s="137">
        <v>0.19302830628390996</v>
      </c>
      <c r="Z193" s="74">
        <v>552</v>
      </c>
      <c r="AA193" s="137">
        <f t="shared" ca="1" si="30"/>
        <v>8.9053299999999999E-4</v>
      </c>
      <c r="AB193" s="137">
        <f t="shared" ca="1" si="31"/>
        <v>0.95215099999999997</v>
      </c>
      <c r="AC193" s="137">
        <f t="shared" ca="1" si="32"/>
        <v>0.95467999999999997</v>
      </c>
      <c r="AD193" s="137">
        <f t="shared" ca="1" si="33"/>
        <v>0.44800000000000001</v>
      </c>
      <c r="AE193" s="137">
        <f t="shared" ca="1" si="34"/>
        <v>0.193075</v>
      </c>
      <c r="AG193" s="74">
        <v>552</v>
      </c>
      <c r="AH193" s="136">
        <f t="shared" ca="1" si="35"/>
        <v>1.613284420289855E-6</v>
      </c>
      <c r="AI193" s="136">
        <f t="shared" ca="1" si="36"/>
        <v>1.7249112318840579E-3</v>
      </c>
      <c r="AJ193" s="136">
        <f t="shared" ca="1" si="37"/>
        <v>1.7294927536231884E-3</v>
      </c>
      <c r="AK193" s="136">
        <f t="shared" ca="1" si="38"/>
        <v>8.1159420289855073E-4</v>
      </c>
      <c r="AL193" s="136">
        <f t="shared" ca="1" si="39"/>
        <v>3.4977355072463766E-4</v>
      </c>
      <c r="AN193" s="74">
        <v>552</v>
      </c>
      <c r="AO193" s="136">
        <f t="shared" ca="1" si="40"/>
        <v>7.2183253877186376E-4</v>
      </c>
      <c r="AP193" s="136">
        <f t="shared" ca="1" si="41"/>
        <v>0.93244885304129244</v>
      </c>
      <c r="AQ193" s="136">
        <f t="shared" ca="1" si="42"/>
        <v>0.98012436149317239</v>
      </c>
      <c r="AR193" s="136">
        <f t="shared" ca="1" si="43"/>
        <v>0.41027430116436264</v>
      </c>
      <c r="AS193" s="136">
        <f t="shared" ca="1" si="44"/>
        <v>0.17103018488190794</v>
      </c>
    </row>
    <row r="194" spans="9:45" ht="15" hidden="1" customHeight="1" x14ac:dyDescent="0.2">
      <c r="I194" s="74">
        <v>553</v>
      </c>
      <c r="J194" s="137">
        <v>0.999112</v>
      </c>
      <c r="L194" s="74">
        <v>553</v>
      </c>
      <c r="M194" s="137">
        <v>8.0768699999999997E-4</v>
      </c>
      <c r="N194" s="137">
        <v>0.94739799999999996</v>
      </c>
      <c r="O194" s="137">
        <v>0.96030899999999997</v>
      </c>
      <c r="P194" s="136">
        <v>0.433</v>
      </c>
      <c r="Q194" s="137">
        <v>0.18228800000000001</v>
      </c>
      <c r="S194" s="74">
        <v>553</v>
      </c>
      <c r="T194" s="137">
        <v>2.9943047551742882E-4</v>
      </c>
      <c r="U194" s="137">
        <v>0.98723603700889195</v>
      </c>
      <c r="V194" s="137">
        <v>0.94093364956199399</v>
      </c>
      <c r="W194" s="136">
        <v>0.55782503325607358</v>
      </c>
      <c r="X194" s="137">
        <v>0.18229468226695478</v>
      </c>
      <c r="Z194" s="74">
        <v>553</v>
      </c>
      <c r="AA194" s="137">
        <f t="shared" ca="1" si="30"/>
        <v>8.0768699999999997E-4</v>
      </c>
      <c r="AB194" s="137">
        <f t="shared" ca="1" si="31"/>
        <v>0.94739799999999996</v>
      </c>
      <c r="AC194" s="137">
        <f t="shared" ca="1" si="32"/>
        <v>0.96030899999999997</v>
      </c>
      <c r="AD194" s="137">
        <f t="shared" ca="1" si="33"/>
        <v>0.433</v>
      </c>
      <c r="AE194" s="137">
        <f t="shared" ca="1" si="34"/>
        <v>0.18228800000000001</v>
      </c>
      <c r="AG194" s="74">
        <v>553</v>
      </c>
      <c r="AH194" s="136">
        <f t="shared" ca="1" si="35"/>
        <v>1.4605551537070524E-6</v>
      </c>
      <c r="AI194" s="136">
        <f t="shared" ca="1" si="36"/>
        <v>1.7131971066907776E-3</v>
      </c>
      <c r="AJ194" s="136">
        <f t="shared" ca="1" si="37"/>
        <v>1.7365443037974683E-3</v>
      </c>
      <c r="AK194" s="136">
        <f t="shared" ca="1" si="38"/>
        <v>7.8300180831826396E-4</v>
      </c>
      <c r="AL194" s="136">
        <f t="shared" ca="1" si="39"/>
        <v>3.2963471971066908E-4</v>
      </c>
      <c r="AN194" s="74">
        <v>553</v>
      </c>
      <c r="AO194" s="136">
        <f t="shared" ca="1" si="40"/>
        <v>6.5349681764562757E-4</v>
      </c>
      <c r="AP194" s="136">
        <f t="shared" ca="1" si="41"/>
        <v>0.9261164561045957</v>
      </c>
      <c r="AQ194" s="136">
        <f t="shared" ca="1" si="42"/>
        <v>0.98412055985689739</v>
      </c>
      <c r="AR194" s="136">
        <f t="shared" ca="1" si="43"/>
        <v>0.39582037250993485</v>
      </c>
      <c r="AS194" s="136">
        <f t="shared" ca="1" si="44"/>
        <v>0.16118281939504142</v>
      </c>
    </row>
    <row r="195" spans="9:45" ht="15" hidden="1" customHeight="1" x14ac:dyDescent="0.2">
      <c r="I195" s="74">
        <v>554</v>
      </c>
      <c r="J195" s="137">
        <v>0.99974819999999998</v>
      </c>
      <c r="L195" s="74">
        <v>554</v>
      </c>
      <c r="M195" s="137">
        <v>7.3256799999999996E-4</v>
      </c>
      <c r="N195" s="137">
        <v>0.94210499999999997</v>
      </c>
      <c r="O195" s="137">
        <v>0.965785</v>
      </c>
      <c r="P195" s="136">
        <v>0.41699999999999998</v>
      </c>
      <c r="Q195" s="137">
        <v>0.17193</v>
      </c>
      <c r="S195" s="74">
        <v>554</v>
      </c>
      <c r="T195" s="137">
        <v>2.7363333273711186E-4</v>
      </c>
      <c r="U195" s="137">
        <v>0.98352635057233806</v>
      </c>
      <c r="V195" s="137">
        <v>0.94668173925558585</v>
      </c>
      <c r="W195" s="136">
        <v>0.54067339536707348</v>
      </c>
      <c r="X195" s="137">
        <v>0.17197051822855866</v>
      </c>
      <c r="Z195" s="74">
        <v>554</v>
      </c>
      <c r="AA195" s="137">
        <f t="shared" ca="1" si="30"/>
        <v>7.3256799999999996E-4</v>
      </c>
      <c r="AB195" s="137">
        <f t="shared" ca="1" si="31"/>
        <v>0.94210499999999997</v>
      </c>
      <c r="AC195" s="137">
        <f t="shared" ca="1" si="32"/>
        <v>0.965785</v>
      </c>
      <c r="AD195" s="137">
        <f t="shared" ca="1" si="33"/>
        <v>0.41699999999999998</v>
      </c>
      <c r="AE195" s="137">
        <f t="shared" ca="1" si="34"/>
        <v>0.17193</v>
      </c>
      <c r="AG195" s="74">
        <v>554</v>
      </c>
      <c r="AH195" s="136">
        <f t="shared" ca="1" si="35"/>
        <v>1.3223249097472923E-6</v>
      </c>
      <c r="AI195" s="136">
        <f t="shared" ca="1" si="36"/>
        <v>1.7005505415162454E-3</v>
      </c>
      <c r="AJ195" s="136">
        <f t="shared" ca="1" si="37"/>
        <v>1.7432942238267148E-3</v>
      </c>
      <c r="AK195" s="136">
        <f t="shared" ca="1" si="38"/>
        <v>7.5270758122743676E-4</v>
      </c>
      <c r="AL195" s="136">
        <f t="shared" ca="1" si="39"/>
        <v>3.1034296028880867E-4</v>
      </c>
      <c r="AN195" s="74">
        <v>554</v>
      </c>
      <c r="AO195" s="136">
        <f t="shared" ca="1" si="40"/>
        <v>5.9164840041824203E-4</v>
      </c>
      <c r="AP195" s="136">
        <f t="shared" ca="1" si="41"/>
        <v>0.91928000274170341</v>
      </c>
      <c r="AQ195" s="136">
        <f t="shared" ca="1" si="42"/>
        <v>0.98794582078669047</v>
      </c>
      <c r="AR195" s="136">
        <f t="shared" ca="1" si="43"/>
        <v>0.38050613935669819</v>
      </c>
      <c r="AS195" s="136">
        <f t="shared" ca="1" si="44"/>
        <v>0.15174964992358639</v>
      </c>
    </row>
    <row r="196" spans="9:45" ht="15" hidden="1" customHeight="1" x14ac:dyDescent="0.2">
      <c r="I196" s="74">
        <v>555</v>
      </c>
      <c r="J196" s="137">
        <v>1</v>
      </c>
      <c r="L196" s="74">
        <v>555</v>
      </c>
      <c r="M196" s="137">
        <v>6.6451200000000002E-4</v>
      </c>
      <c r="N196" s="137">
        <v>0.93582900000000002</v>
      </c>
      <c r="O196" s="137">
        <v>0.97070299999999998</v>
      </c>
      <c r="P196" s="136">
        <v>0.40200000000000002</v>
      </c>
      <c r="Q196" s="137">
        <v>0.16205600000000001</v>
      </c>
      <c r="S196" s="74">
        <v>555</v>
      </c>
      <c r="T196" s="137">
        <v>2.5013646040407026E-4</v>
      </c>
      <c r="U196" s="137">
        <v>0.97936143837938094</v>
      </c>
      <c r="V196" s="137">
        <v>0.95221715194672496</v>
      </c>
      <c r="W196" s="136">
        <v>0.52353292540309238</v>
      </c>
      <c r="X196" s="137">
        <v>0.1620559570550332</v>
      </c>
      <c r="Z196" s="74">
        <v>555</v>
      </c>
      <c r="AA196" s="137">
        <f t="shared" ca="1" si="30"/>
        <v>6.6451200000000002E-4</v>
      </c>
      <c r="AB196" s="137">
        <f t="shared" ca="1" si="31"/>
        <v>0.93582900000000002</v>
      </c>
      <c r="AC196" s="137">
        <f t="shared" ca="1" si="32"/>
        <v>0.97070299999999998</v>
      </c>
      <c r="AD196" s="137">
        <f t="shared" ca="1" si="33"/>
        <v>0.40200000000000002</v>
      </c>
      <c r="AE196" s="137">
        <f t="shared" ca="1" si="34"/>
        <v>0.16205600000000001</v>
      </c>
      <c r="AG196" s="74">
        <v>555</v>
      </c>
      <c r="AH196" s="136">
        <f t="shared" ca="1" si="35"/>
        <v>1.1973189189189189E-6</v>
      </c>
      <c r="AI196" s="136">
        <f t="shared" ca="1" si="36"/>
        <v>1.6861783783783785E-3</v>
      </c>
      <c r="AJ196" s="136">
        <f t="shared" ca="1" si="37"/>
        <v>1.7490144144144144E-3</v>
      </c>
      <c r="AK196" s="136">
        <f t="shared" ca="1" si="38"/>
        <v>7.2432432432432438E-4</v>
      </c>
      <c r="AL196" s="136">
        <f t="shared" ca="1" si="39"/>
        <v>2.9199279279279282E-4</v>
      </c>
      <c r="AN196" s="74">
        <v>555</v>
      </c>
      <c r="AO196" s="136">
        <f t="shared" ca="1" si="40"/>
        <v>5.3571691643036279E-4</v>
      </c>
      <c r="AP196" s="136">
        <f t="shared" ca="1" si="41"/>
        <v>0.91151072929393961</v>
      </c>
      <c r="AQ196" s="136">
        <f t="shared" ca="1" si="42"/>
        <v>0.99118752164703994</v>
      </c>
      <c r="AR196" s="136">
        <f t="shared" ca="1" si="43"/>
        <v>0.36615793325923718</v>
      </c>
      <c r="AS196" s="136">
        <f t="shared" ca="1" si="44"/>
        <v>0.14277689445664052</v>
      </c>
    </row>
    <row r="197" spans="9:45" ht="15" hidden="1" customHeight="1" x14ac:dyDescent="0.2">
      <c r="I197" s="74">
        <v>556</v>
      </c>
      <c r="J197" s="137">
        <v>0.99985670000000004</v>
      </c>
      <c r="L197" s="74">
        <v>556</v>
      </c>
      <c r="M197" s="137">
        <v>6.0288699999999998E-4</v>
      </c>
      <c r="N197" s="137">
        <v>0.92827400000000004</v>
      </c>
      <c r="O197" s="137">
        <v>0.97475599999999996</v>
      </c>
      <c r="P197" s="138">
        <v>0.38640000000000002</v>
      </c>
      <c r="Q197" s="137">
        <v>0.15260099999999999</v>
      </c>
      <c r="S197" s="74">
        <v>556</v>
      </c>
      <c r="T197" s="137">
        <v>2.2872993154540356E-4</v>
      </c>
      <c r="U197" s="137">
        <v>0.97473823051659203</v>
      </c>
      <c r="V197" s="137">
        <v>0.95752914108900344</v>
      </c>
      <c r="W197" s="138">
        <v>0.50642950488275207</v>
      </c>
      <c r="X197" s="137">
        <v>0.15254887176669898</v>
      </c>
      <c r="Z197" s="74">
        <v>556</v>
      </c>
      <c r="AA197" s="137">
        <f t="shared" ca="1" si="30"/>
        <v>6.0288699999999998E-4</v>
      </c>
      <c r="AB197" s="137">
        <f t="shared" ca="1" si="31"/>
        <v>0.92827400000000004</v>
      </c>
      <c r="AC197" s="137">
        <f t="shared" ca="1" si="32"/>
        <v>0.97475599999999996</v>
      </c>
      <c r="AD197" s="137">
        <f t="shared" ca="1" si="33"/>
        <v>0.38640000000000002</v>
      </c>
      <c r="AE197" s="137">
        <f t="shared" ca="1" si="34"/>
        <v>0.15260099999999999</v>
      </c>
      <c r="AG197" s="74">
        <v>556</v>
      </c>
      <c r="AH197" s="136">
        <f t="shared" ca="1" si="35"/>
        <v>1.0843291366906475E-6</v>
      </c>
      <c r="AI197" s="136">
        <f t="shared" ca="1" si="36"/>
        <v>1.6695575539568345E-3</v>
      </c>
      <c r="AJ197" s="136">
        <f t="shared" ca="1" si="37"/>
        <v>1.7531582733812949E-3</v>
      </c>
      <c r="AK197" s="136">
        <f t="shared" ca="1" si="38"/>
        <v>6.9496402877697848E-4</v>
      </c>
      <c r="AL197" s="136">
        <f t="shared" ca="1" si="39"/>
        <v>2.7446223021582731E-4</v>
      </c>
      <c r="AN197" s="74">
        <v>556</v>
      </c>
      <c r="AO197" s="136">
        <f t="shared" ca="1" si="40"/>
        <v>4.8516184980022732E-4</v>
      </c>
      <c r="AP197" s="136">
        <f t="shared" ca="1" si="41"/>
        <v>0.90252587930166417</v>
      </c>
      <c r="AQ197" s="136">
        <f t="shared" ca="1" si="42"/>
        <v>0.99353589640346651</v>
      </c>
      <c r="AR197" s="136">
        <f t="shared" ca="1" si="43"/>
        <v>0.35131581795746958</v>
      </c>
      <c r="AS197" s="136">
        <f t="shared" ca="1" si="44"/>
        <v>0.13420490451511782</v>
      </c>
    </row>
    <row r="198" spans="9:45" ht="15" hidden="1" customHeight="1" x14ac:dyDescent="0.2">
      <c r="I198" s="74">
        <v>557</v>
      </c>
      <c r="J198" s="137">
        <v>0.99930459999999999</v>
      </c>
      <c r="L198" s="74">
        <v>557</v>
      </c>
      <c r="M198" s="137">
        <v>5.4706199999999996E-4</v>
      </c>
      <c r="N198" s="137">
        <v>0.91966700000000001</v>
      </c>
      <c r="O198" s="137">
        <v>0.97805500000000001</v>
      </c>
      <c r="P198" s="138">
        <v>0.3715</v>
      </c>
      <c r="Q198" s="137">
        <v>0.143487</v>
      </c>
      <c r="S198" s="74">
        <v>557</v>
      </c>
      <c r="T198" s="137">
        <v>2.0922086822543301E-4</v>
      </c>
      <c r="U198" s="137">
        <v>0.96965446140903688</v>
      </c>
      <c r="V198" s="137">
        <v>0.96261139860795442</v>
      </c>
      <c r="W198" s="138">
        <v>0.48938877070059383</v>
      </c>
      <c r="X198" s="137">
        <v>0.14344651446296769</v>
      </c>
      <c r="Z198" s="74">
        <v>557</v>
      </c>
      <c r="AA198" s="137">
        <f t="shared" ca="1" si="30"/>
        <v>5.4706199999999996E-4</v>
      </c>
      <c r="AB198" s="137">
        <f t="shared" ca="1" si="31"/>
        <v>0.91966700000000001</v>
      </c>
      <c r="AC198" s="137">
        <f t="shared" ca="1" si="32"/>
        <v>0.97805500000000001</v>
      </c>
      <c r="AD198" s="137">
        <f t="shared" ca="1" si="33"/>
        <v>0.3715</v>
      </c>
      <c r="AE198" s="137">
        <f t="shared" ca="1" si="34"/>
        <v>0.143487</v>
      </c>
      <c r="AG198" s="74">
        <v>557</v>
      </c>
      <c r="AH198" s="136">
        <f t="shared" ca="1" si="35"/>
        <v>9.8215798922800715E-7</v>
      </c>
      <c r="AI198" s="136">
        <f t="shared" ca="1" si="36"/>
        <v>1.6511077199281867E-3</v>
      </c>
      <c r="AJ198" s="136">
        <f t="shared" ca="1" si="37"/>
        <v>1.7559335727109515E-3</v>
      </c>
      <c r="AK198" s="136">
        <f t="shared" ca="1" si="38"/>
        <v>6.6696588868940749E-4</v>
      </c>
      <c r="AL198" s="136">
        <f t="shared" ca="1" si="39"/>
        <v>2.5760682226211849E-4</v>
      </c>
      <c r="AN198" s="74">
        <v>557</v>
      </c>
      <c r="AO198" s="136">
        <f t="shared" ca="1" si="40"/>
        <v>4.394473695544306E-4</v>
      </c>
      <c r="AP198" s="136">
        <f t="shared" ca="1" si="41"/>
        <v>0.89255230717759371</v>
      </c>
      <c r="AQ198" s="136">
        <f t="shared" ca="1" si="42"/>
        <v>0.99510869194003848</v>
      </c>
      <c r="AR198" s="136">
        <f t="shared" ca="1" si="43"/>
        <v>0.33716229478381282</v>
      </c>
      <c r="AS198" s="136">
        <f t="shared" ca="1" si="44"/>
        <v>0.12596304765484226</v>
      </c>
    </row>
    <row r="199" spans="9:45" ht="15" hidden="1" customHeight="1" x14ac:dyDescent="0.2">
      <c r="I199" s="74">
        <v>558</v>
      </c>
      <c r="J199" s="137">
        <v>0.99832549999999998</v>
      </c>
      <c r="L199" s="74">
        <v>558</v>
      </c>
      <c r="M199" s="137">
        <v>4.9646100000000002E-4</v>
      </c>
      <c r="N199" s="137">
        <v>0.91035600000000005</v>
      </c>
      <c r="O199" s="137">
        <v>0.980819</v>
      </c>
      <c r="P199" s="138">
        <v>0.3569</v>
      </c>
      <c r="Q199" s="137">
        <v>0.13474800000000001</v>
      </c>
      <c r="S199" s="74">
        <v>558</v>
      </c>
      <c r="T199" s="137">
        <v>1.9143573056602052E-4</v>
      </c>
      <c r="U199" s="137">
        <v>0.96410869578314329</v>
      </c>
      <c r="V199" s="137">
        <v>0.96745773226285936</v>
      </c>
      <c r="W199" s="138">
        <v>0.47243710546083967</v>
      </c>
      <c r="X199" s="137">
        <v>0.13474541614344124</v>
      </c>
      <c r="Z199" s="74">
        <v>558</v>
      </c>
      <c r="AA199" s="137">
        <f t="shared" ca="1" si="30"/>
        <v>4.9646100000000002E-4</v>
      </c>
      <c r="AB199" s="137">
        <f t="shared" ca="1" si="31"/>
        <v>0.91035600000000005</v>
      </c>
      <c r="AC199" s="137">
        <f t="shared" ca="1" si="32"/>
        <v>0.980819</v>
      </c>
      <c r="AD199" s="137">
        <f t="shared" ca="1" si="33"/>
        <v>0.3569</v>
      </c>
      <c r="AE199" s="137">
        <f t="shared" ca="1" si="34"/>
        <v>0.13474800000000001</v>
      </c>
      <c r="AG199" s="74">
        <v>558</v>
      </c>
      <c r="AH199" s="136">
        <f t="shared" ca="1" si="35"/>
        <v>8.8971505376344086E-7</v>
      </c>
      <c r="AI199" s="136">
        <f t="shared" ca="1" si="36"/>
        <v>1.6314623655913978E-3</v>
      </c>
      <c r="AJ199" s="136">
        <f t="shared" ca="1" si="37"/>
        <v>1.7577401433691755E-3</v>
      </c>
      <c r="AK199" s="136">
        <f t="shared" ca="1" si="38"/>
        <v>6.3960573476702512E-4</v>
      </c>
      <c r="AL199" s="136">
        <f t="shared" ca="1" si="39"/>
        <v>2.4148387096774196E-4</v>
      </c>
      <c r="AN199" s="74">
        <v>558</v>
      </c>
      <c r="AO199" s="136">
        <f t="shared" ca="1" si="40"/>
        <v>3.9808558736730546E-4</v>
      </c>
      <c r="AP199" s="136">
        <f t="shared" ca="1" si="41"/>
        <v>0.88193246322253971</v>
      </c>
      <c r="AQ199" s="136">
        <f t="shared" ca="1" si="42"/>
        <v>0.99613249727786068</v>
      </c>
      <c r="AR199" s="136">
        <f t="shared" ca="1" si="43"/>
        <v>0.32333128417510598</v>
      </c>
      <c r="AS199" s="136">
        <f t="shared" ca="1" si="44"/>
        <v>0.11807934308368076</v>
      </c>
    </row>
    <row r="200" spans="9:45" ht="15" hidden="1" customHeight="1" x14ac:dyDescent="0.2">
      <c r="I200" s="74">
        <v>559</v>
      </c>
      <c r="J200" s="137">
        <v>0.99689870000000003</v>
      </c>
      <c r="L200" s="74">
        <v>559</v>
      </c>
      <c r="M200" s="137">
        <v>4.5057099999999998E-4</v>
      </c>
      <c r="N200" s="137">
        <v>0.90067699999999995</v>
      </c>
      <c r="O200" s="137">
        <v>0.98327100000000001</v>
      </c>
      <c r="P200" s="138">
        <v>0.3427</v>
      </c>
      <c r="Q200" s="137">
        <v>0.126416</v>
      </c>
      <c r="S200" s="74">
        <v>559</v>
      </c>
      <c r="T200" s="137">
        <v>1.7521730652941508E-4</v>
      </c>
      <c r="U200" s="137">
        <v>0.95809814650613245</v>
      </c>
      <c r="V200" s="137">
        <v>0.97205983795010475</v>
      </c>
      <c r="W200" s="138">
        <v>0.45559820044244892</v>
      </c>
      <c r="X200" s="137">
        <v>0.12644044044508301</v>
      </c>
      <c r="Z200" s="74">
        <v>559</v>
      </c>
      <c r="AA200" s="137">
        <f t="shared" ca="1" si="30"/>
        <v>4.5057099999999998E-4</v>
      </c>
      <c r="AB200" s="137">
        <f t="shared" ca="1" si="31"/>
        <v>0.90067699999999995</v>
      </c>
      <c r="AC200" s="137">
        <f t="shared" ca="1" si="32"/>
        <v>0.98327100000000001</v>
      </c>
      <c r="AD200" s="137">
        <f t="shared" ca="1" si="33"/>
        <v>0.3427</v>
      </c>
      <c r="AE200" s="137">
        <f t="shared" ca="1" si="34"/>
        <v>0.126416</v>
      </c>
      <c r="AG200" s="74">
        <v>559</v>
      </c>
      <c r="AH200" s="136">
        <f t="shared" ca="1" si="35"/>
        <v>8.0603041144901606E-7</v>
      </c>
      <c r="AI200" s="136">
        <f t="shared" ca="1" si="36"/>
        <v>1.6112289803220034E-3</v>
      </c>
      <c r="AJ200" s="136">
        <f t="shared" ca="1" si="37"/>
        <v>1.7589821109123434E-3</v>
      </c>
      <c r="AK200" s="136">
        <f t="shared" ca="1" si="38"/>
        <v>6.1305903398926659E-4</v>
      </c>
      <c r="AL200" s="136">
        <f t="shared" ca="1" si="39"/>
        <v>2.2614669051878355E-4</v>
      </c>
      <c r="AN200" s="74">
        <v>559</v>
      </c>
      <c r="AO200" s="136">
        <f t="shared" ca="1" si="40"/>
        <v>3.6064253203352644E-4</v>
      </c>
      <c r="AP200" s="136">
        <f t="shared" ca="1" si="41"/>
        <v>0.87099474275388578</v>
      </c>
      <c r="AQ200" s="136">
        <f t="shared" ca="1" si="42"/>
        <v>0.99683633523421666</v>
      </c>
      <c r="AR200" s="136">
        <f t="shared" ca="1" si="43"/>
        <v>0.30991148759337045</v>
      </c>
      <c r="AS200" s="136">
        <f t="shared" ca="1" si="44"/>
        <v>0.11057986005439471</v>
      </c>
    </row>
    <row r="201" spans="9:45" ht="15" hidden="1" customHeight="1" x14ac:dyDescent="0.2">
      <c r="I201" s="74">
        <v>560</v>
      </c>
      <c r="J201" s="137">
        <v>0.995</v>
      </c>
      <c r="L201" s="74">
        <v>560</v>
      </c>
      <c r="M201" s="137">
        <v>4.0893100000000002E-4</v>
      </c>
      <c r="N201" s="137">
        <v>0.89094899999999999</v>
      </c>
      <c r="O201" s="137">
        <v>0.98563599999999996</v>
      </c>
      <c r="P201" s="138">
        <v>0.32879999999999998</v>
      </c>
      <c r="Q201" s="137">
        <v>0.11852600000000001</v>
      </c>
      <c r="S201" s="74">
        <v>560</v>
      </c>
      <c r="T201" s="137">
        <v>1.6042313533252606E-4</v>
      </c>
      <c r="U201" s="137">
        <v>0.95162534445331792</v>
      </c>
      <c r="V201" s="137">
        <v>0.97641175671206215</v>
      </c>
      <c r="W201" s="138">
        <v>0.43889739179395482</v>
      </c>
      <c r="X201" s="137">
        <v>0.11852555565645687</v>
      </c>
      <c r="Z201" s="74">
        <v>560</v>
      </c>
      <c r="AA201" s="137">
        <f t="shared" ca="1" si="30"/>
        <v>4.0893100000000002E-4</v>
      </c>
      <c r="AB201" s="137">
        <f t="shared" ca="1" si="31"/>
        <v>0.89094899999999999</v>
      </c>
      <c r="AC201" s="137">
        <f t="shared" ca="1" si="32"/>
        <v>0.98563599999999996</v>
      </c>
      <c r="AD201" s="137">
        <f t="shared" ca="1" si="33"/>
        <v>0.32879999999999998</v>
      </c>
      <c r="AE201" s="137">
        <f t="shared" ca="1" si="34"/>
        <v>0.11852600000000001</v>
      </c>
      <c r="AG201" s="74">
        <v>560</v>
      </c>
      <c r="AH201" s="136">
        <f t="shared" ca="1" si="35"/>
        <v>7.302339285714286E-7</v>
      </c>
      <c r="AI201" s="136">
        <f t="shared" ca="1" si="36"/>
        <v>1.590980357142857E-3</v>
      </c>
      <c r="AJ201" s="136">
        <f t="shared" ca="1" si="37"/>
        <v>1.7600642857142856E-3</v>
      </c>
      <c r="AK201" s="136">
        <f t="shared" ca="1" si="38"/>
        <v>5.8714285714285715E-4</v>
      </c>
      <c r="AL201" s="136">
        <f t="shared" ca="1" si="39"/>
        <v>2.1165357142857144E-4</v>
      </c>
      <c r="AN201" s="74">
        <v>560</v>
      </c>
      <c r="AO201" s="136">
        <f t="shared" ca="1" si="40"/>
        <v>3.2672887925327027E-4</v>
      </c>
      <c r="AP201" s="136">
        <f t="shared" ca="1" si="41"/>
        <v>0.86004878500831672</v>
      </c>
      <c r="AQ201" s="136">
        <f t="shared" ca="1" si="42"/>
        <v>0.99744961672068455</v>
      </c>
      <c r="AR201" s="136">
        <f t="shared" ca="1" si="43"/>
        <v>0.29681043129388163</v>
      </c>
      <c r="AS201" s="136">
        <f t="shared" ca="1" si="44"/>
        <v>0.10349310111456306</v>
      </c>
    </row>
    <row r="202" spans="9:45" ht="15" hidden="1" customHeight="1" x14ac:dyDescent="0.2">
      <c r="I202" s="74">
        <v>561</v>
      </c>
      <c r="J202" s="137">
        <v>0.9926005</v>
      </c>
      <c r="L202" s="74">
        <v>561</v>
      </c>
      <c r="M202" s="137">
        <v>3.7113599999999999E-4</v>
      </c>
      <c r="N202" s="137">
        <v>0.881386</v>
      </c>
      <c r="O202" s="137">
        <v>0.98808499999999999</v>
      </c>
      <c r="P202" s="138">
        <v>0.31509999999999999</v>
      </c>
      <c r="Q202" s="137">
        <v>0.11100699999999999</v>
      </c>
      <c r="S202" s="74">
        <v>561</v>
      </c>
      <c r="T202" s="137">
        <v>1.4685644131539596E-4</v>
      </c>
      <c r="U202" s="137">
        <v>0.94425218835186464</v>
      </c>
      <c r="V202" s="137">
        <v>0.98005624414605619</v>
      </c>
      <c r="W202" s="138">
        <v>0.42216478142254288</v>
      </c>
      <c r="X202" s="137">
        <v>0.11094327961683087</v>
      </c>
      <c r="Z202" s="74">
        <v>561</v>
      </c>
      <c r="AA202" s="137">
        <f t="shared" ca="1" si="30"/>
        <v>3.7113599999999999E-4</v>
      </c>
      <c r="AB202" s="137">
        <f t="shared" ca="1" si="31"/>
        <v>0.881386</v>
      </c>
      <c r="AC202" s="137">
        <f t="shared" ca="1" si="32"/>
        <v>0.98808499999999999</v>
      </c>
      <c r="AD202" s="137">
        <f t="shared" ca="1" si="33"/>
        <v>0.31509999999999999</v>
      </c>
      <c r="AE202" s="137">
        <f t="shared" ca="1" si="34"/>
        <v>0.11100699999999999</v>
      </c>
      <c r="AG202" s="74">
        <v>561</v>
      </c>
      <c r="AH202" s="136">
        <f t="shared" ca="1" si="35"/>
        <v>6.6156149732620322E-7</v>
      </c>
      <c r="AI202" s="136">
        <f t="shared" ca="1" si="36"/>
        <v>1.5710980392156862E-3</v>
      </c>
      <c r="AJ202" s="136">
        <f t="shared" ca="1" si="37"/>
        <v>1.7612923351158646E-3</v>
      </c>
      <c r="AK202" s="136">
        <f t="shared" ca="1" si="38"/>
        <v>5.6167557932263812E-4</v>
      </c>
      <c r="AL202" s="136">
        <f t="shared" ca="1" si="39"/>
        <v>1.9787344028520499E-4</v>
      </c>
      <c r="AN202" s="74">
        <v>561</v>
      </c>
      <c r="AO202" s="136">
        <f t="shared" ca="1" si="40"/>
        <v>2.9600274394448746E-4</v>
      </c>
      <c r="AP202" s="136">
        <f t="shared" ca="1" si="41"/>
        <v>0.84930084377846971</v>
      </c>
      <c r="AQ202" s="136">
        <f t="shared" ca="1" si="42"/>
        <v>0.99814556709866864</v>
      </c>
      <c r="AR202" s="136">
        <f t="shared" ca="1" si="43"/>
        <v>0.28393630088125338</v>
      </c>
      <c r="AS202" s="136">
        <f t="shared" ca="1" si="44"/>
        <v>9.6754974768919713E-2</v>
      </c>
    </row>
    <row r="203" spans="9:45" ht="15" hidden="1" customHeight="1" x14ac:dyDescent="0.2">
      <c r="I203" s="74">
        <v>562</v>
      </c>
      <c r="J203" s="137">
        <v>0.98974260000000003</v>
      </c>
      <c r="L203" s="74">
        <v>562</v>
      </c>
      <c r="M203" s="137">
        <v>3.36838E-4</v>
      </c>
      <c r="N203" s="137">
        <v>0.871834</v>
      </c>
      <c r="O203" s="137">
        <v>0.99056</v>
      </c>
      <c r="P203" s="138">
        <v>0.30180000000000001</v>
      </c>
      <c r="Q203" s="137">
        <v>0.103793</v>
      </c>
      <c r="S203" s="74">
        <v>562</v>
      </c>
      <c r="T203" s="137">
        <v>1.3447885416021299E-4</v>
      </c>
      <c r="U203" s="137">
        <v>0.93642715693265299</v>
      </c>
      <c r="V203" s="137">
        <v>0.98342897530916051</v>
      </c>
      <c r="W203" s="138">
        <v>0.40563273894756108</v>
      </c>
      <c r="X203" s="137">
        <v>0.10374352491002096</v>
      </c>
      <c r="Z203" s="74">
        <v>562</v>
      </c>
      <c r="AA203" s="137">
        <f t="shared" ca="1" si="30"/>
        <v>3.36838E-4</v>
      </c>
      <c r="AB203" s="137">
        <f t="shared" ca="1" si="31"/>
        <v>0.871834</v>
      </c>
      <c r="AC203" s="137">
        <f t="shared" ca="1" si="32"/>
        <v>0.99056</v>
      </c>
      <c r="AD203" s="137">
        <f t="shared" ca="1" si="33"/>
        <v>0.30180000000000001</v>
      </c>
      <c r="AE203" s="137">
        <f t="shared" ca="1" si="34"/>
        <v>0.103793</v>
      </c>
      <c r="AG203" s="74">
        <v>562</v>
      </c>
      <c r="AH203" s="136">
        <f t="shared" ca="1" si="35"/>
        <v>5.9935587188612102E-7</v>
      </c>
      <c r="AI203" s="136">
        <f t="shared" ca="1" si="36"/>
        <v>1.5513060498220641E-3</v>
      </c>
      <c r="AJ203" s="136">
        <f t="shared" ca="1" si="37"/>
        <v>1.7625622775800712E-3</v>
      </c>
      <c r="AK203" s="136">
        <f t="shared" ca="1" si="38"/>
        <v>5.3701067615658361E-4</v>
      </c>
      <c r="AL203" s="136">
        <f t="shared" ca="1" si="39"/>
        <v>1.8468505338078292E-4</v>
      </c>
      <c r="AN203" s="74">
        <v>562</v>
      </c>
      <c r="AO203" s="136">
        <f t="shared" ca="1" si="40"/>
        <v>2.6817005432535712E-4</v>
      </c>
      <c r="AP203" s="136">
        <f t="shared" ca="1" si="41"/>
        <v>0.83860173215558897</v>
      </c>
      <c r="AQ203" s="136">
        <f t="shared" ca="1" si="42"/>
        <v>0.99886525877951315</v>
      </c>
      <c r="AR203" s="136">
        <f t="shared" ca="1" si="43"/>
        <v>0.27146778413532413</v>
      </c>
      <c r="AS203" s="136">
        <f t="shared" ca="1" si="44"/>
        <v>9.0306195992238603E-2</v>
      </c>
    </row>
    <row r="204" spans="9:45" ht="15" hidden="1" customHeight="1" x14ac:dyDescent="0.2">
      <c r="I204" s="74">
        <v>563</v>
      </c>
      <c r="J204" s="137">
        <v>0.9864444</v>
      </c>
      <c r="L204" s="74">
        <v>563</v>
      </c>
      <c r="M204" s="137">
        <v>3.0572299999999999E-4</v>
      </c>
      <c r="N204" s="137">
        <v>0.86205900000000002</v>
      </c>
      <c r="O204" s="137">
        <v>0.99294499999999997</v>
      </c>
      <c r="P204" s="138">
        <v>0.2888</v>
      </c>
      <c r="Q204" s="137">
        <v>9.6920599999999996E-2</v>
      </c>
      <c r="S204" s="74">
        <v>563</v>
      </c>
      <c r="T204" s="137">
        <v>1.2318277969890101E-4</v>
      </c>
      <c r="U204" s="137">
        <v>0.92815177595237053</v>
      </c>
      <c r="V204" s="137">
        <v>0.9865270548736792</v>
      </c>
      <c r="W204" s="138">
        <v>0.38932563444737234</v>
      </c>
      <c r="X204" s="137">
        <v>9.6917454715074347E-2</v>
      </c>
      <c r="Z204" s="74">
        <v>563</v>
      </c>
      <c r="AA204" s="137">
        <f t="shared" ca="1" si="30"/>
        <v>3.0572299999999999E-4</v>
      </c>
      <c r="AB204" s="137">
        <f t="shared" ca="1" si="31"/>
        <v>0.86205900000000002</v>
      </c>
      <c r="AC204" s="137">
        <f t="shared" ca="1" si="32"/>
        <v>0.99294499999999997</v>
      </c>
      <c r="AD204" s="137">
        <f t="shared" ca="1" si="33"/>
        <v>0.2888</v>
      </c>
      <c r="AE204" s="137">
        <f t="shared" ca="1" si="34"/>
        <v>9.6920599999999996E-2</v>
      </c>
      <c r="AG204" s="74">
        <v>563</v>
      </c>
      <c r="AH204" s="136">
        <f t="shared" ca="1" si="35"/>
        <v>5.4302486678507992E-7</v>
      </c>
      <c r="AI204" s="136">
        <f t="shared" ca="1" si="36"/>
        <v>1.5311882770870338E-3</v>
      </c>
      <c r="AJ204" s="136">
        <f t="shared" ca="1" si="37"/>
        <v>1.7636678507992895E-3</v>
      </c>
      <c r="AK204" s="136">
        <f t="shared" ca="1" si="38"/>
        <v>5.1296625222024871E-4</v>
      </c>
      <c r="AL204" s="136">
        <f t="shared" ca="1" si="39"/>
        <v>1.7215026642984014E-4</v>
      </c>
      <c r="AN204" s="74">
        <v>563</v>
      </c>
      <c r="AO204" s="136">
        <f t="shared" ca="1" si="40"/>
        <v>2.4296584859928325E-4</v>
      </c>
      <c r="AP204" s="136">
        <f t="shared" ca="1" si="41"/>
        <v>0.82772650926540303</v>
      </c>
      <c r="AQ204" s="136">
        <f t="shared" ca="1" si="42"/>
        <v>0.99949180043069985</v>
      </c>
      <c r="AR204" s="136">
        <f t="shared" ca="1" si="43"/>
        <v>0.25931292990873156</v>
      </c>
      <c r="AS204" s="136">
        <f t="shared" ca="1" si="44"/>
        <v>8.4177010622922849E-2</v>
      </c>
    </row>
    <row r="205" spans="9:45" ht="15" hidden="1" customHeight="1" x14ac:dyDescent="0.2">
      <c r="I205" s="74">
        <v>564</v>
      </c>
      <c r="J205" s="137">
        <v>0.98272409999999999</v>
      </c>
      <c r="L205" s="74">
        <v>564</v>
      </c>
      <c r="M205" s="137">
        <v>2.7750399999999998E-4</v>
      </c>
      <c r="N205" s="137">
        <v>0.85184000000000004</v>
      </c>
      <c r="O205" s="137">
        <v>0.99512400000000001</v>
      </c>
      <c r="P205" s="138">
        <v>0.2762</v>
      </c>
      <c r="Q205" s="137">
        <v>9.0425900000000003E-2</v>
      </c>
      <c r="S205" s="74">
        <v>564</v>
      </c>
      <c r="T205" s="137">
        <v>1.1287038333089419E-4</v>
      </c>
      <c r="U205" s="137">
        <v>0.91943281527493759</v>
      </c>
      <c r="V205" s="137">
        <v>0.98933870518561806</v>
      </c>
      <c r="W205" s="138">
        <v>0.37326304962209267</v>
      </c>
      <c r="X205" s="137">
        <v>9.0454879621055681E-2</v>
      </c>
      <c r="Z205" s="74">
        <v>564</v>
      </c>
      <c r="AA205" s="137">
        <f t="shared" ca="1" si="30"/>
        <v>2.7750399999999998E-4</v>
      </c>
      <c r="AB205" s="137">
        <f t="shared" ca="1" si="31"/>
        <v>0.85184000000000004</v>
      </c>
      <c r="AC205" s="137">
        <f t="shared" ca="1" si="32"/>
        <v>0.99512400000000001</v>
      </c>
      <c r="AD205" s="137">
        <f t="shared" ca="1" si="33"/>
        <v>0.2762</v>
      </c>
      <c r="AE205" s="137">
        <f t="shared" ca="1" si="34"/>
        <v>9.0425900000000003E-2</v>
      </c>
      <c r="AG205" s="74">
        <v>564</v>
      </c>
      <c r="AH205" s="136">
        <f t="shared" ca="1" si="35"/>
        <v>4.9202836879432622E-7</v>
      </c>
      <c r="AI205" s="136">
        <f t="shared" ca="1" si="36"/>
        <v>1.5103546099290782E-3</v>
      </c>
      <c r="AJ205" s="136">
        <f t="shared" ca="1" si="37"/>
        <v>1.7644042553191489E-3</v>
      </c>
      <c r="AK205" s="136">
        <f t="shared" ca="1" si="38"/>
        <v>4.8971631205673761E-4</v>
      </c>
      <c r="AL205" s="136">
        <f t="shared" ca="1" si="39"/>
        <v>1.6032960992907802E-4</v>
      </c>
      <c r="AN205" s="74">
        <v>564</v>
      </c>
      <c r="AO205" s="136">
        <f t="shared" ca="1" si="40"/>
        <v>2.2014846367311738E-4</v>
      </c>
      <c r="AP205" s="136">
        <f t="shared" ca="1" si="41"/>
        <v>0.81646428968737805</v>
      </c>
      <c r="AQ205" s="136">
        <f t="shared" ca="1" si="42"/>
        <v>0.99990912973625234</v>
      </c>
      <c r="AR205" s="136">
        <f t="shared" ca="1" si="43"/>
        <v>0.24755970037772893</v>
      </c>
      <c r="AS205" s="136">
        <f t="shared" ca="1" si="44"/>
        <v>7.8397016502262579E-2</v>
      </c>
    </row>
    <row r="206" spans="9:45" ht="15" hidden="1" customHeight="1" x14ac:dyDescent="0.2">
      <c r="I206" s="74">
        <v>565</v>
      </c>
      <c r="J206" s="137">
        <v>0.97860000000000003</v>
      </c>
      <c r="L206" s="74">
        <v>565</v>
      </c>
      <c r="M206" s="137">
        <v>2.5191800000000001E-4</v>
      </c>
      <c r="N206" s="137">
        <v>0.84096899999999997</v>
      </c>
      <c r="O206" s="137">
        <v>0.99697899999999995</v>
      </c>
      <c r="P206" s="138">
        <v>0.26390000000000002</v>
      </c>
      <c r="Q206" s="137">
        <v>8.4345699999999996E-2</v>
      </c>
      <c r="S206" s="74">
        <v>565</v>
      </c>
      <c r="T206" s="137">
        <v>1.0345321697338843E-4</v>
      </c>
      <c r="U206" s="137">
        <v>0.91027161429282144</v>
      </c>
      <c r="V206" s="137">
        <v>0.99186142450452808</v>
      </c>
      <c r="W206" s="138">
        <v>0.35746703657409773</v>
      </c>
      <c r="X206" s="137">
        <v>8.4345710319057229E-2</v>
      </c>
      <c r="Z206" s="74">
        <v>565</v>
      </c>
      <c r="AA206" s="137">
        <f t="shared" ca="1" si="30"/>
        <v>2.5191800000000001E-4</v>
      </c>
      <c r="AB206" s="137">
        <f t="shared" ca="1" si="31"/>
        <v>0.84096899999999997</v>
      </c>
      <c r="AC206" s="137">
        <f t="shared" ca="1" si="32"/>
        <v>0.99697899999999995</v>
      </c>
      <c r="AD206" s="137">
        <f t="shared" ca="1" si="33"/>
        <v>0.26390000000000002</v>
      </c>
      <c r="AE206" s="137">
        <f t="shared" ca="1" si="34"/>
        <v>8.4345699999999996E-2</v>
      </c>
      <c r="AG206" s="74">
        <v>565</v>
      </c>
      <c r="AH206" s="136">
        <f t="shared" ca="1" si="35"/>
        <v>4.4587256637168144E-7</v>
      </c>
      <c r="AI206" s="136">
        <f t="shared" ca="1" si="36"/>
        <v>1.4884407079646018E-3</v>
      </c>
      <c r="AJ206" s="136">
        <f t="shared" ca="1" si="37"/>
        <v>1.7645646017699114E-3</v>
      </c>
      <c r="AK206" s="136">
        <f t="shared" ca="1" si="38"/>
        <v>4.6707964601769915E-4</v>
      </c>
      <c r="AL206" s="136">
        <f t="shared" ca="1" si="39"/>
        <v>1.4928442477876106E-4</v>
      </c>
      <c r="AN206" s="74">
        <v>565</v>
      </c>
      <c r="AO206" s="136">
        <f t="shared" ca="1" si="40"/>
        <v>1.9949695323715576E-4</v>
      </c>
      <c r="AP206" s="136">
        <f t="shared" ca="1" si="41"/>
        <v>0.804618119070171</v>
      </c>
      <c r="AQ206" s="136">
        <f t="shared" ca="1" si="42"/>
        <v>1</v>
      </c>
      <c r="AR206" s="136">
        <f t="shared" ca="1" si="43"/>
        <v>0.23611649106611873</v>
      </c>
      <c r="AS206" s="136">
        <f t="shared" ca="1" si="44"/>
        <v>7.2996207737849192E-2</v>
      </c>
    </row>
    <row r="207" spans="9:45" ht="15" hidden="1" customHeight="1" x14ac:dyDescent="0.2">
      <c r="I207" s="74">
        <v>566</v>
      </c>
      <c r="J207" s="137">
        <v>0.9740837</v>
      </c>
      <c r="L207" s="74">
        <v>566</v>
      </c>
      <c r="M207" s="137">
        <v>2.2872499999999999E-4</v>
      </c>
      <c r="N207" s="137">
        <v>0.82930300000000001</v>
      </c>
      <c r="O207" s="137">
        <v>0.99841100000000005</v>
      </c>
      <c r="P207" s="138">
        <v>0.25190000000000001</v>
      </c>
      <c r="Q207" s="137">
        <v>7.8619800000000004E-2</v>
      </c>
      <c r="S207" s="74">
        <v>566</v>
      </c>
      <c r="T207" s="137">
        <v>9.4851237196109017E-5</v>
      </c>
      <c r="U207" s="137">
        <v>0.90067684945466997</v>
      </c>
      <c r="V207" s="137">
        <v>0.99408380821058007</v>
      </c>
      <c r="W207" s="138">
        <v>0.34195739499498407</v>
      </c>
      <c r="X207" s="137">
        <v>7.857890995616193E-2</v>
      </c>
      <c r="Z207" s="74">
        <v>566</v>
      </c>
      <c r="AA207" s="137">
        <f t="shared" ca="1" si="30"/>
        <v>2.2872499999999999E-4</v>
      </c>
      <c r="AB207" s="137">
        <f t="shared" ca="1" si="31"/>
        <v>0.82930300000000001</v>
      </c>
      <c r="AC207" s="137">
        <f t="shared" ca="1" si="32"/>
        <v>0.99841100000000005</v>
      </c>
      <c r="AD207" s="137">
        <f t="shared" ca="1" si="33"/>
        <v>0.25190000000000001</v>
      </c>
      <c r="AE207" s="137">
        <f t="shared" ca="1" si="34"/>
        <v>7.8619800000000004E-2</v>
      </c>
      <c r="AG207" s="74">
        <v>566</v>
      </c>
      <c r="AH207" s="136">
        <f t="shared" ca="1" si="35"/>
        <v>4.041077738515901E-7</v>
      </c>
      <c r="AI207" s="136">
        <f t="shared" ca="1" si="36"/>
        <v>1.4651996466431096E-3</v>
      </c>
      <c r="AJ207" s="136">
        <f t="shared" ca="1" si="37"/>
        <v>1.7639770318021203E-3</v>
      </c>
      <c r="AK207" s="136">
        <f t="shared" ca="1" si="38"/>
        <v>4.4505300353356894E-4</v>
      </c>
      <c r="AL207" s="136">
        <f t="shared" ca="1" si="39"/>
        <v>1.3890424028268551E-4</v>
      </c>
      <c r="AN207" s="74">
        <v>566</v>
      </c>
      <c r="AO207" s="136">
        <f t="shared" ca="1" si="40"/>
        <v>1.8081011424156117E-4</v>
      </c>
      <c r="AP207" s="136">
        <f t="shared" ca="1" si="41"/>
        <v>0.7920545154643106</v>
      </c>
      <c r="AQ207" s="136">
        <f t="shared" ca="1" si="42"/>
        <v>0.99966701702663552</v>
      </c>
      <c r="AR207" s="136">
        <f t="shared" ca="1" si="43"/>
        <v>0.22498165875719031</v>
      </c>
      <c r="AS207" s="136">
        <f t="shared" ca="1" si="44"/>
        <v>6.7920567027469236E-2</v>
      </c>
    </row>
    <row r="208" spans="9:45" ht="15" hidden="1" customHeight="1" x14ac:dyDescent="0.2">
      <c r="I208" s="74">
        <v>567</v>
      </c>
      <c r="J208" s="137">
        <v>0.96917120000000001</v>
      </c>
      <c r="L208" s="74">
        <v>567</v>
      </c>
      <c r="M208" s="137">
        <v>2.0769899999999999E-4</v>
      </c>
      <c r="N208" s="137">
        <v>0.81691100000000005</v>
      </c>
      <c r="O208" s="137">
        <v>0.99939100000000003</v>
      </c>
      <c r="P208" s="138">
        <v>0.24030000000000001</v>
      </c>
      <c r="Q208" s="137">
        <v>7.3175000000000004E-2</v>
      </c>
      <c r="S208" s="74">
        <v>567</v>
      </c>
      <c r="T208" s="137">
        <v>8.6990935245833312E-5</v>
      </c>
      <c r="U208" s="137">
        <v>0.89065805507686469</v>
      </c>
      <c r="V208" s="137">
        <v>0.99600151724354191</v>
      </c>
      <c r="W208" s="138">
        <v>0.32675406564100457</v>
      </c>
      <c r="X208" s="137">
        <v>7.3143207290466444E-2</v>
      </c>
      <c r="Z208" s="74">
        <v>567</v>
      </c>
      <c r="AA208" s="137">
        <f t="shared" ca="1" si="30"/>
        <v>2.0769899999999999E-4</v>
      </c>
      <c r="AB208" s="137">
        <f t="shared" ca="1" si="31"/>
        <v>0.81691100000000005</v>
      </c>
      <c r="AC208" s="137">
        <f t="shared" ca="1" si="32"/>
        <v>0.99939100000000003</v>
      </c>
      <c r="AD208" s="137">
        <f t="shared" ca="1" si="33"/>
        <v>0.24030000000000001</v>
      </c>
      <c r="AE208" s="137">
        <f t="shared" ca="1" si="34"/>
        <v>7.3175000000000004E-2</v>
      </c>
      <c r="AG208" s="74">
        <v>567</v>
      </c>
      <c r="AH208" s="136">
        <f t="shared" ca="1" si="35"/>
        <v>3.6631216931216932E-7</v>
      </c>
      <c r="AI208" s="136">
        <f t="shared" ca="1" si="36"/>
        <v>1.4407601410934745E-3</v>
      </c>
      <c r="AJ208" s="136">
        <f t="shared" ca="1" si="37"/>
        <v>1.762594356261023E-3</v>
      </c>
      <c r="AK208" s="136">
        <f t="shared" ca="1" si="38"/>
        <v>4.2380952380952384E-4</v>
      </c>
      <c r="AL208" s="136">
        <f t="shared" ca="1" si="39"/>
        <v>1.2905643738977073E-4</v>
      </c>
      <c r="AN208" s="74">
        <v>567</v>
      </c>
      <c r="AO208" s="136">
        <f t="shared" ca="1" si="40"/>
        <v>1.6389921072325548E-4</v>
      </c>
      <c r="AP208" s="136">
        <f t="shared" ca="1" si="41"/>
        <v>0.7788430594209973</v>
      </c>
      <c r="AQ208" s="136">
        <f t="shared" ca="1" si="42"/>
        <v>0.99888343815414171</v>
      </c>
      <c r="AR208" s="136">
        <f t="shared" ca="1" si="43"/>
        <v>0.21424272818455367</v>
      </c>
      <c r="AS208" s="136">
        <f t="shared" ca="1" si="44"/>
        <v>6.3105247098428185E-2</v>
      </c>
    </row>
    <row r="209" spans="9:45" ht="15" hidden="1" customHeight="1" x14ac:dyDescent="0.2">
      <c r="I209" s="74">
        <v>568</v>
      </c>
      <c r="J209" s="137">
        <v>0.96385679999999996</v>
      </c>
      <c r="L209" s="74">
        <v>568</v>
      </c>
      <c r="M209" s="137">
        <v>1.8863800000000001E-4</v>
      </c>
      <c r="N209" s="137">
        <v>0.80391000000000001</v>
      </c>
      <c r="O209" s="137">
        <v>0.99991200000000002</v>
      </c>
      <c r="P209" s="138">
        <v>0.2291</v>
      </c>
      <c r="Q209" s="137">
        <v>6.80288E-2</v>
      </c>
      <c r="S209" s="74">
        <v>568</v>
      </c>
      <c r="T209" s="137">
        <v>7.9806635106183818E-5</v>
      </c>
      <c r="U209" s="137">
        <v>0.88022155616173436</v>
      </c>
      <c r="V209" s="137">
        <v>0.99760587940734591</v>
      </c>
      <c r="W209" s="138">
        <v>0.31187387760581498</v>
      </c>
      <c r="X209" s="137">
        <v>6.8026480130502817E-2</v>
      </c>
      <c r="Z209" s="74">
        <v>568</v>
      </c>
      <c r="AA209" s="137">
        <f t="shared" ca="1" si="30"/>
        <v>1.8863800000000001E-4</v>
      </c>
      <c r="AB209" s="137">
        <f t="shared" ca="1" si="31"/>
        <v>0.80391000000000001</v>
      </c>
      <c r="AC209" s="137">
        <f t="shared" ca="1" si="32"/>
        <v>0.99991200000000002</v>
      </c>
      <c r="AD209" s="137">
        <f t="shared" ca="1" si="33"/>
        <v>0.2291</v>
      </c>
      <c r="AE209" s="137">
        <f t="shared" ca="1" si="34"/>
        <v>6.80288E-2</v>
      </c>
      <c r="AG209" s="74">
        <v>568</v>
      </c>
      <c r="AH209" s="136">
        <f t="shared" ca="1" si="35"/>
        <v>3.3210915492957745E-7</v>
      </c>
      <c r="AI209" s="136">
        <f t="shared" ca="1" si="36"/>
        <v>1.4153345070422535E-3</v>
      </c>
      <c r="AJ209" s="136">
        <f t="shared" ca="1" si="37"/>
        <v>1.7604084507042254E-3</v>
      </c>
      <c r="AK209" s="136">
        <f t="shared" ca="1" si="38"/>
        <v>4.033450704225352E-4</v>
      </c>
      <c r="AL209" s="136">
        <f t="shared" ca="1" si="39"/>
        <v>1.1976901408450704E-4</v>
      </c>
      <c r="AN209" s="74">
        <v>568</v>
      </c>
      <c r="AO209" s="136">
        <f t="shared" ca="1" si="40"/>
        <v>1.4859574135670629E-4</v>
      </c>
      <c r="AP209" s="136">
        <f t="shared" ca="1" si="41"/>
        <v>0.7650985241251067</v>
      </c>
      <c r="AQ209" s="136">
        <f t="shared" ca="1" si="42"/>
        <v>0.99764465916321954</v>
      </c>
      <c r="AR209" s="136">
        <f t="shared" ca="1" si="43"/>
        <v>0.20389760831791148</v>
      </c>
      <c r="AS209" s="136">
        <f t="shared" ca="1" si="44"/>
        <v>5.8563938238209941E-2</v>
      </c>
    </row>
    <row r="210" spans="9:45" ht="15" hidden="1" customHeight="1" x14ac:dyDescent="0.2">
      <c r="I210" s="74">
        <v>569</v>
      </c>
      <c r="J210" s="137">
        <v>0.95813490000000001</v>
      </c>
      <c r="L210" s="74">
        <v>569</v>
      </c>
      <c r="M210" s="137">
        <v>1.7135699999999999E-4</v>
      </c>
      <c r="N210" s="137">
        <v>0.79041300000000003</v>
      </c>
      <c r="O210" s="137">
        <v>0.99996499999999999</v>
      </c>
      <c r="P210" s="138">
        <v>0.21820000000000001</v>
      </c>
      <c r="Q210" s="137">
        <v>6.3198400000000002E-2</v>
      </c>
      <c r="S210" s="74">
        <v>569</v>
      </c>
      <c r="T210" s="137">
        <v>7.3237919732524546E-5</v>
      </c>
      <c r="U210" s="137">
        <v>0.86937670687268165</v>
      </c>
      <c r="V210" s="137">
        <v>0.99888846960813704</v>
      </c>
      <c r="W210" s="138">
        <v>0.29733360742277926</v>
      </c>
      <c r="X210" s="137">
        <v>6.3216580447711335E-2</v>
      </c>
      <c r="Z210" s="74">
        <v>569</v>
      </c>
      <c r="AA210" s="137">
        <f t="shared" ca="1" si="30"/>
        <v>1.7135699999999999E-4</v>
      </c>
      <c r="AB210" s="137">
        <f t="shared" ca="1" si="31"/>
        <v>0.79041300000000003</v>
      </c>
      <c r="AC210" s="137">
        <f t="shared" ca="1" si="32"/>
        <v>0.99996499999999999</v>
      </c>
      <c r="AD210" s="137">
        <f t="shared" ca="1" si="33"/>
        <v>0.21820000000000001</v>
      </c>
      <c r="AE210" s="137">
        <f t="shared" ca="1" si="34"/>
        <v>6.3198400000000002E-2</v>
      </c>
      <c r="AG210" s="74">
        <v>569</v>
      </c>
      <c r="AH210" s="136">
        <f t="shared" ca="1" si="35"/>
        <v>3.0115465729349737E-7</v>
      </c>
      <c r="AI210" s="136">
        <f t="shared" ca="1" si="36"/>
        <v>1.3891265377855887E-3</v>
      </c>
      <c r="AJ210" s="136">
        <f t="shared" ca="1" si="37"/>
        <v>1.7574077328646749E-3</v>
      </c>
      <c r="AK210" s="136">
        <f t="shared" ca="1" si="38"/>
        <v>3.8347978910369069E-4</v>
      </c>
      <c r="AL210" s="136">
        <f t="shared" ca="1" si="39"/>
        <v>1.1106924428822496E-4</v>
      </c>
      <c r="AN210" s="74">
        <v>569</v>
      </c>
      <c r="AO210" s="136">
        <f t="shared" ca="1" si="40"/>
        <v>1.347457572286473E-4</v>
      </c>
      <c r="AP210" s="136">
        <f t="shared" ca="1" si="41"/>
        <v>0.75093107572416706</v>
      </c>
      <c r="AQ210" s="136">
        <f t="shared" ca="1" si="42"/>
        <v>0.9959441162437136</v>
      </c>
      <c r="AR210" s="136">
        <f t="shared" ca="1" si="43"/>
        <v>0.19385537984780352</v>
      </c>
      <c r="AS210" s="136">
        <f t="shared" ca="1" si="44"/>
        <v>5.4309976686212715E-2</v>
      </c>
    </row>
    <row r="211" spans="9:45" ht="15" hidden="1" customHeight="1" x14ac:dyDescent="0.2">
      <c r="I211" s="74">
        <v>570</v>
      </c>
      <c r="J211" s="137">
        <v>0.95199999999999996</v>
      </c>
      <c r="L211" s="74">
        <v>570</v>
      </c>
      <c r="M211" s="137">
        <v>1.5568799999999999E-4</v>
      </c>
      <c r="N211" s="137">
        <v>0.77652600000000005</v>
      </c>
      <c r="O211" s="137">
        <v>0.99954299999999996</v>
      </c>
      <c r="P211" s="138">
        <v>0.20760000000000001</v>
      </c>
      <c r="Q211" s="137">
        <v>5.8701299999999998E-2</v>
      </c>
      <c r="S211" s="74">
        <v>570</v>
      </c>
      <c r="T211" s="137">
        <v>6.7230292383685031E-5</v>
      </c>
      <c r="U211" s="137">
        <v>0.85813773563583828</v>
      </c>
      <c r="V211" s="137">
        <v>0.99984343647102503</v>
      </c>
      <c r="W211" s="138">
        <v>0.28314963100569379</v>
      </c>
      <c r="X211" s="137">
        <v>5.8701337947892999E-2</v>
      </c>
      <c r="Z211" s="74">
        <v>570</v>
      </c>
      <c r="AA211" s="137">
        <f t="shared" ca="1" si="30"/>
        <v>1.5568799999999999E-4</v>
      </c>
      <c r="AB211" s="137">
        <f t="shared" ca="1" si="31"/>
        <v>0.77652600000000005</v>
      </c>
      <c r="AC211" s="137">
        <f t="shared" ca="1" si="32"/>
        <v>0.99954299999999996</v>
      </c>
      <c r="AD211" s="137">
        <f t="shared" ca="1" si="33"/>
        <v>0.20760000000000001</v>
      </c>
      <c r="AE211" s="137">
        <f t="shared" ca="1" si="34"/>
        <v>5.8701299999999998E-2</v>
      </c>
      <c r="AG211" s="74">
        <v>570</v>
      </c>
      <c r="AH211" s="136">
        <f t="shared" ca="1" si="35"/>
        <v>2.7313684210526312E-7</v>
      </c>
      <c r="AI211" s="136">
        <f t="shared" ca="1" si="36"/>
        <v>1.3623263157894739E-3</v>
      </c>
      <c r="AJ211" s="136">
        <f t="shared" ca="1" si="37"/>
        <v>1.7535842105263157E-3</v>
      </c>
      <c r="AK211" s="136">
        <f t="shared" ca="1" si="38"/>
        <v>3.6421052631578946E-4</v>
      </c>
      <c r="AL211" s="136">
        <f t="shared" ca="1" si="39"/>
        <v>1.0298473684210526E-4</v>
      </c>
      <c r="AN211" s="74">
        <v>570</v>
      </c>
      <c r="AO211" s="136">
        <f t="shared" ca="1" si="40"/>
        <v>1.2220973418533893E-4</v>
      </c>
      <c r="AP211" s="136">
        <f t="shared" ca="1" si="41"/>
        <v>0.73644346859424314</v>
      </c>
      <c r="AQ211" s="136">
        <f t="shared" ca="1" si="42"/>
        <v>0.99377728011058253</v>
      </c>
      <c r="AR211" s="136">
        <f t="shared" ca="1" si="43"/>
        <v>0.18411444860898485</v>
      </c>
      <c r="AS211" s="136">
        <f t="shared" ca="1" si="44"/>
        <v>5.0356862448945668E-2</v>
      </c>
    </row>
    <row r="212" spans="9:45" ht="15" hidden="1" customHeight="1" x14ac:dyDescent="0.2">
      <c r="I212" s="74">
        <v>571</v>
      </c>
      <c r="J212" s="137">
        <v>0.94545040000000002</v>
      </c>
      <c r="L212" s="74">
        <v>571</v>
      </c>
      <c r="M212" s="137">
        <v>1.4148000000000001E-4</v>
      </c>
      <c r="N212" s="137">
        <v>0.76231099999999996</v>
      </c>
      <c r="O212" s="137">
        <v>0.99861500000000003</v>
      </c>
      <c r="P212" s="138">
        <v>0.19739999999999999</v>
      </c>
      <c r="Q212" s="137">
        <v>5.4483200000000002E-2</v>
      </c>
      <c r="S212" s="74">
        <v>571</v>
      </c>
      <c r="T212" s="137">
        <v>6.1705801818152286E-5</v>
      </c>
      <c r="U212" s="137">
        <v>0.84612202478441079</v>
      </c>
      <c r="V212" s="137">
        <v>1</v>
      </c>
      <c r="W212" s="138">
        <v>0.26921050332111957</v>
      </c>
      <c r="X212" s="137">
        <v>5.4442743221710561E-2</v>
      </c>
      <c r="Z212" s="74">
        <v>571</v>
      </c>
      <c r="AA212" s="137">
        <f t="shared" ca="1" si="30"/>
        <v>1.4148000000000001E-4</v>
      </c>
      <c r="AB212" s="137">
        <f t="shared" ca="1" si="31"/>
        <v>0.76231099999999996</v>
      </c>
      <c r="AC212" s="137">
        <f t="shared" ca="1" si="32"/>
        <v>0.99861500000000003</v>
      </c>
      <c r="AD212" s="137">
        <f t="shared" ca="1" si="33"/>
        <v>0.19739999999999999</v>
      </c>
      <c r="AE212" s="137">
        <f t="shared" ca="1" si="34"/>
        <v>5.4483200000000002E-2</v>
      </c>
      <c r="AG212" s="74">
        <v>571</v>
      </c>
      <c r="AH212" s="136">
        <f t="shared" ca="1" si="35"/>
        <v>2.4777583187390547E-7</v>
      </c>
      <c r="AI212" s="136">
        <f t="shared" ca="1" si="36"/>
        <v>1.3350455341506128E-3</v>
      </c>
      <c r="AJ212" s="136">
        <f t="shared" ca="1" si="37"/>
        <v>1.7488879159369528E-3</v>
      </c>
      <c r="AK212" s="136">
        <f t="shared" ca="1" si="38"/>
        <v>3.4570928196147108E-4</v>
      </c>
      <c r="AL212" s="136">
        <f t="shared" ca="1" si="39"/>
        <v>9.5417162872154116E-5</v>
      </c>
      <c r="AN212" s="74">
        <v>571</v>
      </c>
      <c r="AO212" s="136">
        <f t="shared" ca="1" si="40"/>
        <v>1.1086244652118913E-4</v>
      </c>
      <c r="AP212" s="136">
        <f t="shared" ca="1" si="41"/>
        <v>0.72169608155251053</v>
      </c>
      <c r="AQ212" s="136">
        <f t="shared" ca="1" si="42"/>
        <v>0.99111583343719212</v>
      </c>
      <c r="AR212" s="136">
        <f t="shared" ca="1" si="43"/>
        <v>0.17476176339877775</v>
      </c>
      <c r="AS212" s="136">
        <f t="shared" ca="1" si="44"/>
        <v>4.6656515260009142E-2</v>
      </c>
    </row>
    <row r="213" spans="9:45" ht="15" hidden="1" customHeight="1" x14ac:dyDescent="0.2">
      <c r="I213" s="74">
        <v>572</v>
      </c>
      <c r="J213" s="137">
        <v>0.93849919999999998</v>
      </c>
      <c r="L213" s="74">
        <v>572</v>
      </c>
      <c r="M213" s="137">
        <v>1.28596E-4</v>
      </c>
      <c r="N213" s="137">
        <v>0.74766900000000003</v>
      </c>
      <c r="O213" s="137">
        <v>0.99705100000000002</v>
      </c>
      <c r="P213" s="138">
        <v>0.18759999999999999</v>
      </c>
      <c r="Q213" s="137">
        <v>5.0488900000000003E-2</v>
      </c>
      <c r="S213" s="74">
        <v>572</v>
      </c>
      <c r="T213" s="137">
        <v>5.6652228740366694E-5</v>
      </c>
      <c r="U213" s="137">
        <v>0.83374645431802707</v>
      </c>
      <c r="V213" s="137">
        <v>0.99981350799926294</v>
      </c>
      <c r="W213" s="138">
        <v>0.25566719105878749</v>
      </c>
      <c r="X213" s="137">
        <v>5.0457182952534166E-2</v>
      </c>
      <c r="Z213" s="74">
        <v>572</v>
      </c>
      <c r="AA213" s="137">
        <f t="shared" ref="AA213:AA276" ca="1" si="45">OFFSET(M213,0,$AA$8)</f>
        <v>1.28596E-4</v>
      </c>
      <c r="AB213" s="137">
        <f t="shared" ref="AB213:AB276" ca="1" si="46">OFFSET(N213,0,$AA$8)</f>
        <v>0.74766900000000003</v>
      </c>
      <c r="AC213" s="137">
        <f t="shared" ref="AC213:AC276" ca="1" si="47">OFFSET(O213,0,$AA$8)</f>
        <v>0.99705100000000002</v>
      </c>
      <c r="AD213" s="137">
        <f t="shared" ref="AD213:AD276" ca="1" si="48">OFFSET(P213,0,$AA$8)</f>
        <v>0.18759999999999999</v>
      </c>
      <c r="AE213" s="137">
        <f t="shared" ref="AE213:AE276" ca="1" si="49">OFFSET(Q213,0,$AA$8)</f>
        <v>5.0488900000000003E-2</v>
      </c>
      <c r="AG213" s="74">
        <v>572</v>
      </c>
      <c r="AH213" s="136">
        <f t="shared" ref="AH213:AH276" ca="1" si="50">AA213/$Z213</f>
        <v>2.2481818181818183E-7</v>
      </c>
      <c r="AI213" s="136">
        <f t="shared" ref="AI213:AI276" ca="1" si="51">AB213/$Z213</f>
        <v>1.3071136363636364E-3</v>
      </c>
      <c r="AJ213" s="136">
        <f t="shared" ref="AJ213:AJ276" ca="1" si="52">AC213/$Z213</f>
        <v>1.7430961538461539E-3</v>
      </c>
      <c r="AK213" s="136">
        <f t="shared" ref="AK213:AK276" ca="1" si="53">AD213/$Z213</f>
        <v>3.2797202797202796E-4</v>
      </c>
      <c r="AL213" s="136">
        <f t="shared" ref="AL213:AL276" ca="1" si="54">AE213/$Z213</f>
        <v>8.8267307692307695E-5</v>
      </c>
      <c r="AN213" s="74">
        <v>572</v>
      </c>
      <c r="AO213" s="136">
        <f t="shared" ref="AO213:AO276" ca="1" si="55">IF(AH213=0,"",AH213/AH$11)</f>
        <v>1.0059049532923401E-4</v>
      </c>
      <c r="AP213" s="136">
        <f t="shared" ref="AP213:AP276" ca="1" si="56">IF(AI213=0,"",AI213/AI$11)</f>
        <v>0.70659671552526016</v>
      </c>
      <c r="AQ213" s="136">
        <f t="shared" ref="AQ213:AQ276" ca="1" si="57">IF(AJ213=0,"",AJ213/AJ$11)</f>
        <v>0.98783357214452561</v>
      </c>
      <c r="AR213" s="136">
        <f t="shared" ref="AR213:AR276" ca="1" si="58">IF(AK213=0,"",AK213/AK$11)</f>
        <v>0.16579528796178744</v>
      </c>
      <c r="AS213" s="136">
        <f t="shared" ref="AS213:AS276" ca="1" si="59">IF(AL213=0,"",AL213/AL$11)</f>
        <v>4.3160421713900242E-2</v>
      </c>
    </row>
    <row r="214" spans="9:45" ht="15" hidden="1" customHeight="1" x14ac:dyDescent="0.2">
      <c r="I214" s="74">
        <v>573</v>
      </c>
      <c r="J214" s="137">
        <v>0.93116279999999996</v>
      </c>
      <c r="L214" s="74">
        <v>573</v>
      </c>
      <c r="M214" s="137">
        <v>1.1691199999999999E-4</v>
      </c>
      <c r="N214" s="137">
        <v>0.73247600000000002</v>
      </c>
      <c r="O214" s="137">
        <v>0.99470099999999995</v>
      </c>
      <c r="P214" s="138">
        <v>0.1782</v>
      </c>
      <c r="Q214" s="137">
        <v>4.6734400000000002E-2</v>
      </c>
      <c r="S214" s="74">
        <v>573</v>
      </c>
      <c r="T214" s="137">
        <v>5.2028343635596687E-5</v>
      </c>
      <c r="U214" s="137">
        <v>0.82102427882757611</v>
      </c>
      <c r="V214" s="137">
        <v>0.99927955051434003</v>
      </c>
      <c r="W214" s="138">
        <v>0.24252862244748968</v>
      </c>
      <c r="X214" s="137">
        <v>4.673163758745414E-2</v>
      </c>
      <c r="Z214" s="74">
        <v>573</v>
      </c>
      <c r="AA214" s="137">
        <f t="shared" ca="1" si="45"/>
        <v>1.1691199999999999E-4</v>
      </c>
      <c r="AB214" s="137">
        <f t="shared" ca="1" si="46"/>
        <v>0.73247600000000002</v>
      </c>
      <c r="AC214" s="137">
        <f t="shared" ca="1" si="47"/>
        <v>0.99470099999999995</v>
      </c>
      <c r="AD214" s="137">
        <f t="shared" ca="1" si="48"/>
        <v>0.1782</v>
      </c>
      <c r="AE214" s="137">
        <f t="shared" ca="1" si="49"/>
        <v>4.6734400000000002E-2</v>
      </c>
      <c r="AG214" s="74">
        <v>573</v>
      </c>
      <c r="AH214" s="136">
        <f t="shared" ca="1" si="50"/>
        <v>2.040349040139616E-7</v>
      </c>
      <c r="AI214" s="136">
        <f t="shared" ca="1" si="51"/>
        <v>1.2783176265270507E-3</v>
      </c>
      <c r="AJ214" s="136">
        <f t="shared" ca="1" si="52"/>
        <v>1.7359528795811516E-3</v>
      </c>
      <c r="AK214" s="136">
        <f t="shared" ca="1" si="53"/>
        <v>3.1099476439790574E-4</v>
      </c>
      <c r="AL214" s="136">
        <f t="shared" ca="1" si="54"/>
        <v>8.156090750436301E-5</v>
      </c>
      <c r="AN214" s="74">
        <v>573</v>
      </c>
      <c r="AO214" s="136">
        <f t="shared" ca="1" si="55"/>
        <v>9.1291424444556505E-5</v>
      </c>
      <c r="AP214" s="136">
        <f t="shared" ca="1" si="56"/>
        <v>0.69103022964009264</v>
      </c>
      <c r="AQ214" s="136">
        <f t="shared" ca="1" si="57"/>
        <v>0.9837853926344996</v>
      </c>
      <c r="AR214" s="136">
        <f t="shared" ca="1" si="58"/>
        <v>0.15721300025731644</v>
      </c>
      <c r="AS214" s="136">
        <f t="shared" ca="1" si="59"/>
        <v>3.9881166145090165E-2</v>
      </c>
    </row>
    <row r="215" spans="9:45" ht="15" hidden="1" customHeight="1" x14ac:dyDescent="0.2">
      <c r="I215" s="74">
        <v>574</v>
      </c>
      <c r="J215" s="137">
        <v>0.92345759999999999</v>
      </c>
      <c r="L215" s="74">
        <v>574</v>
      </c>
      <c r="M215" s="137">
        <v>1.06316E-4</v>
      </c>
      <c r="N215" s="137">
        <v>0.71662199999999998</v>
      </c>
      <c r="O215" s="137">
        <v>0.99141599999999996</v>
      </c>
      <c r="P215" s="138">
        <v>0.16900000000000001</v>
      </c>
      <c r="Q215" s="137">
        <v>4.3235700000000002E-2</v>
      </c>
      <c r="S215" s="74">
        <v>574</v>
      </c>
      <c r="T215" s="137">
        <v>4.7796049254087701E-5</v>
      </c>
      <c r="U215" s="137">
        <v>0.8079695615362007</v>
      </c>
      <c r="V215" s="137">
        <v>0.99838948870232769</v>
      </c>
      <c r="W215" s="138">
        <v>0.22980527851555321</v>
      </c>
      <c r="X215" s="137">
        <v>4.3253076166466974E-2</v>
      </c>
      <c r="Z215" s="74">
        <v>574</v>
      </c>
      <c r="AA215" s="137">
        <f t="shared" ca="1" si="45"/>
        <v>1.06316E-4</v>
      </c>
      <c r="AB215" s="137">
        <f t="shared" ca="1" si="46"/>
        <v>0.71662199999999998</v>
      </c>
      <c r="AC215" s="137">
        <f t="shared" ca="1" si="47"/>
        <v>0.99141599999999996</v>
      </c>
      <c r="AD215" s="137">
        <f t="shared" ca="1" si="48"/>
        <v>0.16900000000000001</v>
      </c>
      <c r="AE215" s="137">
        <f t="shared" ca="1" si="49"/>
        <v>4.3235700000000002E-2</v>
      </c>
      <c r="AG215" s="74">
        <v>574</v>
      </c>
      <c r="AH215" s="136">
        <f t="shared" ca="1" si="50"/>
        <v>1.8521951219512194E-7</v>
      </c>
      <c r="AI215" s="136">
        <f t="shared" ca="1" si="51"/>
        <v>1.2484703832752614E-3</v>
      </c>
      <c r="AJ215" s="136">
        <f t="shared" ca="1" si="52"/>
        <v>1.7272055749128919E-3</v>
      </c>
      <c r="AK215" s="136">
        <f t="shared" ca="1" si="53"/>
        <v>2.9442508710801396E-4</v>
      </c>
      <c r="AL215" s="136">
        <f t="shared" ca="1" si="54"/>
        <v>7.532351916376307E-5</v>
      </c>
      <c r="AN215" s="74">
        <v>574</v>
      </c>
      <c r="AO215" s="136">
        <f t="shared" ca="1" si="55"/>
        <v>8.2872845628714339E-5</v>
      </c>
      <c r="AP215" s="136">
        <f t="shared" ca="1" si="56"/>
        <v>0.67489547022631302</v>
      </c>
      <c r="AQ215" s="136">
        <f t="shared" ca="1" si="57"/>
        <v>0.97882818978713093</v>
      </c>
      <c r="AR215" s="136">
        <f t="shared" ca="1" si="58"/>
        <v>0.14883675416493383</v>
      </c>
      <c r="AS215" s="136">
        <f t="shared" ca="1" si="59"/>
        <v>3.6831245192339518E-2</v>
      </c>
    </row>
    <row r="216" spans="9:45" ht="15" hidden="1" customHeight="1" x14ac:dyDescent="0.2">
      <c r="I216" s="74">
        <v>575</v>
      </c>
      <c r="J216" s="137">
        <v>0.91539999999999999</v>
      </c>
      <c r="L216" s="74">
        <v>575</v>
      </c>
      <c r="M216" s="137">
        <v>9.6704499999999995E-5</v>
      </c>
      <c r="N216" s="137">
        <v>0.700013</v>
      </c>
      <c r="O216" s="137">
        <v>0.98705699999999996</v>
      </c>
      <c r="P216" s="138">
        <v>0.16020000000000001</v>
      </c>
      <c r="Q216" s="137">
        <v>4.00089E-2</v>
      </c>
      <c r="S216" s="74">
        <v>575</v>
      </c>
      <c r="T216" s="137">
        <v>4.3921180051720348E-5</v>
      </c>
      <c r="U216" s="137">
        <v>0.79459714445977536</v>
      </c>
      <c r="V216" s="137">
        <v>0.99713509068182105</v>
      </c>
      <c r="W216" s="138">
        <v>0.21750387567502863</v>
      </c>
      <c r="X216" s="137">
        <v>4.0008935826848883E-2</v>
      </c>
      <c r="Z216" s="74">
        <v>575</v>
      </c>
      <c r="AA216" s="137">
        <f t="shared" ca="1" si="45"/>
        <v>9.6704499999999995E-5</v>
      </c>
      <c r="AB216" s="137">
        <f t="shared" ca="1" si="46"/>
        <v>0.700013</v>
      </c>
      <c r="AC216" s="137">
        <f t="shared" ca="1" si="47"/>
        <v>0.98705699999999996</v>
      </c>
      <c r="AD216" s="137">
        <f t="shared" ca="1" si="48"/>
        <v>0.16020000000000001</v>
      </c>
      <c r="AE216" s="137">
        <f t="shared" ca="1" si="49"/>
        <v>4.00089E-2</v>
      </c>
      <c r="AG216" s="74">
        <v>575</v>
      </c>
      <c r="AH216" s="136">
        <f t="shared" ca="1" si="50"/>
        <v>1.6818173913043479E-7</v>
      </c>
      <c r="AI216" s="136">
        <f t="shared" ca="1" si="51"/>
        <v>1.2174139130434782E-3</v>
      </c>
      <c r="AJ216" s="136">
        <f t="shared" ca="1" si="52"/>
        <v>1.7166208695652172E-3</v>
      </c>
      <c r="AK216" s="136">
        <f t="shared" ca="1" si="53"/>
        <v>2.7860869565217395E-4</v>
      </c>
      <c r="AL216" s="136">
        <f t="shared" ca="1" si="54"/>
        <v>6.9580695652173908E-5</v>
      </c>
      <c r="AN216" s="74">
        <v>575</v>
      </c>
      <c r="AO216" s="136">
        <f t="shared" ca="1" si="55"/>
        <v>7.524962753299109E-5</v>
      </c>
      <c r="AP216" s="136">
        <f t="shared" ca="1" si="56"/>
        <v>0.65810702945796873</v>
      </c>
      <c r="AQ216" s="136">
        <f t="shared" ca="1" si="57"/>
        <v>0.97282970985782824</v>
      </c>
      <c r="AR216" s="136">
        <f t="shared" ca="1" si="58"/>
        <v>0.1408413065282805</v>
      </c>
      <c r="AS216" s="136">
        <f t="shared" ca="1" si="59"/>
        <v>3.4023153600232531E-2</v>
      </c>
    </row>
    <row r="217" spans="9:45" ht="15" hidden="1" customHeight="1" x14ac:dyDescent="0.2">
      <c r="I217" s="74">
        <v>576</v>
      </c>
      <c r="J217" s="137">
        <v>0.90700639999999999</v>
      </c>
      <c r="L217" s="74">
        <v>576</v>
      </c>
      <c r="M217" s="137">
        <v>8.7985799999999994E-5</v>
      </c>
      <c r="N217" s="137">
        <v>0.682647</v>
      </c>
      <c r="O217" s="137">
        <v>0.981599</v>
      </c>
      <c r="P217" s="138">
        <v>0.1517</v>
      </c>
      <c r="Q217" s="137">
        <v>3.70102E-2</v>
      </c>
      <c r="S217" s="74">
        <v>576</v>
      </c>
      <c r="T217" s="137">
        <v>4.0372533167853257E-5</v>
      </c>
      <c r="U217" s="137">
        <v>0.78092441333953433</v>
      </c>
      <c r="V217" s="137">
        <v>0.995515439703898</v>
      </c>
      <c r="W217" s="138">
        <v>0.2056307218139711</v>
      </c>
      <c r="X217" s="137">
        <v>3.6986479870978799E-2</v>
      </c>
      <c r="Z217" s="74">
        <v>576</v>
      </c>
      <c r="AA217" s="137">
        <f t="shared" ca="1" si="45"/>
        <v>8.7985799999999994E-5</v>
      </c>
      <c r="AB217" s="137">
        <f t="shared" ca="1" si="46"/>
        <v>0.682647</v>
      </c>
      <c r="AC217" s="137">
        <f t="shared" ca="1" si="47"/>
        <v>0.981599</v>
      </c>
      <c r="AD217" s="137">
        <f t="shared" ca="1" si="48"/>
        <v>0.1517</v>
      </c>
      <c r="AE217" s="137">
        <f t="shared" ca="1" si="49"/>
        <v>3.70102E-2</v>
      </c>
      <c r="AG217" s="74">
        <v>576</v>
      </c>
      <c r="AH217" s="136">
        <f t="shared" ca="1" si="50"/>
        <v>1.5275312499999999E-7</v>
      </c>
      <c r="AI217" s="136">
        <f t="shared" ca="1" si="51"/>
        <v>1.1851510416666666E-3</v>
      </c>
      <c r="AJ217" s="136">
        <f t="shared" ca="1" si="52"/>
        <v>1.7041649305555556E-3</v>
      </c>
      <c r="AK217" s="136">
        <f t="shared" ca="1" si="53"/>
        <v>2.6336805555555553E-4</v>
      </c>
      <c r="AL217" s="136">
        <f t="shared" ca="1" si="54"/>
        <v>6.4253819444444438E-5</v>
      </c>
      <c r="AN217" s="74">
        <v>576</v>
      </c>
      <c r="AO217" s="136">
        <f t="shared" ca="1" si="55"/>
        <v>6.8346396108055955E-5</v>
      </c>
      <c r="AP217" s="136">
        <f t="shared" ca="1" si="56"/>
        <v>0.64066643491892827</v>
      </c>
      <c r="AQ217" s="136">
        <f t="shared" ca="1" si="57"/>
        <v>0.96577077928811839</v>
      </c>
      <c r="AR217" s="136">
        <f t="shared" ca="1" si="58"/>
        <v>0.13313691073219658</v>
      </c>
      <c r="AS217" s="136">
        <f t="shared" ca="1" si="59"/>
        <v>3.1418449440173711E-2</v>
      </c>
    </row>
    <row r="218" spans="9:45" ht="15" hidden="1" customHeight="1" x14ac:dyDescent="0.2">
      <c r="I218" s="74">
        <v>577</v>
      </c>
      <c r="J218" s="137">
        <v>0.8982772</v>
      </c>
      <c r="L218" s="74">
        <v>577</v>
      </c>
      <c r="M218" s="137">
        <v>8.0075599999999996E-5</v>
      </c>
      <c r="N218" s="137">
        <v>0.66481699999999999</v>
      </c>
      <c r="O218" s="137">
        <v>0.97545099999999996</v>
      </c>
      <c r="P218" s="138">
        <v>0.14360000000000001</v>
      </c>
      <c r="Q218" s="137">
        <v>3.41903E-2</v>
      </c>
      <c r="S218" s="74">
        <v>577</v>
      </c>
      <c r="T218" s="137">
        <v>3.7121541301090342E-5</v>
      </c>
      <c r="U218" s="137">
        <v>0.76696933444198812</v>
      </c>
      <c r="V218" s="137">
        <v>0.99352088286694107</v>
      </c>
      <c r="W218" s="138">
        <v>0.19419050896218054</v>
      </c>
      <c r="X218" s="137">
        <v>3.4173621109257028E-2</v>
      </c>
      <c r="Z218" s="74">
        <v>577</v>
      </c>
      <c r="AA218" s="137">
        <f t="shared" ca="1" si="45"/>
        <v>8.0075599999999996E-5</v>
      </c>
      <c r="AB218" s="137">
        <f t="shared" ca="1" si="46"/>
        <v>0.66481699999999999</v>
      </c>
      <c r="AC218" s="137">
        <f t="shared" ca="1" si="47"/>
        <v>0.97545099999999996</v>
      </c>
      <c r="AD218" s="137">
        <f t="shared" ca="1" si="48"/>
        <v>0.14360000000000001</v>
      </c>
      <c r="AE218" s="137">
        <f t="shared" ca="1" si="49"/>
        <v>3.41903E-2</v>
      </c>
      <c r="AG218" s="74">
        <v>577</v>
      </c>
      <c r="AH218" s="136">
        <f t="shared" ca="1" si="50"/>
        <v>1.3877920277296359E-7</v>
      </c>
      <c r="AI218" s="136">
        <f t="shared" ca="1" si="51"/>
        <v>1.1521958405545927E-3</v>
      </c>
      <c r="AJ218" s="136">
        <f t="shared" ca="1" si="52"/>
        <v>1.6905563258232234E-3</v>
      </c>
      <c r="AK218" s="136">
        <f t="shared" ca="1" si="53"/>
        <v>2.4887348353552861E-4</v>
      </c>
      <c r="AL218" s="136">
        <f t="shared" ca="1" si="54"/>
        <v>5.925528596187175E-5</v>
      </c>
      <c r="AN218" s="74">
        <v>577</v>
      </c>
      <c r="AO218" s="136">
        <f t="shared" ca="1" si="55"/>
        <v>6.2094038104170947E-5</v>
      </c>
      <c r="AP218" s="136">
        <f t="shared" ca="1" si="56"/>
        <v>0.62285158224089554</v>
      </c>
      <c r="AQ218" s="136">
        <f t="shared" ca="1" si="57"/>
        <v>0.95805861917865998</v>
      </c>
      <c r="AR218" s="136">
        <f t="shared" ca="1" si="58"/>
        <v>0.12580966469599439</v>
      </c>
      <c r="AS218" s="136">
        <f t="shared" ca="1" si="59"/>
        <v>2.8974296347718066E-2</v>
      </c>
    </row>
    <row r="219" spans="9:45" ht="15" hidden="1" customHeight="1" x14ac:dyDescent="0.2">
      <c r="I219" s="74">
        <v>578</v>
      </c>
      <c r="J219" s="137">
        <v>0.88920480000000002</v>
      </c>
      <c r="L219" s="74">
        <v>578</v>
      </c>
      <c r="M219" s="137">
        <v>7.2897899999999999E-5</v>
      </c>
      <c r="N219" s="137">
        <v>0.64685800000000004</v>
      </c>
      <c r="O219" s="137">
        <v>0.96911999999999998</v>
      </c>
      <c r="P219" s="138">
        <v>0.1358</v>
      </c>
      <c r="Q219" s="137">
        <v>3.15562E-2</v>
      </c>
      <c r="S219" s="74">
        <v>578</v>
      </c>
      <c r="T219" s="137">
        <v>3.4142396377900845E-5</v>
      </c>
      <c r="U219" s="137">
        <v>0.75274694219598925</v>
      </c>
      <c r="V219" s="137">
        <v>0.99114683845139806</v>
      </c>
      <c r="W219" s="138">
        <v>0.18318546025504875</v>
      </c>
      <c r="X219" s="137">
        <v>3.1558401706556917E-2</v>
      </c>
      <c r="Z219" s="74">
        <v>578</v>
      </c>
      <c r="AA219" s="137">
        <f t="shared" ca="1" si="45"/>
        <v>7.2897899999999999E-5</v>
      </c>
      <c r="AB219" s="137">
        <f t="shared" ca="1" si="46"/>
        <v>0.64685800000000004</v>
      </c>
      <c r="AC219" s="137">
        <f t="shared" ca="1" si="47"/>
        <v>0.96911999999999998</v>
      </c>
      <c r="AD219" s="137">
        <f t="shared" ca="1" si="48"/>
        <v>0.1358</v>
      </c>
      <c r="AE219" s="137">
        <f t="shared" ca="1" si="49"/>
        <v>3.15562E-2</v>
      </c>
      <c r="AG219" s="74">
        <v>578</v>
      </c>
      <c r="AH219" s="136">
        <f t="shared" ca="1" si="50"/>
        <v>1.2612093425605535E-7</v>
      </c>
      <c r="AI219" s="136">
        <f t="shared" ca="1" si="51"/>
        <v>1.1191314878892735E-3</v>
      </c>
      <c r="AJ219" s="136">
        <f t="shared" ca="1" si="52"/>
        <v>1.6766782006920416E-3</v>
      </c>
      <c r="AK219" s="136">
        <f t="shared" ca="1" si="53"/>
        <v>2.3494809688581316E-4</v>
      </c>
      <c r="AL219" s="136">
        <f t="shared" ca="1" si="54"/>
        <v>5.4595501730103808E-5</v>
      </c>
      <c r="AN219" s="74">
        <v>578</v>
      </c>
      <c r="AO219" s="136">
        <f t="shared" ca="1" si="55"/>
        <v>5.6430343603002835E-5</v>
      </c>
      <c r="AP219" s="136">
        <f t="shared" ca="1" si="56"/>
        <v>0.60497772464785626</v>
      </c>
      <c r="AQ219" s="136">
        <f t="shared" ca="1" si="57"/>
        <v>0.95019371861493929</v>
      </c>
      <c r="AR219" s="136">
        <f t="shared" ca="1" si="58"/>
        <v>0.11877015128430274</v>
      </c>
      <c r="AS219" s="136">
        <f t="shared" ca="1" si="59"/>
        <v>2.6695782843715338E-2</v>
      </c>
    </row>
    <row r="220" spans="9:45" ht="15" hidden="1" customHeight="1" x14ac:dyDescent="0.2">
      <c r="I220" s="74">
        <v>579</v>
      </c>
      <c r="J220" s="137">
        <v>0.87978160000000005</v>
      </c>
      <c r="L220" s="74">
        <v>579</v>
      </c>
      <c r="M220" s="137">
        <v>6.6383699999999999E-5</v>
      </c>
      <c r="N220" s="137">
        <v>0.62907199999999996</v>
      </c>
      <c r="O220" s="137">
        <v>0.96309299999999998</v>
      </c>
      <c r="P220" s="138">
        <v>0.12839999999999999</v>
      </c>
      <c r="Q220" s="137">
        <v>2.91153E-2</v>
      </c>
      <c r="S220" s="74">
        <v>579</v>
      </c>
      <c r="T220" s="137">
        <v>3.1411523445024075E-5</v>
      </c>
      <c r="U220" s="137">
        <v>0.73827812402425907</v>
      </c>
      <c r="V220" s="137">
        <v>0.98839149570570661</v>
      </c>
      <c r="W220" s="138">
        <v>0.17261677562641836</v>
      </c>
      <c r="X220" s="137">
        <v>2.9129162614327707E-2</v>
      </c>
      <c r="Z220" s="74">
        <v>579</v>
      </c>
      <c r="AA220" s="137">
        <f t="shared" ca="1" si="45"/>
        <v>6.6383699999999999E-5</v>
      </c>
      <c r="AB220" s="137">
        <f t="shared" ca="1" si="46"/>
        <v>0.62907199999999996</v>
      </c>
      <c r="AC220" s="137">
        <f t="shared" ca="1" si="47"/>
        <v>0.96309299999999998</v>
      </c>
      <c r="AD220" s="137">
        <f t="shared" ca="1" si="48"/>
        <v>0.12839999999999999</v>
      </c>
      <c r="AE220" s="137">
        <f t="shared" ca="1" si="49"/>
        <v>2.91153E-2</v>
      </c>
      <c r="AG220" s="74">
        <v>579</v>
      </c>
      <c r="AH220" s="136">
        <f t="shared" ca="1" si="50"/>
        <v>1.1465233160621761E-7</v>
      </c>
      <c r="AI220" s="136">
        <f t="shared" ca="1" si="51"/>
        <v>1.0864801381692572E-3</v>
      </c>
      <c r="AJ220" s="136">
        <f t="shared" ca="1" si="52"/>
        <v>1.6633730569948187E-3</v>
      </c>
      <c r="AK220" s="136">
        <f t="shared" ca="1" si="53"/>
        <v>2.2176165803108807E-4</v>
      </c>
      <c r="AL220" s="136">
        <f t="shared" ca="1" si="54"/>
        <v>5.0285492227979273E-5</v>
      </c>
      <c r="AN220" s="74">
        <v>579</v>
      </c>
      <c r="AO220" s="136">
        <f t="shared" ca="1" si="55"/>
        <v>5.1298941810000494E-5</v>
      </c>
      <c r="AP220" s="136">
        <f t="shared" ca="1" si="56"/>
        <v>0.58732712731049386</v>
      </c>
      <c r="AQ220" s="136">
        <f t="shared" ca="1" si="57"/>
        <v>0.94265353352685721</v>
      </c>
      <c r="AR220" s="136">
        <f t="shared" ca="1" si="58"/>
        <v>0.11210418821230531</v>
      </c>
      <c r="AS220" s="136">
        <f t="shared" ca="1" si="59"/>
        <v>2.4588300101055185E-2</v>
      </c>
    </row>
    <row r="221" spans="9:45" ht="15" hidden="1" customHeight="1" x14ac:dyDescent="0.2">
      <c r="I221" s="74">
        <v>580</v>
      </c>
      <c r="J221" s="137">
        <v>0.87</v>
      </c>
      <c r="L221" s="74">
        <v>580</v>
      </c>
      <c r="M221" s="137">
        <v>6.0470500000000003E-5</v>
      </c>
      <c r="N221" s="137">
        <v>0.61172800000000005</v>
      </c>
      <c r="O221" s="137">
        <v>0.95784100000000005</v>
      </c>
      <c r="P221" s="138">
        <v>0.1212</v>
      </c>
      <c r="Q221" s="137">
        <v>2.6874700000000001E-2</v>
      </c>
      <c r="S221" s="74">
        <v>580</v>
      </c>
      <c r="T221" s="137">
        <v>2.8907597559058316E-5</v>
      </c>
      <c r="U221" s="137">
        <v>0.72358074257506755</v>
      </c>
      <c r="V221" s="137">
        <v>0.98524672516424672</v>
      </c>
      <c r="W221" s="138">
        <v>0.16248414893998434</v>
      </c>
      <c r="X221" s="137">
        <v>2.6874723208077961E-2</v>
      </c>
      <c r="Z221" s="74">
        <v>580</v>
      </c>
      <c r="AA221" s="137">
        <f t="shared" ca="1" si="45"/>
        <v>6.0470500000000003E-5</v>
      </c>
      <c r="AB221" s="137">
        <f t="shared" ca="1" si="46"/>
        <v>0.61172800000000005</v>
      </c>
      <c r="AC221" s="137">
        <f t="shared" ca="1" si="47"/>
        <v>0.95784100000000005</v>
      </c>
      <c r="AD221" s="137">
        <f t="shared" ca="1" si="48"/>
        <v>0.1212</v>
      </c>
      <c r="AE221" s="137">
        <f t="shared" ca="1" si="49"/>
        <v>2.6874700000000001E-2</v>
      </c>
      <c r="AG221" s="74">
        <v>580</v>
      </c>
      <c r="AH221" s="136">
        <f t="shared" ca="1" si="50"/>
        <v>1.0425948275862069E-7</v>
      </c>
      <c r="AI221" s="136">
        <f t="shared" ca="1" si="51"/>
        <v>1.0547034482758621E-3</v>
      </c>
      <c r="AJ221" s="136">
        <f t="shared" ca="1" si="52"/>
        <v>1.6514500000000001E-3</v>
      </c>
      <c r="AK221" s="136">
        <f t="shared" ca="1" si="53"/>
        <v>2.0896551724137931E-4</v>
      </c>
      <c r="AL221" s="136">
        <f t="shared" ca="1" si="54"/>
        <v>4.6335689655172416E-5</v>
      </c>
      <c r="AN221" s="74">
        <v>580</v>
      </c>
      <c r="AO221" s="136">
        <f t="shared" ca="1" si="55"/>
        <v>4.6648865001234639E-5</v>
      </c>
      <c r="AP221" s="136">
        <f t="shared" ca="1" si="56"/>
        <v>0.5701493517259606</v>
      </c>
      <c r="AQ221" s="136">
        <f t="shared" ca="1" si="57"/>
        <v>0.93589659360929378</v>
      </c>
      <c r="AR221" s="136">
        <f t="shared" ca="1" si="58"/>
        <v>0.10563552727146958</v>
      </c>
      <c r="AS221" s="136">
        <f t="shared" ca="1" si="59"/>
        <v>2.2656949194519622E-2</v>
      </c>
    </row>
    <row r="222" spans="9:45" ht="15" hidden="1" customHeight="1" x14ac:dyDescent="0.2">
      <c r="I222" s="74">
        <v>581</v>
      </c>
      <c r="J222" s="137">
        <v>0.85986130000000005</v>
      </c>
      <c r="L222" s="74">
        <v>581</v>
      </c>
      <c r="M222" s="137">
        <v>5.5102000000000002E-5</v>
      </c>
      <c r="N222" s="137">
        <v>0.59499800000000003</v>
      </c>
      <c r="O222" s="137">
        <v>0.95366399999999996</v>
      </c>
      <c r="P222" s="138">
        <v>0.1143</v>
      </c>
      <c r="Q222" s="137">
        <v>2.4801400000000001E-2</v>
      </c>
      <c r="S222" s="74">
        <v>581</v>
      </c>
      <c r="T222" s="137">
        <v>2.6610988053433265E-5</v>
      </c>
      <c r="U222" s="137">
        <v>0.70867155305755536</v>
      </c>
      <c r="V222" s="137">
        <v>0.98170951428307796</v>
      </c>
      <c r="W222" s="138">
        <v>0.15278580262560973</v>
      </c>
      <c r="X222" s="137">
        <v>2.478437662314624E-2</v>
      </c>
      <c r="Z222" s="74">
        <v>581</v>
      </c>
      <c r="AA222" s="137">
        <f t="shared" ca="1" si="45"/>
        <v>5.5102000000000002E-5</v>
      </c>
      <c r="AB222" s="137">
        <f t="shared" ca="1" si="46"/>
        <v>0.59499800000000003</v>
      </c>
      <c r="AC222" s="137">
        <f t="shared" ca="1" si="47"/>
        <v>0.95366399999999996</v>
      </c>
      <c r="AD222" s="137">
        <f t="shared" ca="1" si="48"/>
        <v>0.1143</v>
      </c>
      <c r="AE222" s="137">
        <f t="shared" ca="1" si="49"/>
        <v>2.4801400000000001E-2</v>
      </c>
      <c r="AG222" s="74">
        <v>581</v>
      </c>
      <c r="AH222" s="136">
        <f t="shared" ca="1" si="50"/>
        <v>9.483993115318417E-8</v>
      </c>
      <c r="AI222" s="136">
        <f t="shared" ca="1" si="51"/>
        <v>1.0240929432013769E-3</v>
      </c>
      <c r="AJ222" s="136">
        <f t="shared" ca="1" si="52"/>
        <v>1.6414182444061962E-3</v>
      </c>
      <c r="AK222" s="136">
        <f t="shared" ca="1" si="53"/>
        <v>1.9672977624784853E-4</v>
      </c>
      <c r="AL222" s="136">
        <f t="shared" ca="1" si="54"/>
        <v>4.2687435456110155E-5</v>
      </c>
      <c r="AN222" s="74">
        <v>581</v>
      </c>
      <c r="AO222" s="136">
        <f t="shared" ca="1" si="55"/>
        <v>4.2434270994169718E-5</v>
      </c>
      <c r="AP222" s="136">
        <f t="shared" ca="1" si="56"/>
        <v>0.55360198985589948</v>
      </c>
      <c r="AQ222" s="136">
        <f t="shared" ca="1" si="57"/>
        <v>0.93021147696140127</v>
      </c>
      <c r="AR222" s="136">
        <f t="shared" ca="1" si="58"/>
        <v>9.9450157702021716E-2</v>
      </c>
      <c r="AS222" s="136">
        <f t="shared" ca="1" si="59"/>
        <v>2.0873047613427703E-2</v>
      </c>
    </row>
    <row r="223" spans="9:45" ht="15" hidden="1" customHeight="1" x14ac:dyDescent="0.2">
      <c r="I223" s="74">
        <v>582</v>
      </c>
      <c r="J223" s="137">
        <v>0.84939200000000004</v>
      </c>
      <c r="L223" s="74">
        <v>582</v>
      </c>
      <c r="M223" s="137">
        <v>5.0226899999999998E-5</v>
      </c>
      <c r="N223" s="137">
        <v>0.57878300000000005</v>
      </c>
      <c r="O223" s="137">
        <v>0.95023599999999997</v>
      </c>
      <c r="P223" s="138">
        <v>0.10780000000000001</v>
      </c>
      <c r="Q223" s="137">
        <v>2.28597E-2</v>
      </c>
      <c r="S223" s="74">
        <v>582</v>
      </c>
      <c r="T223" s="137">
        <v>2.4503944491646693E-5</v>
      </c>
      <c r="U223" s="137">
        <v>0.69357271539351228</v>
      </c>
      <c r="V223" s="137">
        <v>0.97777741144796237</v>
      </c>
      <c r="W223" s="138">
        <v>0.14351853745958906</v>
      </c>
      <c r="X223" s="137">
        <v>2.2847621736028865E-2</v>
      </c>
      <c r="Z223" s="74">
        <v>582</v>
      </c>
      <c r="AA223" s="137">
        <f t="shared" ca="1" si="45"/>
        <v>5.0226899999999998E-5</v>
      </c>
      <c r="AB223" s="137">
        <f t="shared" ca="1" si="46"/>
        <v>0.57878300000000005</v>
      </c>
      <c r="AC223" s="137">
        <f t="shared" ca="1" si="47"/>
        <v>0.95023599999999997</v>
      </c>
      <c r="AD223" s="137">
        <f t="shared" ca="1" si="48"/>
        <v>0.10780000000000001</v>
      </c>
      <c r="AE223" s="137">
        <f t="shared" ca="1" si="49"/>
        <v>2.28597E-2</v>
      </c>
      <c r="AG223" s="74">
        <v>582</v>
      </c>
      <c r="AH223" s="136">
        <f t="shared" ca="1" si="50"/>
        <v>8.6300515463917524E-8</v>
      </c>
      <c r="AI223" s="136">
        <f t="shared" ca="1" si="51"/>
        <v>9.9447250859106546E-4</v>
      </c>
      <c r="AJ223" s="136">
        <f t="shared" ca="1" si="52"/>
        <v>1.6327079037800687E-3</v>
      </c>
      <c r="AK223" s="136">
        <f t="shared" ca="1" si="53"/>
        <v>1.8522336769759452E-4</v>
      </c>
      <c r="AL223" s="136">
        <f t="shared" ca="1" si="54"/>
        <v>3.9277835051546394E-5</v>
      </c>
      <c r="AN223" s="74">
        <v>582</v>
      </c>
      <c r="AO223" s="136">
        <f t="shared" ca="1" si="55"/>
        <v>3.8613476576838056E-5</v>
      </c>
      <c r="AP223" s="136">
        <f t="shared" ca="1" si="56"/>
        <v>0.53758983817618566</v>
      </c>
      <c r="AQ223" s="136">
        <f t="shared" ca="1" si="57"/>
        <v>0.92527522208164759</v>
      </c>
      <c r="AR223" s="136">
        <f t="shared" ca="1" si="58"/>
        <v>9.3633477752846181E-2</v>
      </c>
      <c r="AS223" s="136">
        <f t="shared" ca="1" si="59"/>
        <v>1.9205841541505318E-2</v>
      </c>
    </row>
    <row r="224" spans="9:45" ht="15" hidden="1" customHeight="1" x14ac:dyDescent="0.2">
      <c r="I224" s="74">
        <v>583</v>
      </c>
      <c r="J224" s="137">
        <v>0.83862199999999998</v>
      </c>
      <c r="L224" s="74">
        <v>583</v>
      </c>
      <c r="M224" s="137">
        <v>4.5798799999999999E-5</v>
      </c>
      <c r="N224" s="137">
        <v>0.56293499999999996</v>
      </c>
      <c r="O224" s="137">
        <v>0.94708599999999998</v>
      </c>
      <c r="P224" s="138">
        <v>0.10150000000000001</v>
      </c>
      <c r="Q224" s="137">
        <v>2.10534E-2</v>
      </c>
      <c r="S224" s="74">
        <v>583</v>
      </c>
      <c r="T224" s="137">
        <v>2.257023079300233E-5</v>
      </c>
      <c r="U224" s="137">
        <v>0.67830340941130596</v>
      </c>
      <c r="V224" s="137">
        <v>0.97344630283448175</v>
      </c>
      <c r="W224" s="138">
        <v>0.13467717561611539</v>
      </c>
      <c r="X224" s="137">
        <v>2.1054648721933442E-2</v>
      </c>
      <c r="Z224" s="74">
        <v>583</v>
      </c>
      <c r="AA224" s="137">
        <f t="shared" ca="1" si="45"/>
        <v>4.5798799999999999E-5</v>
      </c>
      <c r="AB224" s="137">
        <f t="shared" ca="1" si="46"/>
        <v>0.56293499999999996</v>
      </c>
      <c r="AC224" s="137">
        <f t="shared" ca="1" si="47"/>
        <v>0.94708599999999998</v>
      </c>
      <c r="AD224" s="137">
        <f t="shared" ca="1" si="48"/>
        <v>0.10150000000000001</v>
      </c>
      <c r="AE224" s="137">
        <f t="shared" ca="1" si="49"/>
        <v>2.10534E-2</v>
      </c>
      <c r="AG224" s="74">
        <v>583</v>
      </c>
      <c r="AH224" s="136">
        <f t="shared" ca="1" si="50"/>
        <v>7.8557118353344768E-8</v>
      </c>
      <c r="AI224" s="136">
        <f t="shared" ca="1" si="51"/>
        <v>9.6558319039451114E-4</v>
      </c>
      <c r="AJ224" s="136">
        <f t="shared" ca="1" si="52"/>
        <v>1.6245042881646654E-3</v>
      </c>
      <c r="AK224" s="136">
        <f t="shared" ca="1" si="53"/>
        <v>1.7409948542024015E-4</v>
      </c>
      <c r="AL224" s="136">
        <f t="shared" ca="1" si="54"/>
        <v>3.6112178387650086E-5</v>
      </c>
      <c r="AN224" s="74">
        <v>583</v>
      </c>
      <c r="AO224" s="136">
        <f t="shared" ca="1" si="55"/>
        <v>3.514884509292451E-5</v>
      </c>
      <c r="AP224" s="136">
        <f t="shared" ca="1" si="56"/>
        <v>0.52197291185580985</v>
      </c>
      <c r="AQ224" s="136">
        <f t="shared" ca="1" si="57"/>
        <v>0.92062613436495255</v>
      </c>
      <c r="AR224" s="136">
        <f t="shared" ca="1" si="58"/>
        <v>8.8010171165296927E-2</v>
      </c>
      <c r="AS224" s="136">
        <f t="shared" ca="1" si="59"/>
        <v>1.7657917625082405E-2</v>
      </c>
    </row>
    <row r="225" spans="9:45" ht="15" hidden="1" customHeight="1" x14ac:dyDescent="0.2">
      <c r="I225" s="74">
        <v>584</v>
      </c>
      <c r="J225" s="137">
        <v>0.82758129999999996</v>
      </c>
      <c r="L225" s="74">
        <v>584</v>
      </c>
      <c r="M225" s="137">
        <v>4.1775900000000001E-5</v>
      </c>
      <c r="N225" s="137">
        <v>0.54732099999999995</v>
      </c>
      <c r="O225" s="137">
        <v>0.94375200000000004</v>
      </c>
      <c r="P225" s="136">
        <v>9.5600000000000004E-2</v>
      </c>
      <c r="Q225" s="137">
        <v>1.9386400000000002E-2</v>
      </c>
      <c r="S225" s="74">
        <v>584</v>
      </c>
      <c r="T225" s="137">
        <v>2.0795147252780682E-5</v>
      </c>
      <c r="U225" s="137">
        <v>0.66288318096508203</v>
      </c>
      <c r="V225" s="137">
        <v>0.96871494514730694</v>
      </c>
      <c r="W225" s="136">
        <v>0.12625628314585349</v>
      </c>
      <c r="X225" s="137">
        <v>1.9395902842891284E-2</v>
      </c>
      <c r="Z225" s="74">
        <v>584</v>
      </c>
      <c r="AA225" s="137">
        <f t="shared" ca="1" si="45"/>
        <v>4.1775900000000001E-5</v>
      </c>
      <c r="AB225" s="137">
        <f t="shared" ca="1" si="46"/>
        <v>0.54732099999999995</v>
      </c>
      <c r="AC225" s="137">
        <f t="shared" ca="1" si="47"/>
        <v>0.94375200000000004</v>
      </c>
      <c r="AD225" s="137">
        <f t="shared" ca="1" si="48"/>
        <v>9.5600000000000004E-2</v>
      </c>
      <c r="AE225" s="137">
        <f t="shared" ca="1" si="49"/>
        <v>1.9386400000000002E-2</v>
      </c>
      <c r="AG225" s="74">
        <v>584</v>
      </c>
      <c r="AH225" s="136">
        <f t="shared" ca="1" si="50"/>
        <v>7.1534075342465762E-8</v>
      </c>
      <c r="AI225" s="136">
        <f t="shared" ca="1" si="51"/>
        <v>9.371934931506848E-4</v>
      </c>
      <c r="AJ225" s="136">
        <f t="shared" ca="1" si="52"/>
        <v>1.6160136986301369E-3</v>
      </c>
      <c r="AK225" s="136">
        <f t="shared" ca="1" si="53"/>
        <v>1.6369863013698631E-4</v>
      </c>
      <c r="AL225" s="136">
        <f t="shared" ca="1" si="54"/>
        <v>3.319589041095891E-5</v>
      </c>
      <c r="AN225" s="74">
        <v>584</v>
      </c>
      <c r="AO225" s="136">
        <f t="shared" ca="1" si="55"/>
        <v>3.2006521952200216E-5</v>
      </c>
      <c r="AP225" s="136">
        <f t="shared" ca="1" si="56"/>
        <v>0.50662606956973988</v>
      </c>
      <c r="AQ225" s="136">
        <f t="shared" ca="1" si="57"/>
        <v>0.91581441507396588</v>
      </c>
      <c r="AR225" s="136">
        <f t="shared" ca="1" si="58"/>
        <v>8.2752366689108417E-2</v>
      </c>
      <c r="AS225" s="136">
        <f t="shared" ca="1" si="59"/>
        <v>1.6231928522164096E-2</v>
      </c>
    </row>
    <row r="226" spans="9:45" ht="15" hidden="1" customHeight="1" x14ac:dyDescent="0.2">
      <c r="I226" s="74">
        <v>585</v>
      </c>
      <c r="J226" s="137">
        <v>0.81630000000000003</v>
      </c>
      <c r="L226" s="74">
        <v>585</v>
      </c>
      <c r="M226" s="137">
        <v>3.8120200000000001E-5</v>
      </c>
      <c r="N226" s="137">
        <v>0.53182499999999999</v>
      </c>
      <c r="O226" s="137">
        <v>0.93978099999999998</v>
      </c>
      <c r="P226" s="136">
        <v>8.9899999999999994E-2</v>
      </c>
      <c r="Q226" s="137">
        <v>1.78624E-2</v>
      </c>
      <c r="S226" s="74">
        <v>585</v>
      </c>
      <c r="T226" s="137">
        <v>1.9165096043115427E-5</v>
      </c>
      <c r="U226" s="137">
        <v>0.64733188624064719</v>
      </c>
      <c r="V226" s="137">
        <v>0.96358049425760561</v>
      </c>
      <c r="W226" s="136">
        <v>0.1182477810939042</v>
      </c>
      <c r="X226" s="137">
        <v>1.7862448924970666E-2</v>
      </c>
      <c r="Z226" s="74">
        <v>585</v>
      </c>
      <c r="AA226" s="137">
        <f t="shared" ca="1" si="45"/>
        <v>3.8120200000000001E-5</v>
      </c>
      <c r="AB226" s="137">
        <f t="shared" ca="1" si="46"/>
        <v>0.53182499999999999</v>
      </c>
      <c r="AC226" s="137">
        <f t="shared" ca="1" si="47"/>
        <v>0.93978099999999998</v>
      </c>
      <c r="AD226" s="137">
        <f t="shared" ca="1" si="48"/>
        <v>8.9899999999999994E-2</v>
      </c>
      <c r="AE226" s="137">
        <f t="shared" ca="1" si="49"/>
        <v>1.78624E-2</v>
      </c>
      <c r="AG226" s="74">
        <v>585</v>
      </c>
      <c r="AH226" s="136">
        <f t="shared" ca="1" si="50"/>
        <v>6.516273504273504E-8</v>
      </c>
      <c r="AI226" s="136">
        <f t="shared" ca="1" si="51"/>
        <v>9.091025641025641E-4</v>
      </c>
      <c r="AJ226" s="136">
        <f t="shared" ca="1" si="52"/>
        <v>1.6064632478632478E-3</v>
      </c>
      <c r="AK226" s="136">
        <f t="shared" ca="1" si="53"/>
        <v>1.5367521367521365E-4</v>
      </c>
      <c r="AL226" s="136">
        <f t="shared" ca="1" si="54"/>
        <v>3.0534017094017095E-5</v>
      </c>
      <c r="AN226" s="74">
        <v>585</v>
      </c>
      <c r="AO226" s="136">
        <f t="shared" ca="1" si="55"/>
        <v>2.9155790434500555E-5</v>
      </c>
      <c r="AP226" s="136">
        <f t="shared" ca="1" si="56"/>
        <v>0.49144073476084393</v>
      </c>
      <c r="AQ226" s="136">
        <f t="shared" ca="1" si="57"/>
        <v>0.910402059664983</v>
      </c>
      <c r="AR226" s="136">
        <f t="shared" ca="1" si="58"/>
        <v>7.7685363783658659E-2</v>
      </c>
      <c r="AS226" s="136">
        <f t="shared" ca="1" si="59"/>
        <v>1.4930341582312307E-2</v>
      </c>
    </row>
    <row r="227" spans="9:45" ht="15" hidden="1" customHeight="1" x14ac:dyDescent="0.2">
      <c r="I227" s="74">
        <v>586</v>
      </c>
      <c r="J227" s="137">
        <v>0.80479469999999997</v>
      </c>
      <c r="L227" s="74">
        <v>586</v>
      </c>
      <c r="M227" s="137">
        <v>3.47974E-5</v>
      </c>
      <c r="N227" s="137">
        <v>0.51635399999999998</v>
      </c>
      <c r="O227" s="137">
        <v>0.93482600000000005</v>
      </c>
      <c r="P227" s="136">
        <v>8.4500000000000006E-2</v>
      </c>
      <c r="Q227" s="137">
        <v>1.6457800000000002E-2</v>
      </c>
      <c r="S227" s="74">
        <v>586</v>
      </c>
      <c r="T227" s="137">
        <v>1.7667902746258083E-5</v>
      </c>
      <c r="U227" s="137">
        <v>0.63166963438922341</v>
      </c>
      <c r="V227" s="137">
        <v>0.9580429955307761</v>
      </c>
      <c r="W227" s="136">
        <v>0.11064377886436788</v>
      </c>
      <c r="X227" s="137">
        <v>1.6445686229050266E-2</v>
      </c>
      <c r="Z227" s="74">
        <v>586</v>
      </c>
      <c r="AA227" s="137">
        <f t="shared" ca="1" si="45"/>
        <v>3.47974E-5</v>
      </c>
      <c r="AB227" s="137">
        <f t="shared" ca="1" si="46"/>
        <v>0.51635399999999998</v>
      </c>
      <c r="AC227" s="137">
        <f t="shared" ca="1" si="47"/>
        <v>0.93482600000000005</v>
      </c>
      <c r="AD227" s="137">
        <f t="shared" ca="1" si="48"/>
        <v>8.4500000000000006E-2</v>
      </c>
      <c r="AE227" s="137">
        <f t="shared" ca="1" si="49"/>
        <v>1.6457800000000002E-2</v>
      </c>
      <c r="AG227" s="74">
        <v>586</v>
      </c>
      <c r="AH227" s="136">
        <f t="shared" ca="1" si="50"/>
        <v>5.9381228668941981E-8</v>
      </c>
      <c r="AI227" s="136">
        <f t="shared" ca="1" si="51"/>
        <v>8.8115017064846414E-4</v>
      </c>
      <c r="AJ227" s="136">
        <f t="shared" ca="1" si="52"/>
        <v>1.5952662116040957E-3</v>
      </c>
      <c r="AK227" s="136">
        <f t="shared" ca="1" si="53"/>
        <v>1.4419795221843004E-4</v>
      </c>
      <c r="AL227" s="136">
        <f t="shared" ca="1" si="54"/>
        <v>2.8084982935153587E-5</v>
      </c>
      <c r="AN227" s="74">
        <v>586</v>
      </c>
      <c r="AO227" s="136">
        <f t="shared" ca="1" si="55"/>
        <v>2.6568968562774455E-5</v>
      </c>
      <c r="AP227" s="136">
        <f t="shared" ca="1" si="56"/>
        <v>0.47633028922935683</v>
      </c>
      <c r="AQ227" s="136">
        <f t="shared" ca="1" si="57"/>
        <v>0.90405656443747973</v>
      </c>
      <c r="AR227" s="136">
        <f t="shared" ca="1" si="58"/>
        <v>7.2894451271904456E-2</v>
      </c>
      <c r="AS227" s="136">
        <f t="shared" ca="1" si="59"/>
        <v>1.3732827464664562E-2</v>
      </c>
    </row>
    <row r="228" spans="9:45" ht="15" hidden="1" customHeight="1" x14ac:dyDescent="0.2">
      <c r="I228" s="74">
        <v>587</v>
      </c>
      <c r="J228" s="137">
        <v>0.79308199999999995</v>
      </c>
      <c r="L228" s="74">
        <v>587</v>
      </c>
      <c r="M228" s="137">
        <v>3.1776300000000003E-5</v>
      </c>
      <c r="N228" s="137">
        <v>0.50087000000000004</v>
      </c>
      <c r="O228" s="137">
        <v>0.92891699999999999</v>
      </c>
      <c r="P228" s="136">
        <v>7.9299999999999995E-2</v>
      </c>
      <c r="Q228" s="137">
        <v>1.5147000000000001E-2</v>
      </c>
      <c r="S228" s="74">
        <v>587</v>
      </c>
      <c r="T228" s="137">
        <v>1.6292247539365402E-5</v>
      </c>
      <c r="U228" s="137">
        <v>0.61591814694232494</v>
      </c>
      <c r="V228" s="137">
        <v>0.95210095330311029</v>
      </c>
      <c r="W228" s="136">
        <v>0.10343487644200375</v>
      </c>
      <c r="X228" s="137">
        <v>1.5137494557294458E-2</v>
      </c>
      <c r="Z228" s="74">
        <v>587</v>
      </c>
      <c r="AA228" s="137">
        <f t="shared" ca="1" si="45"/>
        <v>3.1776300000000003E-5</v>
      </c>
      <c r="AB228" s="137">
        <f t="shared" ca="1" si="46"/>
        <v>0.50087000000000004</v>
      </c>
      <c r="AC228" s="137">
        <f t="shared" ca="1" si="47"/>
        <v>0.92891699999999999</v>
      </c>
      <c r="AD228" s="137">
        <f t="shared" ca="1" si="48"/>
        <v>7.9299999999999995E-2</v>
      </c>
      <c r="AE228" s="137">
        <f t="shared" ca="1" si="49"/>
        <v>1.5147000000000001E-2</v>
      </c>
      <c r="AG228" s="74">
        <v>587</v>
      </c>
      <c r="AH228" s="136">
        <f t="shared" ca="1" si="50"/>
        <v>5.4133390119250431E-8</v>
      </c>
      <c r="AI228" s="136">
        <f t="shared" ca="1" si="51"/>
        <v>8.5327086882453157E-4</v>
      </c>
      <c r="AJ228" s="136">
        <f t="shared" ca="1" si="52"/>
        <v>1.5824821124361158E-3</v>
      </c>
      <c r="AK228" s="136">
        <f t="shared" ca="1" si="53"/>
        <v>1.3509369676320272E-4</v>
      </c>
      <c r="AL228" s="136">
        <f t="shared" ca="1" si="54"/>
        <v>2.5804088586030664E-5</v>
      </c>
      <c r="AN228" s="74">
        <v>587</v>
      </c>
      <c r="AO228" s="136">
        <f t="shared" ca="1" si="55"/>
        <v>2.4220925914034245E-5</v>
      </c>
      <c r="AP228" s="136">
        <f t="shared" ca="1" si="56"/>
        <v>0.46125935541618696</v>
      </c>
      <c r="AQ228" s="136">
        <f t="shared" ca="1" si="57"/>
        <v>0.89681166155596603</v>
      </c>
      <c r="AR228" s="136">
        <f t="shared" ca="1" si="58"/>
        <v>6.8292099467055334E-2</v>
      </c>
      <c r="AS228" s="136">
        <f t="shared" ca="1" si="59"/>
        <v>1.2617529348445065E-2</v>
      </c>
    </row>
    <row r="229" spans="9:45" ht="15" hidden="1" customHeight="1" x14ac:dyDescent="0.2">
      <c r="I229" s="74">
        <v>588</v>
      </c>
      <c r="J229" s="137">
        <v>0.781192</v>
      </c>
      <c r="L229" s="74">
        <v>588</v>
      </c>
      <c r="M229" s="137">
        <v>2.9028799999999999E-5</v>
      </c>
      <c r="N229" s="137">
        <v>0.48535</v>
      </c>
      <c r="O229" s="137">
        <v>0.92217700000000002</v>
      </c>
      <c r="P229" s="136">
        <v>7.4499999999999997E-2</v>
      </c>
      <c r="Q229" s="137">
        <v>1.39314E-2</v>
      </c>
      <c r="S229" s="74">
        <v>588</v>
      </c>
      <c r="T229" s="137">
        <v>1.502799355025523E-5</v>
      </c>
      <c r="U229" s="137">
        <v>0.60009637039466734</v>
      </c>
      <c r="V229" s="137">
        <v>0.94575577091940777</v>
      </c>
      <c r="W229" s="136">
        <v>9.6610649094926476E-2</v>
      </c>
      <c r="X229" s="137">
        <v>1.3930252868078028E-2</v>
      </c>
      <c r="Z229" s="74">
        <v>588</v>
      </c>
      <c r="AA229" s="137">
        <f t="shared" ca="1" si="45"/>
        <v>2.9028799999999999E-5</v>
      </c>
      <c r="AB229" s="137">
        <f t="shared" ca="1" si="46"/>
        <v>0.48535</v>
      </c>
      <c r="AC229" s="137">
        <f t="shared" ca="1" si="47"/>
        <v>0.92217700000000002</v>
      </c>
      <c r="AD229" s="137">
        <f t="shared" ca="1" si="48"/>
        <v>7.4499999999999997E-2</v>
      </c>
      <c r="AE229" s="137">
        <f t="shared" ca="1" si="49"/>
        <v>1.39314E-2</v>
      </c>
      <c r="AG229" s="74">
        <v>588</v>
      </c>
      <c r="AH229" s="136">
        <f t="shared" ca="1" si="50"/>
        <v>4.9368707482993194E-8</v>
      </c>
      <c r="AI229" s="136">
        <f t="shared" ca="1" si="51"/>
        <v>8.2542517006802723E-4</v>
      </c>
      <c r="AJ229" s="136">
        <f t="shared" ca="1" si="52"/>
        <v>1.5683282312925169E-3</v>
      </c>
      <c r="AK229" s="136">
        <f t="shared" ca="1" si="53"/>
        <v>1.2670068027210884E-4</v>
      </c>
      <c r="AL229" s="136">
        <f t="shared" ca="1" si="54"/>
        <v>2.3692857142857142E-5</v>
      </c>
      <c r="AN229" s="74">
        <v>588</v>
      </c>
      <c r="AO229" s="136">
        <f t="shared" ca="1" si="55"/>
        <v>2.2089061922467372E-5</v>
      </c>
      <c r="AP229" s="136">
        <f t="shared" ca="1" si="56"/>
        <v>0.44620658667789337</v>
      </c>
      <c r="AQ229" s="136">
        <f t="shared" ca="1" si="57"/>
        <v>0.88879048674071581</v>
      </c>
      <c r="AR229" s="136">
        <f t="shared" ca="1" si="58"/>
        <v>6.4049290729330854E-2</v>
      </c>
      <c r="AS229" s="136">
        <f t="shared" ca="1" si="59"/>
        <v>1.1585191988154688E-2</v>
      </c>
    </row>
    <row r="230" spans="9:45" ht="15" hidden="1" customHeight="1" x14ac:dyDescent="0.2">
      <c r="I230" s="74">
        <v>589</v>
      </c>
      <c r="J230" s="137">
        <v>0.76915469999999997</v>
      </c>
      <c r="L230" s="74">
        <v>589</v>
      </c>
      <c r="M230" s="137">
        <v>2.65294E-5</v>
      </c>
      <c r="N230" s="137">
        <v>0.469777</v>
      </c>
      <c r="O230" s="137">
        <v>0.91472900000000001</v>
      </c>
      <c r="P230" s="136">
        <v>6.9900000000000004E-2</v>
      </c>
      <c r="Q230" s="137">
        <v>1.2812E-2</v>
      </c>
      <c r="S230" s="74">
        <v>589</v>
      </c>
      <c r="T230" s="137">
        <v>1.386570640086787E-5</v>
      </c>
      <c r="U230" s="137">
        <v>0.58422616059840327</v>
      </c>
      <c r="V230" s="137">
        <v>0.93900520584184966</v>
      </c>
      <c r="W230" s="136">
        <v>9.015981252852763E-2</v>
      </c>
      <c r="X230" s="137">
        <v>1.2816723050871948E-2</v>
      </c>
      <c r="Z230" s="74">
        <v>589</v>
      </c>
      <c r="AA230" s="137">
        <f t="shared" ca="1" si="45"/>
        <v>2.65294E-5</v>
      </c>
      <c r="AB230" s="137">
        <f t="shared" ca="1" si="46"/>
        <v>0.469777</v>
      </c>
      <c r="AC230" s="137">
        <f t="shared" ca="1" si="47"/>
        <v>0.91472900000000001</v>
      </c>
      <c r="AD230" s="137">
        <f t="shared" ca="1" si="48"/>
        <v>6.9900000000000004E-2</v>
      </c>
      <c r="AE230" s="137">
        <f t="shared" ca="1" si="49"/>
        <v>1.2812E-2</v>
      </c>
      <c r="AG230" s="74">
        <v>589</v>
      </c>
      <c r="AH230" s="136">
        <f t="shared" ca="1" si="50"/>
        <v>4.5041426146010186E-8</v>
      </c>
      <c r="AI230" s="136">
        <f t="shared" ca="1" si="51"/>
        <v>7.9758404074702885E-4</v>
      </c>
      <c r="AJ230" s="136">
        <f t="shared" ca="1" si="52"/>
        <v>1.5530203735144312E-3</v>
      </c>
      <c r="AK230" s="136">
        <f t="shared" ca="1" si="53"/>
        <v>1.1867572156196945E-4</v>
      </c>
      <c r="AL230" s="136">
        <f t="shared" ca="1" si="54"/>
        <v>2.1752122241086588E-5</v>
      </c>
      <c r="AN230" s="74">
        <v>589</v>
      </c>
      <c r="AO230" s="136">
        <f t="shared" ca="1" si="55"/>
        <v>2.0152904581473931E-5</v>
      </c>
      <c r="AP230" s="136">
        <f t="shared" ca="1" si="56"/>
        <v>0.43115628807534812</v>
      </c>
      <c r="AQ230" s="136">
        <f t="shared" ca="1" si="57"/>
        <v>0.88011533947621134</v>
      </c>
      <c r="AR230" s="136">
        <f t="shared" ca="1" si="58"/>
        <v>5.9992541291105921E-2</v>
      </c>
      <c r="AS230" s="136">
        <f t="shared" ca="1" si="59"/>
        <v>1.0636223009885946E-2</v>
      </c>
    </row>
    <row r="231" spans="9:45" ht="15" hidden="1" customHeight="1" x14ac:dyDescent="0.2">
      <c r="I231" s="74">
        <v>590</v>
      </c>
      <c r="J231" s="137">
        <v>0.75700000000000001</v>
      </c>
      <c r="L231" s="74">
        <v>590</v>
      </c>
      <c r="M231" s="137">
        <v>2.42549E-5</v>
      </c>
      <c r="N231" s="137">
        <v>0.45414199999999999</v>
      </c>
      <c r="O231" s="137">
        <v>0.90669299999999997</v>
      </c>
      <c r="P231" s="136">
        <v>6.5500000000000003E-2</v>
      </c>
      <c r="Q231" s="137">
        <v>1.17901E-2</v>
      </c>
      <c r="S231" s="74">
        <v>590</v>
      </c>
      <c r="T231" s="137">
        <v>1.2796906594061634E-5</v>
      </c>
      <c r="U231" s="137">
        <v>0.56832531327259594</v>
      </c>
      <c r="V231" s="137">
        <v>0.93185641652696138</v>
      </c>
      <c r="W231" s="136">
        <v>8.4070958718175173E-2</v>
      </c>
      <c r="X231" s="137">
        <v>1.1790141029411531E-2</v>
      </c>
      <c r="Z231" s="74">
        <v>590</v>
      </c>
      <c r="AA231" s="137">
        <f t="shared" ca="1" si="45"/>
        <v>2.42549E-5</v>
      </c>
      <c r="AB231" s="137">
        <f t="shared" ca="1" si="46"/>
        <v>0.45414199999999999</v>
      </c>
      <c r="AC231" s="137">
        <f t="shared" ca="1" si="47"/>
        <v>0.90669299999999997</v>
      </c>
      <c r="AD231" s="137">
        <f t="shared" ca="1" si="48"/>
        <v>6.5500000000000003E-2</v>
      </c>
      <c r="AE231" s="137">
        <f t="shared" ca="1" si="49"/>
        <v>1.17901E-2</v>
      </c>
      <c r="AG231" s="74">
        <v>590</v>
      </c>
      <c r="AH231" s="136">
        <f t="shared" ca="1" si="50"/>
        <v>4.1110000000000002E-8</v>
      </c>
      <c r="AI231" s="136">
        <f t="shared" ca="1" si="51"/>
        <v>7.6973220338983045E-4</v>
      </c>
      <c r="AJ231" s="136">
        <f t="shared" ca="1" si="52"/>
        <v>1.5367677966101694E-3</v>
      </c>
      <c r="AK231" s="136">
        <f t="shared" ca="1" si="53"/>
        <v>1.1101694915254238E-4</v>
      </c>
      <c r="AL231" s="136">
        <f t="shared" ca="1" si="54"/>
        <v>1.998322033898305E-5</v>
      </c>
      <c r="AN231" s="74">
        <v>590</v>
      </c>
      <c r="AO231" s="136">
        <f t="shared" ca="1" si="55"/>
        <v>1.8393864898031908E-5</v>
      </c>
      <c r="AP231" s="136">
        <f t="shared" ca="1" si="56"/>
        <v>0.41610020094531897</v>
      </c>
      <c r="AQ231" s="136">
        <f t="shared" ca="1" si="57"/>
        <v>0.87090480851125829</v>
      </c>
      <c r="AR231" s="136">
        <f t="shared" ca="1" si="58"/>
        <v>5.6120905088145795E-2</v>
      </c>
      <c r="AS231" s="136">
        <f t="shared" ca="1" si="59"/>
        <v>9.7712759070305317E-3</v>
      </c>
    </row>
    <row r="232" spans="9:45" ht="15" hidden="1" customHeight="1" x14ac:dyDescent="0.2">
      <c r="I232" s="74">
        <v>591</v>
      </c>
      <c r="J232" s="137">
        <v>0.74475409999999997</v>
      </c>
      <c r="L232" s="74">
        <v>591</v>
      </c>
      <c r="M232" s="137">
        <v>2.2184700000000001E-5</v>
      </c>
      <c r="N232" s="137">
        <v>0.43845400000000001</v>
      </c>
      <c r="O232" s="137">
        <v>0.89817000000000002</v>
      </c>
      <c r="P232" s="136">
        <v>6.13E-2</v>
      </c>
      <c r="Q232" s="137">
        <v>1.08488E-2</v>
      </c>
      <c r="S232" s="74">
        <v>591</v>
      </c>
      <c r="T232" s="137">
        <v>1.1808344095022896E-5</v>
      </c>
      <c r="U232" s="137">
        <v>0.55216261660476262</v>
      </c>
      <c r="V232" s="137">
        <v>0.92388092394205834</v>
      </c>
      <c r="W232" s="136">
        <v>7.829535543417282E-2</v>
      </c>
      <c r="X232" s="137">
        <v>1.0839144349232681E-2</v>
      </c>
      <c r="Z232" s="74">
        <v>591</v>
      </c>
      <c r="AA232" s="137">
        <f t="shared" ca="1" si="45"/>
        <v>2.2184700000000001E-5</v>
      </c>
      <c r="AB232" s="137">
        <f t="shared" ca="1" si="46"/>
        <v>0.43845400000000001</v>
      </c>
      <c r="AC232" s="137">
        <f t="shared" ca="1" si="47"/>
        <v>0.89817000000000002</v>
      </c>
      <c r="AD232" s="137">
        <f t="shared" ca="1" si="48"/>
        <v>6.13E-2</v>
      </c>
      <c r="AE232" s="137">
        <f t="shared" ca="1" si="49"/>
        <v>1.08488E-2</v>
      </c>
      <c r="AG232" s="74">
        <v>591</v>
      </c>
      <c r="AH232" s="136">
        <f t="shared" ca="1" si="50"/>
        <v>3.7537563451776654E-8</v>
      </c>
      <c r="AI232" s="136">
        <f t="shared" ca="1" si="51"/>
        <v>7.4188494077834179E-4</v>
      </c>
      <c r="AJ232" s="136">
        <f t="shared" ca="1" si="52"/>
        <v>1.5197461928934011E-3</v>
      </c>
      <c r="AK232" s="136">
        <f t="shared" ca="1" si="53"/>
        <v>1.0372250423011844E-4</v>
      </c>
      <c r="AL232" s="136">
        <f t="shared" ca="1" si="54"/>
        <v>1.835668358714044E-5</v>
      </c>
      <c r="AN232" s="74">
        <v>591</v>
      </c>
      <c r="AO232" s="136">
        <f t="shared" ca="1" si="55"/>
        <v>1.6795448084000975E-5</v>
      </c>
      <c r="AP232" s="136">
        <f t="shared" ca="1" si="56"/>
        <v>0.40104658682161687</v>
      </c>
      <c r="AQ232" s="136">
        <f t="shared" ca="1" si="57"/>
        <v>0.86125846079483293</v>
      </c>
      <c r="AR232" s="136">
        <f t="shared" ca="1" si="58"/>
        <v>5.2433442459357764E-2</v>
      </c>
      <c r="AS232" s="136">
        <f t="shared" ca="1" si="59"/>
        <v>8.9759416663238514E-3</v>
      </c>
    </row>
    <row r="233" spans="9:45" ht="15" hidden="1" customHeight="1" x14ac:dyDescent="0.2">
      <c r="I233" s="74">
        <v>592</v>
      </c>
      <c r="J233" s="137">
        <v>0.73242240000000003</v>
      </c>
      <c r="L233" s="74">
        <v>592</v>
      </c>
      <c r="M233" s="137">
        <v>2.0299600000000001E-5</v>
      </c>
      <c r="N233" s="137">
        <v>0.42277799999999999</v>
      </c>
      <c r="O233" s="137">
        <v>0.88918799999999998</v>
      </c>
      <c r="P233" s="136">
        <v>5.74E-2</v>
      </c>
      <c r="Q233" s="137">
        <v>9.97112E-3</v>
      </c>
      <c r="S233" s="74">
        <v>592</v>
      </c>
      <c r="T233" s="137">
        <v>1.0899184391433475E-5</v>
      </c>
      <c r="U233" s="137">
        <v>0.53602617809520836</v>
      </c>
      <c r="V233" s="137">
        <v>0.91551823739741256</v>
      </c>
      <c r="W233" s="136">
        <v>7.2861314141456995E-2</v>
      </c>
      <c r="X233" s="137">
        <v>9.9635476011938253E-3</v>
      </c>
      <c r="Z233" s="74">
        <v>592</v>
      </c>
      <c r="AA233" s="137">
        <f t="shared" ca="1" si="45"/>
        <v>2.0299600000000001E-5</v>
      </c>
      <c r="AB233" s="137">
        <f t="shared" ca="1" si="46"/>
        <v>0.42277799999999999</v>
      </c>
      <c r="AC233" s="137">
        <f t="shared" ca="1" si="47"/>
        <v>0.88918799999999998</v>
      </c>
      <c r="AD233" s="137">
        <f t="shared" ca="1" si="48"/>
        <v>5.74E-2</v>
      </c>
      <c r="AE233" s="137">
        <f t="shared" ca="1" si="49"/>
        <v>9.97112E-3</v>
      </c>
      <c r="AG233" s="74">
        <v>592</v>
      </c>
      <c r="AH233" s="136">
        <f t="shared" ca="1" si="50"/>
        <v>3.4289864864864865E-8</v>
      </c>
      <c r="AI233" s="136">
        <f t="shared" ca="1" si="51"/>
        <v>7.1415202702702701E-4</v>
      </c>
      <c r="AJ233" s="136">
        <f t="shared" ca="1" si="52"/>
        <v>1.5020067567567568E-3</v>
      </c>
      <c r="AK233" s="136">
        <f t="shared" ca="1" si="53"/>
        <v>9.6959459459459456E-5</v>
      </c>
      <c r="AL233" s="136">
        <f t="shared" ca="1" si="54"/>
        <v>1.6843108108108109E-5</v>
      </c>
      <c r="AN233" s="74">
        <v>592</v>
      </c>
      <c r="AO233" s="136">
        <f t="shared" ca="1" si="55"/>
        <v>1.5342328915010835E-5</v>
      </c>
      <c r="AP233" s="136">
        <f t="shared" ca="1" si="56"/>
        <v>0.38605478716207087</v>
      </c>
      <c r="AQ233" s="136">
        <f t="shared" ca="1" si="57"/>
        <v>0.85120530880546896</v>
      </c>
      <c r="AR233" s="136">
        <f t="shared" ca="1" si="58"/>
        <v>4.9014611401772885E-2</v>
      </c>
      <c r="AS233" s="136">
        <f t="shared" ca="1" si="59"/>
        <v>8.2358425551265681E-3</v>
      </c>
    </row>
    <row r="234" spans="9:45" ht="15" hidden="1" customHeight="1" x14ac:dyDescent="0.2">
      <c r="I234" s="74">
        <v>593</v>
      </c>
      <c r="J234" s="137">
        <v>0.72000359999999997</v>
      </c>
      <c r="L234" s="74">
        <v>593</v>
      </c>
      <c r="M234" s="137">
        <v>1.8582600000000001E-5</v>
      </c>
      <c r="N234" s="137">
        <v>0.40718799999999999</v>
      </c>
      <c r="O234" s="137">
        <v>0.87975899999999996</v>
      </c>
      <c r="P234" s="136">
        <v>5.3699999999999998E-2</v>
      </c>
      <c r="Q234" s="137">
        <v>9.1585E-3</v>
      </c>
      <c r="S234" s="74">
        <v>593</v>
      </c>
      <c r="T234" s="137">
        <v>1.0062780511514277E-5</v>
      </c>
      <c r="U234" s="137">
        <v>0.51993493603227792</v>
      </c>
      <c r="V234" s="137">
        <v>0.90677387665748987</v>
      </c>
      <c r="W234" s="136">
        <v>6.7755413491882757E-2</v>
      </c>
      <c r="X234" s="137">
        <v>9.1576913074803753E-3</v>
      </c>
      <c r="Z234" s="74">
        <v>593</v>
      </c>
      <c r="AA234" s="137">
        <f t="shared" ca="1" si="45"/>
        <v>1.8582600000000001E-5</v>
      </c>
      <c r="AB234" s="137">
        <f t="shared" ca="1" si="46"/>
        <v>0.40718799999999999</v>
      </c>
      <c r="AC234" s="137">
        <f t="shared" ca="1" si="47"/>
        <v>0.87975899999999996</v>
      </c>
      <c r="AD234" s="137">
        <f t="shared" ca="1" si="48"/>
        <v>5.3699999999999998E-2</v>
      </c>
      <c r="AE234" s="137">
        <f t="shared" ca="1" si="49"/>
        <v>9.1585E-3</v>
      </c>
      <c r="AG234" s="74">
        <v>593</v>
      </c>
      <c r="AH234" s="136">
        <f t="shared" ca="1" si="50"/>
        <v>3.1336593591905569E-8</v>
      </c>
      <c r="AI234" s="136">
        <f t="shared" ca="1" si="51"/>
        <v>6.8665767284991567E-4</v>
      </c>
      <c r="AJ234" s="136">
        <f t="shared" ca="1" si="52"/>
        <v>1.4835733558178751E-3</v>
      </c>
      <c r="AK234" s="136">
        <f t="shared" ca="1" si="53"/>
        <v>9.0556492411467116E-5</v>
      </c>
      <c r="AL234" s="136">
        <f t="shared" ca="1" si="54"/>
        <v>1.5444350758853288E-5</v>
      </c>
      <c r="AN234" s="74">
        <v>593</v>
      </c>
      <c r="AO234" s="136">
        <f t="shared" ca="1" si="55"/>
        <v>1.4020945485138493E-5</v>
      </c>
      <c r="AP234" s="136">
        <f t="shared" ca="1" si="56"/>
        <v>0.37119194753086499</v>
      </c>
      <c r="AQ234" s="136">
        <f t="shared" ca="1" si="57"/>
        <v>0.84075887860937848</v>
      </c>
      <c r="AR234" s="136">
        <f t="shared" ca="1" si="58"/>
        <v>4.5777805592155892E-2</v>
      </c>
      <c r="AS234" s="136">
        <f t="shared" ca="1" si="59"/>
        <v>7.5518865282847465E-3</v>
      </c>
    </row>
    <row r="235" spans="9:45" ht="15" hidden="1" customHeight="1" x14ac:dyDescent="0.2">
      <c r="I235" s="74">
        <v>594</v>
      </c>
      <c r="J235" s="137">
        <v>0.70749649999999997</v>
      </c>
      <c r="L235" s="74">
        <v>594</v>
      </c>
      <c r="M235" s="137">
        <v>1.7018199999999999E-5</v>
      </c>
      <c r="N235" s="137">
        <v>0.39175199999999999</v>
      </c>
      <c r="O235" s="137">
        <v>0.86989399999999995</v>
      </c>
      <c r="P235" s="136">
        <v>5.0200000000000002E-2</v>
      </c>
      <c r="Q235" s="137">
        <v>8.4124200000000003E-3</v>
      </c>
      <c r="S235" s="74">
        <v>594</v>
      </c>
      <c r="T235" s="137">
        <v>9.2931297333052692E-6</v>
      </c>
      <c r="U235" s="137">
        <v>0.5039100267630221</v>
      </c>
      <c r="V235" s="137">
        <v>0.89764992720016545</v>
      </c>
      <c r="W235" s="136">
        <v>6.2963665061505414E-2</v>
      </c>
      <c r="X235" s="137">
        <v>8.4162378400686414E-3</v>
      </c>
      <c r="Z235" s="74">
        <v>594</v>
      </c>
      <c r="AA235" s="137">
        <f t="shared" ca="1" si="45"/>
        <v>1.7018199999999999E-5</v>
      </c>
      <c r="AB235" s="137">
        <f t="shared" ca="1" si="46"/>
        <v>0.39175199999999999</v>
      </c>
      <c r="AC235" s="137">
        <f t="shared" ca="1" si="47"/>
        <v>0.86989399999999995</v>
      </c>
      <c r="AD235" s="137">
        <f t="shared" ca="1" si="48"/>
        <v>5.0200000000000002E-2</v>
      </c>
      <c r="AE235" s="137">
        <f t="shared" ca="1" si="49"/>
        <v>8.4124200000000003E-3</v>
      </c>
      <c r="AG235" s="74">
        <v>594</v>
      </c>
      <c r="AH235" s="136">
        <f t="shared" ca="1" si="50"/>
        <v>2.8650168350168349E-8</v>
      </c>
      <c r="AI235" s="136">
        <f t="shared" ca="1" si="51"/>
        <v>6.595151515151515E-4</v>
      </c>
      <c r="AJ235" s="136">
        <f t="shared" ca="1" si="52"/>
        <v>1.4644680134680134E-3</v>
      </c>
      <c r="AK235" s="136">
        <f t="shared" ca="1" si="53"/>
        <v>8.4511784511784519E-5</v>
      </c>
      <c r="AL235" s="136">
        <f t="shared" ca="1" si="54"/>
        <v>1.4162323232323232E-5</v>
      </c>
      <c r="AN235" s="74">
        <v>594</v>
      </c>
      <c r="AO235" s="136">
        <f t="shared" ca="1" si="55"/>
        <v>1.2818957089245107E-5</v>
      </c>
      <c r="AP235" s="136">
        <f t="shared" ca="1" si="56"/>
        <v>0.35651930095089834</v>
      </c>
      <c r="AQ235" s="136">
        <f t="shared" ca="1" si="57"/>
        <v>0.82993165112748379</v>
      </c>
      <c r="AR235" s="136">
        <f t="shared" ca="1" si="58"/>
        <v>4.2722105711072614E-2</v>
      </c>
      <c r="AS235" s="136">
        <f t="shared" ca="1" si="59"/>
        <v>6.9250083540149344E-3</v>
      </c>
    </row>
    <row r="236" spans="9:45" ht="15" hidden="1" customHeight="1" x14ac:dyDescent="0.2">
      <c r="I236" s="74">
        <v>595</v>
      </c>
      <c r="J236" s="137">
        <v>0.69489999999999996</v>
      </c>
      <c r="L236" s="74">
        <v>595</v>
      </c>
      <c r="M236" s="137">
        <v>1.55924E-5</v>
      </c>
      <c r="N236" s="137">
        <v>0.376527</v>
      </c>
      <c r="O236" s="137">
        <v>0.85960499999999995</v>
      </c>
      <c r="P236" s="136">
        <v>4.6899999999999997E-2</v>
      </c>
      <c r="Q236" s="137">
        <v>7.7343000000000004E-3</v>
      </c>
      <c r="S236" s="74">
        <v>595</v>
      </c>
      <c r="T236" s="137">
        <v>8.5846778025943663E-6</v>
      </c>
      <c r="U236" s="137">
        <v>0.48796873848735151</v>
      </c>
      <c r="V236" s="137">
        <v>0.88815548044509152</v>
      </c>
      <c r="W236" s="136">
        <v>5.8472276157343961E-2</v>
      </c>
      <c r="X236" s="137">
        <v>7.7342997579980671E-3</v>
      </c>
      <c r="Z236" s="74">
        <v>595</v>
      </c>
      <c r="AA236" s="137">
        <f t="shared" ca="1" si="45"/>
        <v>1.55924E-5</v>
      </c>
      <c r="AB236" s="137">
        <f t="shared" ca="1" si="46"/>
        <v>0.376527</v>
      </c>
      <c r="AC236" s="137">
        <f t="shared" ca="1" si="47"/>
        <v>0.85960499999999995</v>
      </c>
      <c r="AD236" s="137">
        <f t="shared" ca="1" si="48"/>
        <v>4.6899999999999997E-2</v>
      </c>
      <c r="AE236" s="137">
        <f t="shared" ca="1" si="49"/>
        <v>7.7343000000000004E-3</v>
      </c>
      <c r="AG236" s="74">
        <v>595</v>
      </c>
      <c r="AH236" s="136">
        <f t="shared" ca="1" si="50"/>
        <v>2.6205714285714286E-8</v>
      </c>
      <c r="AI236" s="136">
        <f t="shared" ca="1" si="51"/>
        <v>6.32818487394958E-4</v>
      </c>
      <c r="AJ236" s="136">
        <f t="shared" ca="1" si="52"/>
        <v>1.4447142857142857E-3</v>
      </c>
      <c r="AK236" s="136">
        <f t="shared" ca="1" si="53"/>
        <v>7.8823529411764699E-5</v>
      </c>
      <c r="AL236" s="136">
        <f t="shared" ca="1" si="54"/>
        <v>1.2998823529411765E-5</v>
      </c>
      <c r="AN236" s="74">
        <v>595</v>
      </c>
      <c r="AO236" s="136">
        <f t="shared" ca="1" si="55"/>
        <v>1.1725233960784562E-5</v>
      </c>
      <c r="AP236" s="136">
        <f t="shared" ca="1" si="56"/>
        <v>0.34208767491776443</v>
      </c>
      <c r="AQ236" s="136">
        <f t="shared" ca="1" si="57"/>
        <v>0.81873697583256166</v>
      </c>
      <c r="AR236" s="136">
        <f t="shared" ca="1" si="58"/>
        <v>3.9846598619387573E-2</v>
      </c>
      <c r="AS236" s="136">
        <f t="shared" ca="1" si="59"/>
        <v>6.3560872080714193E-3</v>
      </c>
    </row>
    <row r="237" spans="9:45" ht="15" hidden="1" customHeight="1" x14ac:dyDescent="0.2">
      <c r="I237" s="74">
        <v>596</v>
      </c>
      <c r="J237" s="137">
        <v>0.68221920000000003</v>
      </c>
      <c r="L237" s="74">
        <v>596</v>
      </c>
      <c r="M237" s="137">
        <v>1.4292400000000001E-5</v>
      </c>
      <c r="N237" s="137">
        <v>0.36155900000000002</v>
      </c>
      <c r="O237" s="137">
        <v>0.848912</v>
      </c>
      <c r="P237" s="136">
        <v>4.3799999999999999E-2</v>
      </c>
      <c r="Q237" s="137">
        <v>7.1125499999999996E-3</v>
      </c>
      <c r="S237" s="74">
        <v>596</v>
      </c>
      <c r="T237" s="137">
        <v>7.9324071989320773E-6</v>
      </c>
      <c r="U237" s="137">
        <v>0.4721304379242085</v>
      </c>
      <c r="V237" s="137">
        <v>0.87829619240474044</v>
      </c>
      <c r="W237" s="136">
        <v>5.4267273215719045E-2</v>
      </c>
      <c r="X237" s="137">
        <v>7.1072239440909306E-3</v>
      </c>
      <c r="Z237" s="74">
        <v>596</v>
      </c>
      <c r="AA237" s="137">
        <f t="shared" ca="1" si="45"/>
        <v>1.4292400000000001E-5</v>
      </c>
      <c r="AB237" s="137">
        <f t="shared" ca="1" si="46"/>
        <v>0.36155900000000002</v>
      </c>
      <c r="AC237" s="137">
        <f t="shared" ca="1" si="47"/>
        <v>0.848912</v>
      </c>
      <c r="AD237" s="137">
        <f t="shared" ca="1" si="48"/>
        <v>4.3799999999999999E-2</v>
      </c>
      <c r="AE237" s="137">
        <f t="shared" ca="1" si="49"/>
        <v>7.1125499999999996E-3</v>
      </c>
      <c r="AG237" s="74">
        <v>596</v>
      </c>
      <c r="AH237" s="136">
        <f t="shared" ca="1" si="50"/>
        <v>2.3980536912751678E-8</v>
      </c>
      <c r="AI237" s="136">
        <f t="shared" ca="1" si="51"/>
        <v>6.0664261744966443E-4</v>
      </c>
      <c r="AJ237" s="136">
        <f t="shared" ca="1" si="52"/>
        <v>1.4243489932885907E-3</v>
      </c>
      <c r="AK237" s="136">
        <f t="shared" ca="1" si="53"/>
        <v>7.3489932885906044E-5</v>
      </c>
      <c r="AL237" s="136">
        <f t="shared" ca="1" si="54"/>
        <v>1.1933808724832215E-5</v>
      </c>
      <c r="AN237" s="74">
        <v>596</v>
      </c>
      <c r="AO237" s="136">
        <f t="shared" ca="1" si="55"/>
        <v>1.0729621896264207E-5</v>
      </c>
      <c r="AP237" s="136">
        <f t="shared" ca="1" si="56"/>
        <v>0.32793757869444318</v>
      </c>
      <c r="AQ237" s="136">
        <f t="shared" ca="1" si="57"/>
        <v>0.80719571947659252</v>
      </c>
      <c r="AR237" s="136">
        <f t="shared" ca="1" si="58"/>
        <v>3.7150377306415891E-2</v>
      </c>
      <c r="AS237" s="136">
        <f t="shared" ca="1" si="59"/>
        <v>5.8353226203779135E-3</v>
      </c>
    </row>
    <row r="238" spans="9:45" ht="15" hidden="1" customHeight="1" x14ac:dyDescent="0.2">
      <c r="I238" s="74">
        <v>597</v>
      </c>
      <c r="J238" s="137">
        <v>0.66947160000000006</v>
      </c>
      <c r="L238" s="74">
        <v>597</v>
      </c>
      <c r="M238" s="137">
        <v>1.3106599999999999E-5</v>
      </c>
      <c r="N238" s="137">
        <v>0.346856</v>
      </c>
      <c r="O238" s="137">
        <v>0.83786499999999997</v>
      </c>
      <c r="P238" s="136">
        <v>4.0899999999999999E-2</v>
      </c>
      <c r="Q238" s="137">
        <v>6.5347599999999997E-3</v>
      </c>
      <c r="S238" s="74">
        <v>597</v>
      </c>
      <c r="T238" s="137">
        <v>7.331688417306954E-6</v>
      </c>
      <c r="U238" s="137">
        <v>0.45641509564163529</v>
      </c>
      <c r="V238" s="137">
        <v>0.86808049876126325</v>
      </c>
      <c r="W238" s="136">
        <v>5.0334759744682385E-2</v>
      </c>
      <c r="X238" s="137">
        <v>6.530779186647984E-3</v>
      </c>
      <c r="Z238" s="74">
        <v>597</v>
      </c>
      <c r="AA238" s="137">
        <f t="shared" ca="1" si="45"/>
        <v>1.3106599999999999E-5</v>
      </c>
      <c r="AB238" s="137">
        <f t="shared" ca="1" si="46"/>
        <v>0.346856</v>
      </c>
      <c r="AC238" s="137">
        <f t="shared" ca="1" si="47"/>
        <v>0.83786499999999997</v>
      </c>
      <c r="AD238" s="137">
        <f t="shared" ca="1" si="48"/>
        <v>4.0899999999999999E-2</v>
      </c>
      <c r="AE238" s="137">
        <f t="shared" ca="1" si="49"/>
        <v>6.5347599999999997E-3</v>
      </c>
      <c r="AG238" s="74">
        <v>597</v>
      </c>
      <c r="AH238" s="136">
        <f t="shared" ca="1" si="50"/>
        <v>2.1954103852596315E-8</v>
      </c>
      <c r="AI238" s="136">
        <f t="shared" ca="1" si="51"/>
        <v>5.8099832495812399E-4</v>
      </c>
      <c r="AJ238" s="136">
        <f t="shared" ca="1" si="52"/>
        <v>1.4034589614740369E-3</v>
      </c>
      <c r="AK238" s="136">
        <f t="shared" ca="1" si="53"/>
        <v>6.8509212730318256E-5</v>
      </c>
      <c r="AL238" s="136">
        <f t="shared" ca="1" si="54"/>
        <v>1.0945996649916248E-5</v>
      </c>
      <c r="AN238" s="74">
        <v>597</v>
      </c>
      <c r="AO238" s="136">
        <f t="shared" ca="1" si="55"/>
        <v>9.8229340847000354E-6</v>
      </c>
      <c r="AP238" s="136">
        <f t="shared" ca="1" si="56"/>
        <v>0.31407484148293219</v>
      </c>
      <c r="AQ238" s="136">
        <f t="shared" ca="1" si="57"/>
        <v>0.79535708699263563</v>
      </c>
      <c r="AR238" s="136">
        <f t="shared" ca="1" si="58"/>
        <v>3.4632540838596189E-2</v>
      </c>
      <c r="AS238" s="136">
        <f t="shared" ca="1" si="59"/>
        <v>5.3523081630198642E-3</v>
      </c>
    </row>
    <row r="239" spans="9:45" ht="15" hidden="1" customHeight="1" x14ac:dyDescent="0.2">
      <c r="I239" s="74">
        <v>598</v>
      </c>
      <c r="J239" s="137">
        <v>0.65667439999999999</v>
      </c>
      <c r="L239" s="74">
        <v>598</v>
      </c>
      <c r="M239" s="137">
        <v>1.20248E-5</v>
      </c>
      <c r="N239" s="137">
        <v>0.332422</v>
      </c>
      <c r="O239" s="137">
        <v>0.82652199999999998</v>
      </c>
      <c r="P239" s="138">
        <v>3.8159999999999999E-2</v>
      </c>
      <c r="Q239" s="137">
        <v>6.0010999999999997E-3</v>
      </c>
      <c r="S239" s="74">
        <v>598</v>
      </c>
      <c r="T239" s="137">
        <v>6.7782877274917704E-6</v>
      </c>
      <c r="U239" s="137">
        <v>0.44083797623775089</v>
      </c>
      <c r="V239" s="137">
        <v>0.85751751623625105</v>
      </c>
      <c r="W239" s="138">
        <v>4.6660995487697865E-2</v>
      </c>
      <c r="X239" s="137">
        <v>6.0009775216921463E-3</v>
      </c>
      <c r="Z239" s="74">
        <v>598</v>
      </c>
      <c r="AA239" s="137">
        <f t="shared" ca="1" si="45"/>
        <v>1.20248E-5</v>
      </c>
      <c r="AB239" s="137">
        <f t="shared" ca="1" si="46"/>
        <v>0.332422</v>
      </c>
      <c r="AC239" s="137">
        <f t="shared" ca="1" si="47"/>
        <v>0.82652199999999998</v>
      </c>
      <c r="AD239" s="137">
        <f t="shared" ca="1" si="48"/>
        <v>3.8159999999999999E-2</v>
      </c>
      <c r="AE239" s="137">
        <f t="shared" ca="1" si="49"/>
        <v>6.0010999999999997E-3</v>
      </c>
      <c r="AG239" s="74">
        <v>598</v>
      </c>
      <c r="AH239" s="136">
        <f t="shared" ca="1" si="50"/>
        <v>2.0108361204013378E-8</v>
      </c>
      <c r="AI239" s="136">
        <f t="shared" ca="1" si="51"/>
        <v>5.5588963210702336E-4</v>
      </c>
      <c r="AJ239" s="136">
        <f t="shared" ca="1" si="52"/>
        <v>1.38214381270903E-3</v>
      </c>
      <c r="AK239" s="136">
        <f t="shared" ca="1" si="53"/>
        <v>6.381270903010033E-5</v>
      </c>
      <c r="AL239" s="136">
        <f t="shared" ca="1" si="54"/>
        <v>1.0035284280936454E-5</v>
      </c>
      <c r="AN239" s="74">
        <v>598</v>
      </c>
      <c r="AO239" s="136">
        <f t="shared" ca="1" si="55"/>
        <v>8.9970926613341843E-6</v>
      </c>
      <c r="AP239" s="136">
        <f t="shared" ca="1" si="56"/>
        <v>0.30050163758837461</v>
      </c>
      <c r="AQ239" s="136">
        <f t="shared" ca="1" si="57"/>
        <v>0.78327753561569702</v>
      </c>
      <c r="AR239" s="136">
        <f t="shared" ca="1" si="58"/>
        <v>3.2258380492648508E-2</v>
      </c>
      <c r="AS239" s="136">
        <f t="shared" ca="1" si="59"/>
        <v>4.9069934600694479E-3</v>
      </c>
    </row>
    <row r="240" spans="9:45" ht="15" hidden="1" customHeight="1" x14ac:dyDescent="0.2">
      <c r="I240" s="74">
        <v>599</v>
      </c>
      <c r="J240" s="137">
        <v>0.64384479999999999</v>
      </c>
      <c r="L240" s="74">
        <v>599</v>
      </c>
      <c r="M240" s="137">
        <v>1.10373E-5</v>
      </c>
      <c r="N240" s="137">
        <v>0.31826100000000002</v>
      </c>
      <c r="O240" s="137">
        <v>0.81494</v>
      </c>
      <c r="P240" s="138">
        <v>3.5580000000000001E-2</v>
      </c>
      <c r="Q240" s="137">
        <v>5.5117400000000002E-3</v>
      </c>
      <c r="S240" s="74">
        <v>599</v>
      </c>
      <c r="T240" s="137">
        <v>6.2683321348042769E-6</v>
      </c>
      <c r="U240" s="137">
        <v>0.42542009476610887</v>
      </c>
      <c r="V240" s="137">
        <v>0.84661508018033438</v>
      </c>
      <c r="W240" s="138">
        <v>4.3232564690469849E-2</v>
      </c>
      <c r="X240" s="137">
        <v>5.5141426875217744E-3</v>
      </c>
      <c r="Z240" s="74">
        <v>599</v>
      </c>
      <c r="AA240" s="137">
        <f t="shared" ca="1" si="45"/>
        <v>1.10373E-5</v>
      </c>
      <c r="AB240" s="137">
        <f t="shared" ca="1" si="46"/>
        <v>0.31826100000000002</v>
      </c>
      <c r="AC240" s="137">
        <f t="shared" ca="1" si="47"/>
        <v>0.81494</v>
      </c>
      <c r="AD240" s="137">
        <f t="shared" ca="1" si="48"/>
        <v>3.5580000000000001E-2</v>
      </c>
      <c r="AE240" s="137">
        <f t="shared" ca="1" si="49"/>
        <v>5.5117400000000002E-3</v>
      </c>
      <c r="AG240" s="74">
        <v>599</v>
      </c>
      <c r="AH240" s="136">
        <f t="shared" ca="1" si="50"/>
        <v>1.8426210350584306E-8</v>
      </c>
      <c r="AI240" s="136">
        <f t="shared" ca="1" si="51"/>
        <v>5.3132053422370624E-4</v>
      </c>
      <c r="AJ240" s="136">
        <f t="shared" ca="1" si="52"/>
        <v>1.360500834724541E-3</v>
      </c>
      <c r="AK240" s="136">
        <f t="shared" ca="1" si="53"/>
        <v>5.9398998330550921E-5</v>
      </c>
      <c r="AL240" s="136">
        <f t="shared" ca="1" si="54"/>
        <v>9.2015692821368952E-6</v>
      </c>
      <c r="AN240" s="74">
        <v>599</v>
      </c>
      <c r="AO240" s="136">
        <f t="shared" ca="1" si="55"/>
        <v>8.2444471849030628E-6</v>
      </c>
      <c r="AP240" s="136">
        <f t="shared" ca="1" si="56"/>
        <v>0.28722012679634668</v>
      </c>
      <c r="AQ240" s="136">
        <f t="shared" ca="1" si="57"/>
        <v>0.77101219947397659</v>
      </c>
      <c r="AR240" s="136">
        <f t="shared" ca="1" si="58"/>
        <v>3.0027176688663653E-2</v>
      </c>
      <c r="AS240" s="136">
        <f t="shared" ca="1" si="59"/>
        <v>4.4993284719990262E-3</v>
      </c>
    </row>
    <row r="241" spans="9:45" ht="15" hidden="1" customHeight="1" x14ac:dyDescent="0.2">
      <c r="I241" s="74">
        <v>600</v>
      </c>
      <c r="J241" s="137">
        <v>0.63100000000000001</v>
      </c>
      <c r="L241" s="74">
        <v>600</v>
      </c>
      <c r="M241" s="137">
        <v>1.01356E-5</v>
      </c>
      <c r="N241" s="137">
        <v>0.30437799999999998</v>
      </c>
      <c r="O241" s="137">
        <v>0.80317300000000003</v>
      </c>
      <c r="P241" s="138">
        <v>3.3149999999999999E-2</v>
      </c>
      <c r="Q241" s="137">
        <v>5.0668600000000003E-3</v>
      </c>
      <c r="S241" s="74">
        <v>600</v>
      </c>
      <c r="T241" s="137">
        <v>5.7982908986560734E-6</v>
      </c>
      <c r="U241" s="137">
        <v>0.4101757680696928</v>
      </c>
      <c r="V241" s="137">
        <v>0.83538562919689197</v>
      </c>
      <c r="W241" s="138">
        <v>4.0036029446353864E-2</v>
      </c>
      <c r="X241" s="137">
        <v>5.0668611121792674E-3</v>
      </c>
      <c r="Z241" s="74">
        <v>600</v>
      </c>
      <c r="AA241" s="137">
        <f t="shared" ca="1" si="45"/>
        <v>1.01356E-5</v>
      </c>
      <c r="AB241" s="137">
        <f t="shared" ca="1" si="46"/>
        <v>0.30437799999999998</v>
      </c>
      <c r="AC241" s="137">
        <f t="shared" ca="1" si="47"/>
        <v>0.80317300000000003</v>
      </c>
      <c r="AD241" s="137">
        <f t="shared" ca="1" si="48"/>
        <v>3.3149999999999999E-2</v>
      </c>
      <c r="AE241" s="137">
        <f t="shared" ca="1" si="49"/>
        <v>5.0668600000000003E-3</v>
      </c>
      <c r="AG241" s="74">
        <v>600</v>
      </c>
      <c r="AH241" s="136">
        <f t="shared" ca="1" si="50"/>
        <v>1.6892666666666665E-8</v>
      </c>
      <c r="AI241" s="136">
        <f t="shared" ca="1" si="51"/>
        <v>5.072966666666666E-4</v>
      </c>
      <c r="AJ241" s="136">
        <f t="shared" ca="1" si="52"/>
        <v>1.3386216666666667E-3</v>
      </c>
      <c r="AK241" s="136">
        <f t="shared" ca="1" si="53"/>
        <v>5.5250000000000001E-5</v>
      </c>
      <c r="AL241" s="136">
        <f t="shared" ca="1" si="54"/>
        <v>8.4447666666666675E-6</v>
      </c>
      <c r="AN241" s="74">
        <v>600</v>
      </c>
      <c r="AO241" s="136">
        <f t="shared" ca="1" si="55"/>
        <v>7.5582930779409794E-6</v>
      </c>
      <c r="AP241" s="136">
        <f t="shared" ca="1" si="56"/>
        <v>0.27423335545698346</v>
      </c>
      <c r="AQ241" s="136">
        <f t="shared" ca="1" si="57"/>
        <v>0.75861301157463368</v>
      </c>
      <c r="AR241" s="136">
        <f t="shared" ca="1" si="58"/>
        <v>2.7929789368104314E-2</v>
      </c>
      <c r="AS241" s="136">
        <f t="shared" ca="1" si="59"/>
        <v>4.1292716424450836E-3</v>
      </c>
    </row>
    <row r="242" spans="9:45" ht="15" hidden="1" customHeight="1" x14ac:dyDescent="0.2">
      <c r="I242" s="74">
        <v>601</v>
      </c>
      <c r="J242" s="137">
        <v>0.61815549999999997</v>
      </c>
      <c r="L242" s="74">
        <v>601</v>
      </c>
      <c r="M242" s="137">
        <v>9.3120199999999997E-6</v>
      </c>
      <c r="N242" s="137">
        <v>0.29078399999999999</v>
      </c>
      <c r="O242" s="137">
        <v>0.79125299999999998</v>
      </c>
      <c r="P242" s="138">
        <v>3.0870000000000002E-2</v>
      </c>
      <c r="Q242" s="137">
        <v>4.6586900000000001E-3</v>
      </c>
      <c r="S242" s="74">
        <v>601</v>
      </c>
      <c r="T242" s="137">
        <v>5.3636940829413902E-6</v>
      </c>
      <c r="U242" s="137">
        <v>0.39503174754038861</v>
      </c>
      <c r="V242" s="137">
        <v>0.82364866719013052</v>
      </c>
      <c r="W242" s="138">
        <v>3.7050067198051255E-2</v>
      </c>
      <c r="X242" s="137">
        <v>4.6549176253964271E-3</v>
      </c>
      <c r="Z242" s="74">
        <v>601</v>
      </c>
      <c r="AA242" s="137">
        <f t="shared" ca="1" si="45"/>
        <v>9.3120199999999997E-6</v>
      </c>
      <c r="AB242" s="137">
        <f t="shared" ca="1" si="46"/>
        <v>0.29078399999999999</v>
      </c>
      <c r="AC242" s="137">
        <f t="shared" ca="1" si="47"/>
        <v>0.79125299999999998</v>
      </c>
      <c r="AD242" s="137">
        <f t="shared" ca="1" si="48"/>
        <v>3.0870000000000002E-2</v>
      </c>
      <c r="AE242" s="137">
        <f t="shared" ca="1" si="49"/>
        <v>4.6586900000000001E-3</v>
      </c>
      <c r="AG242" s="74">
        <v>601</v>
      </c>
      <c r="AH242" s="136">
        <f t="shared" ca="1" si="50"/>
        <v>1.5494209650582363E-8</v>
      </c>
      <c r="AI242" s="136">
        <f t="shared" ca="1" si="51"/>
        <v>4.8383361064891845E-4</v>
      </c>
      <c r="AJ242" s="136">
        <f t="shared" ca="1" si="52"/>
        <v>1.3165607321131447E-3</v>
      </c>
      <c r="AK242" s="136">
        <f t="shared" ca="1" si="53"/>
        <v>5.1364392678868552E-5</v>
      </c>
      <c r="AL242" s="136">
        <f t="shared" ca="1" si="54"/>
        <v>7.7515640599001663E-6</v>
      </c>
      <c r="AN242" s="74">
        <v>601</v>
      </c>
      <c r="AO242" s="136">
        <f t="shared" ca="1" si="55"/>
        <v>6.9325808565943608E-6</v>
      </c>
      <c r="AP242" s="136">
        <f t="shared" ca="1" si="56"/>
        <v>0.26154974642934892</v>
      </c>
      <c r="AQ242" s="136">
        <f t="shared" ca="1" si="57"/>
        <v>0.74611081441427229</v>
      </c>
      <c r="AR242" s="136">
        <f t="shared" ca="1" si="58"/>
        <v>2.5965550561835256E-2</v>
      </c>
      <c r="AS242" s="136">
        <f t="shared" ca="1" si="59"/>
        <v>3.7903135658544627E-3</v>
      </c>
    </row>
    <row r="243" spans="9:45" ht="15" hidden="1" customHeight="1" x14ac:dyDescent="0.2">
      <c r="I243" s="74">
        <v>602</v>
      </c>
      <c r="J243" s="137">
        <v>0.60531440000000003</v>
      </c>
      <c r="L243" s="74">
        <v>602</v>
      </c>
      <c r="M243" s="137">
        <v>8.5594100000000004E-6</v>
      </c>
      <c r="N243" s="137">
        <v>0.27750599999999997</v>
      </c>
      <c r="O243" s="137">
        <v>0.77911799999999998</v>
      </c>
      <c r="P243" s="138">
        <v>2.8740000000000002E-2</v>
      </c>
      <c r="Q243" s="137">
        <v>4.2794599999999997E-3</v>
      </c>
      <c r="S243" s="74">
        <v>602</v>
      </c>
      <c r="T243" s="137">
        <v>4.9629854274109138E-6</v>
      </c>
      <c r="U243" s="137">
        <v>0.38010098933888714</v>
      </c>
      <c r="V243" s="137">
        <v>0.81161114105606469</v>
      </c>
      <c r="W243" s="138">
        <v>3.427180672770206E-2</v>
      </c>
      <c r="X243" s="137">
        <v>4.2766430166986131E-3</v>
      </c>
      <c r="Z243" s="74">
        <v>602</v>
      </c>
      <c r="AA243" s="137">
        <f t="shared" ca="1" si="45"/>
        <v>8.5594100000000004E-6</v>
      </c>
      <c r="AB243" s="137">
        <f t="shared" ca="1" si="46"/>
        <v>0.27750599999999997</v>
      </c>
      <c r="AC243" s="137">
        <f t="shared" ca="1" si="47"/>
        <v>0.77911799999999998</v>
      </c>
      <c r="AD243" s="137">
        <f t="shared" ca="1" si="48"/>
        <v>2.8740000000000002E-2</v>
      </c>
      <c r="AE243" s="137">
        <f t="shared" ca="1" si="49"/>
        <v>4.2794599999999997E-3</v>
      </c>
      <c r="AG243" s="74">
        <v>602</v>
      </c>
      <c r="AH243" s="136">
        <f t="shared" ca="1" si="50"/>
        <v>1.4218289036544851E-8</v>
      </c>
      <c r="AI243" s="136">
        <f t="shared" ca="1" si="51"/>
        <v>4.6097342192691023E-4</v>
      </c>
      <c r="AJ243" s="136">
        <f t="shared" ca="1" si="52"/>
        <v>1.2942159468438538E-3</v>
      </c>
      <c r="AK243" s="136">
        <f t="shared" ca="1" si="53"/>
        <v>4.7740863787375415E-5</v>
      </c>
      <c r="AL243" s="136">
        <f t="shared" ca="1" si="54"/>
        <v>7.1087375415282385E-6</v>
      </c>
      <c r="AN243" s="74">
        <v>602</v>
      </c>
      <c r="AO243" s="136">
        <f t="shared" ca="1" si="55"/>
        <v>6.3616951500699158E-6</v>
      </c>
      <c r="AP243" s="136">
        <f t="shared" ca="1" si="56"/>
        <v>0.24919203412501117</v>
      </c>
      <c r="AQ243" s="136">
        <f t="shared" ca="1" si="57"/>
        <v>0.73344775563655551</v>
      </c>
      <c r="AR243" s="136">
        <f t="shared" ca="1" si="58"/>
        <v>2.4133796739054372E-2</v>
      </c>
      <c r="AS243" s="136">
        <f t="shared" ca="1" si="59"/>
        <v>3.4759880885381479E-3</v>
      </c>
    </row>
    <row r="244" spans="9:45" ht="15" hidden="1" customHeight="1" x14ac:dyDescent="0.2">
      <c r="I244" s="74">
        <v>603</v>
      </c>
      <c r="J244" s="137">
        <v>0.59247559999999999</v>
      </c>
      <c r="L244" s="74">
        <v>603</v>
      </c>
      <c r="M244" s="137">
        <v>7.8714099999999996E-6</v>
      </c>
      <c r="N244" s="137">
        <v>0.264575</v>
      </c>
      <c r="O244" s="137">
        <v>0.76669100000000001</v>
      </c>
      <c r="P244" s="138">
        <v>2.674E-2</v>
      </c>
      <c r="Q244" s="137">
        <v>3.9293899999999996E-3</v>
      </c>
      <c r="S244" s="74">
        <v>603</v>
      </c>
      <c r="T244" s="137">
        <v>4.5934183393447107E-6</v>
      </c>
      <c r="U244" s="137">
        <v>0.36540038448992274</v>
      </c>
      <c r="V244" s="137">
        <v>0.79928562069998521</v>
      </c>
      <c r="W244" s="138">
        <v>3.168910693206671E-2</v>
      </c>
      <c r="X244" s="137">
        <v>3.92930734449627E-3</v>
      </c>
      <c r="Z244" s="74">
        <v>603</v>
      </c>
      <c r="AA244" s="137">
        <f t="shared" ca="1" si="45"/>
        <v>7.8714099999999996E-6</v>
      </c>
      <c r="AB244" s="137">
        <f t="shared" ca="1" si="46"/>
        <v>0.264575</v>
      </c>
      <c r="AC244" s="137">
        <f t="shared" ca="1" si="47"/>
        <v>0.76669100000000001</v>
      </c>
      <c r="AD244" s="137">
        <f t="shared" ca="1" si="48"/>
        <v>2.674E-2</v>
      </c>
      <c r="AE244" s="137">
        <f t="shared" ca="1" si="49"/>
        <v>3.9293899999999996E-3</v>
      </c>
      <c r="AG244" s="74">
        <v>603</v>
      </c>
      <c r="AH244" s="136">
        <f t="shared" ca="1" si="50"/>
        <v>1.3053747927031508E-8</v>
      </c>
      <c r="AI244" s="136">
        <f t="shared" ca="1" si="51"/>
        <v>4.3876451077943618E-4</v>
      </c>
      <c r="AJ244" s="136">
        <f t="shared" ca="1" si="52"/>
        <v>1.2714610281923716E-3</v>
      </c>
      <c r="AK244" s="136">
        <f t="shared" ca="1" si="53"/>
        <v>4.4344941956882253E-5</v>
      </c>
      <c r="AL244" s="136">
        <f t="shared" ca="1" si="54"/>
        <v>6.5164013266998338E-6</v>
      </c>
      <c r="AN244" s="74">
        <v>603</v>
      </c>
      <c r="AO244" s="136">
        <f t="shared" ca="1" si="55"/>
        <v>5.840644022933146E-6</v>
      </c>
      <c r="AP244" s="136">
        <f t="shared" ca="1" si="56"/>
        <v>0.2371863880697421</v>
      </c>
      <c r="AQ244" s="136">
        <f t="shared" ca="1" si="57"/>
        <v>0.72055226933434902</v>
      </c>
      <c r="AR244" s="136">
        <f t="shared" ca="1" si="58"/>
        <v>2.2417102052425933E-2</v>
      </c>
      <c r="AS244" s="136">
        <f t="shared" ca="1" si="59"/>
        <v>3.1863510587385258E-3</v>
      </c>
    </row>
    <row r="245" spans="9:45" ht="15" hidden="1" customHeight="1" x14ac:dyDescent="0.2">
      <c r="I245" s="74">
        <v>604</v>
      </c>
      <c r="J245" s="137">
        <v>0.57963790000000004</v>
      </c>
      <c r="L245" s="74">
        <v>604</v>
      </c>
      <c r="M245" s="137">
        <v>7.2422099999999997E-6</v>
      </c>
      <c r="N245" s="137">
        <v>0.25201200000000001</v>
      </c>
      <c r="O245" s="137">
        <v>0.75390000000000001</v>
      </c>
      <c r="P245" s="138">
        <v>2.487E-2</v>
      </c>
      <c r="Q245" s="137">
        <v>3.6087200000000002E-3</v>
      </c>
      <c r="S245" s="74">
        <v>604</v>
      </c>
      <c r="T245" s="137">
        <v>4.2524870525485254E-6</v>
      </c>
      <c r="U245" s="137">
        <v>0.35094333593003346</v>
      </c>
      <c r="V245" s="137">
        <v>0.78668704797784683</v>
      </c>
      <c r="W245" s="138">
        <v>2.9289907490211698E-2</v>
      </c>
      <c r="X245" s="137">
        <v>3.6104222753302155E-3</v>
      </c>
      <c r="Z245" s="74">
        <v>604</v>
      </c>
      <c r="AA245" s="137">
        <f t="shared" ca="1" si="45"/>
        <v>7.2422099999999997E-6</v>
      </c>
      <c r="AB245" s="137">
        <f t="shared" ca="1" si="46"/>
        <v>0.25201200000000001</v>
      </c>
      <c r="AC245" s="137">
        <f t="shared" ca="1" si="47"/>
        <v>0.75390000000000001</v>
      </c>
      <c r="AD245" s="137">
        <f t="shared" ca="1" si="48"/>
        <v>2.487E-2</v>
      </c>
      <c r="AE245" s="137">
        <f t="shared" ca="1" si="49"/>
        <v>3.6087200000000002E-3</v>
      </c>
      <c r="AG245" s="74">
        <v>604</v>
      </c>
      <c r="AH245" s="136">
        <f t="shared" ca="1" si="50"/>
        <v>1.1990413907284768E-8</v>
      </c>
      <c r="AI245" s="136">
        <f t="shared" ca="1" si="51"/>
        <v>4.1723841059602653E-4</v>
      </c>
      <c r="AJ245" s="136">
        <f t="shared" ca="1" si="52"/>
        <v>1.2481788079470198E-3</v>
      </c>
      <c r="AK245" s="136">
        <f t="shared" ca="1" si="53"/>
        <v>4.1175496688741722E-5</v>
      </c>
      <c r="AL245" s="136">
        <f t="shared" ca="1" si="54"/>
        <v>5.9747019867549672E-6</v>
      </c>
      <c r="AN245" s="74">
        <v>604</v>
      </c>
      <c r="AO245" s="136">
        <f t="shared" ca="1" si="55"/>
        <v>5.3648760272945486E-6</v>
      </c>
      <c r="AP245" s="136">
        <f t="shared" ca="1" si="56"/>
        <v>0.22554985451633228</v>
      </c>
      <c r="AQ245" s="136">
        <f t="shared" ca="1" si="57"/>
        <v>0.7073579548717337</v>
      </c>
      <c r="AR245" s="136">
        <f t="shared" ca="1" si="58"/>
        <v>2.081489501617435E-2</v>
      </c>
      <c r="AS245" s="136">
        <f t="shared" ca="1" si="59"/>
        <v>2.9214741460353261E-3</v>
      </c>
    </row>
    <row r="246" spans="9:45" ht="15" hidden="1" customHeight="1" x14ac:dyDescent="0.2">
      <c r="I246" s="74">
        <v>605</v>
      </c>
      <c r="J246" s="137">
        <v>0.56679999999999997</v>
      </c>
      <c r="L246" s="74">
        <v>605</v>
      </c>
      <c r="M246" s="137">
        <v>6.6665700000000003E-6</v>
      </c>
      <c r="N246" s="137">
        <v>0.23983699999999999</v>
      </c>
      <c r="O246" s="137">
        <v>0.74068000000000001</v>
      </c>
      <c r="P246" s="138">
        <v>2.3120000000000002E-2</v>
      </c>
      <c r="Q246" s="137">
        <v>3.3176600000000001E-3</v>
      </c>
      <c r="S246" s="74">
        <v>605</v>
      </c>
      <c r="T246" s="137">
        <v>3.9378938037283176E-6</v>
      </c>
      <c r="U246" s="137">
        <v>0.33674410363771223</v>
      </c>
      <c r="V246" s="137">
        <v>0.77382721587599967</v>
      </c>
      <c r="W246" s="138">
        <v>2.7063003892196281E-2</v>
      </c>
      <c r="X246" s="137">
        <v>3.3176609422317128E-3</v>
      </c>
      <c r="Z246" s="74">
        <v>605</v>
      </c>
      <c r="AA246" s="137">
        <f t="shared" ca="1" si="45"/>
        <v>6.6665700000000003E-6</v>
      </c>
      <c r="AB246" s="137">
        <f t="shared" ca="1" si="46"/>
        <v>0.23983699999999999</v>
      </c>
      <c r="AC246" s="137">
        <f t="shared" ca="1" si="47"/>
        <v>0.74068000000000001</v>
      </c>
      <c r="AD246" s="137">
        <f t="shared" ca="1" si="48"/>
        <v>2.3120000000000002E-2</v>
      </c>
      <c r="AE246" s="137">
        <f t="shared" ca="1" si="49"/>
        <v>3.3176600000000001E-3</v>
      </c>
      <c r="AG246" s="74">
        <v>605</v>
      </c>
      <c r="AH246" s="136">
        <f t="shared" ca="1" si="50"/>
        <v>1.1019123966942149E-8</v>
      </c>
      <c r="AI246" s="136">
        <f t="shared" ca="1" si="51"/>
        <v>3.9642479338842975E-4</v>
      </c>
      <c r="AJ246" s="136">
        <f t="shared" ca="1" si="52"/>
        <v>1.2242644628099174E-3</v>
      </c>
      <c r="AK246" s="136">
        <f t="shared" ca="1" si="53"/>
        <v>3.8214876033057853E-5</v>
      </c>
      <c r="AL246" s="136">
        <f t="shared" ca="1" si="54"/>
        <v>5.4837355371900828E-6</v>
      </c>
      <c r="AN246" s="74">
        <v>605</v>
      </c>
      <c r="AO246" s="136">
        <f t="shared" ca="1" si="55"/>
        <v>4.9302913535052131E-6</v>
      </c>
      <c r="AP246" s="136">
        <f t="shared" ca="1" si="56"/>
        <v>0.21429847349792136</v>
      </c>
      <c r="AQ246" s="136">
        <f t="shared" ca="1" si="57"/>
        <v>0.69380540762403564</v>
      </c>
      <c r="AR246" s="136">
        <f t="shared" ca="1" si="58"/>
        <v>1.9318252277493637E-2</v>
      </c>
      <c r="AS246" s="136">
        <f t="shared" ca="1" si="59"/>
        <v>2.6814042995133907E-3</v>
      </c>
    </row>
    <row r="247" spans="9:45" ht="15" hidden="1" customHeight="1" x14ac:dyDescent="0.2">
      <c r="I247" s="74">
        <v>606</v>
      </c>
      <c r="J247" s="137">
        <v>0.55396109999999998</v>
      </c>
      <c r="L247" s="74">
        <v>606</v>
      </c>
      <c r="M247" s="137">
        <v>6.1396999999999998E-6</v>
      </c>
      <c r="N247" s="137">
        <v>0.22806499999999999</v>
      </c>
      <c r="O247" s="137">
        <v>0.72699499999999995</v>
      </c>
      <c r="P247" s="138">
        <v>2.147E-2</v>
      </c>
      <c r="Q247" s="137">
        <v>3.0510899999999998E-3</v>
      </c>
      <c r="S247" s="74">
        <v>606</v>
      </c>
      <c r="T247" s="137">
        <v>3.647514273033076E-6</v>
      </c>
      <c r="U247" s="137">
        <v>0.32281670474542251</v>
      </c>
      <c r="V247" s="137">
        <v>0.7607202900858544</v>
      </c>
      <c r="W247" s="138">
        <v>2.4997409226819159E-2</v>
      </c>
      <c r="X247" s="137">
        <v>3.0489127749723632E-3</v>
      </c>
      <c r="Z247" s="74">
        <v>606</v>
      </c>
      <c r="AA247" s="137">
        <f t="shared" ca="1" si="45"/>
        <v>6.1396999999999998E-6</v>
      </c>
      <c r="AB247" s="137">
        <f t="shared" ca="1" si="46"/>
        <v>0.22806499999999999</v>
      </c>
      <c r="AC247" s="137">
        <f t="shared" ca="1" si="47"/>
        <v>0.72699499999999995</v>
      </c>
      <c r="AD247" s="137">
        <f t="shared" ca="1" si="48"/>
        <v>2.147E-2</v>
      </c>
      <c r="AE247" s="137">
        <f t="shared" ca="1" si="49"/>
        <v>3.0510899999999998E-3</v>
      </c>
      <c r="AG247" s="74">
        <v>606</v>
      </c>
      <c r="AH247" s="136">
        <f t="shared" ca="1" si="50"/>
        <v>1.013151815181518E-8</v>
      </c>
      <c r="AI247" s="136">
        <f t="shared" ca="1" si="51"/>
        <v>3.7634488448844882E-4</v>
      </c>
      <c r="AJ247" s="136">
        <f t="shared" ca="1" si="52"/>
        <v>1.1996617161716171E-3</v>
      </c>
      <c r="AK247" s="136">
        <f t="shared" ca="1" si="53"/>
        <v>3.5429042904290427E-5</v>
      </c>
      <c r="AL247" s="136">
        <f t="shared" ca="1" si="54"/>
        <v>5.0348019801980198E-6</v>
      </c>
      <c r="AN247" s="74">
        <v>606</v>
      </c>
      <c r="AO247" s="136">
        <f t="shared" ca="1" si="55"/>
        <v>4.5331495036839304E-6</v>
      </c>
      <c r="AP247" s="136">
        <f t="shared" ca="1" si="56"/>
        <v>0.20344371895932989</v>
      </c>
      <c r="AQ247" s="136">
        <f t="shared" ca="1" si="57"/>
        <v>0.67986273495927563</v>
      </c>
      <c r="AR247" s="136">
        <f t="shared" ca="1" si="58"/>
        <v>1.79099675263414E-2</v>
      </c>
      <c r="AS247" s="136">
        <f t="shared" ca="1" si="59"/>
        <v>2.461887446129323E-3</v>
      </c>
    </row>
    <row r="248" spans="9:45" ht="15" hidden="1" customHeight="1" x14ac:dyDescent="0.2">
      <c r="I248" s="74">
        <v>607</v>
      </c>
      <c r="J248" s="137">
        <v>0.54113719999999998</v>
      </c>
      <c r="L248" s="74">
        <v>607</v>
      </c>
      <c r="M248" s="137">
        <v>5.6572699999999996E-6</v>
      </c>
      <c r="N248" s="137">
        <v>0.21670300000000001</v>
      </c>
      <c r="O248" s="137">
        <v>0.71290500000000001</v>
      </c>
      <c r="P248" s="138">
        <v>1.9939999999999999E-2</v>
      </c>
      <c r="Q248" s="137">
        <v>2.8037399999999999E-3</v>
      </c>
      <c r="S248" s="74">
        <v>607</v>
      </c>
      <c r="T248" s="137">
        <v>3.3794264587435923E-6</v>
      </c>
      <c r="U248" s="137">
        <v>0.3091718893891699</v>
      </c>
      <c r="V248" s="137">
        <v>0.74738090883828912</v>
      </c>
      <c r="W248" s="138">
        <v>2.3082720877682261E-2</v>
      </c>
      <c r="X248" s="137">
        <v>2.8021991693572808E-3</v>
      </c>
      <c r="Z248" s="74">
        <v>607</v>
      </c>
      <c r="AA248" s="137">
        <f t="shared" ca="1" si="45"/>
        <v>5.6572699999999996E-6</v>
      </c>
      <c r="AB248" s="137">
        <f t="shared" ca="1" si="46"/>
        <v>0.21670300000000001</v>
      </c>
      <c r="AC248" s="137">
        <f t="shared" ca="1" si="47"/>
        <v>0.71290500000000001</v>
      </c>
      <c r="AD248" s="137">
        <f t="shared" ca="1" si="48"/>
        <v>1.9939999999999999E-2</v>
      </c>
      <c r="AE248" s="137">
        <f t="shared" ca="1" si="49"/>
        <v>2.8037399999999999E-3</v>
      </c>
      <c r="AG248" s="74">
        <v>607</v>
      </c>
      <c r="AH248" s="136">
        <f t="shared" ca="1" si="50"/>
        <v>9.320049423393739E-9</v>
      </c>
      <c r="AI248" s="136">
        <f t="shared" ca="1" si="51"/>
        <v>3.5700658978583198E-4</v>
      </c>
      <c r="AJ248" s="136">
        <f t="shared" ca="1" si="52"/>
        <v>1.1744728171334431E-3</v>
      </c>
      <c r="AK248" s="136">
        <f t="shared" ca="1" si="53"/>
        <v>3.2850082372322897E-5</v>
      </c>
      <c r="AL248" s="136">
        <f t="shared" ca="1" si="54"/>
        <v>4.6190115321252059E-6</v>
      </c>
      <c r="AN248" s="74">
        <v>607</v>
      </c>
      <c r="AO248" s="136">
        <f t="shared" ca="1" si="55"/>
        <v>4.1700737031594414E-6</v>
      </c>
      <c r="AP248" s="136">
        <f t="shared" ca="1" si="56"/>
        <v>0.19298986464965975</v>
      </c>
      <c r="AQ248" s="136">
        <f t="shared" ca="1" si="57"/>
        <v>0.66558788267395341</v>
      </c>
      <c r="AR248" s="136">
        <f t="shared" ca="1" si="58"/>
        <v>1.6606260296540359E-2</v>
      </c>
      <c r="AS248" s="136">
        <f t="shared" ca="1" si="59"/>
        <v>2.2585767124883773E-3</v>
      </c>
    </row>
    <row r="249" spans="9:45" ht="15" hidden="1" customHeight="1" x14ac:dyDescent="0.2">
      <c r="I249" s="74">
        <v>608</v>
      </c>
      <c r="J249" s="137">
        <v>0.52835279999999996</v>
      </c>
      <c r="L249" s="74">
        <v>608</v>
      </c>
      <c r="M249" s="137">
        <v>5.21535E-6</v>
      </c>
      <c r="N249" s="137">
        <v>0.20575399999999999</v>
      </c>
      <c r="O249" s="137">
        <v>0.69849099999999997</v>
      </c>
      <c r="P249" s="138">
        <v>1.8509999999999999E-2</v>
      </c>
      <c r="Q249" s="137">
        <v>2.5755999999999999E-3</v>
      </c>
      <c r="S249" s="74">
        <v>608</v>
      </c>
      <c r="T249" s="137">
        <v>3.1318503364552339E-6</v>
      </c>
      <c r="U249" s="137">
        <v>0.29582304289946121</v>
      </c>
      <c r="V249" s="137">
        <v>0.7338241496686525</v>
      </c>
      <c r="W249" s="138">
        <v>2.1308947529519701E-2</v>
      </c>
      <c r="X249" s="137">
        <v>2.5757220745991245E-3</v>
      </c>
      <c r="Z249" s="74">
        <v>608</v>
      </c>
      <c r="AA249" s="137">
        <f t="shared" ca="1" si="45"/>
        <v>5.21535E-6</v>
      </c>
      <c r="AB249" s="137">
        <f t="shared" ca="1" si="46"/>
        <v>0.20575399999999999</v>
      </c>
      <c r="AC249" s="137">
        <f t="shared" ca="1" si="47"/>
        <v>0.69849099999999997</v>
      </c>
      <c r="AD249" s="137">
        <f t="shared" ca="1" si="48"/>
        <v>1.8509999999999999E-2</v>
      </c>
      <c r="AE249" s="137">
        <f t="shared" ca="1" si="49"/>
        <v>2.5755999999999999E-3</v>
      </c>
      <c r="AG249" s="74">
        <v>608</v>
      </c>
      <c r="AH249" s="136">
        <f t="shared" ca="1" si="50"/>
        <v>8.5778782894736834E-9</v>
      </c>
      <c r="AI249" s="136">
        <f t="shared" ca="1" si="51"/>
        <v>3.3841118421052628E-4</v>
      </c>
      <c r="AJ249" s="136">
        <f t="shared" ca="1" si="52"/>
        <v>1.1488338815789474E-3</v>
      </c>
      <c r="AK249" s="136">
        <f t="shared" ca="1" si="53"/>
        <v>3.044407894736842E-5</v>
      </c>
      <c r="AL249" s="136">
        <f t="shared" ca="1" si="54"/>
        <v>4.2361842105263161E-6</v>
      </c>
      <c r="AN249" s="74">
        <v>608</v>
      </c>
      <c r="AO249" s="136">
        <f t="shared" ca="1" si="55"/>
        <v>3.8380037550070538E-6</v>
      </c>
      <c r="AP249" s="136">
        <f t="shared" ca="1" si="56"/>
        <v>0.182937599767836</v>
      </c>
      <c r="AQ249" s="136">
        <f t="shared" ca="1" si="57"/>
        <v>0.6510579892777133</v>
      </c>
      <c r="AR249" s="136">
        <f t="shared" ca="1" si="58"/>
        <v>1.5389985746713825E-2</v>
      </c>
      <c r="AS249" s="136">
        <f t="shared" ca="1" si="59"/>
        <v>2.0713840918478027E-3</v>
      </c>
    </row>
    <row r="250" spans="9:45" ht="15" hidden="1" customHeight="1" x14ac:dyDescent="0.2">
      <c r="I250" s="74">
        <v>609</v>
      </c>
      <c r="J250" s="137">
        <v>0.51563230000000004</v>
      </c>
      <c r="L250" s="74">
        <v>609</v>
      </c>
      <c r="M250" s="137">
        <v>4.8103600000000003E-6</v>
      </c>
      <c r="N250" s="137">
        <v>0.19522100000000001</v>
      </c>
      <c r="O250" s="137">
        <v>0.68382900000000002</v>
      </c>
      <c r="P250" s="138">
        <v>1.7180000000000001E-2</v>
      </c>
      <c r="Q250" s="137">
        <v>2.3666799999999999E-3</v>
      </c>
      <c r="S250" s="74">
        <v>609</v>
      </c>
      <c r="T250" s="137">
        <v>2.9031468210988095E-6</v>
      </c>
      <c r="U250" s="137">
        <v>0.28277955063080551</v>
      </c>
      <c r="V250" s="137">
        <v>0.72006715242914043</v>
      </c>
      <c r="W250" s="138">
        <v>1.9666768242840475E-2</v>
      </c>
      <c r="X250" s="137">
        <v>2.3678271720032648E-3</v>
      </c>
      <c r="Z250" s="74">
        <v>609</v>
      </c>
      <c r="AA250" s="137">
        <f t="shared" ca="1" si="45"/>
        <v>4.8103600000000003E-6</v>
      </c>
      <c r="AB250" s="137">
        <f t="shared" ca="1" si="46"/>
        <v>0.19522100000000001</v>
      </c>
      <c r="AC250" s="137">
        <f t="shared" ca="1" si="47"/>
        <v>0.68382900000000002</v>
      </c>
      <c r="AD250" s="137">
        <f t="shared" ca="1" si="48"/>
        <v>1.7180000000000001E-2</v>
      </c>
      <c r="AE250" s="137">
        <f t="shared" ca="1" si="49"/>
        <v>2.3666799999999999E-3</v>
      </c>
      <c r="AG250" s="74">
        <v>609</v>
      </c>
      <c r="AH250" s="136">
        <f t="shared" ca="1" si="50"/>
        <v>7.8987848932676525E-9</v>
      </c>
      <c r="AI250" s="136">
        <f t="shared" ca="1" si="51"/>
        <v>3.2055993431855502E-4</v>
      </c>
      <c r="AJ250" s="136">
        <f t="shared" ca="1" si="52"/>
        <v>1.122871921182266E-3</v>
      </c>
      <c r="AK250" s="136">
        <f t="shared" ca="1" si="53"/>
        <v>2.8210180623973727E-5</v>
      </c>
      <c r="AL250" s="136">
        <f t="shared" ca="1" si="54"/>
        <v>3.8861740558292281E-6</v>
      </c>
      <c r="AN250" s="74">
        <v>609</v>
      </c>
      <c r="AO250" s="136">
        <f t="shared" ca="1" si="55"/>
        <v>3.534156706041853E-6</v>
      </c>
      <c r="AP250" s="136">
        <f t="shared" ca="1" si="56"/>
        <v>0.17328760898602577</v>
      </c>
      <c r="AQ250" s="136">
        <f t="shared" ca="1" si="57"/>
        <v>0.63634503381513585</v>
      </c>
      <c r="AR250" s="136">
        <f t="shared" ca="1" si="58"/>
        <v>1.4260713174004772E-2</v>
      </c>
      <c r="AS250" s="136">
        <f t="shared" ca="1" si="59"/>
        <v>1.9002382137664859E-3</v>
      </c>
    </row>
    <row r="251" spans="9:45" ht="15" hidden="1" customHeight="1" x14ac:dyDescent="0.2">
      <c r="I251" s="74">
        <v>610</v>
      </c>
      <c r="J251" s="137">
        <v>0.503</v>
      </c>
      <c r="L251" s="74">
        <v>610</v>
      </c>
      <c r="M251" s="137">
        <v>4.4390600000000002E-6</v>
      </c>
      <c r="N251" s="137">
        <v>0.18510399999999999</v>
      </c>
      <c r="O251" s="137">
        <v>0.668991</v>
      </c>
      <c r="P251" s="138">
        <v>1.593E-2</v>
      </c>
      <c r="Q251" s="137">
        <v>2.1769799999999998E-3</v>
      </c>
      <c r="S251" s="74">
        <v>610</v>
      </c>
      <c r="T251" s="137">
        <v>2.6918384979669067E-6</v>
      </c>
      <c r="U251" s="137">
        <v>0.27005237433089258</v>
      </c>
      <c r="V251" s="137">
        <v>0.70612404437947207</v>
      </c>
      <c r="W251" s="138">
        <v>1.8147132073416779E-2</v>
      </c>
      <c r="X251" s="137">
        <v>2.1769777985360182E-3</v>
      </c>
      <c r="Z251" s="74">
        <v>610</v>
      </c>
      <c r="AA251" s="137">
        <f t="shared" ca="1" si="45"/>
        <v>4.4390600000000002E-6</v>
      </c>
      <c r="AB251" s="137">
        <f t="shared" ca="1" si="46"/>
        <v>0.18510399999999999</v>
      </c>
      <c r="AC251" s="137">
        <f t="shared" ca="1" si="47"/>
        <v>0.668991</v>
      </c>
      <c r="AD251" s="137">
        <f t="shared" ca="1" si="48"/>
        <v>1.593E-2</v>
      </c>
      <c r="AE251" s="137">
        <f t="shared" ca="1" si="49"/>
        <v>2.1769799999999998E-3</v>
      </c>
      <c r="AG251" s="74">
        <v>610</v>
      </c>
      <c r="AH251" s="136">
        <f t="shared" ca="1" si="50"/>
        <v>7.2771475409836067E-9</v>
      </c>
      <c r="AI251" s="136">
        <f t="shared" ca="1" si="51"/>
        <v>3.0344918032786886E-4</v>
      </c>
      <c r="AJ251" s="136">
        <f t="shared" ca="1" si="52"/>
        <v>1.0967065573770493E-3</v>
      </c>
      <c r="AK251" s="136">
        <f t="shared" ca="1" si="53"/>
        <v>2.6114754098360654E-5</v>
      </c>
      <c r="AL251" s="136">
        <f t="shared" ca="1" si="54"/>
        <v>3.5688196721311472E-6</v>
      </c>
      <c r="AN251" s="74">
        <v>610</v>
      </c>
      <c r="AO251" s="136">
        <f t="shared" ca="1" si="55"/>
        <v>3.256017239403979E-6</v>
      </c>
      <c r="AP251" s="136">
        <f t="shared" ca="1" si="56"/>
        <v>0.16403791390701578</v>
      </c>
      <c r="AQ251" s="136">
        <f t="shared" ca="1" si="57"/>
        <v>0.62151680719256164</v>
      </c>
      <c r="AR251" s="136">
        <f t="shared" ca="1" si="58"/>
        <v>1.3201440386733971E-2</v>
      </c>
      <c r="AS251" s="136">
        <f t="shared" ca="1" si="59"/>
        <v>1.7450601598383978E-3</v>
      </c>
    </row>
    <row r="252" spans="9:45" ht="15" hidden="1" customHeight="1" x14ac:dyDescent="0.2">
      <c r="I252" s="74">
        <v>611</v>
      </c>
      <c r="J252" s="137">
        <v>0.49046879999999998</v>
      </c>
      <c r="L252" s="74">
        <v>611</v>
      </c>
      <c r="M252" s="137">
        <v>4.0984999999999998E-6</v>
      </c>
      <c r="N252" s="137">
        <v>0.175398</v>
      </c>
      <c r="O252" s="137">
        <v>0.65403699999999998</v>
      </c>
      <c r="P252" s="138">
        <v>1.477E-2</v>
      </c>
      <c r="Q252" s="137">
        <v>2.0031699999999999E-3</v>
      </c>
      <c r="S252" s="74">
        <v>611</v>
      </c>
      <c r="T252" s="137">
        <v>2.4965369602609192E-6</v>
      </c>
      <c r="U252" s="137">
        <v>0.25764991291101697</v>
      </c>
      <c r="V252" s="137">
        <v>0.69201100330332177</v>
      </c>
      <c r="W252" s="138">
        <v>1.674171713907114E-2</v>
      </c>
      <c r="X252" s="137">
        <v>2.0017737966135422E-3</v>
      </c>
      <c r="Z252" s="74">
        <v>611</v>
      </c>
      <c r="AA252" s="137">
        <f t="shared" ca="1" si="45"/>
        <v>4.0984999999999998E-6</v>
      </c>
      <c r="AB252" s="137">
        <f t="shared" ca="1" si="46"/>
        <v>0.175398</v>
      </c>
      <c r="AC252" s="137">
        <f t="shared" ca="1" si="47"/>
        <v>0.65403699999999998</v>
      </c>
      <c r="AD252" s="137">
        <f t="shared" ca="1" si="48"/>
        <v>1.477E-2</v>
      </c>
      <c r="AE252" s="137">
        <f t="shared" ca="1" si="49"/>
        <v>2.0031699999999999E-3</v>
      </c>
      <c r="AG252" s="74">
        <v>611</v>
      </c>
      <c r="AH252" s="136">
        <f t="shared" ca="1" si="50"/>
        <v>6.7078559738134206E-9</v>
      </c>
      <c r="AI252" s="136">
        <f t="shared" ca="1" si="51"/>
        <v>2.8706710310965629E-4</v>
      </c>
      <c r="AJ252" s="136">
        <f t="shared" ca="1" si="52"/>
        <v>1.0704369885433714E-3</v>
      </c>
      <c r="AK252" s="136">
        <f t="shared" ca="1" si="53"/>
        <v>2.4173486088379706E-5</v>
      </c>
      <c r="AL252" s="136">
        <f t="shared" ca="1" si="54"/>
        <v>3.2785106382978721E-6</v>
      </c>
      <c r="AN252" s="74">
        <v>611</v>
      </c>
      <c r="AO252" s="136">
        <f t="shared" ca="1" si="55"/>
        <v>3.0012988698073541E-6</v>
      </c>
      <c r="AP252" s="136">
        <f t="shared" ca="1" si="56"/>
        <v>0.15518212537123624</v>
      </c>
      <c r="AQ252" s="136">
        <f t="shared" ca="1" si="57"/>
        <v>0.60662952632603584</v>
      </c>
      <c r="AR252" s="136">
        <f t="shared" ca="1" si="58"/>
        <v>1.2220097280384526E-2</v>
      </c>
      <c r="AS252" s="136">
        <f t="shared" ca="1" si="59"/>
        <v>1.6031065797963158E-3</v>
      </c>
    </row>
    <row r="253" spans="9:45" ht="15" hidden="1" customHeight="1" x14ac:dyDescent="0.2">
      <c r="I253" s="74">
        <v>612</v>
      </c>
      <c r="J253" s="137">
        <v>0.47803040000000002</v>
      </c>
      <c r="L253" s="74">
        <v>612</v>
      </c>
      <c r="M253" s="137">
        <v>3.78599E-6</v>
      </c>
      <c r="N253" s="137">
        <v>0.16609099999999999</v>
      </c>
      <c r="O253" s="137">
        <v>0.63897899999999996</v>
      </c>
      <c r="P253" s="138">
        <v>1.3690000000000001E-2</v>
      </c>
      <c r="Q253" s="137">
        <v>1.8419E-3</v>
      </c>
      <c r="S253" s="74">
        <v>612</v>
      </c>
      <c r="T253" s="137">
        <v>2.3159917072355108E-6</v>
      </c>
      <c r="U253" s="137">
        <v>0.24558000281099471</v>
      </c>
      <c r="V253" s="137">
        <v>0.67774605759976425</v>
      </c>
      <c r="W253" s="138">
        <v>1.544247830949032E-2</v>
      </c>
      <c r="X253" s="137">
        <v>1.8409245950234674E-3</v>
      </c>
      <c r="Z253" s="74">
        <v>612</v>
      </c>
      <c r="AA253" s="137">
        <f t="shared" ca="1" si="45"/>
        <v>3.78599E-6</v>
      </c>
      <c r="AB253" s="137">
        <f t="shared" ca="1" si="46"/>
        <v>0.16609099999999999</v>
      </c>
      <c r="AC253" s="137">
        <f t="shared" ca="1" si="47"/>
        <v>0.63897899999999996</v>
      </c>
      <c r="AD253" s="137">
        <f t="shared" ca="1" si="48"/>
        <v>1.3690000000000001E-2</v>
      </c>
      <c r="AE253" s="137">
        <f t="shared" ca="1" si="49"/>
        <v>1.8419E-3</v>
      </c>
      <c r="AG253" s="74">
        <v>612</v>
      </c>
      <c r="AH253" s="136">
        <f t="shared" ca="1" si="50"/>
        <v>6.1862581699346403E-9</v>
      </c>
      <c r="AI253" s="136">
        <f t="shared" ca="1" si="51"/>
        <v>2.7139052287581696E-4</v>
      </c>
      <c r="AJ253" s="136">
        <f t="shared" ca="1" si="52"/>
        <v>1.0440833333333333E-3</v>
      </c>
      <c r="AK253" s="136">
        <f t="shared" ca="1" si="53"/>
        <v>2.2369281045751635E-5</v>
      </c>
      <c r="AL253" s="136">
        <f t="shared" ca="1" si="54"/>
        <v>3.009640522875817E-6</v>
      </c>
      <c r="AN253" s="74">
        <v>612</v>
      </c>
      <c r="AO253" s="136">
        <f t="shared" ca="1" si="55"/>
        <v>2.7679201411365577E-6</v>
      </c>
      <c r="AP253" s="136">
        <f t="shared" ca="1" si="56"/>
        <v>0.14670771289802914</v>
      </c>
      <c r="AQ253" s="136">
        <f t="shared" ca="1" si="57"/>
        <v>0.59169459269787361</v>
      </c>
      <c r="AR253" s="136">
        <f t="shared" ca="1" si="58"/>
        <v>1.1308041772375951E-2</v>
      </c>
      <c r="AS253" s="136">
        <f t="shared" ca="1" si="59"/>
        <v>1.4716360742232514E-3</v>
      </c>
    </row>
    <row r="254" spans="9:45" ht="15" hidden="1" customHeight="1" x14ac:dyDescent="0.2">
      <c r="I254" s="74">
        <v>613</v>
      </c>
      <c r="J254" s="137">
        <v>0.46567760000000002</v>
      </c>
      <c r="L254" s="74">
        <v>613</v>
      </c>
      <c r="M254" s="137">
        <v>3.4991099999999999E-6</v>
      </c>
      <c r="N254" s="137">
        <v>0.157169</v>
      </c>
      <c r="O254" s="137">
        <v>0.62382499999999996</v>
      </c>
      <c r="P254" s="138">
        <v>1.269E-2</v>
      </c>
      <c r="Q254" s="137">
        <v>1.6931699999999999E-3</v>
      </c>
      <c r="S254" s="74">
        <v>613</v>
      </c>
      <c r="T254" s="137">
        <v>2.1490474271192185E-6</v>
      </c>
      <c r="U254" s="137">
        <v>0.23385087540515884</v>
      </c>
      <c r="V254" s="137">
        <v>0.66334429744137724</v>
      </c>
      <c r="W254" s="138">
        <v>1.4241902228934695E-2</v>
      </c>
      <c r="X254" s="137">
        <v>1.6932457725640465E-3</v>
      </c>
      <c r="Z254" s="74">
        <v>613</v>
      </c>
      <c r="AA254" s="137">
        <f t="shared" ca="1" si="45"/>
        <v>3.4991099999999999E-6</v>
      </c>
      <c r="AB254" s="137">
        <f t="shared" ca="1" si="46"/>
        <v>0.157169</v>
      </c>
      <c r="AC254" s="137">
        <f t="shared" ca="1" si="47"/>
        <v>0.62382499999999996</v>
      </c>
      <c r="AD254" s="137">
        <f t="shared" ca="1" si="48"/>
        <v>1.269E-2</v>
      </c>
      <c r="AE254" s="137">
        <f t="shared" ca="1" si="49"/>
        <v>1.6931699999999999E-3</v>
      </c>
      <c r="AG254" s="74">
        <v>613</v>
      </c>
      <c r="AH254" s="136">
        <f t="shared" ca="1" si="50"/>
        <v>5.7081729200652529E-9</v>
      </c>
      <c r="AI254" s="136">
        <f t="shared" ca="1" si="51"/>
        <v>2.5639314845024471E-4</v>
      </c>
      <c r="AJ254" s="136">
        <f t="shared" ca="1" si="52"/>
        <v>1.0176590538336051E-3</v>
      </c>
      <c r="AK254" s="136">
        <f t="shared" ca="1" si="53"/>
        <v>2.070146818923328E-5</v>
      </c>
      <c r="AL254" s="136">
        <f t="shared" ca="1" si="54"/>
        <v>2.7621044045676998E-6</v>
      </c>
      <c r="AN254" s="74">
        <v>613</v>
      </c>
      <c r="AO254" s="136">
        <f t="shared" ca="1" si="55"/>
        <v>2.554010253132682E-6</v>
      </c>
      <c r="AP254" s="136">
        <f t="shared" ca="1" si="56"/>
        <v>0.13860046405921145</v>
      </c>
      <c r="AQ254" s="136">
        <f t="shared" ca="1" si="57"/>
        <v>0.57671963543463489</v>
      </c>
      <c r="AR254" s="136">
        <f t="shared" ca="1" si="58"/>
        <v>1.0464934771688639E-2</v>
      </c>
      <c r="AS254" s="136">
        <f t="shared" ca="1" si="59"/>
        <v>1.3505973393289808E-3</v>
      </c>
    </row>
    <row r="255" spans="9:45" ht="15" hidden="1" customHeight="1" x14ac:dyDescent="0.2">
      <c r="I255" s="74">
        <v>614</v>
      </c>
      <c r="J255" s="137">
        <v>0.45340320000000001</v>
      </c>
      <c r="L255" s="74">
        <v>614</v>
      </c>
      <c r="M255" s="137">
        <v>3.23563E-6</v>
      </c>
      <c r="N255" s="137">
        <v>0.14862</v>
      </c>
      <c r="O255" s="137">
        <v>0.60857899999999998</v>
      </c>
      <c r="P255" s="138">
        <v>1.175E-2</v>
      </c>
      <c r="Q255" s="137">
        <v>1.55692E-3</v>
      </c>
      <c r="S255" s="74">
        <v>614</v>
      </c>
      <c r="T255" s="137">
        <v>1.9946284076340721E-6</v>
      </c>
      <c r="U255" s="137">
        <v>0.22246771800828447</v>
      </c>
      <c r="V255" s="137">
        <v>0.6488226463827742</v>
      </c>
      <c r="W255" s="138">
        <v>1.3132971445646201E-2</v>
      </c>
      <c r="X255" s="137">
        <v>1.5576540190620084E-3</v>
      </c>
      <c r="Z255" s="74">
        <v>614</v>
      </c>
      <c r="AA255" s="137">
        <f t="shared" ca="1" si="45"/>
        <v>3.23563E-6</v>
      </c>
      <c r="AB255" s="137">
        <f t="shared" ca="1" si="46"/>
        <v>0.14862</v>
      </c>
      <c r="AC255" s="137">
        <f t="shared" ca="1" si="47"/>
        <v>0.60857899999999998</v>
      </c>
      <c r="AD255" s="137">
        <f t="shared" ca="1" si="48"/>
        <v>1.175E-2</v>
      </c>
      <c r="AE255" s="137">
        <f t="shared" ca="1" si="49"/>
        <v>1.55692E-3</v>
      </c>
      <c r="AG255" s="74">
        <v>614</v>
      </c>
      <c r="AH255" s="136">
        <f t="shared" ca="1" si="50"/>
        <v>5.2697557003257331E-9</v>
      </c>
      <c r="AI255" s="136">
        <f t="shared" ca="1" si="51"/>
        <v>2.4205211726384366E-4</v>
      </c>
      <c r="AJ255" s="136">
        <f t="shared" ca="1" si="52"/>
        <v>9.9117100977198693E-4</v>
      </c>
      <c r="AK255" s="136">
        <f t="shared" ca="1" si="53"/>
        <v>1.9136807817589576E-5</v>
      </c>
      <c r="AL255" s="136">
        <f t="shared" ca="1" si="54"/>
        <v>2.535700325732899E-6</v>
      </c>
      <c r="AN255" s="74">
        <v>614</v>
      </c>
      <c r="AO255" s="136">
        <f t="shared" ca="1" si="55"/>
        <v>2.3578490488305778E-6</v>
      </c>
      <c r="AP255" s="136">
        <f t="shared" ca="1" si="56"/>
        <v>0.13084801985570133</v>
      </c>
      <c r="AQ255" s="136">
        <f t="shared" ca="1" si="57"/>
        <v>0.56170854202663512</v>
      </c>
      <c r="AR255" s="136">
        <f t="shared" ca="1" si="58"/>
        <v>9.6739730592428751E-3</v>
      </c>
      <c r="AS255" s="136">
        <f t="shared" ca="1" si="59"/>
        <v>1.2398916230708117E-3</v>
      </c>
    </row>
    <row r="256" spans="9:45" ht="15" hidden="1" customHeight="1" x14ac:dyDescent="0.2">
      <c r="I256" s="74">
        <v>615</v>
      </c>
      <c r="J256" s="137">
        <v>0.44119999999999998</v>
      </c>
      <c r="L256" s="74">
        <v>615</v>
      </c>
      <c r="M256" s="137">
        <v>2.9935400000000001E-6</v>
      </c>
      <c r="N256" s="137">
        <v>0.140431</v>
      </c>
      <c r="O256" s="137">
        <v>0.593248</v>
      </c>
      <c r="P256" s="138">
        <v>1.0880000000000001E-2</v>
      </c>
      <c r="Q256" s="137">
        <v>1.4331400000000001E-3</v>
      </c>
      <c r="S256" s="74">
        <v>615</v>
      </c>
      <c r="T256" s="137">
        <v>1.8517740765226689E-6</v>
      </c>
      <c r="U256" s="137">
        <v>0.21143554523060942</v>
      </c>
      <c r="V256" s="137">
        <v>0.63419819260296695</v>
      </c>
      <c r="W256" s="138">
        <v>1.2109047979592424E-2</v>
      </c>
      <c r="X256" s="137">
        <v>1.433144561650589E-3</v>
      </c>
      <c r="Z256" s="74">
        <v>615</v>
      </c>
      <c r="AA256" s="137">
        <f t="shared" ca="1" si="45"/>
        <v>2.9935400000000001E-6</v>
      </c>
      <c r="AB256" s="137">
        <f t="shared" ca="1" si="46"/>
        <v>0.140431</v>
      </c>
      <c r="AC256" s="137">
        <f t="shared" ca="1" si="47"/>
        <v>0.593248</v>
      </c>
      <c r="AD256" s="137">
        <f t="shared" ca="1" si="48"/>
        <v>1.0880000000000001E-2</v>
      </c>
      <c r="AE256" s="137">
        <f t="shared" ca="1" si="49"/>
        <v>1.4331400000000001E-3</v>
      </c>
      <c r="AG256" s="74">
        <v>615</v>
      </c>
      <c r="AH256" s="136">
        <f t="shared" ca="1" si="50"/>
        <v>4.8675447154471543E-9</v>
      </c>
      <c r="AI256" s="136">
        <f t="shared" ca="1" si="51"/>
        <v>2.2834308943089432E-4</v>
      </c>
      <c r="AJ256" s="136">
        <f t="shared" ca="1" si="52"/>
        <v>9.6463089430894305E-4</v>
      </c>
      <c r="AK256" s="136">
        <f t="shared" ca="1" si="53"/>
        <v>1.7691056910569106E-5</v>
      </c>
      <c r="AL256" s="136">
        <f t="shared" ca="1" si="54"/>
        <v>2.3303089430894309E-6</v>
      </c>
      <c r="AN256" s="74">
        <v>615</v>
      </c>
      <c r="AO256" s="136">
        <f t="shared" ca="1" si="55"/>
        <v>2.177887615691173E-6</v>
      </c>
      <c r="AP256" s="136">
        <f t="shared" ca="1" si="56"/>
        <v>0.12343722268373185</v>
      </c>
      <c r="AQ256" s="136">
        <f t="shared" ca="1" si="57"/>
        <v>0.54666793912866052</v>
      </c>
      <c r="AR256" s="136">
        <f t="shared" ca="1" si="58"/>
        <v>8.9431220490740516E-3</v>
      </c>
      <c r="AS256" s="136">
        <f t="shared" ca="1" si="59"/>
        <v>1.1394605696824496E-3</v>
      </c>
    </row>
    <row r="257" spans="9:45" ht="15" hidden="1" customHeight="1" x14ac:dyDescent="0.2">
      <c r="I257" s="74">
        <v>616</v>
      </c>
      <c r="J257" s="137">
        <v>0.42908000000000002</v>
      </c>
      <c r="L257" s="74">
        <v>616</v>
      </c>
      <c r="M257" s="137"/>
      <c r="N257" s="137">
        <v>0.13259099999999999</v>
      </c>
      <c r="O257" s="137">
        <v>0.57785699999999995</v>
      </c>
      <c r="P257" s="138">
        <v>1.0070000000000001E-2</v>
      </c>
      <c r="Q257" s="137">
        <v>1.3197199999999999E-3</v>
      </c>
      <c r="S257" s="74">
        <v>616</v>
      </c>
      <c r="T257" s="137">
        <v>1.7195705554599006E-6</v>
      </c>
      <c r="U257" s="137">
        <v>0.20075852675589831</v>
      </c>
      <c r="V257" s="137">
        <v>0.61948957171181196</v>
      </c>
      <c r="W257" s="138">
        <v>1.1163953014135891E-2</v>
      </c>
      <c r="X257" s="137">
        <v>1.3188032234947987E-3</v>
      </c>
      <c r="Z257" s="74">
        <v>616</v>
      </c>
      <c r="AA257" s="137">
        <f t="shared" ca="1" si="45"/>
        <v>0</v>
      </c>
      <c r="AB257" s="137">
        <f t="shared" ca="1" si="46"/>
        <v>0.13259099999999999</v>
      </c>
      <c r="AC257" s="137">
        <f t="shared" ca="1" si="47"/>
        <v>0.57785699999999995</v>
      </c>
      <c r="AD257" s="137">
        <f t="shared" ca="1" si="48"/>
        <v>1.0070000000000001E-2</v>
      </c>
      <c r="AE257" s="137">
        <f t="shared" ca="1" si="49"/>
        <v>1.3197199999999999E-3</v>
      </c>
      <c r="AG257" s="74">
        <v>616</v>
      </c>
      <c r="AH257" s="136">
        <f t="shared" ca="1" si="50"/>
        <v>0</v>
      </c>
      <c r="AI257" s="136">
        <f t="shared" ca="1" si="51"/>
        <v>2.1524512987012984E-4</v>
      </c>
      <c r="AJ257" s="136">
        <f t="shared" ca="1" si="52"/>
        <v>9.3807954545454533E-4</v>
      </c>
      <c r="AK257" s="136">
        <f t="shared" ca="1" si="53"/>
        <v>1.6347402597402598E-5</v>
      </c>
      <c r="AL257" s="136">
        <f t="shared" ca="1" si="54"/>
        <v>2.1424025974025973E-6</v>
      </c>
      <c r="AN257" s="74">
        <v>616</v>
      </c>
      <c r="AO257" s="136" t="str">
        <f t="shared" ca="1" si="55"/>
        <v/>
      </c>
      <c r="AP257" s="136">
        <f t="shared" ca="1" si="56"/>
        <v>0.11635675550150122</v>
      </c>
      <c r="AQ257" s="136">
        <f t="shared" ca="1" si="57"/>
        <v>0.53162097013258869</v>
      </c>
      <c r="AR257" s="136">
        <f t="shared" ca="1" si="58"/>
        <v>8.2638825567611929E-3</v>
      </c>
      <c r="AS257" s="136">
        <f t="shared" ca="1" si="59"/>
        <v>1.0475792453892828E-3</v>
      </c>
    </row>
    <row r="258" spans="9:45" ht="15" hidden="1" customHeight="1" x14ac:dyDescent="0.2">
      <c r="I258" s="74">
        <v>617</v>
      </c>
      <c r="J258" s="137">
        <v>0.41703600000000002</v>
      </c>
      <c r="L258" s="74">
        <v>617</v>
      </c>
      <c r="M258" s="137"/>
      <c r="N258" s="137">
        <v>0.12509200000000001</v>
      </c>
      <c r="O258" s="137">
        <v>0.56249300000000002</v>
      </c>
      <c r="P258" s="136">
        <v>9.3200000000000002E-3</v>
      </c>
      <c r="Q258" s="137">
        <v>1.21451E-3</v>
      </c>
      <c r="S258" s="74">
        <v>617</v>
      </c>
      <c r="T258" s="137">
        <v>1.597202568785756E-6</v>
      </c>
      <c r="U258" s="137">
        <v>0.19043992422538666</v>
      </c>
      <c r="V258" s="137">
        <v>0.60471118280129266</v>
      </c>
      <c r="W258" s="136">
        <v>1.0291863083618985E-2</v>
      </c>
      <c r="X258" s="137">
        <v>1.2137884483934143E-3</v>
      </c>
      <c r="Z258" s="74">
        <v>617</v>
      </c>
      <c r="AA258" s="137">
        <f t="shared" ca="1" si="45"/>
        <v>0</v>
      </c>
      <c r="AB258" s="137">
        <f t="shared" ca="1" si="46"/>
        <v>0.12509200000000001</v>
      </c>
      <c r="AC258" s="137">
        <f t="shared" ca="1" si="47"/>
        <v>0.56249300000000002</v>
      </c>
      <c r="AD258" s="137">
        <f t="shared" ca="1" si="48"/>
        <v>9.3200000000000002E-3</v>
      </c>
      <c r="AE258" s="137">
        <f t="shared" ca="1" si="49"/>
        <v>1.21451E-3</v>
      </c>
      <c r="AG258" s="74">
        <v>617</v>
      </c>
      <c r="AH258" s="136">
        <f t="shared" ca="1" si="50"/>
        <v>0</v>
      </c>
      <c r="AI258" s="136">
        <f t="shared" ca="1" si="51"/>
        <v>2.0274230145867099E-4</v>
      </c>
      <c r="AJ258" s="136">
        <f t="shared" ca="1" si="52"/>
        <v>9.1165802269043761E-4</v>
      </c>
      <c r="AK258" s="136">
        <f t="shared" ca="1" si="53"/>
        <v>1.5105348460291734E-5</v>
      </c>
      <c r="AL258" s="136">
        <f t="shared" ca="1" si="54"/>
        <v>1.9684116693679091E-6</v>
      </c>
      <c r="AN258" s="74">
        <v>617</v>
      </c>
      <c r="AO258" s="136" t="str">
        <f t="shared" ca="1" si="55"/>
        <v/>
      </c>
      <c r="AP258" s="136">
        <f t="shared" ca="1" si="56"/>
        <v>0.10959800305294594</v>
      </c>
      <c r="AQ258" s="136">
        <f t="shared" ca="1" si="57"/>
        <v>0.51664757514460913</v>
      </c>
      <c r="AR258" s="136">
        <f t="shared" ca="1" si="58"/>
        <v>7.6360036348917092E-3</v>
      </c>
      <c r="AS258" s="136">
        <f t="shared" ca="1" si="59"/>
        <v>9.6250219903201131E-4</v>
      </c>
    </row>
    <row r="259" spans="9:45" ht="15" hidden="1" customHeight="1" x14ac:dyDescent="0.2">
      <c r="I259" s="74">
        <v>618</v>
      </c>
      <c r="J259" s="137">
        <v>0.405032</v>
      </c>
      <c r="L259" s="74">
        <v>618</v>
      </c>
      <c r="M259" s="137"/>
      <c r="N259" s="137">
        <v>0.11792800000000001</v>
      </c>
      <c r="O259" s="137">
        <v>0.54724799999999996</v>
      </c>
      <c r="P259" s="136">
        <v>8.6199999999999992E-3</v>
      </c>
      <c r="Q259" s="137">
        <v>1.11743E-3</v>
      </c>
      <c r="S259" s="74">
        <v>618</v>
      </c>
      <c r="T259" s="137">
        <v>1.4839046645279627E-6</v>
      </c>
      <c r="U259" s="137">
        <v>0.18048121251293892</v>
      </c>
      <c r="V259" s="137">
        <v>0.58988044608029222</v>
      </c>
      <c r="W259" s="136">
        <v>9.4873516922927541E-3</v>
      </c>
      <c r="X259" s="137">
        <v>1.1173313902911406E-3</v>
      </c>
      <c r="Z259" s="74">
        <v>618</v>
      </c>
      <c r="AA259" s="137">
        <f t="shared" ca="1" si="45"/>
        <v>0</v>
      </c>
      <c r="AB259" s="137">
        <f t="shared" ca="1" si="46"/>
        <v>0.11792800000000001</v>
      </c>
      <c r="AC259" s="137">
        <f t="shared" ca="1" si="47"/>
        <v>0.54724799999999996</v>
      </c>
      <c r="AD259" s="137">
        <f t="shared" ca="1" si="48"/>
        <v>8.6199999999999992E-3</v>
      </c>
      <c r="AE259" s="137">
        <f t="shared" ca="1" si="49"/>
        <v>1.11743E-3</v>
      </c>
      <c r="AG259" s="74">
        <v>618</v>
      </c>
      <c r="AH259" s="136">
        <f t="shared" ca="1" si="50"/>
        <v>0</v>
      </c>
      <c r="AI259" s="136">
        <f t="shared" ca="1" si="51"/>
        <v>1.9082200647249192E-4</v>
      </c>
      <c r="AJ259" s="136">
        <f t="shared" ca="1" si="52"/>
        <v>8.8551456310679601E-4</v>
      </c>
      <c r="AK259" s="136">
        <f t="shared" ca="1" si="53"/>
        <v>1.3948220064724918E-5</v>
      </c>
      <c r="AL259" s="136">
        <f t="shared" ca="1" si="54"/>
        <v>1.8081391585760517E-6</v>
      </c>
      <c r="AN259" s="74">
        <v>618</v>
      </c>
      <c r="AO259" s="136" t="str">
        <f t="shared" ca="1" si="55"/>
        <v/>
      </c>
      <c r="AP259" s="136">
        <f t="shared" ca="1" si="56"/>
        <v>0.10315415528714759</v>
      </c>
      <c r="AQ259" s="136">
        <f t="shared" ca="1" si="57"/>
        <v>0.501831761908064</v>
      </c>
      <c r="AR259" s="136">
        <f t="shared" ca="1" si="58"/>
        <v>7.0510560808639501E-3</v>
      </c>
      <c r="AS259" s="136">
        <f t="shared" ca="1" si="59"/>
        <v>8.8413310252534363E-4</v>
      </c>
    </row>
    <row r="260" spans="9:45" ht="15" hidden="1" customHeight="1" x14ac:dyDescent="0.2">
      <c r="I260" s="74">
        <v>619</v>
      </c>
      <c r="J260" s="137">
        <v>0.39303199999999999</v>
      </c>
      <c r="L260" s="74">
        <v>619</v>
      </c>
      <c r="M260" s="137"/>
      <c r="N260" s="137">
        <v>0.111091</v>
      </c>
      <c r="O260" s="137">
        <v>0.53220900000000004</v>
      </c>
      <c r="P260" s="136">
        <v>7.9699999999999997E-3</v>
      </c>
      <c r="Q260" s="137">
        <v>1.0283899999999999E-3</v>
      </c>
      <c r="S260" s="74">
        <v>619</v>
      </c>
      <c r="T260" s="137">
        <v>1.3789801033756589E-6</v>
      </c>
      <c r="U260" s="137">
        <v>0.17088384209904245</v>
      </c>
      <c r="V260" s="137">
        <v>0.57501476966922105</v>
      </c>
      <c r="W260" s="136">
        <v>8.7453863436071175E-3</v>
      </c>
      <c r="X260" s="137">
        <v>1.0287219345031886E-3</v>
      </c>
      <c r="Z260" s="74">
        <v>619</v>
      </c>
      <c r="AA260" s="137">
        <f t="shared" ca="1" si="45"/>
        <v>0</v>
      </c>
      <c r="AB260" s="137">
        <f t="shared" ca="1" si="46"/>
        <v>0.111091</v>
      </c>
      <c r="AC260" s="137">
        <f t="shared" ca="1" si="47"/>
        <v>0.53220900000000004</v>
      </c>
      <c r="AD260" s="137">
        <f t="shared" ca="1" si="48"/>
        <v>7.9699999999999997E-3</v>
      </c>
      <c r="AE260" s="137">
        <f t="shared" ca="1" si="49"/>
        <v>1.0283899999999999E-3</v>
      </c>
      <c r="AG260" s="74">
        <v>619</v>
      </c>
      <c r="AH260" s="136">
        <f t="shared" ca="1" si="50"/>
        <v>0</v>
      </c>
      <c r="AI260" s="136">
        <f t="shared" ca="1" si="51"/>
        <v>1.7946849757673666E-4</v>
      </c>
      <c r="AJ260" s="136">
        <f t="shared" ca="1" si="52"/>
        <v>8.5978836833602596E-4</v>
      </c>
      <c r="AK260" s="136">
        <f t="shared" ca="1" si="53"/>
        <v>1.2875605815831987E-5</v>
      </c>
      <c r="AL260" s="136">
        <f t="shared" ca="1" si="54"/>
        <v>1.6613731825525039E-6</v>
      </c>
      <c r="AN260" s="74">
        <v>619</v>
      </c>
      <c r="AO260" s="136" t="str">
        <f t="shared" ca="1" si="55"/>
        <v/>
      </c>
      <c r="AP260" s="136">
        <f t="shared" ca="1" si="56"/>
        <v>9.7016699543249527E-2</v>
      </c>
      <c r="AQ260" s="136">
        <f t="shared" ca="1" si="57"/>
        <v>0.48725241766361649</v>
      </c>
      <c r="AR260" s="136">
        <f t="shared" ca="1" si="58"/>
        <v>6.5088318266592988E-3</v>
      </c>
      <c r="AS260" s="136">
        <f t="shared" ca="1" si="59"/>
        <v>8.1236835084049614E-4</v>
      </c>
    </row>
    <row r="261" spans="9:45" ht="15" hidden="1" customHeight="1" x14ac:dyDescent="0.2">
      <c r="I261" s="74">
        <v>620</v>
      </c>
      <c r="J261" s="137">
        <v>0.38100000000000001</v>
      </c>
      <c r="L261" s="74">
        <v>620</v>
      </c>
      <c r="M261" s="137"/>
      <c r="N261" s="137">
        <v>0.104573</v>
      </c>
      <c r="O261" s="137">
        <v>0.51744900000000005</v>
      </c>
      <c r="P261" s="136">
        <v>7.3699999999999998E-3</v>
      </c>
      <c r="Q261" s="137">
        <v>9.4731299999999997E-4</v>
      </c>
      <c r="S261" s="74">
        <v>620</v>
      </c>
      <c r="T261" s="137">
        <v>1.2817874054773786E-6</v>
      </c>
      <c r="U261" s="137">
        <v>0.1616471306558854</v>
      </c>
      <c r="V261" s="137">
        <v>0.56013150427552616</v>
      </c>
      <c r="W261" s="136">
        <v>8.0612613236670412E-3</v>
      </c>
      <c r="X261" s="137">
        <v>9.4731409678593711E-4</v>
      </c>
      <c r="Z261" s="74">
        <v>620</v>
      </c>
      <c r="AA261" s="137">
        <f t="shared" ca="1" si="45"/>
        <v>0</v>
      </c>
      <c r="AB261" s="137">
        <f t="shared" ca="1" si="46"/>
        <v>0.104573</v>
      </c>
      <c r="AC261" s="137">
        <f t="shared" ca="1" si="47"/>
        <v>0.51744900000000005</v>
      </c>
      <c r="AD261" s="137">
        <f t="shared" ca="1" si="48"/>
        <v>7.3699999999999998E-3</v>
      </c>
      <c r="AE261" s="137">
        <f t="shared" ca="1" si="49"/>
        <v>9.4731299999999997E-4</v>
      </c>
      <c r="AG261" s="74">
        <v>620</v>
      </c>
      <c r="AH261" s="136">
        <f t="shared" ca="1" si="50"/>
        <v>0</v>
      </c>
      <c r="AI261" s="136">
        <f t="shared" ca="1" si="51"/>
        <v>1.6866612903225806E-4</v>
      </c>
      <c r="AJ261" s="136">
        <f t="shared" ca="1" si="52"/>
        <v>8.3459516129032261E-4</v>
      </c>
      <c r="AK261" s="136">
        <f t="shared" ca="1" si="53"/>
        <v>1.1887096774193547E-5</v>
      </c>
      <c r="AL261" s="136">
        <f t="shared" ca="1" si="54"/>
        <v>1.5279241935483871E-6</v>
      </c>
      <c r="AN261" s="74">
        <v>620</v>
      </c>
      <c r="AO261" s="136" t="str">
        <f t="shared" ca="1" si="55"/>
        <v/>
      </c>
      <c r="AP261" s="136">
        <f t="shared" ca="1" si="56"/>
        <v>9.1177178080787721E-2</v>
      </c>
      <c r="AQ261" s="136">
        <f t="shared" ca="1" si="57"/>
        <v>0.47297512397857155</v>
      </c>
      <c r="AR261" s="136">
        <f t="shared" ca="1" si="58"/>
        <v>6.0091241466334478E-3</v>
      </c>
      <c r="AS261" s="136">
        <f t="shared" ca="1" si="59"/>
        <v>7.471152600496317E-4</v>
      </c>
    </row>
    <row r="262" spans="9:45" ht="15" hidden="1" customHeight="1" x14ac:dyDescent="0.2">
      <c r="I262" s="74">
        <v>621</v>
      </c>
      <c r="J262" s="137">
        <v>0.36891839999999998</v>
      </c>
      <c r="L262" s="74">
        <v>621</v>
      </c>
      <c r="M262" s="137"/>
      <c r="N262" s="137">
        <v>9.8366300000000004E-2</v>
      </c>
      <c r="O262" s="137">
        <v>0.50299300000000002</v>
      </c>
      <c r="P262" s="136">
        <v>6.8199999999999997E-3</v>
      </c>
      <c r="Q262" s="137">
        <v>8.7281399999999997E-4</v>
      </c>
      <c r="S262" s="74">
        <v>621</v>
      </c>
      <c r="T262" s="137">
        <v>1.1911844077621075E-6</v>
      </c>
      <c r="U262" s="137">
        <v>0.15269963536647815</v>
      </c>
      <c r="V262" s="137">
        <v>0.54499685987987823</v>
      </c>
      <c r="W262" s="136">
        <v>7.4271466636358658E-3</v>
      </c>
      <c r="X262" s="137">
        <v>8.7210745707342132E-4</v>
      </c>
      <c r="Z262" s="74">
        <v>621</v>
      </c>
      <c r="AA262" s="137">
        <f t="shared" ca="1" si="45"/>
        <v>0</v>
      </c>
      <c r="AB262" s="137">
        <f t="shared" ca="1" si="46"/>
        <v>9.8366300000000004E-2</v>
      </c>
      <c r="AC262" s="137">
        <f t="shared" ca="1" si="47"/>
        <v>0.50299300000000002</v>
      </c>
      <c r="AD262" s="137">
        <f t="shared" ca="1" si="48"/>
        <v>6.8199999999999997E-3</v>
      </c>
      <c r="AE262" s="137">
        <f t="shared" ca="1" si="49"/>
        <v>8.7281399999999997E-4</v>
      </c>
      <c r="AG262" s="74">
        <v>621</v>
      </c>
      <c r="AH262" s="136">
        <f t="shared" ca="1" si="50"/>
        <v>0</v>
      </c>
      <c r="AI262" s="136">
        <f t="shared" ca="1" si="51"/>
        <v>1.5839983896940419E-4</v>
      </c>
      <c r="AJ262" s="136">
        <f t="shared" ca="1" si="52"/>
        <v>8.0997262479871174E-4</v>
      </c>
      <c r="AK262" s="136">
        <f t="shared" ca="1" si="53"/>
        <v>1.0982286634460547E-5</v>
      </c>
      <c r="AL262" s="136">
        <f t="shared" ca="1" si="54"/>
        <v>1.4054975845410627E-6</v>
      </c>
      <c r="AN262" s="74">
        <v>621</v>
      </c>
      <c r="AO262" s="136" t="str">
        <f t="shared" ca="1" si="55"/>
        <v/>
      </c>
      <c r="AP262" s="136">
        <f t="shared" ca="1" si="56"/>
        <v>8.5627448786230742E-2</v>
      </c>
      <c r="AQ262" s="136">
        <f t="shared" ca="1" si="57"/>
        <v>0.45902123616572882</v>
      </c>
      <c r="AR262" s="136">
        <f t="shared" ca="1" si="58"/>
        <v>5.5517276467082401E-3</v>
      </c>
      <c r="AS262" s="136">
        <f t="shared" ca="1" si="59"/>
        <v>6.8725182689521381E-4</v>
      </c>
    </row>
    <row r="263" spans="9:45" ht="15" hidden="1" customHeight="1" x14ac:dyDescent="0.2">
      <c r="I263" s="74">
        <v>622</v>
      </c>
      <c r="J263" s="137">
        <v>0.35682720000000001</v>
      </c>
      <c r="L263" s="74">
        <v>622</v>
      </c>
      <c r="M263" s="137"/>
      <c r="N263" s="137">
        <v>9.2468499999999995E-2</v>
      </c>
      <c r="O263" s="137">
        <v>0.48869200000000002</v>
      </c>
      <c r="P263" s="136">
        <v>6.3E-3</v>
      </c>
      <c r="Q263" s="137">
        <v>8.0357599999999996E-4</v>
      </c>
      <c r="S263" s="74">
        <v>622</v>
      </c>
      <c r="T263" s="137">
        <v>1.1072533425586524E-6</v>
      </c>
      <c r="U263" s="137">
        <v>0.14411759297296092</v>
      </c>
      <c r="V263" s="137">
        <v>0.52989033717314959</v>
      </c>
      <c r="W263" s="136">
        <v>6.8429599784370831E-3</v>
      </c>
      <c r="X263" s="137">
        <v>8.0302487783987756E-4</v>
      </c>
      <c r="Z263" s="74">
        <v>622</v>
      </c>
      <c r="AA263" s="137">
        <f t="shared" ca="1" si="45"/>
        <v>0</v>
      </c>
      <c r="AB263" s="137">
        <f t="shared" ca="1" si="46"/>
        <v>9.2468499999999995E-2</v>
      </c>
      <c r="AC263" s="137">
        <f t="shared" ca="1" si="47"/>
        <v>0.48869200000000002</v>
      </c>
      <c r="AD263" s="137">
        <f t="shared" ca="1" si="48"/>
        <v>6.3E-3</v>
      </c>
      <c r="AE263" s="137">
        <f t="shared" ca="1" si="49"/>
        <v>8.0357599999999996E-4</v>
      </c>
      <c r="AG263" s="74">
        <v>622</v>
      </c>
      <c r="AH263" s="136">
        <f t="shared" ca="1" si="50"/>
        <v>0</v>
      </c>
      <c r="AI263" s="136">
        <f t="shared" ca="1" si="51"/>
        <v>1.4866318327974275E-4</v>
      </c>
      <c r="AJ263" s="136">
        <f t="shared" ca="1" si="52"/>
        <v>7.8567845659163987E-4</v>
      </c>
      <c r="AK263" s="136">
        <f t="shared" ca="1" si="53"/>
        <v>1.0128617363344051E-5</v>
      </c>
      <c r="AL263" s="136">
        <f t="shared" ca="1" si="54"/>
        <v>1.2919228295819936E-6</v>
      </c>
      <c r="AN263" s="74">
        <v>622</v>
      </c>
      <c r="AO263" s="136" t="str">
        <f t="shared" ca="1" si="55"/>
        <v/>
      </c>
      <c r="AP263" s="136">
        <f t="shared" ca="1" si="56"/>
        <v>8.0364028117118291E-2</v>
      </c>
      <c r="AQ263" s="136">
        <f t="shared" ca="1" si="57"/>
        <v>0.44525343861232436</v>
      </c>
      <c r="AR263" s="136">
        <f t="shared" ca="1" si="58"/>
        <v>5.1201837022320975E-3</v>
      </c>
      <c r="AS263" s="136">
        <f t="shared" ca="1" si="59"/>
        <v>6.3171672054333512E-4</v>
      </c>
    </row>
    <row r="264" spans="9:45" ht="15" hidden="1" customHeight="1" x14ac:dyDescent="0.2">
      <c r="I264" s="74">
        <v>623</v>
      </c>
      <c r="J264" s="137">
        <v>0.34477679999999999</v>
      </c>
      <c r="L264" s="74">
        <v>623</v>
      </c>
      <c r="M264" s="137"/>
      <c r="N264" s="137">
        <v>8.6875900000000006E-2</v>
      </c>
      <c r="O264" s="137">
        <v>0.47437600000000002</v>
      </c>
      <c r="P264" s="136">
        <v>5.8199999999999997E-3</v>
      </c>
      <c r="Q264" s="137">
        <v>7.3961999999999997E-4</v>
      </c>
      <c r="S264" s="74">
        <v>623</v>
      </c>
      <c r="T264" s="137">
        <v>1.0294802041589373E-6</v>
      </c>
      <c r="U264" s="137">
        <v>0.13589704081905851</v>
      </c>
      <c r="V264" s="137">
        <v>0.51482899708186047</v>
      </c>
      <c r="W264" s="136">
        <v>6.3048244690552448E-3</v>
      </c>
      <c r="X264" s="137">
        <v>7.3955759248108867E-4</v>
      </c>
      <c r="Z264" s="74">
        <v>623</v>
      </c>
      <c r="AA264" s="137">
        <f t="shared" ca="1" si="45"/>
        <v>0</v>
      </c>
      <c r="AB264" s="137">
        <f t="shared" ca="1" si="46"/>
        <v>8.6875900000000006E-2</v>
      </c>
      <c r="AC264" s="137">
        <f t="shared" ca="1" si="47"/>
        <v>0.47437600000000002</v>
      </c>
      <c r="AD264" s="137">
        <f t="shared" ca="1" si="48"/>
        <v>5.8199999999999997E-3</v>
      </c>
      <c r="AE264" s="137">
        <f t="shared" ca="1" si="49"/>
        <v>7.3961999999999997E-4</v>
      </c>
      <c r="AG264" s="74">
        <v>623</v>
      </c>
      <c r="AH264" s="136">
        <f t="shared" ca="1" si="50"/>
        <v>0</v>
      </c>
      <c r="AI264" s="136">
        <f t="shared" ca="1" si="51"/>
        <v>1.3944767255216693E-4</v>
      </c>
      <c r="AJ264" s="136">
        <f t="shared" ca="1" si="52"/>
        <v>7.6143820224719102E-4</v>
      </c>
      <c r="AK264" s="136">
        <f t="shared" ca="1" si="53"/>
        <v>9.3418940609951844E-6</v>
      </c>
      <c r="AL264" s="136">
        <f t="shared" ca="1" si="54"/>
        <v>1.1871910112359549E-6</v>
      </c>
      <c r="AN264" s="74">
        <v>623</v>
      </c>
      <c r="AO264" s="136" t="str">
        <f t="shared" ca="1" si="55"/>
        <v/>
      </c>
      <c r="AP264" s="136">
        <f t="shared" ca="1" si="56"/>
        <v>7.5382326885610862E-2</v>
      </c>
      <c r="AQ264" s="136">
        <f t="shared" ca="1" si="57"/>
        <v>0.43151619469383301</v>
      </c>
      <c r="AR264" s="136">
        <f t="shared" ca="1" si="58"/>
        <v>4.7224820529002736E-3</v>
      </c>
      <c r="AS264" s="136">
        <f t="shared" ca="1" si="59"/>
        <v>5.8050558059970052E-4</v>
      </c>
    </row>
    <row r="265" spans="9:45" ht="15" hidden="1" customHeight="1" x14ac:dyDescent="0.2">
      <c r="I265" s="74">
        <v>624</v>
      </c>
      <c r="J265" s="137">
        <v>0.33281759999999999</v>
      </c>
      <c r="L265" s="74">
        <v>624</v>
      </c>
      <c r="M265" s="137"/>
      <c r="N265" s="137">
        <v>8.15834E-2</v>
      </c>
      <c r="O265" s="137">
        <v>0.45989600000000003</v>
      </c>
      <c r="P265" s="136">
        <v>5.3800000000000002E-3</v>
      </c>
      <c r="Q265" s="137">
        <v>6.8097000000000003E-4</v>
      </c>
      <c r="S265" s="74">
        <v>624</v>
      </c>
      <c r="T265" s="137">
        <v>9.5740127167273791E-7</v>
      </c>
      <c r="U265" s="137">
        <v>0.12803420229787796</v>
      </c>
      <c r="V265" s="137">
        <v>0.49982848184375323</v>
      </c>
      <c r="W265" s="136">
        <v>5.8091822272540051E-3</v>
      </c>
      <c r="X265" s="137">
        <v>6.8124134858028288E-4</v>
      </c>
      <c r="Z265" s="74">
        <v>624</v>
      </c>
      <c r="AA265" s="137">
        <f t="shared" ca="1" si="45"/>
        <v>0</v>
      </c>
      <c r="AB265" s="137">
        <f t="shared" ca="1" si="46"/>
        <v>8.15834E-2</v>
      </c>
      <c r="AC265" s="137">
        <f t="shared" ca="1" si="47"/>
        <v>0.45989600000000003</v>
      </c>
      <c r="AD265" s="137">
        <f t="shared" ca="1" si="48"/>
        <v>5.3800000000000002E-3</v>
      </c>
      <c r="AE265" s="137">
        <f t="shared" ca="1" si="49"/>
        <v>6.8097000000000003E-4</v>
      </c>
      <c r="AG265" s="74">
        <v>624</v>
      </c>
      <c r="AH265" s="136">
        <f t="shared" ca="1" si="50"/>
        <v>0</v>
      </c>
      <c r="AI265" s="136">
        <f t="shared" ca="1" si="51"/>
        <v>1.3074262820512821E-4</v>
      </c>
      <c r="AJ265" s="136">
        <f t="shared" ca="1" si="52"/>
        <v>7.3701282051282055E-4</v>
      </c>
      <c r="AK265" s="136">
        <f t="shared" ca="1" si="53"/>
        <v>8.6217948717948726E-6</v>
      </c>
      <c r="AL265" s="136">
        <f t="shared" ca="1" si="54"/>
        <v>1.0912980769230771E-6</v>
      </c>
      <c r="AN265" s="74">
        <v>624</v>
      </c>
      <c r="AO265" s="136" t="str">
        <f t="shared" ca="1" si="55"/>
        <v/>
      </c>
      <c r="AP265" s="136">
        <f t="shared" ca="1" si="56"/>
        <v>7.0676572486757572E-2</v>
      </c>
      <c r="AQ265" s="136">
        <f t="shared" ca="1" si="57"/>
        <v>0.41767403685508286</v>
      </c>
      <c r="AR265" s="136">
        <f t="shared" ca="1" si="58"/>
        <v>4.358459995370728E-3</v>
      </c>
      <c r="AS265" s="136">
        <f t="shared" ca="1" si="59"/>
        <v>5.3361642545797386E-4</v>
      </c>
    </row>
    <row r="266" spans="9:45" ht="15" hidden="1" customHeight="1" x14ac:dyDescent="0.2">
      <c r="I266" s="74">
        <v>625</v>
      </c>
      <c r="J266" s="137">
        <v>0.32100000000000001</v>
      </c>
      <c r="L266" s="74">
        <v>625</v>
      </c>
      <c r="M266" s="137"/>
      <c r="N266" s="137">
        <v>7.6584100000000002E-2</v>
      </c>
      <c r="O266" s="137">
        <v>0.44512499999999999</v>
      </c>
      <c r="P266" s="136">
        <v>4.9699999999999996E-3</v>
      </c>
      <c r="Q266" s="137">
        <v>6.2764799999999996E-4</v>
      </c>
      <c r="S266" s="74">
        <v>625</v>
      </c>
      <c r="T266" s="137">
        <v>8.9057807684551017E-7</v>
      </c>
      <c r="U266" s="137">
        <v>0.12052301848711315</v>
      </c>
      <c r="V266" s="137">
        <v>0.48490649361523741</v>
      </c>
      <c r="W266" s="136">
        <v>5.3527381660253412E-3</v>
      </c>
      <c r="X266" s="137">
        <v>6.2764778425298704E-4</v>
      </c>
      <c r="Z266" s="74">
        <v>625</v>
      </c>
      <c r="AA266" s="137">
        <f t="shared" ca="1" si="45"/>
        <v>0</v>
      </c>
      <c r="AB266" s="137">
        <f t="shared" ca="1" si="46"/>
        <v>7.6584100000000002E-2</v>
      </c>
      <c r="AC266" s="137">
        <f t="shared" ca="1" si="47"/>
        <v>0.44512499999999999</v>
      </c>
      <c r="AD266" s="137">
        <f t="shared" ca="1" si="48"/>
        <v>4.9699999999999996E-3</v>
      </c>
      <c r="AE266" s="137">
        <f t="shared" ca="1" si="49"/>
        <v>6.2764799999999996E-4</v>
      </c>
      <c r="AG266" s="74">
        <v>625</v>
      </c>
      <c r="AH266" s="136">
        <f t="shared" ca="1" si="50"/>
        <v>0</v>
      </c>
      <c r="AI266" s="136">
        <f t="shared" ca="1" si="51"/>
        <v>1.2253456E-4</v>
      </c>
      <c r="AJ266" s="136">
        <f t="shared" ca="1" si="52"/>
        <v>7.1219999999999996E-4</v>
      </c>
      <c r="AK266" s="136">
        <f t="shared" ca="1" si="53"/>
        <v>7.9519999999999994E-6</v>
      </c>
      <c r="AL266" s="136">
        <f t="shared" ca="1" si="54"/>
        <v>1.0042367999999999E-6</v>
      </c>
      <c r="AN266" s="74">
        <v>625</v>
      </c>
      <c r="AO266" s="136" t="str">
        <f t="shared" ca="1" si="55"/>
        <v/>
      </c>
      <c r="AP266" s="136">
        <f t="shared" ca="1" si="56"/>
        <v>6.6239472395991317E-2</v>
      </c>
      <c r="AQ266" s="136">
        <f t="shared" ca="1" si="57"/>
        <v>0.40361231279695964</v>
      </c>
      <c r="AR266" s="136">
        <f t="shared" ca="1" si="58"/>
        <v>4.0198676028084246E-3</v>
      </c>
      <c r="AS266" s="136">
        <f t="shared" ca="1" si="59"/>
        <v>4.9104572147718243E-4</v>
      </c>
    </row>
    <row r="267" spans="9:45" ht="15" hidden="1" customHeight="1" x14ac:dyDescent="0.2">
      <c r="I267" s="74">
        <v>626</v>
      </c>
      <c r="J267" s="137">
        <v>0.3093381</v>
      </c>
      <c r="L267" s="74">
        <v>626</v>
      </c>
      <c r="M267" s="137"/>
      <c r="N267" s="137">
        <v>7.1868299999999996E-2</v>
      </c>
      <c r="O267" s="137">
        <v>0.43000699999999997</v>
      </c>
      <c r="P267" s="136">
        <v>4.5900000000000003E-3</v>
      </c>
      <c r="Q267" s="137">
        <v>5.7875299999999999E-4</v>
      </c>
      <c r="S267" s="74">
        <v>626</v>
      </c>
      <c r="T267" s="137">
        <v>8.2861539905359151E-7</v>
      </c>
      <c r="U267" s="137">
        <v>0.1133576933179946</v>
      </c>
      <c r="V267" s="137">
        <v>0.47007591492392753</v>
      </c>
      <c r="W267" s="136">
        <v>4.9324194314066989E-3</v>
      </c>
      <c r="X267" s="137">
        <v>5.7838763517815397E-4</v>
      </c>
      <c r="Z267" s="74">
        <v>626</v>
      </c>
      <c r="AA267" s="137">
        <f t="shared" ca="1" si="45"/>
        <v>0</v>
      </c>
      <c r="AB267" s="137">
        <f t="shared" ca="1" si="46"/>
        <v>7.1868299999999996E-2</v>
      </c>
      <c r="AC267" s="137">
        <f t="shared" ca="1" si="47"/>
        <v>0.43000699999999997</v>
      </c>
      <c r="AD267" s="137">
        <f t="shared" ca="1" si="48"/>
        <v>4.5900000000000003E-3</v>
      </c>
      <c r="AE267" s="137">
        <f t="shared" ca="1" si="49"/>
        <v>5.7875299999999999E-4</v>
      </c>
      <c r="AG267" s="74">
        <v>626</v>
      </c>
      <c r="AH267" s="136">
        <f t="shared" ca="1" si="50"/>
        <v>0</v>
      </c>
      <c r="AI267" s="136">
        <f t="shared" ca="1" si="51"/>
        <v>1.1480559105431309E-4</v>
      </c>
      <c r="AJ267" s="136">
        <f t="shared" ca="1" si="52"/>
        <v>6.8691214057507981E-4</v>
      </c>
      <c r="AK267" s="136">
        <f t="shared" ca="1" si="53"/>
        <v>7.332268370607029E-6</v>
      </c>
      <c r="AL267" s="136">
        <f t="shared" ca="1" si="54"/>
        <v>9.2452555910543132E-7</v>
      </c>
      <c r="AN267" s="74">
        <v>626</v>
      </c>
      <c r="AO267" s="136" t="str">
        <f t="shared" ca="1" si="55"/>
        <v/>
      </c>
      <c r="AP267" s="136">
        <f t="shared" ca="1" si="56"/>
        <v>6.2061362766126053E-2</v>
      </c>
      <c r="AQ267" s="136">
        <f t="shared" ca="1" si="57"/>
        <v>0.3892813784692758</v>
      </c>
      <c r="AR267" s="136">
        <f t="shared" ca="1" si="58"/>
        <v>3.7065830078093706E-3</v>
      </c>
      <c r="AS267" s="136">
        <f t="shared" ca="1" si="59"/>
        <v>4.5206899428005631E-4</v>
      </c>
    </row>
    <row r="268" spans="9:45" ht="15" hidden="1" customHeight="1" x14ac:dyDescent="0.2">
      <c r="I268" s="74">
        <v>627</v>
      </c>
      <c r="J268" s="137">
        <v>0.29785040000000002</v>
      </c>
      <c r="L268" s="74">
        <v>627</v>
      </c>
      <c r="M268" s="137"/>
      <c r="N268" s="137">
        <v>6.7418599999999995E-2</v>
      </c>
      <c r="O268" s="137">
        <v>0.41468699999999997</v>
      </c>
      <c r="P268" s="136">
        <v>4.2399999999999998E-3</v>
      </c>
      <c r="Q268" s="137">
        <v>5.3335800000000005E-4</v>
      </c>
      <c r="S268" s="74">
        <v>627</v>
      </c>
      <c r="T268" s="137">
        <v>7.7114491650097467E-7</v>
      </c>
      <c r="U268" s="137">
        <v>0.10653124438048862</v>
      </c>
      <c r="V268" s="137">
        <v>0.45535383650465788</v>
      </c>
      <c r="W268" s="136">
        <v>4.545398873706862E-3</v>
      </c>
      <c r="X268" s="137">
        <v>5.3310284472699813E-4</v>
      </c>
      <c r="Z268" s="74">
        <v>627</v>
      </c>
      <c r="AA268" s="137">
        <f t="shared" ca="1" si="45"/>
        <v>0</v>
      </c>
      <c r="AB268" s="137">
        <f t="shared" ca="1" si="46"/>
        <v>6.7418599999999995E-2</v>
      </c>
      <c r="AC268" s="137">
        <f t="shared" ca="1" si="47"/>
        <v>0.41468699999999997</v>
      </c>
      <c r="AD268" s="137">
        <f t="shared" ca="1" si="48"/>
        <v>4.2399999999999998E-3</v>
      </c>
      <c r="AE268" s="137">
        <f t="shared" ca="1" si="49"/>
        <v>5.3335800000000005E-4</v>
      </c>
      <c r="AG268" s="74">
        <v>627</v>
      </c>
      <c r="AH268" s="136">
        <f t="shared" ca="1" si="50"/>
        <v>0</v>
      </c>
      <c r="AI268" s="136">
        <f t="shared" ca="1" si="51"/>
        <v>1.0752567783094098E-4</v>
      </c>
      <c r="AJ268" s="136">
        <f t="shared" ca="1" si="52"/>
        <v>6.6138277511961722E-4</v>
      </c>
      <c r="AK268" s="136">
        <f t="shared" ca="1" si="53"/>
        <v>6.7623604465709728E-6</v>
      </c>
      <c r="AL268" s="136">
        <f t="shared" ca="1" si="54"/>
        <v>8.5065071770334939E-7</v>
      </c>
      <c r="AN268" s="74">
        <v>627</v>
      </c>
      <c r="AO268" s="136" t="str">
        <f t="shared" ca="1" si="55"/>
        <v/>
      </c>
      <c r="AP268" s="136">
        <f t="shared" ca="1" si="56"/>
        <v>5.8126002725621816E-2</v>
      </c>
      <c r="AQ268" s="136">
        <f t="shared" ca="1" si="57"/>
        <v>0.37481357976706003</v>
      </c>
      <c r="AR268" s="136">
        <f t="shared" ca="1" si="58"/>
        <v>3.4184851204330695E-3</v>
      </c>
      <c r="AS268" s="136">
        <f t="shared" ca="1" si="59"/>
        <v>4.1594611490011551E-4</v>
      </c>
    </row>
    <row r="269" spans="9:45" ht="15" hidden="1" customHeight="1" x14ac:dyDescent="0.2">
      <c r="I269" s="74">
        <v>628</v>
      </c>
      <c r="J269" s="137">
        <v>0.2865936</v>
      </c>
      <c r="L269" s="74">
        <v>628</v>
      </c>
      <c r="M269" s="137"/>
      <c r="N269" s="137">
        <v>6.3217599999999999E-2</v>
      </c>
      <c r="O269" s="137">
        <v>0.39933999999999997</v>
      </c>
      <c r="P269" s="138">
        <v>3.9129999999999998E-3</v>
      </c>
      <c r="Q269" s="137">
        <v>4.9144E-4</v>
      </c>
      <c r="S269" s="74">
        <v>628</v>
      </c>
      <c r="T269" s="137">
        <v>7.1782734768120552E-7</v>
      </c>
      <c r="U269" s="137">
        <v>0.10003615712107175</v>
      </c>
      <c r="V269" s="137">
        <v>0.44075474860507924</v>
      </c>
      <c r="W269" s="138">
        <v>4.189054397652347E-3</v>
      </c>
      <c r="X269" s="137">
        <v>4.9146545864815565E-4</v>
      </c>
      <c r="Z269" s="74">
        <v>628</v>
      </c>
      <c r="AA269" s="137">
        <f t="shared" ca="1" si="45"/>
        <v>0</v>
      </c>
      <c r="AB269" s="137">
        <f t="shared" ca="1" si="46"/>
        <v>6.3217599999999999E-2</v>
      </c>
      <c r="AC269" s="137">
        <f t="shared" ca="1" si="47"/>
        <v>0.39933999999999997</v>
      </c>
      <c r="AD269" s="137">
        <f t="shared" ca="1" si="48"/>
        <v>3.9129999999999998E-3</v>
      </c>
      <c r="AE269" s="137">
        <f t="shared" ca="1" si="49"/>
        <v>4.9144E-4</v>
      </c>
      <c r="AG269" s="74">
        <v>628</v>
      </c>
      <c r="AH269" s="136">
        <f t="shared" ca="1" si="50"/>
        <v>0</v>
      </c>
      <c r="AI269" s="136">
        <f t="shared" ca="1" si="51"/>
        <v>1.0066496815286624E-4</v>
      </c>
      <c r="AJ269" s="136">
        <f t="shared" ca="1" si="52"/>
        <v>6.3589171974522292E-4</v>
      </c>
      <c r="AK269" s="136">
        <f t="shared" ca="1" si="53"/>
        <v>6.230891719745223E-6</v>
      </c>
      <c r="AL269" s="136">
        <f t="shared" ca="1" si="54"/>
        <v>7.8254777070063695E-7</v>
      </c>
      <c r="AN269" s="74">
        <v>628</v>
      </c>
      <c r="AO269" s="136" t="str">
        <f t="shared" ca="1" si="55"/>
        <v/>
      </c>
      <c r="AP269" s="136">
        <f t="shared" ca="1" si="56"/>
        <v>5.4417254847980261E-2</v>
      </c>
      <c r="AQ269" s="136">
        <f t="shared" ca="1" si="57"/>
        <v>0.36036749184892658</v>
      </c>
      <c r="AR269" s="136">
        <f t="shared" ca="1" si="58"/>
        <v>3.1498188834017979E-3</v>
      </c>
      <c r="AS269" s="136">
        <f t="shared" ca="1" si="59"/>
        <v>3.8264554202161784E-4</v>
      </c>
    </row>
    <row r="270" spans="9:45" ht="15" hidden="1" customHeight="1" x14ac:dyDescent="0.2">
      <c r="I270" s="74">
        <v>629</v>
      </c>
      <c r="J270" s="137">
        <v>0.27562449999999999</v>
      </c>
      <c r="L270" s="74">
        <v>629</v>
      </c>
      <c r="M270" s="137"/>
      <c r="N270" s="137">
        <v>5.9249200000000002E-2</v>
      </c>
      <c r="O270" s="137">
        <v>0.38412200000000002</v>
      </c>
      <c r="P270" s="138">
        <v>3.6129999999999999E-3</v>
      </c>
      <c r="Q270" s="137">
        <v>4.5298000000000002E-4</v>
      </c>
      <c r="S270" s="74">
        <v>629</v>
      </c>
      <c r="T270" s="137">
        <v>6.6835315114484625E-7</v>
      </c>
      <c r="U270" s="137">
        <v>9.3864203667213486E-2</v>
      </c>
      <c r="V270" s="137">
        <v>0.42629182081849243</v>
      </c>
      <c r="W270" s="138">
        <v>3.8609662026417007E-3</v>
      </c>
      <c r="X270" s="137">
        <v>4.5317505903870838E-4</v>
      </c>
      <c r="Z270" s="74">
        <v>629</v>
      </c>
      <c r="AA270" s="137">
        <f t="shared" ca="1" si="45"/>
        <v>0</v>
      </c>
      <c r="AB270" s="137">
        <f t="shared" ca="1" si="46"/>
        <v>5.9249200000000002E-2</v>
      </c>
      <c r="AC270" s="137">
        <f t="shared" ca="1" si="47"/>
        <v>0.38412200000000002</v>
      </c>
      <c r="AD270" s="137">
        <f t="shared" ca="1" si="48"/>
        <v>3.6129999999999999E-3</v>
      </c>
      <c r="AE270" s="137">
        <f t="shared" ca="1" si="49"/>
        <v>4.5298000000000002E-4</v>
      </c>
      <c r="AG270" s="74">
        <v>629</v>
      </c>
      <c r="AH270" s="136">
        <f t="shared" ca="1" si="50"/>
        <v>0</v>
      </c>
      <c r="AI270" s="136">
        <f t="shared" ca="1" si="51"/>
        <v>9.419586645468998E-5</v>
      </c>
      <c r="AJ270" s="136">
        <f t="shared" ca="1" si="52"/>
        <v>6.1068680445151033E-4</v>
      </c>
      <c r="AK270" s="136">
        <f t="shared" ca="1" si="53"/>
        <v>5.7440381558028619E-6</v>
      </c>
      <c r="AL270" s="136">
        <f t="shared" ca="1" si="54"/>
        <v>7.2015898251192371E-7</v>
      </c>
      <c r="AN270" s="74">
        <v>629</v>
      </c>
      <c r="AO270" s="136" t="str">
        <f t="shared" ca="1" si="55"/>
        <v/>
      </c>
      <c r="AP270" s="136">
        <f t="shared" ca="1" si="56"/>
        <v>5.09202015810227E-2</v>
      </c>
      <c r="AQ270" s="136">
        <f t="shared" ca="1" si="57"/>
        <v>0.34608356295880188</v>
      </c>
      <c r="AR270" s="136">
        <f t="shared" ca="1" si="58"/>
        <v>2.9037063495733623E-3</v>
      </c>
      <c r="AS270" s="136">
        <f t="shared" ca="1" si="59"/>
        <v>3.5213904444234787E-4</v>
      </c>
    </row>
    <row r="271" spans="9:45" ht="15" hidden="1" customHeight="1" x14ac:dyDescent="0.2">
      <c r="I271" s="74">
        <v>630</v>
      </c>
      <c r="J271" s="137">
        <v>0.26500000000000001</v>
      </c>
      <c r="L271" s="74">
        <v>630</v>
      </c>
      <c r="M271" s="137"/>
      <c r="N271" s="137">
        <v>5.5499E-2</v>
      </c>
      <c r="O271" s="137">
        <v>0.369168</v>
      </c>
      <c r="P271" s="138">
        <v>3.3349999999999999E-3</v>
      </c>
      <c r="Q271" s="137">
        <v>4.1795500000000002E-4</v>
      </c>
      <c r="S271" s="74">
        <v>630</v>
      </c>
      <c r="T271" s="137">
        <v>6.2243355907879369E-7</v>
      </c>
      <c r="U271" s="137">
        <v>8.8006550754817989E-2</v>
      </c>
      <c r="V271" s="137">
        <v>0.41198082220210586</v>
      </c>
      <c r="W271" s="138">
        <v>3.5589017608590066E-3</v>
      </c>
      <c r="X271" s="137">
        <v>4.1795545706429724E-4</v>
      </c>
      <c r="Z271" s="74">
        <v>630</v>
      </c>
      <c r="AA271" s="137">
        <f t="shared" ca="1" si="45"/>
        <v>0</v>
      </c>
      <c r="AB271" s="137">
        <f t="shared" ca="1" si="46"/>
        <v>5.5499E-2</v>
      </c>
      <c r="AC271" s="137">
        <f t="shared" ca="1" si="47"/>
        <v>0.369168</v>
      </c>
      <c r="AD271" s="137">
        <f t="shared" ca="1" si="48"/>
        <v>3.3349999999999999E-3</v>
      </c>
      <c r="AE271" s="137">
        <f t="shared" ca="1" si="49"/>
        <v>4.1795500000000002E-4</v>
      </c>
      <c r="AG271" s="74">
        <v>630</v>
      </c>
      <c r="AH271" s="136">
        <f t="shared" ca="1" si="50"/>
        <v>0</v>
      </c>
      <c r="AI271" s="136">
        <f t="shared" ca="1" si="51"/>
        <v>8.8093650793650793E-5</v>
      </c>
      <c r="AJ271" s="136">
        <f t="shared" ca="1" si="52"/>
        <v>5.8598095238095236E-4</v>
      </c>
      <c r="AK271" s="136">
        <f t="shared" ca="1" si="53"/>
        <v>5.2936507936507936E-6</v>
      </c>
      <c r="AL271" s="136">
        <f t="shared" ca="1" si="54"/>
        <v>6.6342063492063499E-7</v>
      </c>
      <c r="AN271" s="74">
        <v>630</v>
      </c>
      <c r="AO271" s="136" t="str">
        <f t="shared" ca="1" si="55"/>
        <v/>
      </c>
      <c r="AP271" s="136">
        <f t="shared" ca="1" si="56"/>
        <v>4.7621478789397292E-2</v>
      </c>
      <c r="AQ271" s="136">
        <f t="shared" ca="1" si="57"/>
        <v>0.33208245920449486</v>
      </c>
      <c r="AR271" s="136">
        <f t="shared" ca="1" si="58"/>
        <v>2.676028084252758E-3</v>
      </c>
      <c r="AS271" s="136">
        <f t="shared" ca="1" si="59"/>
        <v>3.2439546560876248E-4</v>
      </c>
    </row>
    <row r="272" spans="9:45" ht="15" hidden="1" customHeight="1" x14ac:dyDescent="0.2">
      <c r="I272" s="74">
        <v>631</v>
      </c>
      <c r="J272" s="137">
        <v>0.25476320000000002</v>
      </c>
      <c r="L272" s="74">
        <v>631</v>
      </c>
      <c r="M272" s="137"/>
      <c r="N272" s="137">
        <v>5.1955000000000001E-2</v>
      </c>
      <c r="O272" s="137">
        <v>0.35458000000000001</v>
      </c>
      <c r="P272" s="138">
        <v>3.0790000000000001E-3</v>
      </c>
      <c r="Q272" s="137">
        <v>3.8578899999999999E-4</v>
      </c>
      <c r="S272" s="74">
        <v>631</v>
      </c>
      <c r="T272" s="137">
        <v>5.7980105332126059E-7</v>
      </c>
      <c r="U272" s="137">
        <v>8.2454241320248353E-2</v>
      </c>
      <c r="V272" s="137">
        <v>0.39783501096070112</v>
      </c>
      <c r="W272" s="138">
        <v>3.2808018411439907E-3</v>
      </c>
      <c r="X272" s="137">
        <v>3.8555558631556721E-4</v>
      </c>
      <c r="Z272" s="74">
        <v>631</v>
      </c>
      <c r="AA272" s="137">
        <f t="shared" ca="1" si="45"/>
        <v>0</v>
      </c>
      <c r="AB272" s="137">
        <f t="shared" ca="1" si="46"/>
        <v>5.1955000000000001E-2</v>
      </c>
      <c r="AC272" s="137">
        <f t="shared" ca="1" si="47"/>
        <v>0.35458000000000001</v>
      </c>
      <c r="AD272" s="137">
        <f t="shared" ca="1" si="48"/>
        <v>3.0790000000000001E-3</v>
      </c>
      <c r="AE272" s="137">
        <f t="shared" ca="1" si="49"/>
        <v>3.8578899999999999E-4</v>
      </c>
      <c r="AG272" s="74">
        <v>631</v>
      </c>
      <c r="AH272" s="136">
        <f t="shared" ca="1" si="50"/>
        <v>0</v>
      </c>
      <c r="AI272" s="136">
        <f t="shared" ca="1" si="51"/>
        <v>8.2337559429477021E-5</v>
      </c>
      <c r="AJ272" s="136">
        <f t="shared" ca="1" si="52"/>
        <v>5.619334389857369E-4</v>
      </c>
      <c r="AK272" s="136">
        <f t="shared" ca="1" si="53"/>
        <v>4.8795562599049129E-6</v>
      </c>
      <c r="AL272" s="136">
        <f t="shared" ca="1" si="54"/>
        <v>6.1139302694136287E-7</v>
      </c>
      <c r="AN272" s="74">
        <v>631</v>
      </c>
      <c r="AO272" s="136" t="str">
        <f t="shared" ca="1" si="55"/>
        <v/>
      </c>
      <c r="AP272" s="136">
        <f t="shared" ca="1" si="56"/>
        <v>4.4509863135609562E-2</v>
      </c>
      <c r="AQ272" s="136">
        <f t="shared" ca="1" si="57"/>
        <v>0.3184544439019692</v>
      </c>
      <c r="AR272" s="136">
        <f t="shared" ca="1" si="58"/>
        <v>2.4666964443250511E-3</v>
      </c>
      <c r="AS272" s="136">
        <f t="shared" ca="1" si="59"/>
        <v>2.989553161371302E-4</v>
      </c>
    </row>
    <row r="273" spans="9:45" ht="15" hidden="1" customHeight="1" x14ac:dyDescent="0.2">
      <c r="I273" s="74">
        <v>632</v>
      </c>
      <c r="J273" s="137">
        <v>0.24488960000000001</v>
      </c>
      <c r="L273" s="74">
        <v>632</v>
      </c>
      <c r="M273" s="137"/>
      <c r="N273" s="137">
        <v>4.8610300000000002E-2</v>
      </c>
      <c r="O273" s="137">
        <v>0.340389</v>
      </c>
      <c r="P273" s="138">
        <v>2.8419999999999999E-3</v>
      </c>
      <c r="Q273" s="137">
        <v>3.55905E-4</v>
      </c>
      <c r="S273" s="74">
        <v>632</v>
      </c>
      <c r="T273" s="137">
        <v>5.4021420521242093E-7</v>
      </c>
      <c r="U273" s="137">
        <v>7.7197458020331441E-2</v>
      </c>
      <c r="V273" s="137">
        <v>0.38386719568463806</v>
      </c>
      <c r="W273" s="138">
        <v>3.0247675136013618E-3</v>
      </c>
      <c r="X273" s="137">
        <v>3.5574270251479643E-4</v>
      </c>
      <c r="Z273" s="74">
        <v>632</v>
      </c>
      <c r="AA273" s="137">
        <f t="shared" ca="1" si="45"/>
        <v>0</v>
      </c>
      <c r="AB273" s="137">
        <f t="shared" ca="1" si="46"/>
        <v>4.8610300000000002E-2</v>
      </c>
      <c r="AC273" s="137">
        <f t="shared" ca="1" si="47"/>
        <v>0.340389</v>
      </c>
      <c r="AD273" s="137">
        <f t="shared" ca="1" si="48"/>
        <v>2.8419999999999999E-3</v>
      </c>
      <c r="AE273" s="137">
        <f t="shared" ca="1" si="49"/>
        <v>3.55905E-4</v>
      </c>
      <c r="AG273" s="74">
        <v>632</v>
      </c>
      <c r="AH273" s="136">
        <f t="shared" ca="1" si="50"/>
        <v>0</v>
      </c>
      <c r="AI273" s="136">
        <f t="shared" ca="1" si="51"/>
        <v>7.6915031645569619E-5</v>
      </c>
      <c r="AJ273" s="136">
        <f t="shared" ca="1" si="52"/>
        <v>5.3859018987341769E-4</v>
      </c>
      <c r="AK273" s="136">
        <f t="shared" ca="1" si="53"/>
        <v>4.4968354430379748E-6</v>
      </c>
      <c r="AL273" s="136">
        <f t="shared" ca="1" si="54"/>
        <v>5.6314082278481013E-7</v>
      </c>
      <c r="AN273" s="74">
        <v>632</v>
      </c>
      <c r="AO273" s="136" t="str">
        <f t="shared" ca="1" si="55"/>
        <v/>
      </c>
      <c r="AP273" s="136">
        <f t="shared" ca="1" si="56"/>
        <v>4.1578564574137347E-2</v>
      </c>
      <c r="AQ273" s="136">
        <f t="shared" ca="1" si="57"/>
        <v>0.3052255436458351</v>
      </c>
      <c r="AR273" s="136">
        <f t="shared" ca="1" si="58"/>
        <v>2.2732247375036501E-3</v>
      </c>
      <c r="AS273" s="136">
        <f t="shared" ca="1" si="59"/>
        <v>2.7536124111128101E-4</v>
      </c>
    </row>
    <row r="274" spans="9:45" ht="15" hidden="1" customHeight="1" x14ac:dyDescent="0.2">
      <c r="I274" s="74">
        <v>633</v>
      </c>
      <c r="J274" s="137">
        <v>0.2353344</v>
      </c>
      <c r="L274" s="74">
        <v>633</v>
      </c>
      <c r="M274" s="137"/>
      <c r="N274" s="137">
        <v>4.5459100000000002E-2</v>
      </c>
      <c r="O274" s="137">
        <v>0.32660899999999998</v>
      </c>
      <c r="P274" s="138">
        <v>2.6229999999999999E-3</v>
      </c>
      <c r="Q274" s="137">
        <v>3.28289E-4</v>
      </c>
      <c r="S274" s="74">
        <v>633</v>
      </c>
      <c r="T274" s="137">
        <v>5.0344380369571982E-7</v>
      </c>
      <c r="U274" s="137">
        <v>7.2226571506013373E-2</v>
      </c>
      <c r="V274" s="137">
        <v>0.37009055354945958</v>
      </c>
      <c r="W274" s="138">
        <v>2.7890352291112413E-3</v>
      </c>
      <c r="X274" s="137">
        <v>3.283068921699468E-4</v>
      </c>
      <c r="Z274" s="74">
        <v>633</v>
      </c>
      <c r="AA274" s="137">
        <f t="shared" ca="1" si="45"/>
        <v>0</v>
      </c>
      <c r="AB274" s="137">
        <f t="shared" ca="1" si="46"/>
        <v>4.5459100000000002E-2</v>
      </c>
      <c r="AC274" s="137">
        <f t="shared" ca="1" si="47"/>
        <v>0.32660899999999998</v>
      </c>
      <c r="AD274" s="137">
        <f t="shared" ca="1" si="48"/>
        <v>2.6229999999999999E-3</v>
      </c>
      <c r="AE274" s="137">
        <f t="shared" ca="1" si="49"/>
        <v>3.28289E-4</v>
      </c>
      <c r="AG274" s="74">
        <v>633</v>
      </c>
      <c r="AH274" s="136">
        <f t="shared" ca="1" si="50"/>
        <v>0</v>
      </c>
      <c r="AI274" s="136">
        <f t="shared" ca="1" si="51"/>
        <v>7.181532385466035E-5</v>
      </c>
      <c r="AJ274" s="136">
        <f t="shared" ca="1" si="52"/>
        <v>5.1596998420221161E-4</v>
      </c>
      <c r="AK274" s="136">
        <f t="shared" ca="1" si="53"/>
        <v>4.1437598736176933E-6</v>
      </c>
      <c r="AL274" s="136">
        <f t="shared" ca="1" si="54"/>
        <v>5.1862401263823061E-7</v>
      </c>
      <c r="AN274" s="74">
        <v>633</v>
      </c>
      <c r="AO274" s="136" t="str">
        <f t="shared" ca="1" si="55"/>
        <v/>
      </c>
      <c r="AP274" s="136">
        <f t="shared" ca="1" si="56"/>
        <v>3.8821775359375761E-2</v>
      </c>
      <c r="AQ274" s="136">
        <f t="shared" ca="1" si="57"/>
        <v>0.29240640081109992</v>
      </c>
      <c r="AR274" s="136">
        <f t="shared" ca="1" si="58"/>
        <v>2.0947391938849723E-3</v>
      </c>
      <c r="AS274" s="136">
        <f t="shared" ca="1" si="59"/>
        <v>2.5359367677158553E-4</v>
      </c>
    </row>
    <row r="275" spans="9:45" ht="15" hidden="1" customHeight="1" x14ac:dyDescent="0.2">
      <c r="I275" s="74">
        <v>634</v>
      </c>
      <c r="J275" s="137">
        <v>0.2260528</v>
      </c>
      <c r="L275" s="74">
        <v>634</v>
      </c>
      <c r="M275" s="137"/>
      <c r="N275" s="137">
        <v>4.2494499999999998E-2</v>
      </c>
      <c r="O275" s="137">
        <v>0.313249</v>
      </c>
      <c r="P275" s="138">
        <v>2.421E-3</v>
      </c>
      <c r="Q275" s="137">
        <v>3.0292600000000002E-4</v>
      </c>
      <c r="S275" s="74">
        <v>634</v>
      </c>
      <c r="T275" s="137">
        <v>4.6928427293516134E-7</v>
      </c>
      <c r="U275" s="137">
        <v>6.7531282877658652E-2</v>
      </c>
      <c r="V275" s="137">
        <v>0.35651597929016404</v>
      </c>
      <c r="W275" s="138">
        <v>2.5719942894649401E-3</v>
      </c>
      <c r="X275" s="137">
        <v>3.030518921937434E-4</v>
      </c>
      <c r="Z275" s="74">
        <v>634</v>
      </c>
      <c r="AA275" s="137">
        <f t="shared" ca="1" si="45"/>
        <v>0</v>
      </c>
      <c r="AB275" s="137">
        <f t="shared" ca="1" si="46"/>
        <v>4.2494499999999998E-2</v>
      </c>
      <c r="AC275" s="137">
        <f t="shared" ca="1" si="47"/>
        <v>0.313249</v>
      </c>
      <c r="AD275" s="137">
        <f t="shared" ca="1" si="48"/>
        <v>2.421E-3</v>
      </c>
      <c r="AE275" s="137">
        <f t="shared" ca="1" si="49"/>
        <v>3.0292600000000002E-4</v>
      </c>
      <c r="AG275" s="74">
        <v>634</v>
      </c>
      <c r="AH275" s="136">
        <f t="shared" ca="1" si="50"/>
        <v>0</v>
      </c>
      <c r="AI275" s="136">
        <f t="shared" ca="1" si="51"/>
        <v>6.7026025236593053E-5</v>
      </c>
      <c r="AJ275" s="136">
        <f t="shared" ca="1" si="52"/>
        <v>4.9408359621451101E-4</v>
      </c>
      <c r="AK275" s="136">
        <f t="shared" ca="1" si="53"/>
        <v>3.8186119873817032E-6</v>
      </c>
      <c r="AL275" s="136">
        <f t="shared" ca="1" si="54"/>
        <v>4.7780126182965302E-7</v>
      </c>
      <c r="AN275" s="74">
        <v>634</v>
      </c>
      <c r="AO275" s="136" t="str">
        <f t="shared" ca="1" si="55"/>
        <v/>
      </c>
      <c r="AP275" s="136">
        <f t="shared" ca="1" si="56"/>
        <v>3.6232786476503631E-2</v>
      </c>
      <c r="AQ275" s="136">
        <f t="shared" ca="1" si="57"/>
        <v>0.28000312129061772</v>
      </c>
      <c r="AR275" s="136">
        <f t="shared" ca="1" si="58"/>
        <v>1.9303715563093063E-3</v>
      </c>
      <c r="AS275" s="136">
        <f t="shared" ca="1" si="59"/>
        <v>2.3363241153665166E-4</v>
      </c>
    </row>
    <row r="276" spans="9:45" ht="15" hidden="1" customHeight="1" x14ac:dyDescent="0.2">
      <c r="I276" s="74">
        <v>635</v>
      </c>
      <c r="J276" s="137">
        <v>0.217</v>
      </c>
      <c r="L276" s="74">
        <v>635</v>
      </c>
      <c r="M276" s="137"/>
      <c r="N276" s="137">
        <v>3.9709700000000001E-2</v>
      </c>
      <c r="O276" s="137">
        <v>0.30031600000000003</v>
      </c>
      <c r="P276" s="138">
        <v>2.235E-3</v>
      </c>
      <c r="Q276" s="137">
        <v>2.7980099999999999E-4</v>
      </c>
      <c r="S276" s="74">
        <v>635</v>
      </c>
      <c r="T276" s="137">
        <v>4.3754124678262981E-7</v>
      </c>
      <c r="U276" s="137">
        <v>6.3101255454862684E-2</v>
      </c>
      <c r="V276" s="137">
        <v>0.34315789886214443</v>
      </c>
      <c r="W276" s="138">
        <v>2.3721437315089035E-3</v>
      </c>
      <c r="X276" s="137">
        <v>2.7980083100052032E-4</v>
      </c>
      <c r="Z276" s="74">
        <v>635</v>
      </c>
      <c r="AA276" s="137">
        <f t="shared" ca="1" si="45"/>
        <v>0</v>
      </c>
      <c r="AB276" s="137">
        <f t="shared" ca="1" si="46"/>
        <v>3.9709700000000001E-2</v>
      </c>
      <c r="AC276" s="137">
        <f t="shared" ca="1" si="47"/>
        <v>0.30031600000000003</v>
      </c>
      <c r="AD276" s="137">
        <f t="shared" ca="1" si="48"/>
        <v>2.235E-3</v>
      </c>
      <c r="AE276" s="137">
        <f t="shared" ca="1" si="49"/>
        <v>2.7980099999999999E-4</v>
      </c>
      <c r="AG276" s="74">
        <v>635</v>
      </c>
      <c r="AH276" s="136">
        <f t="shared" ca="1" si="50"/>
        <v>0</v>
      </c>
      <c r="AI276" s="136">
        <f t="shared" ca="1" si="51"/>
        <v>6.2534960629921266E-5</v>
      </c>
      <c r="AJ276" s="136">
        <f t="shared" ca="1" si="52"/>
        <v>4.7293858267716542E-4</v>
      </c>
      <c r="AK276" s="136">
        <f t="shared" ca="1" si="53"/>
        <v>3.5196850393700788E-6</v>
      </c>
      <c r="AL276" s="136">
        <f t="shared" ca="1" si="54"/>
        <v>4.4063149606299212E-7</v>
      </c>
      <c r="AN276" s="74">
        <v>635</v>
      </c>
      <c r="AO276" s="136" t="str">
        <f t="shared" ca="1" si="55"/>
        <v/>
      </c>
      <c r="AP276" s="136">
        <f t="shared" ca="1" si="56"/>
        <v>3.380501630258495E-2</v>
      </c>
      <c r="AQ276" s="136">
        <f t="shared" ca="1" si="57"/>
        <v>0.26801998759512335</v>
      </c>
      <c r="AR276" s="136">
        <f t="shared" ca="1" si="58"/>
        <v>1.7792590369533799E-3</v>
      </c>
      <c r="AS276" s="136">
        <f t="shared" ca="1" si="59"/>
        <v>2.1545736114213527E-4</v>
      </c>
    </row>
    <row r="277" spans="9:45" ht="15" hidden="1" customHeight="1" x14ac:dyDescent="0.2">
      <c r="I277" s="74">
        <v>636</v>
      </c>
      <c r="J277" s="137">
        <v>0.2081616</v>
      </c>
      <c r="L277" s="74">
        <v>636</v>
      </c>
      <c r="M277" s="137"/>
      <c r="N277" s="137">
        <v>3.7095200000000002E-2</v>
      </c>
      <c r="O277" s="137">
        <v>0.28781699999999999</v>
      </c>
      <c r="P277" s="138">
        <v>2.062E-3</v>
      </c>
      <c r="Q277" s="137">
        <v>2.5854399999999998E-4</v>
      </c>
      <c r="S277" s="74">
        <v>636</v>
      </c>
      <c r="T277" s="137">
        <v>4.0803648714985485E-7</v>
      </c>
      <c r="U277" s="137">
        <v>5.892586955178232E-2</v>
      </c>
      <c r="V277" s="137">
        <v>0.33002512179180538</v>
      </c>
      <c r="W277" s="138">
        <v>2.1881243545423383E-3</v>
      </c>
      <c r="X277" s="137">
        <v>2.5839077230385335E-4</v>
      </c>
      <c r="Z277" s="74">
        <v>636</v>
      </c>
      <c r="AA277" s="137">
        <f t="shared" ref="AA277:AA340" ca="1" si="60">OFFSET(M277,0,$AA$8)</f>
        <v>0</v>
      </c>
      <c r="AB277" s="137">
        <f t="shared" ref="AB277:AB340" ca="1" si="61">OFFSET(N277,0,$AA$8)</f>
        <v>3.7095200000000002E-2</v>
      </c>
      <c r="AC277" s="137">
        <f t="shared" ref="AC277:AC340" ca="1" si="62">OFFSET(O277,0,$AA$8)</f>
        <v>0.28781699999999999</v>
      </c>
      <c r="AD277" s="137">
        <f t="shared" ref="AD277:AD340" ca="1" si="63">OFFSET(P277,0,$AA$8)</f>
        <v>2.062E-3</v>
      </c>
      <c r="AE277" s="137">
        <f t="shared" ref="AE277:AE340" ca="1" si="64">OFFSET(Q277,0,$AA$8)</f>
        <v>2.5854399999999998E-4</v>
      </c>
      <c r="AG277" s="74">
        <v>636</v>
      </c>
      <c r="AH277" s="136">
        <f t="shared" ref="AH277:AH340" ca="1" si="65">AA277/$Z277</f>
        <v>0</v>
      </c>
      <c r="AI277" s="136">
        <f t="shared" ref="AI277:AI340" ca="1" si="66">AB277/$Z277</f>
        <v>5.8325786163522013E-5</v>
      </c>
      <c r="AJ277" s="136">
        <f t="shared" ref="AJ277:AJ340" ca="1" si="67">AC277/$Z277</f>
        <v>4.5254245283018866E-4</v>
      </c>
      <c r="AK277" s="136">
        <f t="shared" ref="AK277:AK340" ca="1" si="68">AD277/$Z277</f>
        <v>3.2421383647798743E-6</v>
      </c>
      <c r="AL277" s="136">
        <f t="shared" ref="AL277:AL340" ca="1" si="69">AE277/$Z277</f>
        <v>4.0651572327044022E-7</v>
      </c>
      <c r="AN277" s="74">
        <v>636</v>
      </c>
      <c r="AO277" s="136" t="str">
        <f t="shared" ref="AO277:AO340" ca="1" si="70">IF(AH277=0,"",AH277/AH$11)</f>
        <v/>
      </c>
      <c r="AP277" s="136">
        <f t="shared" ref="AP277:AP340" ca="1" si="71">IF(AI277=0,"",AI277/AI$11)</f>
        <v>3.1529629702453807E-2</v>
      </c>
      <c r="AQ277" s="136">
        <f t="shared" ref="AQ277:AQ340" ca="1" si="72">IF(AJ277=0,"",AJ277/AJ$11)</f>
        <v>0.25646125530132191</v>
      </c>
      <c r="AR277" s="136">
        <f t="shared" ref="AR277:AR340" ca="1" si="73">IF(AK277=0,"",AK277/AK$11)</f>
        <v>1.6389545996480007E-3</v>
      </c>
      <c r="AS277" s="136">
        <f t="shared" ref="AS277:AS340" ca="1" si="74">IF(AL277=0,"",AL277/AL$11)</f>
        <v>1.9877563401894053E-4</v>
      </c>
    </row>
    <row r="278" spans="9:45" ht="15" hidden="1" customHeight="1" x14ac:dyDescent="0.2">
      <c r="I278" s="74">
        <v>637</v>
      </c>
      <c r="J278" s="137">
        <v>0.1995488</v>
      </c>
      <c r="L278" s="74">
        <v>637</v>
      </c>
      <c r="M278" s="137"/>
      <c r="N278" s="137">
        <v>3.4634699999999997E-2</v>
      </c>
      <c r="O278" s="137">
        <v>0.27576200000000001</v>
      </c>
      <c r="P278" s="138">
        <v>1.903E-3</v>
      </c>
      <c r="Q278" s="137">
        <v>2.3878500000000001E-4</v>
      </c>
      <c r="S278" s="74">
        <v>637</v>
      </c>
      <c r="T278" s="137">
        <v>3.8060720031673863E-7</v>
      </c>
      <c r="U278" s="137">
        <v>5.4994847235128846E-2</v>
      </c>
      <c r="V278" s="137">
        <v>0.3171297608195236</v>
      </c>
      <c r="W278" s="138">
        <v>2.0186684712084945E-3</v>
      </c>
      <c r="X278" s="137">
        <v>2.3867064127390368E-4</v>
      </c>
      <c r="Z278" s="74">
        <v>637</v>
      </c>
      <c r="AA278" s="137">
        <f t="shared" ca="1" si="60"/>
        <v>0</v>
      </c>
      <c r="AB278" s="137">
        <f t="shared" ca="1" si="61"/>
        <v>3.4634699999999997E-2</v>
      </c>
      <c r="AC278" s="137">
        <f t="shared" ca="1" si="62"/>
        <v>0.27576200000000001</v>
      </c>
      <c r="AD278" s="137">
        <f t="shared" ca="1" si="63"/>
        <v>1.903E-3</v>
      </c>
      <c r="AE278" s="137">
        <f t="shared" ca="1" si="64"/>
        <v>2.3878500000000001E-4</v>
      </c>
      <c r="AG278" s="74">
        <v>637</v>
      </c>
      <c r="AH278" s="136">
        <f t="shared" ca="1" si="65"/>
        <v>0</v>
      </c>
      <c r="AI278" s="136">
        <f t="shared" ca="1" si="66"/>
        <v>5.4371585557299837E-5</v>
      </c>
      <c r="AJ278" s="136">
        <f t="shared" ca="1" si="67"/>
        <v>4.3290737833594976E-4</v>
      </c>
      <c r="AK278" s="136">
        <f t="shared" ca="1" si="68"/>
        <v>2.9874411302982732E-6</v>
      </c>
      <c r="AL278" s="136">
        <f t="shared" ca="1" si="69"/>
        <v>3.748587127158556E-7</v>
      </c>
      <c r="AN278" s="74">
        <v>637</v>
      </c>
      <c r="AO278" s="136" t="str">
        <f t="shared" ca="1" si="70"/>
        <v/>
      </c>
      <c r="AP278" s="136">
        <f t="shared" ca="1" si="71"/>
        <v>2.9392076330539259E-2</v>
      </c>
      <c r="AQ278" s="136">
        <f t="shared" ca="1" si="72"/>
        <v>0.24533382223678896</v>
      </c>
      <c r="AR278" s="136">
        <f t="shared" ca="1" si="73"/>
        <v>1.5102009324677328E-3</v>
      </c>
      <c r="AS278" s="136">
        <f t="shared" ca="1" si="74"/>
        <v>1.8329617779149819E-4</v>
      </c>
    </row>
    <row r="279" spans="9:45" ht="15" hidden="1" customHeight="1" x14ac:dyDescent="0.2">
      <c r="I279" s="74">
        <v>638</v>
      </c>
      <c r="J279" s="137">
        <v>0.1911552</v>
      </c>
      <c r="L279" s="74">
        <v>638</v>
      </c>
      <c r="M279" s="137"/>
      <c r="N279" s="137">
        <v>3.2312500000000001E-2</v>
      </c>
      <c r="O279" s="137">
        <v>0.264158</v>
      </c>
      <c r="P279" s="138">
        <v>1.7570000000000001E-3</v>
      </c>
      <c r="Q279" s="137">
        <v>2.2050800000000001E-4</v>
      </c>
      <c r="S279" s="74">
        <v>638</v>
      </c>
      <c r="T279" s="137">
        <v>3.5510108559154342E-7</v>
      </c>
      <c r="U279" s="137">
        <v>5.1297476359192448E-2</v>
      </c>
      <c r="V279" s="137">
        <v>0.30448086168219296</v>
      </c>
      <c r="W279" s="138">
        <v>1.8626060102459314E-3</v>
      </c>
      <c r="X279" s="137">
        <v>2.205047757657457E-4</v>
      </c>
      <c r="Z279" s="74">
        <v>638</v>
      </c>
      <c r="AA279" s="137">
        <f t="shared" ca="1" si="60"/>
        <v>0</v>
      </c>
      <c r="AB279" s="137">
        <f t="shared" ca="1" si="61"/>
        <v>3.2312500000000001E-2</v>
      </c>
      <c r="AC279" s="137">
        <f t="shared" ca="1" si="62"/>
        <v>0.264158</v>
      </c>
      <c r="AD279" s="137">
        <f t="shared" ca="1" si="63"/>
        <v>1.7570000000000001E-3</v>
      </c>
      <c r="AE279" s="137">
        <f t="shared" ca="1" si="64"/>
        <v>2.2050800000000001E-4</v>
      </c>
      <c r="AG279" s="74">
        <v>638</v>
      </c>
      <c r="AH279" s="136">
        <f t="shared" ca="1" si="65"/>
        <v>0</v>
      </c>
      <c r="AI279" s="136">
        <f t="shared" ca="1" si="66"/>
        <v>5.064655172413793E-5</v>
      </c>
      <c r="AJ279" s="136">
        <f t="shared" ca="1" si="67"/>
        <v>4.1404075235109718E-4</v>
      </c>
      <c r="AK279" s="136">
        <f t="shared" ca="1" si="68"/>
        <v>2.7539184952978056E-6</v>
      </c>
      <c r="AL279" s="136">
        <f t="shared" ca="1" si="69"/>
        <v>3.4562382445141069E-7</v>
      </c>
      <c r="AN279" s="74">
        <v>638</v>
      </c>
      <c r="AO279" s="136" t="str">
        <f t="shared" ca="1" si="70"/>
        <v/>
      </c>
      <c r="AP279" s="136">
        <f t="shared" ca="1" si="71"/>
        <v>2.7378405446456745E-2</v>
      </c>
      <c r="AQ279" s="136">
        <f t="shared" ca="1" si="72"/>
        <v>0.23464187819238913</v>
      </c>
      <c r="AR279" s="136">
        <f t="shared" ca="1" si="73"/>
        <v>1.3921513757573661E-3</v>
      </c>
      <c r="AS279" s="136">
        <f t="shared" ca="1" si="74"/>
        <v>1.6900107647662986E-4</v>
      </c>
    </row>
    <row r="280" spans="9:45" ht="15" hidden="1" customHeight="1" x14ac:dyDescent="0.2">
      <c r="I280" s="74">
        <v>639</v>
      </c>
      <c r="J280" s="137">
        <v>0.18297440000000001</v>
      </c>
      <c r="L280" s="74">
        <v>639</v>
      </c>
      <c r="M280" s="137"/>
      <c r="N280" s="137">
        <v>3.0115099999999999E-2</v>
      </c>
      <c r="O280" s="137">
        <v>0.25300899999999998</v>
      </c>
      <c r="P280" s="138">
        <v>1.621E-3</v>
      </c>
      <c r="Q280" s="137">
        <v>2.03699E-4</v>
      </c>
      <c r="S280" s="74">
        <v>639</v>
      </c>
      <c r="T280" s="137">
        <v>3.3137824991193996E-7</v>
      </c>
      <c r="U280" s="137">
        <v>4.7823240439909702E-2</v>
      </c>
      <c r="V280" s="137">
        <v>0.29208886423846592</v>
      </c>
      <c r="W280" s="138">
        <v>1.7188698742712154E-3</v>
      </c>
      <c r="X280" s="137">
        <v>2.037666004779761E-4</v>
      </c>
      <c r="Z280" s="74">
        <v>639</v>
      </c>
      <c r="AA280" s="137">
        <f t="shared" ca="1" si="60"/>
        <v>0</v>
      </c>
      <c r="AB280" s="137">
        <f t="shared" ca="1" si="61"/>
        <v>3.0115099999999999E-2</v>
      </c>
      <c r="AC280" s="137">
        <f t="shared" ca="1" si="62"/>
        <v>0.25300899999999998</v>
      </c>
      <c r="AD280" s="137">
        <f t="shared" ca="1" si="63"/>
        <v>1.621E-3</v>
      </c>
      <c r="AE280" s="137">
        <f t="shared" ca="1" si="64"/>
        <v>2.03699E-4</v>
      </c>
      <c r="AG280" s="74">
        <v>639</v>
      </c>
      <c r="AH280" s="136">
        <f t="shared" ca="1" si="65"/>
        <v>0</v>
      </c>
      <c r="AI280" s="136">
        <f t="shared" ca="1" si="66"/>
        <v>4.7128482003129887E-5</v>
      </c>
      <c r="AJ280" s="136">
        <f t="shared" ca="1" si="67"/>
        <v>3.9594522691705788E-4</v>
      </c>
      <c r="AK280" s="136">
        <f t="shared" ca="1" si="68"/>
        <v>2.5367762128325509E-6</v>
      </c>
      <c r="AL280" s="136">
        <f t="shared" ca="1" si="69"/>
        <v>3.1877777777777777E-7</v>
      </c>
      <c r="AN280" s="74">
        <v>639</v>
      </c>
      <c r="AO280" s="136" t="str">
        <f t="shared" ca="1" si="70"/>
        <v/>
      </c>
      <c r="AP280" s="136">
        <f t="shared" ca="1" si="71"/>
        <v>2.5476614782893051E-2</v>
      </c>
      <c r="AQ280" s="136">
        <f t="shared" ca="1" si="72"/>
        <v>0.22438692611192182</v>
      </c>
      <c r="AR280" s="136">
        <f t="shared" ca="1" si="73"/>
        <v>1.2823823583426334E-3</v>
      </c>
      <c r="AS280" s="136">
        <f t="shared" ca="1" si="74"/>
        <v>1.5587405667645503E-4</v>
      </c>
    </row>
    <row r="281" spans="9:45" ht="15" hidden="1" customHeight="1" x14ac:dyDescent="0.2">
      <c r="I281" s="74">
        <v>640</v>
      </c>
      <c r="J281" s="137">
        <v>0.17499999999999999</v>
      </c>
      <c r="L281" s="74">
        <v>640</v>
      </c>
      <c r="M281" s="137"/>
      <c r="N281" s="137">
        <v>2.8031400000000001E-2</v>
      </c>
      <c r="O281" s="137">
        <v>0.242316</v>
      </c>
      <c r="P281" s="138">
        <v>1.4970000000000001E-3</v>
      </c>
      <c r="Q281" s="137">
        <v>1.8834099999999999E-4</v>
      </c>
      <c r="S281" s="74">
        <v>640</v>
      </c>
      <c r="T281" s="137">
        <v>3.0930860336738378E-7</v>
      </c>
      <c r="U281" s="137">
        <v>4.4561828204174633E-2</v>
      </c>
      <c r="V281" s="137">
        <v>0.27996258831058429</v>
      </c>
      <c r="W281" s="138">
        <v>1.586477802621587E-3</v>
      </c>
      <c r="X281" s="137">
        <v>1.8834062184590317E-4</v>
      </c>
      <c r="Z281" s="74">
        <v>640</v>
      </c>
      <c r="AA281" s="137">
        <f t="shared" ca="1" si="60"/>
        <v>0</v>
      </c>
      <c r="AB281" s="137">
        <f t="shared" ca="1" si="61"/>
        <v>2.8031400000000001E-2</v>
      </c>
      <c r="AC281" s="137">
        <f t="shared" ca="1" si="62"/>
        <v>0.242316</v>
      </c>
      <c r="AD281" s="137">
        <f t="shared" ca="1" si="63"/>
        <v>1.4970000000000001E-3</v>
      </c>
      <c r="AE281" s="137">
        <f t="shared" ca="1" si="64"/>
        <v>1.8834099999999999E-4</v>
      </c>
      <c r="AG281" s="74">
        <v>640</v>
      </c>
      <c r="AH281" s="136">
        <f t="shared" ca="1" si="65"/>
        <v>0</v>
      </c>
      <c r="AI281" s="136">
        <f t="shared" ca="1" si="66"/>
        <v>4.37990625E-5</v>
      </c>
      <c r="AJ281" s="136">
        <f t="shared" ca="1" si="67"/>
        <v>3.7861874999999998E-4</v>
      </c>
      <c r="AK281" s="136">
        <f t="shared" ca="1" si="68"/>
        <v>2.3390625000000001E-6</v>
      </c>
      <c r="AL281" s="136">
        <f t="shared" ca="1" si="69"/>
        <v>2.942828125E-7</v>
      </c>
      <c r="AN281" s="74">
        <v>640</v>
      </c>
      <c r="AO281" s="136" t="str">
        <f t="shared" ca="1" si="70"/>
        <v/>
      </c>
      <c r="AP281" s="136">
        <f t="shared" ca="1" si="71"/>
        <v>2.3676804253747255E-2</v>
      </c>
      <c r="AQ281" s="136">
        <f t="shared" ca="1" si="72"/>
        <v>0.2145678030831141</v>
      </c>
      <c r="AR281" s="136">
        <f t="shared" ca="1" si="73"/>
        <v>1.1824348044132398E-3</v>
      </c>
      <c r="AS281" s="136">
        <f t="shared" ca="1" si="74"/>
        <v>1.4389665463603496E-4</v>
      </c>
    </row>
    <row r="282" spans="9:45" ht="15" hidden="1" customHeight="1" x14ac:dyDescent="0.2">
      <c r="I282" s="74">
        <v>641</v>
      </c>
      <c r="J282" s="137">
        <v>0.1672235</v>
      </c>
      <c r="L282" s="74">
        <v>641</v>
      </c>
      <c r="M282" s="137"/>
      <c r="N282" s="137">
        <v>2.60564E-2</v>
      </c>
      <c r="O282" s="137">
        <v>0.23206099999999999</v>
      </c>
      <c r="P282" s="138">
        <v>1.382E-3</v>
      </c>
      <c r="Q282" s="137">
        <v>1.7419199999999999E-4</v>
      </c>
      <c r="S282" s="74">
        <v>641</v>
      </c>
      <c r="T282" s="137">
        <v>2.8870546176884979E-7</v>
      </c>
      <c r="U282" s="137">
        <v>4.1493397831261505E-2</v>
      </c>
      <c r="V282" s="137">
        <v>0.26804764748443172</v>
      </c>
      <c r="W282" s="138">
        <v>1.4641817858224719E-3</v>
      </c>
      <c r="X282" s="137">
        <v>1.7408125140103682E-4</v>
      </c>
      <c r="Z282" s="74">
        <v>641</v>
      </c>
      <c r="AA282" s="137">
        <f t="shared" ca="1" si="60"/>
        <v>0</v>
      </c>
      <c r="AB282" s="137">
        <f t="shared" ca="1" si="61"/>
        <v>2.60564E-2</v>
      </c>
      <c r="AC282" s="137">
        <f t="shared" ca="1" si="62"/>
        <v>0.23206099999999999</v>
      </c>
      <c r="AD282" s="137">
        <f t="shared" ca="1" si="63"/>
        <v>1.382E-3</v>
      </c>
      <c r="AE282" s="137">
        <f t="shared" ca="1" si="64"/>
        <v>1.7419199999999999E-4</v>
      </c>
      <c r="AG282" s="74">
        <v>641</v>
      </c>
      <c r="AH282" s="136">
        <f t="shared" ca="1" si="65"/>
        <v>0</v>
      </c>
      <c r="AI282" s="136">
        <f t="shared" ca="1" si="66"/>
        <v>4.064960998439938E-5</v>
      </c>
      <c r="AJ282" s="136">
        <f t="shared" ca="1" si="67"/>
        <v>3.6202964118564742E-4</v>
      </c>
      <c r="AK282" s="136">
        <f t="shared" ca="1" si="68"/>
        <v>2.15600624024961E-6</v>
      </c>
      <c r="AL282" s="136">
        <f t="shared" ca="1" si="69"/>
        <v>2.7175039001560062E-7</v>
      </c>
      <c r="AN282" s="74">
        <v>641</v>
      </c>
      <c r="AO282" s="136" t="str">
        <f t="shared" ca="1" si="70"/>
        <v/>
      </c>
      <c r="AP282" s="136">
        <f t="shared" ca="1" si="71"/>
        <v>2.1974279896785329E-2</v>
      </c>
      <c r="AQ282" s="136">
        <f t="shared" ca="1" si="72"/>
        <v>0.20516655543385648</v>
      </c>
      <c r="AR282" s="136">
        <f t="shared" ca="1" si="73"/>
        <v>1.0898968355925812E-3</v>
      </c>
      <c r="AS282" s="136">
        <f t="shared" ca="1" si="74"/>
        <v>1.3287888506666588E-4</v>
      </c>
    </row>
    <row r="283" spans="9:45" ht="15" hidden="1" customHeight="1" x14ac:dyDescent="0.2">
      <c r="I283" s="74">
        <v>642</v>
      </c>
      <c r="J283" s="137">
        <v>0.15964639999999999</v>
      </c>
      <c r="L283" s="74">
        <v>642</v>
      </c>
      <c r="M283" s="137"/>
      <c r="N283" s="137">
        <v>2.42011E-2</v>
      </c>
      <c r="O283" s="137">
        <v>0.22215799999999999</v>
      </c>
      <c r="P283" s="138">
        <v>1.276E-3</v>
      </c>
      <c r="Q283" s="137">
        <v>1.6102E-4</v>
      </c>
      <c r="S283" s="74">
        <v>642</v>
      </c>
      <c r="T283" s="137">
        <v>2.6953365464393517E-7</v>
      </c>
      <c r="U283" s="137">
        <v>3.8618731098660382E-2</v>
      </c>
      <c r="V283" s="137">
        <v>0.25641947106468893</v>
      </c>
      <c r="W283" s="138">
        <v>1.3515340761055573E-3</v>
      </c>
      <c r="X283" s="137">
        <v>1.6093740708966636E-4</v>
      </c>
      <c r="Z283" s="74">
        <v>642</v>
      </c>
      <c r="AA283" s="137">
        <f t="shared" ca="1" si="60"/>
        <v>0</v>
      </c>
      <c r="AB283" s="137">
        <f t="shared" ca="1" si="61"/>
        <v>2.42011E-2</v>
      </c>
      <c r="AC283" s="137">
        <f t="shared" ca="1" si="62"/>
        <v>0.22215799999999999</v>
      </c>
      <c r="AD283" s="137">
        <f t="shared" ca="1" si="63"/>
        <v>1.276E-3</v>
      </c>
      <c r="AE283" s="137">
        <f t="shared" ca="1" si="64"/>
        <v>1.6102E-4</v>
      </c>
      <c r="AG283" s="74">
        <v>642</v>
      </c>
      <c r="AH283" s="136">
        <f t="shared" ca="1" si="65"/>
        <v>0</v>
      </c>
      <c r="AI283" s="136">
        <f t="shared" ca="1" si="66"/>
        <v>3.7696417445482864E-5</v>
      </c>
      <c r="AJ283" s="136">
        <f t="shared" ca="1" si="67"/>
        <v>3.4604049844236761E-4</v>
      </c>
      <c r="AK283" s="136">
        <f t="shared" ca="1" si="68"/>
        <v>1.9875389408099687E-6</v>
      </c>
      <c r="AL283" s="136">
        <f t="shared" ca="1" si="69"/>
        <v>2.5080996884735201E-7</v>
      </c>
      <c r="AN283" s="74">
        <v>642</v>
      </c>
      <c r="AO283" s="136" t="str">
        <f t="shared" ca="1" si="70"/>
        <v/>
      </c>
      <c r="AP283" s="136">
        <f t="shared" ca="1" si="71"/>
        <v>2.0377849341506819E-2</v>
      </c>
      <c r="AQ283" s="136">
        <f t="shared" ca="1" si="72"/>
        <v>0.19610531577890578</v>
      </c>
      <c r="AR283" s="136">
        <f t="shared" ca="1" si="73"/>
        <v>1.0047338276511777E-3</v>
      </c>
      <c r="AS283" s="136">
        <f t="shared" ca="1" si="74"/>
        <v>1.2263956280661855E-4</v>
      </c>
    </row>
    <row r="284" spans="9:45" ht="15" hidden="1" customHeight="1" x14ac:dyDescent="0.2">
      <c r="I284" s="74">
        <v>643</v>
      </c>
      <c r="J284" s="137">
        <v>0.15227760000000001</v>
      </c>
      <c r="L284" s="74">
        <v>643</v>
      </c>
      <c r="M284" s="137"/>
      <c r="N284" s="137">
        <v>2.2475999999999999E-2</v>
      </c>
      <c r="O284" s="137">
        <v>0.21251600000000001</v>
      </c>
      <c r="P284" s="138">
        <v>1.178E-3</v>
      </c>
      <c r="Q284" s="137">
        <v>1.4882099999999999E-4</v>
      </c>
      <c r="S284" s="74">
        <v>643</v>
      </c>
      <c r="T284" s="137">
        <v>2.5169002274304385E-7</v>
      </c>
      <c r="U284" s="137">
        <v>3.5927748339982336E-2</v>
      </c>
      <c r="V284" s="137">
        <v>0.24508402268045754</v>
      </c>
      <c r="W284" s="138">
        <v>1.2477655762311408E-3</v>
      </c>
      <c r="X284" s="137">
        <v>1.48819211790386E-4</v>
      </c>
      <c r="Z284" s="74">
        <v>643</v>
      </c>
      <c r="AA284" s="137">
        <f t="shared" ca="1" si="60"/>
        <v>0</v>
      </c>
      <c r="AB284" s="137">
        <f t="shared" ca="1" si="61"/>
        <v>2.2475999999999999E-2</v>
      </c>
      <c r="AC284" s="137">
        <f t="shared" ca="1" si="62"/>
        <v>0.21251600000000001</v>
      </c>
      <c r="AD284" s="137">
        <f t="shared" ca="1" si="63"/>
        <v>1.178E-3</v>
      </c>
      <c r="AE284" s="137">
        <f t="shared" ca="1" si="64"/>
        <v>1.4882099999999999E-4</v>
      </c>
      <c r="AG284" s="74">
        <v>643</v>
      </c>
      <c r="AH284" s="136">
        <f t="shared" ca="1" si="65"/>
        <v>0</v>
      </c>
      <c r="AI284" s="136">
        <f t="shared" ca="1" si="66"/>
        <v>3.4954898911353032E-5</v>
      </c>
      <c r="AJ284" s="136">
        <f t="shared" ca="1" si="67"/>
        <v>3.3050699844479006E-4</v>
      </c>
      <c r="AK284" s="136">
        <f t="shared" ca="1" si="68"/>
        <v>1.8320373250388803E-6</v>
      </c>
      <c r="AL284" s="136">
        <f t="shared" ca="1" si="69"/>
        <v>2.3144790046656298E-7</v>
      </c>
      <c r="AN284" s="74">
        <v>643</v>
      </c>
      <c r="AO284" s="136" t="str">
        <f t="shared" ca="1" si="70"/>
        <v/>
      </c>
      <c r="AP284" s="136">
        <f t="shared" ca="1" si="71"/>
        <v>1.8895845070511015E-2</v>
      </c>
      <c r="AQ284" s="136">
        <f t="shared" ca="1" si="72"/>
        <v>0.18730229435254545</v>
      </c>
      <c r="AR284" s="136">
        <f t="shared" ca="1" si="73"/>
        <v>9.2612518738174085E-4</v>
      </c>
      <c r="AS284" s="136">
        <f t="shared" ca="1" si="74"/>
        <v>1.1317201407972955E-4</v>
      </c>
    </row>
    <row r="285" spans="9:45" ht="15" hidden="1" customHeight="1" x14ac:dyDescent="0.2">
      <c r="I285" s="74">
        <v>644</v>
      </c>
      <c r="J285" s="137">
        <v>0.1451259</v>
      </c>
      <c r="L285" s="74">
        <v>644</v>
      </c>
      <c r="M285" s="137"/>
      <c r="N285" s="137">
        <v>2.0886999999999999E-2</v>
      </c>
      <c r="O285" s="137">
        <v>0.20305999999999999</v>
      </c>
      <c r="P285" s="138">
        <v>1.088E-3</v>
      </c>
      <c r="Q285" s="137">
        <v>1.37594E-4</v>
      </c>
      <c r="S285" s="74">
        <v>644</v>
      </c>
      <c r="T285" s="137">
        <v>2.350790895261875E-7</v>
      </c>
      <c r="U285" s="137">
        <v>3.3410732711173133E-2</v>
      </c>
      <c r="V285" s="137">
        <v>0.23404749648003062</v>
      </c>
      <c r="W285" s="138">
        <v>1.1521632005805098E-3</v>
      </c>
      <c r="X285" s="137">
        <v>1.3764422663039492E-4</v>
      </c>
      <c r="Z285" s="74">
        <v>644</v>
      </c>
      <c r="AA285" s="137">
        <f t="shared" ca="1" si="60"/>
        <v>0</v>
      </c>
      <c r="AB285" s="137">
        <f t="shared" ca="1" si="61"/>
        <v>2.0886999999999999E-2</v>
      </c>
      <c r="AC285" s="137">
        <f t="shared" ca="1" si="62"/>
        <v>0.20305999999999999</v>
      </c>
      <c r="AD285" s="137">
        <f t="shared" ca="1" si="63"/>
        <v>1.088E-3</v>
      </c>
      <c r="AE285" s="137">
        <f t="shared" ca="1" si="64"/>
        <v>1.37594E-4</v>
      </c>
      <c r="AG285" s="74">
        <v>644</v>
      </c>
      <c r="AH285" s="136">
        <f t="shared" ca="1" si="65"/>
        <v>0</v>
      </c>
      <c r="AI285" s="136">
        <f t="shared" ca="1" si="66"/>
        <v>3.2433229813664598E-5</v>
      </c>
      <c r="AJ285" s="136">
        <f t="shared" ca="1" si="67"/>
        <v>3.1531055900621118E-4</v>
      </c>
      <c r="AK285" s="136">
        <f t="shared" ca="1" si="68"/>
        <v>1.6894409937888198E-6</v>
      </c>
      <c r="AL285" s="136">
        <f t="shared" ca="1" si="69"/>
        <v>2.1365527950310559E-7</v>
      </c>
      <c r="AN285" s="74">
        <v>644</v>
      </c>
      <c r="AO285" s="136" t="str">
        <f t="shared" ca="1" si="70"/>
        <v/>
      </c>
      <c r="AP285" s="136">
        <f t="shared" ca="1" si="71"/>
        <v>1.7532686541291524E-2</v>
      </c>
      <c r="AQ285" s="136">
        <f t="shared" ca="1" si="72"/>
        <v>0.17869028920218913</v>
      </c>
      <c r="AR285" s="136">
        <f t="shared" ca="1" si="73"/>
        <v>8.5404038201561199E-4</v>
      </c>
      <c r="AS285" s="136">
        <f t="shared" ca="1" si="74"/>
        <v>1.0447188439122284E-4</v>
      </c>
    </row>
    <row r="286" spans="9:45" ht="15" hidden="1" customHeight="1" x14ac:dyDescent="0.2">
      <c r="I286" s="74">
        <v>645</v>
      </c>
      <c r="J286" s="137">
        <v>0.13819999999999999</v>
      </c>
      <c r="L286" s="74">
        <v>645</v>
      </c>
      <c r="M286" s="137"/>
      <c r="N286" s="137">
        <v>1.9436599999999998E-2</v>
      </c>
      <c r="O286" s="137">
        <v>0.19373000000000001</v>
      </c>
      <c r="P286" s="138">
        <v>1.005E-3</v>
      </c>
      <c r="Q286" s="137">
        <v>1.2733699999999999E-4</v>
      </c>
      <c r="S286" s="74">
        <v>645</v>
      </c>
      <c r="T286" s="137">
        <v>2.1961146041042687E-7</v>
      </c>
      <c r="U286" s="137">
        <v>3.1058322841720054E-2</v>
      </c>
      <c r="V286" s="137">
        <v>0.22331556794779048</v>
      </c>
      <c r="W286" s="138">
        <v>1.064071962481048E-3</v>
      </c>
      <c r="X286" s="137">
        <v>1.2733682000963376E-4</v>
      </c>
      <c r="Z286" s="74">
        <v>645</v>
      </c>
      <c r="AA286" s="137">
        <f t="shared" ca="1" si="60"/>
        <v>0</v>
      </c>
      <c r="AB286" s="137">
        <f t="shared" ca="1" si="61"/>
        <v>1.9436599999999998E-2</v>
      </c>
      <c r="AC286" s="137">
        <f t="shared" ca="1" si="62"/>
        <v>0.19373000000000001</v>
      </c>
      <c r="AD286" s="137">
        <f t="shared" ca="1" si="63"/>
        <v>1.005E-3</v>
      </c>
      <c r="AE286" s="137">
        <f t="shared" ca="1" si="64"/>
        <v>1.2733699999999999E-4</v>
      </c>
      <c r="AG286" s="74">
        <v>645</v>
      </c>
      <c r="AH286" s="136">
        <f t="shared" ca="1" si="65"/>
        <v>0</v>
      </c>
      <c r="AI286" s="136">
        <f t="shared" ca="1" si="66"/>
        <v>3.0134263565891469E-5</v>
      </c>
      <c r="AJ286" s="136">
        <f t="shared" ca="1" si="67"/>
        <v>3.0035658914728683E-4</v>
      </c>
      <c r="AK286" s="136">
        <f t="shared" ca="1" si="68"/>
        <v>1.5581395348837209E-6</v>
      </c>
      <c r="AL286" s="136">
        <f t="shared" ca="1" si="69"/>
        <v>1.9742170542635657E-7</v>
      </c>
      <c r="AN286" s="74">
        <v>645</v>
      </c>
      <c r="AO286" s="136" t="str">
        <f t="shared" ca="1" si="70"/>
        <v/>
      </c>
      <c r="AP286" s="136">
        <f t="shared" ca="1" si="71"/>
        <v>1.6289916246048419E-2</v>
      </c>
      <c r="AQ286" s="136">
        <f t="shared" ca="1" si="72"/>
        <v>0.17021569448124491</v>
      </c>
      <c r="AR286" s="136">
        <f t="shared" ca="1" si="73"/>
        <v>7.876653215460334E-4</v>
      </c>
      <c r="AS286" s="136">
        <f t="shared" ca="1" si="74"/>
        <v>9.6534088151660106E-5</v>
      </c>
    </row>
    <row r="287" spans="9:45" ht="15" hidden="1" customHeight="1" x14ac:dyDescent="0.2">
      <c r="I287" s="74">
        <v>646</v>
      </c>
      <c r="J287" s="137">
        <v>0.13150029999999999</v>
      </c>
      <c r="L287" s="74">
        <v>646</v>
      </c>
      <c r="M287" s="137"/>
      <c r="N287" s="137">
        <v>1.8120000000000001E-2</v>
      </c>
      <c r="O287" s="137">
        <v>0.18449499999999999</v>
      </c>
      <c r="P287" s="136">
        <v>9.2800000000000001E-4</v>
      </c>
      <c r="Q287" s="137">
        <v>1.17891E-4</v>
      </c>
      <c r="S287" s="74">
        <v>646</v>
      </c>
      <c r="T287" s="137">
        <v>2.0520597404855889E-7</v>
      </c>
      <c r="U287" s="137">
        <v>2.8861240912301585E-2</v>
      </c>
      <c r="V287" s="137">
        <v>0.21289134217928093</v>
      </c>
      <c r="W287" s="136">
        <v>9.8289245206727919E-4</v>
      </c>
      <c r="X287" s="137">
        <v>1.1782759138893267E-4</v>
      </c>
      <c r="Z287" s="74">
        <v>646</v>
      </c>
      <c r="AA287" s="137">
        <f t="shared" ca="1" si="60"/>
        <v>0</v>
      </c>
      <c r="AB287" s="137">
        <f t="shared" ca="1" si="61"/>
        <v>1.8120000000000001E-2</v>
      </c>
      <c r="AC287" s="137">
        <f t="shared" ca="1" si="62"/>
        <v>0.18449499999999999</v>
      </c>
      <c r="AD287" s="137">
        <f t="shared" ca="1" si="63"/>
        <v>9.2800000000000001E-4</v>
      </c>
      <c r="AE287" s="137">
        <f t="shared" ca="1" si="64"/>
        <v>1.17891E-4</v>
      </c>
      <c r="AG287" s="74">
        <v>646</v>
      </c>
      <c r="AH287" s="136">
        <f t="shared" ca="1" si="65"/>
        <v>0</v>
      </c>
      <c r="AI287" s="136">
        <f t="shared" ca="1" si="66"/>
        <v>2.8049535603715173E-5</v>
      </c>
      <c r="AJ287" s="136">
        <f t="shared" ca="1" si="67"/>
        <v>2.8559597523219814E-4</v>
      </c>
      <c r="AK287" s="136">
        <f t="shared" ca="1" si="68"/>
        <v>1.4365325077399381E-6</v>
      </c>
      <c r="AL287" s="136">
        <f t="shared" ca="1" si="69"/>
        <v>1.8249380804953561E-7</v>
      </c>
      <c r="AN287" s="74">
        <v>646</v>
      </c>
      <c r="AO287" s="136" t="str">
        <f t="shared" ca="1" si="70"/>
        <v/>
      </c>
      <c r="AP287" s="136">
        <f t="shared" ca="1" si="71"/>
        <v>1.5162958428566331E-2</v>
      </c>
      <c r="AQ287" s="136">
        <f t="shared" ca="1" si="72"/>
        <v>0.16185067690111021</v>
      </c>
      <c r="AR287" s="136">
        <f t="shared" ca="1" si="73"/>
        <v>7.2619095677124257E-4</v>
      </c>
      <c r="AS287" s="136">
        <f t="shared" ca="1" si="74"/>
        <v>8.9234733918138305E-5</v>
      </c>
    </row>
    <row r="288" spans="9:45" ht="15" hidden="1" customHeight="1" x14ac:dyDescent="0.2">
      <c r="I288" s="74">
        <v>647</v>
      </c>
      <c r="J288" s="137">
        <v>0.12502479999999999</v>
      </c>
      <c r="L288" s="74">
        <v>647</v>
      </c>
      <c r="M288" s="137"/>
      <c r="N288" s="137">
        <v>1.69149E-2</v>
      </c>
      <c r="O288" s="137">
        <v>0.175402</v>
      </c>
      <c r="P288" s="136">
        <v>8.5700000000000001E-4</v>
      </c>
      <c r="Q288" s="137">
        <v>1.09096E-4</v>
      </c>
      <c r="S288" s="74">
        <v>647</v>
      </c>
      <c r="T288" s="137">
        <v>1.9178648516817255E-7</v>
      </c>
      <c r="U288" s="137">
        <v>2.6810690547528722E-2</v>
      </c>
      <c r="V288" s="137">
        <v>0.2027790107340933</v>
      </c>
      <c r="W288" s="136">
        <v>9.0807140491860352E-4</v>
      </c>
      <c r="X288" s="137">
        <v>1.0905309609019517E-4</v>
      </c>
      <c r="Z288" s="74">
        <v>647</v>
      </c>
      <c r="AA288" s="137">
        <f t="shared" ca="1" si="60"/>
        <v>0</v>
      </c>
      <c r="AB288" s="137">
        <f t="shared" ca="1" si="61"/>
        <v>1.69149E-2</v>
      </c>
      <c r="AC288" s="137">
        <f t="shared" ca="1" si="62"/>
        <v>0.175402</v>
      </c>
      <c r="AD288" s="137">
        <f t="shared" ca="1" si="63"/>
        <v>8.5700000000000001E-4</v>
      </c>
      <c r="AE288" s="137">
        <f t="shared" ca="1" si="64"/>
        <v>1.09096E-4</v>
      </c>
      <c r="AG288" s="74">
        <v>647</v>
      </c>
      <c r="AH288" s="136">
        <f t="shared" ca="1" si="65"/>
        <v>0</v>
      </c>
      <c r="AI288" s="136">
        <f t="shared" ca="1" si="66"/>
        <v>2.6143585780525503E-5</v>
      </c>
      <c r="AJ288" s="136">
        <f t="shared" ca="1" si="67"/>
        <v>2.7110046367851624E-4</v>
      </c>
      <c r="AK288" s="136">
        <f t="shared" ca="1" si="68"/>
        <v>1.3245749613601236E-6</v>
      </c>
      <c r="AL288" s="136">
        <f t="shared" ca="1" si="69"/>
        <v>1.6861823802163833E-7</v>
      </c>
      <c r="AN288" s="74">
        <v>647</v>
      </c>
      <c r="AO288" s="136" t="str">
        <f t="shared" ca="1" si="70"/>
        <v/>
      </c>
      <c r="AP288" s="136">
        <f t="shared" ca="1" si="71"/>
        <v>1.4132644118045963E-2</v>
      </c>
      <c r="AQ288" s="136">
        <f t="shared" ca="1" si="72"/>
        <v>0.15363589602023883</v>
      </c>
      <c r="AR288" s="136">
        <f t="shared" ca="1" si="73"/>
        <v>6.6959456421815671E-4</v>
      </c>
      <c r="AS288" s="136">
        <f t="shared" ca="1" si="74"/>
        <v>8.2449940435907828E-5</v>
      </c>
    </row>
    <row r="289" spans="9:45" ht="15" hidden="1" customHeight="1" x14ac:dyDescent="0.2">
      <c r="I289" s="74">
        <v>648</v>
      </c>
      <c r="J289" s="137">
        <v>0.1187792</v>
      </c>
      <c r="L289" s="74">
        <v>648</v>
      </c>
      <c r="M289" s="137"/>
      <c r="N289" s="137">
        <v>1.57991E-2</v>
      </c>
      <c r="O289" s="137">
        <v>0.16650899999999999</v>
      </c>
      <c r="P289" s="136">
        <v>7.9199999999999995E-4</v>
      </c>
      <c r="Q289" s="137">
        <v>1.00949E-4</v>
      </c>
      <c r="S289" s="74">
        <v>648</v>
      </c>
      <c r="T289" s="137">
        <v>1.792825414559652E-7</v>
      </c>
      <c r="U289" s="137">
        <v>2.4898088138715732E-2</v>
      </c>
      <c r="V289" s="137">
        <v>0.19298164319447789</v>
      </c>
      <c r="W289" s="136">
        <v>8.3910053887964833E-4</v>
      </c>
      <c r="X289" s="137">
        <v>1.0095457387786475E-4</v>
      </c>
      <c r="Z289" s="74">
        <v>648</v>
      </c>
      <c r="AA289" s="137">
        <f t="shared" ca="1" si="60"/>
        <v>0</v>
      </c>
      <c r="AB289" s="137">
        <f t="shared" ca="1" si="61"/>
        <v>1.57991E-2</v>
      </c>
      <c r="AC289" s="137">
        <f t="shared" ca="1" si="62"/>
        <v>0.16650899999999999</v>
      </c>
      <c r="AD289" s="137">
        <f t="shared" ca="1" si="63"/>
        <v>7.9199999999999995E-4</v>
      </c>
      <c r="AE289" s="137">
        <f t="shared" ca="1" si="64"/>
        <v>1.00949E-4</v>
      </c>
      <c r="AG289" s="74">
        <v>648</v>
      </c>
      <c r="AH289" s="136">
        <f t="shared" ca="1" si="65"/>
        <v>0</v>
      </c>
      <c r="AI289" s="136">
        <f t="shared" ca="1" si="66"/>
        <v>2.4381327160493828E-5</v>
      </c>
      <c r="AJ289" s="136">
        <f t="shared" ca="1" si="67"/>
        <v>2.5695833333333332E-4</v>
      </c>
      <c r="AK289" s="136">
        <f t="shared" ca="1" si="68"/>
        <v>1.2222222222222221E-6</v>
      </c>
      <c r="AL289" s="136">
        <f t="shared" ca="1" si="69"/>
        <v>1.557854938271605E-7</v>
      </c>
      <c r="AN289" s="74">
        <v>648</v>
      </c>
      <c r="AO289" s="136" t="str">
        <f t="shared" ca="1" si="70"/>
        <v/>
      </c>
      <c r="AP289" s="136">
        <f t="shared" ca="1" si="71"/>
        <v>1.3180006093180277E-2</v>
      </c>
      <c r="AQ289" s="136">
        <f t="shared" ca="1" si="72"/>
        <v>0.14562138052389603</v>
      </c>
      <c r="AR289" s="136">
        <f t="shared" ca="1" si="73"/>
        <v>6.1785356068204606E-4</v>
      </c>
      <c r="AS289" s="136">
        <f t="shared" ca="1" si="74"/>
        <v>7.6175061710581789E-5</v>
      </c>
    </row>
    <row r="290" spans="9:45" ht="15" hidden="1" customHeight="1" x14ac:dyDescent="0.2">
      <c r="I290" s="74">
        <v>649</v>
      </c>
      <c r="J290" s="137">
        <v>0.1127691</v>
      </c>
      <c r="L290" s="74">
        <v>649</v>
      </c>
      <c r="M290" s="137"/>
      <c r="N290" s="137">
        <v>1.47543E-2</v>
      </c>
      <c r="O290" s="137">
        <v>0.15786500000000001</v>
      </c>
      <c r="P290" s="136">
        <v>7.3200000000000001E-4</v>
      </c>
      <c r="Q290" s="137">
        <v>9.3443700000000001E-5</v>
      </c>
      <c r="S290" s="74">
        <v>649</v>
      </c>
      <c r="T290" s="137">
        <v>1.6762932645699256E-7</v>
      </c>
      <c r="U290" s="137">
        <v>2.3115324788705593E-2</v>
      </c>
      <c r="V290" s="137">
        <v>0.18350081607039695</v>
      </c>
      <c r="W290" s="136">
        <v>7.7551463866853965E-4</v>
      </c>
      <c r="X290" s="137">
        <v>9.3478341822412405E-5</v>
      </c>
      <c r="Z290" s="74">
        <v>649</v>
      </c>
      <c r="AA290" s="137">
        <f t="shared" ca="1" si="60"/>
        <v>0</v>
      </c>
      <c r="AB290" s="137">
        <f t="shared" ca="1" si="61"/>
        <v>1.47543E-2</v>
      </c>
      <c r="AC290" s="137">
        <f t="shared" ca="1" si="62"/>
        <v>0.15786500000000001</v>
      </c>
      <c r="AD290" s="137">
        <f t="shared" ca="1" si="63"/>
        <v>7.3200000000000001E-4</v>
      </c>
      <c r="AE290" s="137">
        <f t="shared" ca="1" si="64"/>
        <v>9.3443700000000001E-5</v>
      </c>
      <c r="AG290" s="74">
        <v>649</v>
      </c>
      <c r="AH290" s="136">
        <f t="shared" ca="1" si="65"/>
        <v>0</v>
      </c>
      <c r="AI290" s="136">
        <f t="shared" ca="1" si="66"/>
        <v>2.2733898305084744E-5</v>
      </c>
      <c r="AJ290" s="136">
        <f t="shared" ca="1" si="67"/>
        <v>2.4324345146379045E-4</v>
      </c>
      <c r="AK290" s="136">
        <f t="shared" ca="1" si="68"/>
        <v>1.12788906009245E-6</v>
      </c>
      <c r="AL290" s="136">
        <f t="shared" ca="1" si="69"/>
        <v>1.4398104776579352E-7</v>
      </c>
      <c r="AN290" s="74">
        <v>649</v>
      </c>
      <c r="AO290" s="136" t="str">
        <f t="shared" ca="1" si="70"/>
        <v/>
      </c>
      <c r="AP290" s="136">
        <f t="shared" ca="1" si="71"/>
        <v>1.2289442498776955E-2</v>
      </c>
      <c r="AQ290" s="136">
        <f t="shared" ca="1" si="72"/>
        <v>0.13784899188151567</v>
      </c>
      <c r="AR290" s="136">
        <f t="shared" ca="1" si="73"/>
        <v>5.7016658604472901E-4</v>
      </c>
      <c r="AS290" s="136">
        <f t="shared" ca="1" si="74"/>
        <v>7.0402994073902453E-5</v>
      </c>
    </row>
    <row r="291" spans="9:45" ht="15" hidden="1" customHeight="1" x14ac:dyDescent="0.2">
      <c r="I291" s="74">
        <v>650</v>
      </c>
      <c r="J291" s="137">
        <v>0.107</v>
      </c>
      <c r="L291" s="74">
        <v>650</v>
      </c>
      <c r="M291" s="137"/>
      <c r="N291" s="137">
        <v>1.3766E-2</v>
      </c>
      <c r="O291" s="137">
        <v>0.149509</v>
      </c>
      <c r="P291" s="136">
        <v>6.7699999999999998E-4</v>
      </c>
      <c r="Q291" s="137">
        <v>8.6575099999999997E-5</v>
      </c>
      <c r="S291" s="74">
        <v>650</v>
      </c>
      <c r="T291" s="137">
        <v>1.5676676628449331E-7</v>
      </c>
      <c r="U291" s="137">
        <v>2.145448035352944E-2</v>
      </c>
      <c r="V291" s="137">
        <v>0.17433757470122963</v>
      </c>
      <c r="W291" s="136">
        <v>7.1688253492348762E-4</v>
      </c>
      <c r="X291" s="137">
        <v>8.6575099629054617E-5</v>
      </c>
      <c r="Z291" s="74">
        <v>650</v>
      </c>
      <c r="AA291" s="137">
        <f t="shared" ca="1" si="60"/>
        <v>0</v>
      </c>
      <c r="AB291" s="137">
        <f t="shared" ca="1" si="61"/>
        <v>1.3766E-2</v>
      </c>
      <c r="AC291" s="137">
        <f t="shared" ca="1" si="62"/>
        <v>0.149509</v>
      </c>
      <c r="AD291" s="137">
        <f t="shared" ca="1" si="63"/>
        <v>6.7699999999999998E-4</v>
      </c>
      <c r="AE291" s="137">
        <f t="shared" ca="1" si="64"/>
        <v>8.6575099999999997E-5</v>
      </c>
      <c r="AG291" s="74">
        <v>650</v>
      </c>
      <c r="AH291" s="136">
        <f t="shared" ca="1" si="65"/>
        <v>0</v>
      </c>
      <c r="AI291" s="136">
        <f t="shared" ca="1" si="66"/>
        <v>2.1178461538461539E-5</v>
      </c>
      <c r="AJ291" s="136">
        <f t="shared" ca="1" si="67"/>
        <v>2.3001384615384615E-4</v>
      </c>
      <c r="AK291" s="136">
        <f t="shared" ca="1" si="68"/>
        <v>1.0415384615384616E-6</v>
      </c>
      <c r="AL291" s="136">
        <f t="shared" ca="1" si="69"/>
        <v>1.3319246153846154E-7</v>
      </c>
      <c r="AN291" s="74">
        <v>650</v>
      </c>
      <c r="AO291" s="136" t="str">
        <f t="shared" ca="1" si="70"/>
        <v/>
      </c>
      <c r="AP291" s="136">
        <f t="shared" ca="1" si="71"/>
        <v>1.1448607792499413E-2</v>
      </c>
      <c r="AQ291" s="136">
        <f t="shared" ca="1" si="72"/>
        <v>0.13035161530676481</v>
      </c>
      <c r="AR291" s="136">
        <f t="shared" ca="1" si="73"/>
        <v>5.2651492940359538E-4</v>
      </c>
      <c r="AS291" s="136">
        <f t="shared" ca="1" si="74"/>
        <v>6.5127655520566188E-5</v>
      </c>
    </row>
    <row r="292" spans="9:45" ht="15" hidden="1" customHeight="1" x14ac:dyDescent="0.2">
      <c r="I292" s="74">
        <v>651</v>
      </c>
      <c r="J292" s="137">
        <v>0.1014762</v>
      </c>
      <c r="L292" s="74">
        <v>651</v>
      </c>
      <c r="M292" s="137"/>
      <c r="N292" s="137">
        <v>1.28246E-2</v>
      </c>
      <c r="O292" s="137">
        <v>0.14147000000000001</v>
      </c>
      <c r="P292" s="136">
        <v>6.2600000000000004E-4</v>
      </c>
      <c r="Q292" s="137">
        <v>8.0240499999999999E-5</v>
      </c>
      <c r="S292" s="74">
        <v>651</v>
      </c>
      <c r="T292" s="137">
        <v>1.4663917209737126E-7</v>
      </c>
      <c r="U292" s="137">
        <v>1.9908108545794126E-2</v>
      </c>
      <c r="V292" s="137">
        <v>0.16549237933837413</v>
      </c>
      <c r="W292" s="136">
        <v>6.628099204569988E-4</v>
      </c>
      <c r="X292" s="137">
        <v>8.0199562656492357E-5</v>
      </c>
      <c r="Z292" s="74">
        <v>651</v>
      </c>
      <c r="AA292" s="137">
        <f t="shared" ca="1" si="60"/>
        <v>0</v>
      </c>
      <c r="AB292" s="137">
        <f t="shared" ca="1" si="61"/>
        <v>1.28246E-2</v>
      </c>
      <c r="AC292" s="137">
        <f t="shared" ca="1" si="62"/>
        <v>0.14147000000000001</v>
      </c>
      <c r="AD292" s="137">
        <f t="shared" ca="1" si="63"/>
        <v>6.2600000000000004E-4</v>
      </c>
      <c r="AE292" s="137">
        <f t="shared" ca="1" si="64"/>
        <v>8.0240499999999999E-5</v>
      </c>
      <c r="AG292" s="74">
        <v>651</v>
      </c>
      <c r="AH292" s="136">
        <f t="shared" ca="1" si="65"/>
        <v>0</v>
      </c>
      <c r="AI292" s="136">
        <f t="shared" ca="1" si="66"/>
        <v>1.9699846390168973E-5</v>
      </c>
      <c r="AJ292" s="136">
        <f t="shared" ca="1" si="67"/>
        <v>2.1731182795698927E-4</v>
      </c>
      <c r="AK292" s="136">
        <f t="shared" ca="1" si="68"/>
        <v>9.6159754224270354E-7</v>
      </c>
      <c r="AL292" s="136">
        <f t="shared" ca="1" si="69"/>
        <v>1.2325729646697389E-7</v>
      </c>
      <c r="AN292" s="74">
        <v>651</v>
      </c>
      <c r="AO292" s="136" t="str">
        <f t="shared" ca="1" si="70"/>
        <v/>
      </c>
      <c r="AP292" s="136">
        <f t="shared" ca="1" si="71"/>
        <v>1.0649301153624471E-2</v>
      </c>
      <c r="AQ292" s="136">
        <f t="shared" ca="1" si="72"/>
        <v>0.12315322869960044</v>
      </c>
      <c r="AR292" s="136">
        <f t="shared" ca="1" si="73"/>
        <v>4.8610347170543891E-4</v>
      </c>
      <c r="AS292" s="136">
        <f t="shared" ca="1" si="74"/>
        <v>6.0269617754450115E-5</v>
      </c>
    </row>
    <row r="293" spans="9:45" ht="15" hidden="1" customHeight="1" x14ac:dyDescent="0.2">
      <c r="I293" s="74">
        <v>652</v>
      </c>
      <c r="J293" s="137">
        <v>9.6188640000000006E-2</v>
      </c>
      <c r="L293" s="74">
        <v>652</v>
      </c>
      <c r="M293" s="137"/>
      <c r="N293" s="137">
        <v>1.1930400000000001E-2</v>
      </c>
      <c r="O293" s="137">
        <v>0.13375999999999999</v>
      </c>
      <c r="P293" s="136">
        <v>5.7899999999999998E-4</v>
      </c>
      <c r="Q293" s="137">
        <v>7.4338299999999999E-5</v>
      </c>
      <c r="S293" s="74">
        <v>652</v>
      </c>
      <c r="T293" s="137">
        <v>1.3719427847150849E-7</v>
      </c>
      <c r="U293" s="137">
        <v>1.846906883784178E-2</v>
      </c>
      <c r="V293" s="137">
        <v>0.15696506347543038</v>
      </c>
      <c r="W293" s="136">
        <v>6.1293299410783246E-4</v>
      </c>
      <c r="X293" s="137">
        <v>7.431029750008888E-5</v>
      </c>
      <c r="Z293" s="74">
        <v>652</v>
      </c>
      <c r="AA293" s="137">
        <f t="shared" ca="1" si="60"/>
        <v>0</v>
      </c>
      <c r="AB293" s="137">
        <f t="shared" ca="1" si="61"/>
        <v>1.1930400000000001E-2</v>
      </c>
      <c r="AC293" s="137">
        <f t="shared" ca="1" si="62"/>
        <v>0.13375999999999999</v>
      </c>
      <c r="AD293" s="137">
        <f t="shared" ca="1" si="63"/>
        <v>5.7899999999999998E-4</v>
      </c>
      <c r="AE293" s="137">
        <f t="shared" ca="1" si="64"/>
        <v>7.4338299999999999E-5</v>
      </c>
      <c r="AG293" s="74">
        <v>652</v>
      </c>
      <c r="AH293" s="136">
        <f t="shared" ca="1" si="65"/>
        <v>0</v>
      </c>
      <c r="AI293" s="136">
        <f t="shared" ca="1" si="66"/>
        <v>1.8298159509202454E-5</v>
      </c>
      <c r="AJ293" s="136">
        <f t="shared" ca="1" si="67"/>
        <v>2.0515337423312883E-4</v>
      </c>
      <c r="AK293" s="136">
        <f t="shared" ca="1" si="68"/>
        <v>8.8803680981595088E-7</v>
      </c>
      <c r="AL293" s="136">
        <f t="shared" ca="1" si="69"/>
        <v>1.1401579754601227E-7</v>
      </c>
      <c r="AN293" s="74">
        <v>652</v>
      </c>
      <c r="AO293" s="136" t="str">
        <f t="shared" ca="1" si="70"/>
        <v/>
      </c>
      <c r="AP293" s="136">
        <f t="shared" ca="1" si="71"/>
        <v>9.8915802342397271E-3</v>
      </c>
      <c r="AQ293" s="136">
        <f t="shared" ca="1" si="72"/>
        <v>0.11626288662220347</v>
      </c>
      <c r="AR293" s="136">
        <f t="shared" ca="1" si="73"/>
        <v>4.4891730405941747E-4</v>
      </c>
      <c r="AS293" s="136">
        <f t="shared" ca="1" si="74"/>
        <v>5.5750764725787753E-5</v>
      </c>
    </row>
    <row r="294" spans="9:45" ht="15" hidden="1" customHeight="1" x14ac:dyDescent="0.2">
      <c r="I294" s="74">
        <v>653</v>
      </c>
      <c r="J294" s="137">
        <v>9.1122960000000003E-2</v>
      </c>
      <c r="L294" s="74">
        <v>653</v>
      </c>
      <c r="M294" s="137"/>
      <c r="N294" s="137">
        <v>1.1084999999999999E-2</v>
      </c>
      <c r="O294" s="137">
        <v>0.126383</v>
      </c>
      <c r="P294" s="136">
        <v>5.3600000000000002E-4</v>
      </c>
      <c r="Q294" s="137">
        <v>6.8864999999999999E-5</v>
      </c>
      <c r="S294" s="74">
        <v>653</v>
      </c>
      <c r="T294" s="137">
        <v>1.2838462000438884E-7</v>
      </c>
      <c r="U294" s="137">
        <v>1.7130577342417456E-2</v>
      </c>
      <c r="V294" s="137">
        <v>0.14875411893946028</v>
      </c>
      <c r="W294" s="136">
        <v>5.6692159458806906E-4</v>
      </c>
      <c r="X294" s="137">
        <v>6.8868718219913141E-5</v>
      </c>
      <c r="Z294" s="74">
        <v>653</v>
      </c>
      <c r="AA294" s="137">
        <f t="shared" ca="1" si="60"/>
        <v>0</v>
      </c>
      <c r="AB294" s="137">
        <f t="shared" ca="1" si="61"/>
        <v>1.1084999999999999E-2</v>
      </c>
      <c r="AC294" s="137">
        <f t="shared" ca="1" si="62"/>
        <v>0.126383</v>
      </c>
      <c r="AD294" s="137">
        <f t="shared" ca="1" si="63"/>
        <v>5.3600000000000002E-4</v>
      </c>
      <c r="AE294" s="137">
        <f t="shared" ca="1" si="64"/>
        <v>6.8864999999999999E-5</v>
      </c>
      <c r="AG294" s="74">
        <v>653</v>
      </c>
      <c r="AH294" s="136">
        <f t="shared" ca="1" si="65"/>
        <v>0</v>
      </c>
      <c r="AI294" s="136">
        <f t="shared" ca="1" si="66"/>
        <v>1.6975497702909646E-5</v>
      </c>
      <c r="AJ294" s="136">
        <f t="shared" ca="1" si="67"/>
        <v>1.9354211332312405E-4</v>
      </c>
      <c r="AK294" s="136">
        <f t="shared" ca="1" si="68"/>
        <v>8.2082695252679942E-7</v>
      </c>
      <c r="AL294" s="136">
        <f t="shared" ca="1" si="69"/>
        <v>1.054594180704441E-7</v>
      </c>
      <c r="AN294" s="74">
        <v>653</v>
      </c>
      <c r="AO294" s="136" t="str">
        <f t="shared" ca="1" si="70"/>
        <v/>
      </c>
      <c r="AP294" s="136">
        <f t="shared" ca="1" si="71"/>
        <v>9.1765785220112393E-3</v>
      </c>
      <c r="AQ294" s="136">
        <f t="shared" ca="1" si="72"/>
        <v>0.10968264529901342</v>
      </c>
      <c r="AR294" s="136">
        <f t="shared" ca="1" si="73"/>
        <v>4.1494160890020754E-4</v>
      </c>
      <c r="AS294" s="136">
        <f t="shared" ca="1" si="74"/>
        <v>5.1566917317673523E-5</v>
      </c>
    </row>
    <row r="295" spans="9:45" ht="15" hidden="1" customHeight="1" x14ac:dyDescent="0.2">
      <c r="I295" s="74">
        <v>654</v>
      </c>
      <c r="J295" s="137">
        <v>8.6264850000000004E-2</v>
      </c>
      <c r="L295" s="74">
        <v>654</v>
      </c>
      <c r="M295" s="137"/>
      <c r="N295" s="137">
        <v>1.02892E-2</v>
      </c>
      <c r="O295" s="137">
        <v>0.119343</v>
      </c>
      <c r="P295" s="136">
        <v>4.9600000000000002E-4</v>
      </c>
      <c r="Q295" s="137">
        <v>6.3817200000000003E-5</v>
      </c>
      <c r="S295" s="74">
        <v>654</v>
      </c>
      <c r="T295" s="137">
        <v>1.2016527923817409E-7</v>
      </c>
      <c r="U295" s="137">
        <v>1.5886125897153429E-2</v>
      </c>
      <c r="V295" s="137">
        <v>0.14085750775880887</v>
      </c>
      <c r="W295" s="136">
        <v>5.2446679816125228E-4</v>
      </c>
      <c r="X295" s="137">
        <v>6.3839870886364187E-5</v>
      </c>
      <c r="Z295" s="74">
        <v>654</v>
      </c>
      <c r="AA295" s="137">
        <f t="shared" ca="1" si="60"/>
        <v>0</v>
      </c>
      <c r="AB295" s="137">
        <f t="shared" ca="1" si="61"/>
        <v>1.02892E-2</v>
      </c>
      <c r="AC295" s="137">
        <f t="shared" ca="1" si="62"/>
        <v>0.119343</v>
      </c>
      <c r="AD295" s="137">
        <f t="shared" ca="1" si="63"/>
        <v>4.9600000000000002E-4</v>
      </c>
      <c r="AE295" s="137">
        <f t="shared" ca="1" si="64"/>
        <v>6.3817200000000003E-5</v>
      </c>
      <c r="AG295" s="74">
        <v>654</v>
      </c>
      <c r="AH295" s="136">
        <f t="shared" ca="1" si="65"/>
        <v>0</v>
      </c>
      <c r="AI295" s="136">
        <f t="shared" ca="1" si="66"/>
        <v>1.5732721712538227E-5</v>
      </c>
      <c r="AJ295" s="136">
        <f t="shared" ca="1" si="67"/>
        <v>1.824816513761468E-4</v>
      </c>
      <c r="AK295" s="136">
        <f t="shared" ca="1" si="68"/>
        <v>7.584097859327217E-7</v>
      </c>
      <c r="AL295" s="136">
        <f t="shared" ca="1" si="69"/>
        <v>9.7579816513761467E-8</v>
      </c>
      <c r="AN295" s="74">
        <v>654</v>
      </c>
      <c r="AO295" s="136" t="str">
        <f t="shared" ca="1" si="70"/>
        <v/>
      </c>
      <c r="AP295" s="136">
        <f t="shared" ca="1" si="71"/>
        <v>8.5047613146159665E-3</v>
      </c>
      <c r="AQ295" s="136">
        <f t="shared" ca="1" si="72"/>
        <v>0.10341454837817342</v>
      </c>
      <c r="AR295" s="136">
        <f t="shared" ca="1" si="73"/>
        <v>3.8338869820470583E-4</v>
      </c>
      <c r="AS295" s="136">
        <f t="shared" ca="1" si="74"/>
        <v>4.7713996740222113E-5</v>
      </c>
    </row>
    <row r="296" spans="9:45" ht="15" hidden="1" customHeight="1" x14ac:dyDescent="0.2">
      <c r="I296" s="74">
        <v>655</v>
      </c>
      <c r="J296" s="137">
        <v>8.1600000000000006E-2</v>
      </c>
      <c r="L296" s="74">
        <v>655</v>
      </c>
      <c r="M296" s="137"/>
      <c r="N296" s="137">
        <v>9.5431500000000002E-3</v>
      </c>
      <c r="O296" s="137">
        <v>0.112638</v>
      </c>
      <c r="P296" s="136">
        <v>4.5899999999999999E-4</v>
      </c>
      <c r="Q296" s="137">
        <v>5.9191399999999997E-5</v>
      </c>
      <c r="S296" s="74">
        <v>655</v>
      </c>
      <c r="T296" s="137">
        <v>1.1249572009304629E-7</v>
      </c>
      <c r="U296" s="137">
        <v>1.4729635503005559E-2</v>
      </c>
      <c r="V296" s="137">
        <v>0.13327294664116671</v>
      </c>
      <c r="W296" s="136">
        <v>4.8528738274534089E-4</v>
      </c>
      <c r="X296" s="137">
        <v>5.9191316579990904E-5</v>
      </c>
      <c r="Z296" s="74">
        <v>655</v>
      </c>
      <c r="AA296" s="137">
        <f t="shared" ca="1" si="60"/>
        <v>0</v>
      </c>
      <c r="AB296" s="137">
        <f t="shared" ca="1" si="61"/>
        <v>9.5431500000000002E-3</v>
      </c>
      <c r="AC296" s="137">
        <f t="shared" ca="1" si="62"/>
        <v>0.112638</v>
      </c>
      <c r="AD296" s="137">
        <f t="shared" ca="1" si="63"/>
        <v>4.5899999999999999E-4</v>
      </c>
      <c r="AE296" s="137">
        <f t="shared" ca="1" si="64"/>
        <v>5.9191399999999997E-5</v>
      </c>
      <c r="AG296" s="74">
        <v>655</v>
      </c>
      <c r="AH296" s="136">
        <f t="shared" ca="1" si="65"/>
        <v>0</v>
      </c>
      <c r="AI296" s="136">
        <f t="shared" ca="1" si="66"/>
        <v>1.456969465648855E-5</v>
      </c>
      <c r="AJ296" s="136">
        <f t="shared" ca="1" si="67"/>
        <v>1.7196641221374045E-4</v>
      </c>
      <c r="AK296" s="136">
        <f t="shared" ca="1" si="68"/>
        <v>7.0076335877862592E-7</v>
      </c>
      <c r="AL296" s="136">
        <f t="shared" ca="1" si="69"/>
        <v>9.0368549618320603E-8</v>
      </c>
      <c r="AN296" s="74">
        <v>655</v>
      </c>
      <c r="AO296" s="136" t="str">
        <f t="shared" ca="1" si="70"/>
        <v/>
      </c>
      <c r="AP296" s="136">
        <f t="shared" ca="1" si="71"/>
        <v>7.876054616889271E-3</v>
      </c>
      <c r="AQ296" s="136">
        <f t="shared" ca="1" si="72"/>
        <v>9.7455435772231272E-2</v>
      </c>
      <c r="AR296" s="136">
        <f t="shared" ca="1" si="73"/>
        <v>3.54247475250178E-4</v>
      </c>
      <c r="AS296" s="136">
        <f t="shared" ca="1" si="74"/>
        <v>4.4187874459664099E-5</v>
      </c>
    </row>
    <row r="297" spans="9:45" ht="15" hidden="1" customHeight="1" x14ac:dyDescent="0.2">
      <c r="I297" s="74">
        <v>656</v>
      </c>
      <c r="J297" s="137">
        <v>7.7120640000000004E-2</v>
      </c>
      <c r="L297" s="74">
        <v>656</v>
      </c>
      <c r="M297" s="137"/>
      <c r="N297" s="137">
        <v>8.8460899999999992E-3</v>
      </c>
      <c r="O297" s="137">
        <v>0.106264</v>
      </c>
      <c r="P297" s="136">
        <v>4.2499999999999998E-4</v>
      </c>
      <c r="Q297" s="137">
        <v>5.4920300000000003E-5</v>
      </c>
      <c r="S297" s="74">
        <v>656</v>
      </c>
      <c r="T297" s="137">
        <v>1.0533701322331905E-7</v>
      </c>
      <c r="U297" s="137">
        <v>1.3655323713645593E-2</v>
      </c>
      <c r="V297" s="137">
        <v>0.1259966505089557</v>
      </c>
      <c r="W297" s="136">
        <v>4.4912476192593138E-4</v>
      </c>
      <c r="X297" s="137">
        <v>5.4893636230180422E-5</v>
      </c>
      <c r="Z297" s="74">
        <v>656</v>
      </c>
      <c r="AA297" s="137">
        <f t="shared" ca="1" si="60"/>
        <v>0</v>
      </c>
      <c r="AB297" s="137">
        <f t="shared" ca="1" si="61"/>
        <v>8.8460899999999992E-3</v>
      </c>
      <c r="AC297" s="137">
        <f t="shared" ca="1" si="62"/>
        <v>0.106264</v>
      </c>
      <c r="AD297" s="137">
        <f t="shared" ca="1" si="63"/>
        <v>4.2499999999999998E-4</v>
      </c>
      <c r="AE297" s="137">
        <f t="shared" ca="1" si="64"/>
        <v>5.4920300000000003E-5</v>
      </c>
      <c r="AG297" s="74">
        <v>656</v>
      </c>
      <c r="AH297" s="136">
        <f t="shared" ca="1" si="65"/>
        <v>0</v>
      </c>
      <c r="AI297" s="136">
        <f t="shared" ca="1" si="66"/>
        <v>1.3484893292682925E-5</v>
      </c>
      <c r="AJ297" s="136">
        <f t="shared" ca="1" si="67"/>
        <v>1.6198780487804878E-4</v>
      </c>
      <c r="AK297" s="136">
        <f t="shared" ca="1" si="68"/>
        <v>6.4786585365853655E-7</v>
      </c>
      <c r="AL297" s="136">
        <f t="shared" ca="1" si="69"/>
        <v>8.3719969512195124E-8</v>
      </c>
      <c r="AN297" s="74">
        <v>656</v>
      </c>
      <c r="AO297" s="136" t="str">
        <f t="shared" ca="1" si="70"/>
        <v/>
      </c>
      <c r="AP297" s="136">
        <f t="shared" ca="1" si="71"/>
        <v>7.2896349978614937E-3</v>
      </c>
      <c r="AQ297" s="136">
        <f t="shared" ca="1" si="72"/>
        <v>9.1800438881959961E-2</v>
      </c>
      <c r="AR297" s="136">
        <f t="shared" ca="1" si="73"/>
        <v>3.275069109768329E-4</v>
      </c>
      <c r="AS297" s="136">
        <f t="shared" ca="1" si="74"/>
        <v>4.0936891409639221E-5</v>
      </c>
    </row>
    <row r="298" spans="9:45" ht="15" hidden="1" customHeight="1" x14ac:dyDescent="0.2">
      <c r="I298" s="74">
        <v>657</v>
      </c>
      <c r="J298" s="137">
        <v>7.2825520000000005E-2</v>
      </c>
      <c r="L298" s="74">
        <v>657</v>
      </c>
      <c r="M298" s="137"/>
      <c r="N298" s="137">
        <v>8.1960000000000002E-3</v>
      </c>
      <c r="O298" s="137">
        <v>0.10020800000000001</v>
      </c>
      <c r="P298" s="138">
        <v>3.9350000000000002E-4</v>
      </c>
      <c r="Q298" s="137">
        <v>5.0937399999999998E-5</v>
      </c>
      <c r="S298" s="74">
        <v>657</v>
      </c>
      <c r="T298" s="137">
        <v>9.8654295593925661E-8</v>
      </c>
      <c r="U298" s="137">
        <v>1.2657705880032167E-2</v>
      </c>
      <c r="V298" s="137">
        <v>0.11902494788746139</v>
      </c>
      <c r="W298" s="138">
        <v>4.15739222962883E-4</v>
      </c>
      <c r="X298" s="137">
        <v>5.0919132963291498E-5</v>
      </c>
      <c r="Z298" s="74">
        <v>657</v>
      </c>
      <c r="AA298" s="137">
        <f t="shared" ca="1" si="60"/>
        <v>0</v>
      </c>
      <c r="AB298" s="137">
        <f t="shared" ca="1" si="61"/>
        <v>8.1960000000000002E-3</v>
      </c>
      <c r="AC298" s="137">
        <f t="shared" ca="1" si="62"/>
        <v>0.10020800000000001</v>
      </c>
      <c r="AD298" s="137">
        <f t="shared" ca="1" si="63"/>
        <v>3.9350000000000002E-4</v>
      </c>
      <c r="AE298" s="137">
        <f t="shared" ca="1" si="64"/>
        <v>5.0937399999999998E-5</v>
      </c>
      <c r="AG298" s="74">
        <v>657</v>
      </c>
      <c r="AH298" s="136">
        <f t="shared" ca="1" si="65"/>
        <v>0</v>
      </c>
      <c r="AI298" s="136">
        <f t="shared" ca="1" si="66"/>
        <v>1.2474885844748859E-5</v>
      </c>
      <c r="AJ298" s="136">
        <f t="shared" ca="1" si="67"/>
        <v>1.5252359208523593E-4</v>
      </c>
      <c r="AK298" s="136">
        <f t="shared" ca="1" si="68"/>
        <v>5.9893455098934556E-7</v>
      </c>
      <c r="AL298" s="136">
        <f t="shared" ca="1" si="69"/>
        <v>7.7530289193302894E-8</v>
      </c>
      <c r="AN298" s="74">
        <v>657</v>
      </c>
      <c r="AO298" s="136" t="str">
        <f t="shared" ca="1" si="70"/>
        <v/>
      </c>
      <c r="AP298" s="136">
        <f t="shared" ca="1" si="71"/>
        <v>6.7436473151442728E-3</v>
      </c>
      <c r="AQ298" s="136">
        <f t="shared" ca="1" si="72"/>
        <v>8.6436955570938112E-2</v>
      </c>
      <c r="AR298" s="136">
        <f t="shared" ca="1" si="73"/>
        <v>3.0277132768167516E-4</v>
      </c>
      <c r="AS298" s="136">
        <f t="shared" ca="1" si="74"/>
        <v>3.7910298440825934E-5</v>
      </c>
    </row>
    <row r="299" spans="9:45" ht="15" hidden="1" customHeight="1" x14ac:dyDescent="0.2">
      <c r="I299" s="74">
        <v>658</v>
      </c>
      <c r="J299" s="137">
        <v>6.8710080000000007E-2</v>
      </c>
      <c r="L299" s="74">
        <v>658</v>
      </c>
      <c r="M299" s="137"/>
      <c r="N299" s="137">
        <v>7.5905900000000004E-3</v>
      </c>
      <c r="O299" s="137">
        <v>9.4455800000000006E-2</v>
      </c>
      <c r="P299" s="138">
        <v>3.6450000000000002E-4</v>
      </c>
      <c r="Q299" s="137">
        <v>4.7240400000000003E-5</v>
      </c>
      <c r="S299" s="74">
        <v>658</v>
      </c>
      <c r="T299" s="137">
        <v>9.2414262067542732E-8</v>
      </c>
      <c r="U299" s="137">
        <v>1.1731620344060426E-2</v>
      </c>
      <c r="V299" s="137">
        <v>0.1123530845313576</v>
      </c>
      <c r="W299" s="138">
        <v>3.849142592979132E-4</v>
      </c>
      <c r="X299" s="137">
        <v>4.7242949073575208E-5</v>
      </c>
      <c r="Z299" s="74">
        <v>658</v>
      </c>
      <c r="AA299" s="137">
        <f t="shared" ca="1" si="60"/>
        <v>0</v>
      </c>
      <c r="AB299" s="137">
        <f t="shared" ca="1" si="61"/>
        <v>7.5905900000000004E-3</v>
      </c>
      <c r="AC299" s="137">
        <f t="shared" ca="1" si="62"/>
        <v>9.4455800000000006E-2</v>
      </c>
      <c r="AD299" s="137">
        <f t="shared" ca="1" si="63"/>
        <v>3.6450000000000002E-4</v>
      </c>
      <c r="AE299" s="137">
        <f t="shared" ca="1" si="64"/>
        <v>4.7240400000000003E-5</v>
      </c>
      <c r="AG299" s="74">
        <v>658</v>
      </c>
      <c r="AH299" s="136">
        <f t="shared" ca="1" si="65"/>
        <v>0</v>
      </c>
      <c r="AI299" s="136">
        <f t="shared" ca="1" si="66"/>
        <v>1.1535851063829787E-5</v>
      </c>
      <c r="AJ299" s="136">
        <f t="shared" ca="1" si="67"/>
        <v>1.4354984802431611E-4</v>
      </c>
      <c r="AK299" s="136">
        <f t="shared" ca="1" si="68"/>
        <v>5.5395136778115506E-7</v>
      </c>
      <c r="AL299" s="136">
        <f t="shared" ca="1" si="69"/>
        <v>7.1793920972644375E-8</v>
      </c>
      <c r="AN299" s="74">
        <v>658</v>
      </c>
      <c r="AO299" s="136" t="str">
        <f t="shared" ca="1" si="70"/>
        <v/>
      </c>
      <c r="AP299" s="136">
        <f t="shared" ca="1" si="71"/>
        <v>6.2360258861403695E-3</v>
      </c>
      <c r="AQ299" s="136">
        <f t="shared" ca="1" si="72"/>
        <v>8.1351426794083539E-2</v>
      </c>
      <c r="AR299" s="136">
        <f t="shared" ca="1" si="73"/>
        <v>2.8003158411404427E-4</v>
      </c>
      <c r="AS299" s="136">
        <f t="shared" ca="1" si="74"/>
        <v>3.5105363318380667E-5</v>
      </c>
    </row>
    <row r="300" spans="9:45" ht="15" hidden="1" customHeight="1" x14ac:dyDescent="0.2">
      <c r="I300" s="74">
        <v>659</v>
      </c>
      <c r="J300" s="137">
        <v>6.4769759999999996E-2</v>
      </c>
      <c r="L300" s="74">
        <v>659</v>
      </c>
      <c r="M300" s="137"/>
      <c r="N300" s="137">
        <v>7.0275399999999997E-3</v>
      </c>
      <c r="O300" s="137">
        <v>8.89934E-2</v>
      </c>
      <c r="P300" s="138">
        <v>3.3770000000000002E-4</v>
      </c>
      <c r="Q300" s="137">
        <v>4.3826899999999999E-5</v>
      </c>
      <c r="S300" s="74">
        <v>659</v>
      </c>
      <c r="T300" s="137">
        <v>8.6586263754711352E-8</v>
      </c>
      <c r="U300" s="137">
        <v>1.0872239231616605E-2</v>
      </c>
      <c r="V300" s="137">
        <v>0.10597587230379039</v>
      </c>
      <c r="W300" s="138">
        <v>3.564462089058644E-4</v>
      </c>
      <c r="X300" s="137">
        <v>4.3841862937573099E-5</v>
      </c>
      <c r="Z300" s="74">
        <v>659</v>
      </c>
      <c r="AA300" s="137">
        <f t="shared" ca="1" si="60"/>
        <v>0</v>
      </c>
      <c r="AB300" s="137">
        <f t="shared" ca="1" si="61"/>
        <v>7.0275399999999997E-3</v>
      </c>
      <c r="AC300" s="137">
        <f t="shared" ca="1" si="62"/>
        <v>8.89934E-2</v>
      </c>
      <c r="AD300" s="137">
        <f t="shared" ca="1" si="63"/>
        <v>3.3770000000000002E-4</v>
      </c>
      <c r="AE300" s="137">
        <f t="shared" ca="1" si="64"/>
        <v>4.3826899999999999E-5</v>
      </c>
      <c r="AG300" s="74">
        <v>659</v>
      </c>
      <c r="AH300" s="136">
        <f t="shared" ca="1" si="65"/>
        <v>0</v>
      </c>
      <c r="AI300" s="136">
        <f t="shared" ca="1" si="66"/>
        <v>1.0663945371775416E-5</v>
      </c>
      <c r="AJ300" s="136">
        <f t="shared" ca="1" si="67"/>
        <v>1.3504309559939301E-4</v>
      </c>
      <c r="AK300" s="136">
        <f t="shared" ca="1" si="68"/>
        <v>5.1244309559939302E-7</v>
      </c>
      <c r="AL300" s="136">
        <f t="shared" ca="1" si="69"/>
        <v>6.6505159332321697E-8</v>
      </c>
      <c r="AN300" s="74">
        <v>659</v>
      </c>
      <c r="AO300" s="136" t="str">
        <f t="shared" ca="1" si="70"/>
        <v/>
      </c>
      <c r="AP300" s="136">
        <f t="shared" ca="1" si="71"/>
        <v>5.7646929575303251E-3</v>
      </c>
      <c r="AQ300" s="136">
        <f t="shared" ca="1" si="72"/>
        <v>7.6530547798556503E-2</v>
      </c>
      <c r="AR300" s="136">
        <f t="shared" ca="1" si="73"/>
        <v>2.5904846557883059E-4</v>
      </c>
      <c r="AS300" s="136">
        <f t="shared" ca="1" si="74"/>
        <v>3.2519296192187826E-5</v>
      </c>
    </row>
    <row r="301" spans="9:45" ht="15" hidden="1" customHeight="1" x14ac:dyDescent="0.2">
      <c r="I301" s="74">
        <v>660</v>
      </c>
      <c r="J301" s="137">
        <v>6.0999999999999999E-2</v>
      </c>
      <c r="L301" s="74">
        <v>660</v>
      </c>
      <c r="M301" s="137"/>
      <c r="N301" s="137">
        <v>6.5045499999999996E-3</v>
      </c>
      <c r="O301" s="137">
        <v>8.3807699999999999E-2</v>
      </c>
      <c r="P301" s="138">
        <v>3.1290000000000002E-4</v>
      </c>
      <c r="Q301" s="137">
        <v>4.0694500000000001E-5</v>
      </c>
      <c r="S301" s="74">
        <v>660</v>
      </c>
      <c r="T301" s="137">
        <v>8.1142428219833972E-8</v>
      </c>
      <c r="U301" s="137">
        <v>1.0074952331437896E-2</v>
      </c>
      <c r="V301" s="137">
        <v>9.9887006957201027E-2</v>
      </c>
      <c r="W301" s="138">
        <v>3.3015129111673889E-4</v>
      </c>
      <c r="X301" s="137">
        <v>4.0694526535078139E-5</v>
      </c>
      <c r="Z301" s="74">
        <v>660</v>
      </c>
      <c r="AA301" s="137">
        <f t="shared" ca="1" si="60"/>
        <v>0</v>
      </c>
      <c r="AB301" s="137">
        <f t="shared" ca="1" si="61"/>
        <v>6.5045499999999996E-3</v>
      </c>
      <c r="AC301" s="137">
        <f t="shared" ca="1" si="62"/>
        <v>8.3807699999999999E-2</v>
      </c>
      <c r="AD301" s="137">
        <f t="shared" ca="1" si="63"/>
        <v>3.1290000000000002E-4</v>
      </c>
      <c r="AE301" s="137">
        <f t="shared" ca="1" si="64"/>
        <v>4.0694500000000001E-5</v>
      </c>
      <c r="AG301" s="74">
        <v>660</v>
      </c>
      <c r="AH301" s="136">
        <f t="shared" ca="1" si="65"/>
        <v>0</v>
      </c>
      <c r="AI301" s="136">
        <f t="shared" ca="1" si="66"/>
        <v>9.8553787878787873E-6</v>
      </c>
      <c r="AJ301" s="136">
        <f t="shared" ca="1" si="67"/>
        <v>1.2698136363636364E-4</v>
      </c>
      <c r="AK301" s="136">
        <f t="shared" ca="1" si="68"/>
        <v>4.7409090909090913E-7</v>
      </c>
      <c r="AL301" s="136">
        <f t="shared" ca="1" si="69"/>
        <v>6.1658333333333338E-8</v>
      </c>
      <c r="AN301" s="74">
        <v>660</v>
      </c>
      <c r="AO301" s="136" t="str">
        <f t="shared" ca="1" si="70"/>
        <v/>
      </c>
      <c r="AP301" s="136">
        <f t="shared" ca="1" si="71"/>
        <v>5.3275997495868532E-3</v>
      </c>
      <c r="AQ301" s="136">
        <f t="shared" ca="1" si="72"/>
        <v>7.1961867255524406E-2</v>
      </c>
      <c r="AR301" s="136">
        <f t="shared" ca="1" si="73"/>
        <v>2.3966080058356891E-4</v>
      </c>
      <c r="AS301" s="136">
        <f t="shared" ca="1" si="74"/>
        <v>3.0149324120314334E-5</v>
      </c>
    </row>
    <row r="302" spans="9:45" ht="15" hidden="1" customHeight="1" x14ac:dyDescent="0.2">
      <c r="I302" s="74">
        <v>661</v>
      </c>
      <c r="J302" s="137">
        <v>5.7396210000000003E-2</v>
      </c>
      <c r="L302" s="74">
        <v>661</v>
      </c>
      <c r="M302" s="137"/>
      <c r="N302" s="137">
        <v>6.0195200000000004E-3</v>
      </c>
      <c r="O302" s="137">
        <v>7.8886600000000001E-2</v>
      </c>
      <c r="P302" s="138">
        <v>2.901E-4</v>
      </c>
      <c r="Q302" s="137">
        <v>3.7799000000000002E-5</v>
      </c>
      <c r="S302" s="74">
        <v>661</v>
      </c>
      <c r="T302" s="137">
        <v>7.6055915781902148E-8</v>
      </c>
      <c r="U302" s="137">
        <v>9.3355089576387662E-3</v>
      </c>
      <c r="V302" s="137">
        <v>9.4080799632456261E-2</v>
      </c>
      <c r="W302" s="138">
        <v>3.0585810961320978E-4</v>
      </c>
      <c r="X302" s="137">
        <v>3.7781482925051859E-5</v>
      </c>
      <c r="Z302" s="74">
        <v>661</v>
      </c>
      <c r="AA302" s="137">
        <f t="shared" ca="1" si="60"/>
        <v>0</v>
      </c>
      <c r="AB302" s="137">
        <f t="shared" ca="1" si="61"/>
        <v>6.0195200000000004E-3</v>
      </c>
      <c r="AC302" s="137">
        <f t="shared" ca="1" si="62"/>
        <v>7.8886600000000001E-2</v>
      </c>
      <c r="AD302" s="137">
        <f t="shared" ca="1" si="63"/>
        <v>2.901E-4</v>
      </c>
      <c r="AE302" s="137">
        <f t="shared" ca="1" si="64"/>
        <v>3.7799000000000002E-5</v>
      </c>
      <c r="AG302" s="74">
        <v>661</v>
      </c>
      <c r="AH302" s="136">
        <f t="shared" ca="1" si="65"/>
        <v>0</v>
      </c>
      <c r="AI302" s="136">
        <f t="shared" ca="1" si="66"/>
        <v>9.1066868381240551E-6</v>
      </c>
      <c r="AJ302" s="136">
        <f t="shared" ca="1" si="67"/>
        <v>1.1934432677760968E-4</v>
      </c>
      <c r="AK302" s="136">
        <f t="shared" ca="1" si="68"/>
        <v>4.3888048411497729E-7</v>
      </c>
      <c r="AL302" s="136">
        <f t="shared" ca="1" si="69"/>
        <v>5.7184568835098339E-8</v>
      </c>
      <c r="AN302" s="74">
        <v>661</v>
      </c>
      <c r="AO302" s="136" t="str">
        <f t="shared" ca="1" si="70"/>
        <v/>
      </c>
      <c r="AP302" s="136">
        <f t="shared" ca="1" si="71"/>
        <v>4.9228734442989452E-3</v>
      </c>
      <c r="AQ302" s="136">
        <f t="shared" ca="1" si="72"/>
        <v>6.7633866540167314E-2</v>
      </c>
      <c r="AR302" s="136">
        <f t="shared" ca="1" si="73"/>
        <v>2.2186134803806273E-4</v>
      </c>
      <c r="AS302" s="136">
        <f t="shared" ca="1" si="74"/>
        <v>2.7961769436244986E-5</v>
      </c>
    </row>
    <row r="303" spans="9:45" ht="15" hidden="1" customHeight="1" x14ac:dyDescent="0.2">
      <c r="I303" s="74">
        <v>662</v>
      </c>
      <c r="J303" s="137">
        <v>5.3955040000000003E-2</v>
      </c>
      <c r="L303" s="74">
        <v>662</v>
      </c>
      <c r="M303" s="137"/>
      <c r="N303" s="137">
        <v>5.57093E-3</v>
      </c>
      <c r="O303" s="137">
        <v>7.4219199999999999E-2</v>
      </c>
      <c r="P303" s="138">
        <v>2.6889999999999998E-4</v>
      </c>
      <c r="Q303" s="137">
        <v>3.5096599999999999E-5</v>
      </c>
      <c r="S303" s="74">
        <v>662</v>
      </c>
      <c r="T303" s="137">
        <v>7.1302704026596277E-8</v>
      </c>
      <c r="U303" s="137">
        <v>8.6498584392154815E-3</v>
      </c>
      <c r="V303" s="137">
        <v>8.855008858662787E-2</v>
      </c>
      <c r="W303" s="138">
        <v>2.8341119416642893E-4</v>
      </c>
      <c r="X303" s="137">
        <v>3.5084638009833751E-5</v>
      </c>
      <c r="Z303" s="74">
        <v>662</v>
      </c>
      <c r="AA303" s="137">
        <f t="shared" ca="1" si="60"/>
        <v>0</v>
      </c>
      <c r="AB303" s="137">
        <f t="shared" ca="1" si="61"/>
        <v>5.57093E-3</v>
      </c>
      <c r="AC303" s="137">
        <f t="shared" ca="1" si="62"/>
        <v>7.4219199999999999E-2</v>
      </c>
      <c r="AD303" s="137">
        <f t="shared" ca="1" si="63"/>
        <v>2.6889999999999998E-4</v>
      </c>
      <c r="AE303" s="137">
        <f t="shared" ca="1" si="64"/>
        <v>3.5096599999999999E-5</v>
      </c>
      <c r="AG303" s="74">
        <v>662</v>
      </c>
      <c r="AH303" s="136">
        <f t="shared" ca="1" si="65"/>
        <v>0</v>
      </c>
      <c r="AI303" s="136">
        <f t="shared" ca="1" si="66"/>
        <v>8.4153021148036246E-6</v>
      </c>
      <c r="AJ303" s="136">
        <f t="shared" ca="1" si="67"/>
        <v>1.1211359516616314E-4</v>
      </c>
      <c r="AK303" s="136">
        <f t="shared" ca="1" si="68"/>
        <v>4.0619335347432019E-7</v>
      </c>
      <c r="AL303" s="136">
        <f t="shared" ca="1" si="69"/>
        <v>5.3016012084592142E-8</v>
      </c>
      <c r="AN303" s="74">
        <v>662</v>
      </c>
      <c r="AO303" s="136" t="str">
        <f t="shared" ca="1" si="70"/>
        <v/>
      </c>
      <c r="AP303" s="136">
        <f t="shared" ca="1" si="71"/>
        <v>4.5491261578567066E-3</v>
      </c>
      <c r="AQ303" s="136">
        <f t="shared" ca="1" si="72"/>
        <v>6.3536123899181604E-2</v>
      </c>
      <c r="AR303" s="136">
        <f t="shared" ca="1" si="73"/>
        <v>2.0533746253867339E-4</v>
      </c>
      <c r="AS303" s="136">
        <f t="shared" ca="1" si="74"/>
        <v>2.5923453416486603E-5</v>
      </c>
    </row>
    <row r="304" spans="9:45" ht="15" hidden="1" customHeight="1" x14ac:dyDescent="0.2">
      <c r="I304" s="74">
        <v>663</v>
      </c>
      <c r="J304" s="137">
        <v>5.0673759999999998E-2</v>
      </c>
      <c r="L304" s="74">
        <v>663</v>
      </c>
      <c r="M304" s="137"/>
      <c r="N304" s="137">
        <v>5.1572800000000002E-3</v>
      </c>
      <c r="O304" s="137">
        <v>6.9795300000000005E-2</v>
      </c>
      <c r="P304" s="138">
        <v>2.4929999999999999E-4</v>
      </c>
      <c r="Q304" s="137">
        <v>3.2585700000000002E-5</v>
      </c>
      <c r="S304" s="74">
        <v>663</v>
      </c>
      <c r="T304" s="137">
        <v>6.685978874028598E-8</v>
      </c>
      <c r="U304" s="137">
        <v>8.0142336524562548E-3</v>
      </c>
      <c r="V304" s="137">
        <v>8.3287916870308523E-2</v>
      </c>
      <c r="W304" s="138">
        <v>2.6266487475295396E-4</v>
      </c>
      <c r="X304" s="137">
        <v>3.2587421649805611E-5</v>
      </c>
      <c r="Z304" s="74">
        <v>663</v>
      </c>
      <c r="AA304" s="137">
        <f t="shared" ca="1" si="60"/>
        <v>0</v>
      </c>
      <c r="AB304" s="137">
        <f t="shared" ca="1" si="61"/>
        <v>5.1572800000000002E-3</v>
      </c>
      <c r="AC304" s="137">
        <f t="shared" ca="1" si="62"/>
        <v>6.9795300000000005E-2</v>
      </c>
      <c r="AD304" s="137">
        <f t="shared" ca="1" si="63"/>
        <v>2.4929999999999999E-4</v>
      </c>
      <c r="AE304" s="137">
        <f t="shared" ca="1" si="64"/>
        <v>3.2585700000000002E-5</v>
      </c>
      <c r="AG304" s="74">
        <v>663</v>
      </c>
      <c r="AH304" s="136">
        <f t="shared" ca="1" si="65"/>
        <v>0</v>
      </c>
      <c r="AI304" s="136">
        <f t="shared" ca="1" si="66"/>
        <v>7.7787028657616904E-6</v>
      </c>
      <c r="AJ304" s="136">
        <f t="shared" ca="1" si="67"/>
        <v>1.0527194570135748E-4</v>
      </c>
      <c r="AK304" s="136">
        <f t="shared" ca="1" si="68"/>
        <v>3.7601809954751129E-7</v>
      </c>
      <c r="AL304" s="136">
        <f t="shared" ca="1" si="69"/>
        <v>4.9148868778280543E-8</v>
      </c>
      <c r="AN304" s="74">
        <v>663</v>
      </c>
      <c r="AO304" s="136" t="str">
        <f t="shared" ca="1" si="70"/>
        <v/>
      </c>
      <c r="AP304" s="136">
        <f t="shared" ca="1" si="71"/>
        <v>4.2049946868315362E-3</v>
      </c>
      <c r="AQ304" s="136">
        <f t="shared" ca="1" si="72"/>
        <v>5.9658878794103969E-2</v>
      </c>
      <c r="AR304" s="136">
        <f t="shared" ca="1" si="73"/>
        <v>1.9008337228881213E-4</v>
      </c>
      <c r="AS304" s="136">
        <f t="shared" ca="1" si="74"/>
        <v>2.4032520745125192E-5</v>
      </c>
    </row>
    <row r="305" spans="9:45" ht="15" hidden="1" customHeight="1" x14ac:dyDescent="0.2">
      <c r="I305" s="74">
        <v>664</v>
      </c>
      <c r="J305" s="137">
        <v>4.7549649999999999E-2</v>
      </c>
      <c r="L305" s="74">
        <v>664</v>
      </c>
      <c r="M305" s="137"/>
      <c r="N305" s="137">
        <v>4.7768699999999999E-3</v>
      </c>
      <c r="O305" s="137">
        <v>6.5604999999999997E-2</v>
      </c>
      <c r="P305" s="138">
        <v>2.3130000000000001E-4</v>
      </c>
      <c r="Q305" s="137">
        <v>3.0264699999999998E-5</v>
      </c>
      <c r="S305" s="74">
        <v>664</v>
      </c>
      <c r="T305" s="137">
        <v>6.2705985832434445E-8</v>
      </c>
      <c r="U305" s="137">
        <v>7.4251118476004055E-3</v>
      </c>
      <c r="V305" s="137">
        <v>7.8286882651890793E-2</v>
      </c>
      <c r="W305" s="138">
        <v>2.4348824532989882E-4</v>
      </c>
      <c r="X305" s="137">
        <v>3.0274571155309288E-5</v>
      </c>
      <c r="Z305" s="74">
        <v>664</v>
      </c>
      <c r="AA305" s="137">
        <f t="shared" ca="1" si="60"/>
        <v>0</v>
      </c>
      <c r="AB305" s="137">
        <f t="shared" ca="1" si="61"/>
        <v>4.7768699999999999E-3</v>
      </c>
      <c r="AC305" s="137">
        <f t="shared" ca="1" si="62"/>
        <v>6.5604999999999997E-2</v>
      </c>
      <c r="AD305" s="137">
        <f t="shared" ca="1" si="63"/>
        <v>2.3130000000000001E-4</v>
      </c>
      <c r="AE305" s="137">
        <f t="shared" ca="1" si="64"/>
        <v>3.0264699999999998E-5</v>
      </c>
      <c r="AG305" s="74">
        <v>664</v>
      </c>
      <c r="AH305" s="136">
        <f t="shared" ca="1" si="65"/>
        <v>0</v>
      </c>
      <c r="AI305" s="136">
        <f t="shared" ca="1" si="66"/>
        <v>7.1940813253012043E-6</v>
      </c>
      <c r="AJ305" s="136">
        <f t="shared" ca="1" si="67"/>
        <v>9.8802710843373483E-5</v>
      </c>
      <c r="AK305" s="136">
        <f t="shared" ca="1" si="68"/>
        <v>3.4834337349397592E-7</v>
      </c>
      <c r="AL305" s="136">
        <f t="shared" ca="1" si="69"/>
        <v>4.5579367469879519E-8</v>
      </c>
      <c r="AN305" s="74">
        <v>664</v>
      </c>
      <c r="AO305" s="136" t="str">
        <f t="shared" ca="1" si="70"/>
        <v/>
      </c>
      <c r="AP305" s="136">
        <f t="shared" ca="1" si="71"/>
        <v>3.8889612152017009E-3</v>
      </c>
      <c r="AQ305" s="136">
        <f t="shared" ca="1" si="72"/>
        <v>5.5992685529490611E-2</v>
      </c>
      <c r="AR305" s="136">
        <f t="shared" ca="1" si="73"/>
        <v>1.7609334026174911E-4</v>
      </c>
      <c r="AS305" s="136">
        <f t="shared" ca="1" si="74"/>
        <v>2.2287127282848637E-5</v>
      </c>
    </row>
    <row r="306" spans="9:45" ht="15" hidden="1" customHeight="1" x14ac:dyDescent="0.2">
      <c r="I306" s="74">
        <v>665</v>
      </c>
      <c r="J306" s="137">
        <v>4.4580000000000002E-2</v>
      </c>
      <c r="L306" s="74">
        <v>665</v>
      </c>
      <c r="M306" s="137"/>
      <c r="N306" s="137">
        <v>4.42794E-3</v>
      </c>
      <c r="O306" s="137">
        <v>6.1638400000000003E-2</v>
      </c>
      <c r="P306" s="138">
        <v>2.1460000000000001E-4</v>
      </c>
      <c r="Q306" s="137">
        <v>2.8132000000000001E-5</v>
      </c>
      <c r="S306" s="74">
        <v>665</v>
      </c>
      <c r="T306" s="137">
        <v>5.8822028873889759E-8</v>
      </c>
      <c r="U306" s="137">
        <v>6.8791693348739056E-3</v>
      </c>
      <c r="V306" s="137">
        <v>7.3538878093116516E-2</v>
      </c>
      <c r="W306" s="138">
        <v>2.2575740272294097E-4</v>
      </c>
      <c r="X306" s="137">
        <v>2.8132025344307244E-5</v>
      </c>
      <c r="Z306" s="74">
        <v>665</v>
      </c>
      <c r="AA306" s="137">
        <f t="shared" ca="1" si="60"/>
        <v>0</v>
      </c>
      <c r="AB306" s="137">
        <f t="shared" ca="1" si="61"/>
        <v>4.42794E-3</v>
      </c>
      <c r="AC306" s="137">
        <f t="shared" ca="1" si="62"/>
        <v>6.1638400000000003E-2</v>
      </c>
      <c r="AD306" s="137">
        <f t="shared" ca="1" si="63"/>
        <v>2.1460000000000001E-4</v>
      </c>
      <c r="AE306" s="137">
        <f t="shared" ca="1" si="64"/>
        <v>2.8132000000000001E-5</v>
      </c>
      <c r="AG306" s="74">
        <v>665</v>
      </c>
      <c r="AH306" s="136">
        <f t="shared" ca="1" si="65"/>
        <v>0</v>
      </c>
      <c r="AI306" s="136">
        <f t="shared" ca="1" si="66"/>
        <v>6.6585563909774435E-6</v>
      </c>
      <c r="AJ306" s="136">
        <f t="shared" ca="1" si="67"/>
        <v>9.2689323308270679E-5</v>
      </c>
      <c r="AK306" s="136">
        <f t="shared" ca="1" si="68"/>
        <v>3.2270676691729325E-7</v>
      </c>
      <c r="AL306" s="136">
        <f t="shared" ca="1" si="69"/>
        <v>4.2303759398496244E-8</v>
      </c>
      <c r="AN306" s="74">
        <v>665</v>
      </c>
      <c r="AO306" s="136" t="str">
        <f t="shared" ca="1" si="70"/>
        <v/>
      </c>
      <c r="AP306" s="136">
        <f t="shared" ca="1" si="71"/>
        <v>3.5994682827220495E-3</v>
      </c>
      <c r="AQ306" s="136">
        <f t="shared" ca="1" si="72"/>
        <v>5.2528155226111019E-2</v>
      </c>
      <c r="AR306" s="136">
        <f t="shared" ca="1" si="73"/>
        <v>1.63133611360397E-4</v>
      </c>
      <c r="AS306" s="136">
        <f t="shared" ca="1" si="74"/>
        <v>2.0685439982912126E-5</v>
      </c>
    </row>
    <row r="307" spans="9:45" ht="15" hidden="1" customHeight="1" x14ac:dyDescent="0.2">
      <c r="I307" s="74">
        <v>666</v>
      </c>
      <c r="J307" s="137">
        <v>4.1758719999999999E-2</v>
      </c>
      <c r="L307" s="74">
        <v>666</v>
      </c>
      <c r="M307" s="137"/>
      <c r="N307" s="137">
        <v>4.1083200000000004E-3</v>
      </c>
      <c r="O307" s="137">
        <v>5.7885699999999998E-2</v>
      </c>
      <c r="P307" s="138">
        <v>1.9909999999999999E-4</v>
      </c>
      <c r="Q307" s="137">
        <v>2.6158700000000001E-5</v>
      </c>
      <c r="S307" s="74">
        <v>666</v>
      </c>
      <c r="T307" s="137">
        <v>5.5189441606455576E-8</v>
      </c>
      <c r="U307" s="137">
        <v>6.373353391049775E-3</v>
      </c>
      <c r="V307" s="137">
        <v>6.9036060393682985E-2</v>
      </c>
      <c r="W307" s="138">
        <v>2.0936158619121227E-4</v>
      </c>
      <c r="X307" s="137">
        <v>2.6146767192462845E-5</v>
      </c>
      <c r="Z307" s="74">
        <v>666</v>
      </c>
      <c r="AA307" s="137">
        <f t="shared" ca="1" si="60"/>
        <v>0</v>
      </c>
      <c r="AB307" s="137">
        <f t="shared" ca="1" si="61"/>
        <v>4.1083200000000004E-3</v>
      </c>
      <c r="AC307" s="137">
        <f t="shared" ca="1" si="62"/>
        <v>5.7885699999999998E-2</v>
      </c>
      <c r="AD307" s="137">
        <f t="shared" ca="1" si="63"/>
        <v>1.9909999999999999E-4</v>
      </c>
      <c r="AE307" s="137">
        <f t="shared" ca="1" si="64"/>
        <v>2.6158700000000001E-5</v>
      </c>
      <c r="AG307" s="74">
        <v>666</v>
      </c>
      <c r="AH307" s="136">
        <f t="shared" ca="1" si="65"/>
        <v>0</v>
      </c>
      <c r="AI307" s="136">
        <f t="shared" ca="1" si="66"/>
        <v>6.1686486486486493E-6</v>
      </c>
      <c r="AJ307" s="136">
        <f t="shared" ca="1" si="67"/>
        <v>8.6915465465465464E-5</v>
      </c>
      <c r="AK307" s="136">
        <f t="shared" ca="1" si="68"/>
        <v>2.9894894894894891E-7</v>
      </c>
      <c r="AL307" s="136">
        <f t="shared" ca="1" si="69"/>
        <v>3.9277327327327329E-8</v>
      </c>
      <c r="AN307" s="74">
        <v>666</v>
      </c>
      <c r="AO307" s="136" t="str">
        <f t="shared" ca="1" si="70"/>
        <v/>
      </c>
      <c r="AP307" s="136">
        <f t="shared" ca="1" si="71"/>
        <v>3.3346349950800114E-3</v>
      </c>
      <c r="AQ307" s="136">
        <f t="shared" ca="1" si="72"/>
        <v>4.9256040486297094E-2</v>
      </c>
      <c r="AR307" s="136">
        <f t="shared" ca="1" si="73"/>
        <v>1.5112364119385181E-4</v>
      </c>
      <c r="AS307" s="136">
        <f t="shared" ca="1" si="74"/>
        <v>1.9205593277544605E-5</v>
      </c>
    </row>
    <row r="308" spans="9:45" ht="15" hidden="1" customHeight="1" x14ac:dyDescent="0.2">
      <c r="I308" s="74">
        <v>667</v>
      </c>
      <c r="J308" s="137">
        <v>3.9084960000000002E-2</v>
      </c>
      <c r="L308" s="74">
        <v>667</v>
      </c>
      <c r="M308" s="137"/>
      <c r="N308" s="137">
        <v>3.8146999999999999E-3</v>
      </c>
      <c r="O308" s="137">
        <v>5.4336599999999999E-2</v>
      </c>
      <c r="P308" s="138">
        <v>1.8479999999999999E-4</v>
      </c>
      <c r="Q308" s="137">
        <v>2.4315799999999998E-5</v>
      </c>
      <c r="S308" s="74">
        <v>667</v>
      </c>
      <c r="T308" s="137">
        <v>5.1791203133988998E-8</v>
      </c>
      <c r="U308" s="137">
        <v>5.9047565964162859E-3</v>
      </c>
      <c r="V308" s="137">
        <v>6.4770164491866719E-2</v>
      </c>
      <c r="W308" s="138">
        <v>1.9419676902547608E-4</v>
      </c>
      <c r="X308" s="137">
        <v>2.4306867858329381E-5</v>
      </c>
      <c r="Z308" s="74">
        <v>667</v>
      </c>
      <c r="AA308" s="137">
        <f t="shared" ca="1" si="60"/>
        <v>0</v>
      </c>
      <c r="AB308" s="137">
        <f t="shared" ca="1" si="61"/>
        <v>3.8146999999999999E-3</v>
      </c>
      <c r="AC308" s="137">
        <f t="shared" ca="1" si="62"/>
        <v>5.4336599999999999E-2</v>
      </c>
      <c r="AD308" s="137">
        <f t="shared" ca="1" si="63"/>
        <v>1.8479999999999999E-4</v>
      </c>
      <c r="AE308" s="137">
        <f t="shared" ca="1" si="64"/>
        <v>2.4315799999999998E-5</v>
      </c>
      <c r="AG308" s="74">
        <v>667</v>
      </c>
      <c r="AH308" s="136">
        <f t="shared" ca="1" si="65"/>
        <v>0</v>
      </c>
      <c r="AI308" s="136">
        <f t="shared" ca="1" si="66"/>
        <v>5.7191904047976007E-6</v>
      </c>
      <c r="AJ308" s="136">
        <f t="shared" ca="1" si="67"/>
        <v>8.1464167916041983E-5</v>
      </c>
      <c r="AK308" s="136">
        <f t="shared" ca="1" si="68"/>
        <v>2.7706146926536733E-7</v>
      </c>
      <c r="AL308" s="136">
        <f t="shared" ca="1" si="69"/>
        <v>3.6455472263868064E-8</v>
      </c>
      <c r="AN308" s="74">
        <v>667</v>
      </c>
      <c r="AO308" s="136" t="str">
        <f t="shared" ca="1" si="70"/>
        <v/>
      </c>
      <c r="AP308" s="136">
        <f t="shared" ca="1" si="71"/>
        <v>3.0916678114811776E-3</v>
      </c>
      <c r="AQ308" s="136">
        <f t="shared" ca="1" si="72"/>
        <v>4.6166724547421482E-2</v>
      </c>
      <c r="AR308" s="136">
        <f t="shared" ca="1" si="73"/>
        <v>1.4005915798369622E-4</v>
      </c>
      <c r="AS308" s="136">
        <f t="shared" ca="1" si="74"/>
        <v>1.7825779417367008E-5</v>
      </c>
    </row>
    <row r="309" spans="9:45" ht="15" hidden="1" customHeight="1" x14ac:dyDescent="0.2">
      <c r="I309" s="74">
        <v>668</v>
      </c>
      <c r="J309" s="137">
        <v>3.656384E-2</v>
      </c>
      <c r="L309" s="74">
        <v>668</v>
      </c>
      <c r="M309" s="137"/>
      <c r="N309" s="137">
        <v>3.5439199999999999E-3</v>
      </c>
      <c r="O309" s="137">
        <v>5.0981100000000001E-2</v>
      </c>
      <c r="P309" s="138">
        <v>1.716E-4</v>
      </c>
      <c r="Q309" s="137">
        <v>2.2601700000000001E-5</v>
      </c>
      <c r="S309" s="74">
        <v>668</v>
      </c>
      <c r="T309" s="137">
        <v>4.8611721373017487E-8</v>
      </c>
      <c r="U309" s="137">
        <v>5.4707138593676043E-3</v>
      </c>
      <c r="V309" s="137">
        <v>6.0732757471401388E-2</v>
      </c>
      <c r="W309" s="138">
        <v>1.8016772720256191E-4</v>
      </c>
      <c r="X309" s="137">
        <v>2.260133018560672E-5</v>
      </c>
      <c r="Z309" s="74">
        <v>668</v>
      </c>
      <c r="AA309" s="137">
        <f t="shared" ca="1" si="60"/>
        <v>0</v>
      </c>
      <c r="AB309" s="137">
        <f t="shared" ca="1" si="61"/>
        <v>3.5439199999999999E-3</v>
      </c>
      <c r="AC309" s="137">
        <f t="shared" ca="1" si="62"/>
        <v>5.0981100000000001E-2</v>
      </c>
      <c r="AD309" s="137">
        <f t="shared" ca="1" si="63"/>
        <v>1.716E-4</v>
      </c>
      <c r="AE309" s="137">
        <f t="shared" ca="1" si="64"/>
        <v>2.2601700000000001E-5</v>
      </c>
      <c r="AG309" s="74">
        <v>668</v>
      </c>
      <c r="AH309" s="136">
        <f t="shared" ca="1" si="65"/>
        <v>0</v>
      </c>
      <c r="AI309" s="136">
        <f t="shared" ca="1" si="66"/>
        <v>5.3052694610778439E-6</v>
      </c>
      <c r="AJ309" s="136">
        <f t="shared" ca="1" si="67"/>
        <v>7.6319011976047906E-5</v>
      </c>
      <c r="AK309" s="136">
        <f t="shared" ca="1" si="68"/>
        <v>2.5688622754491016E-7</v>
      </c>
      <c r="AL309" s="136">
        <f t="shared" ca="1" si="69"/>
        <v>3.3834880239520959E-8</v>
      </c>
      <c r="AN309" s="74">
        <v>668</v>
      </c>
      <c r="AO309" s="136" t="str">
        <f t="shared" ca="1" si="70"/>
        <v/>
      </c>
      <c r="AP309" s="136">
        <f t="shared" ca="1" si="71"/>
        <v>2.8679113061683297E-3</v>
      </c>
      <c r="AQ309" s="136">
        <f t="shared" ca="1" si="72"/>
        <v>4.3250902743655652E-2</v>
      </c>
      <c r="AR309" s="136">
        <f t="shared" ca="1" si="73"/>
        <v>1.2986023940083721E-4</v>
      </c>
      <c r="AS309" s="136">
        <f t="shared" ca="1" si="74"/>
        <v>1.6544377957778122E-5</v>
      </c>
    </row>
    <row r="310" spans="9:45" ht="15" hidden="1" customHeight="1" x14ac:dyDescent="0.2">
      <c r="I310" s="74">
        <v>669</v>
      </c>
      <c r="J310" s="137">
        <v>3.4200479999999998E-2</v>
      </c>
      <c r="L310" s="74">
        <v>669</v>
      </c>
      <c r="M310" s="137"/>
      <c r="N310" s="137">
        <v>3.2932899999999999E-3</v>
      </c>
      <c r="O310" s="137">
        <v>4.7809600000000001E-2</v>
      </c>
      <c r="P310" s="138">
        <v>1.593E-4</v>
      </c>
      <c r="Q310" s="137">
        <v>2.1014800000000001E-5</v>
      </c>
      <c r="S310" s="74">
        <v>669</v>
      </c>
      <c r="T310" s="137">
        <v>4.5636255193657822E-8</v>
      </c>
      <c r="U310" s="137">
        <v>5.0687164855344304E-3</v>
      </c>
      <c r="V310" s="137">
        <v>5.6915296153059264E-2</v>
      </c>
      <c r="W310" s="138">
        <v>1.6718642068096331E-4</v>
      </c>
      <c r="X310" s="137">
        <v>2.1020013954198625E-5</v>
      </c>
      <c r="Z310" s="74">
        <v>669</v>
      </c>
      <c r="AA310" s="137">
        <f t="shared" ca="1" si="60"/>
        <v>0</v>
      </c>
      <c r="AB310" s="137">
        <f t="shared" ca="1" si="61"/>
        <v>3.2932899999999999E-3</v>
      </c>
      <c r="AC310" s="137">
        <f t="shared" ca="1" si="62"/>
        <v>4.7809600000000001E-2</v>
      </c>
      <c r="AD310" s="137">
        <f t="shared" ca="1" si="63"/>
        <v>1.593E-4</v>
      </c>
      <c r="AE310" s="137">
        <f t="shared" ca="1" si="64"/>
        <v>2.1014800000000001E-5</v>
      </c>
      <c r="AG310" s="74">
        <v>669</v>
      </c>
      <c r="AH310" s="136">
        <f t="shared" ca="1" si="65"/>
        <v>0</v>
      </c>
      <c r="AI310" s="136">
        <f t="shared" ca="1" si="66"/>
        <v>4.9227055306427505E-6</v>
      </c>
      <c r="AJ310" s="136">
        <f t="shared" ca="1" si="67"/>
        <v>7.1464275037369214E-5</v>
      </c>
      <c r="AK310" s="136">
        <f t="shared" ca="1" si="68"/>
        <v>2.3811659192825111E-7</v>
      </c>
      <c r="AL310" s="136">
        <f t="shared" ca="1" si="69"/>
        <v>3.1412257100149479E-8</v>
      </c>
      <c r="AN310" s="74">
        <v>669</v>
      </c>
      <c r="AO310" s="136" t="str">
        <f t="shared" ca="1" si="70"/>
        <v/>
      </c>
      <c r="AP310" s="136">
        <f t="shared" ca="1" si="71"/>
        <v>2.6611057085495246E-3</v>
      </c>
      <c r="AQ310" s="136">
        <f t="shared" ca="1" si="72"/>
        <v>4.0499664883727346E-2</v>
      </c>
      <c r="AR310" s="136">
        <f t="shared" ca="1" si="73"/>
        <v>1.2037187796573576E-4</v>
      </c>
      <c r="AS310" s="136">
        <f t="shared" ca="1" si="74"/>
        <v>1.5359778142933667E-5</v>
      </c>
    </row>
    <row r="311" spans="9:45" ht="15" hidden="1" customHeight="1" x14ac:dyDescent="0.2">
      <c r="I311" s="74">
        <v>670</v>
      </c>
      <c r="J311" s="137">
        <v>3.2000000000000001E-2</v>
      </c>
      <c r="L311" s="74">
        <v>670</v>
      </c>
      <c r="M311" s="137"/>
      <c r="N311" s="137">
        <v>3.0604999999999999E-3</v>
      </c>
      <c r="O311" s="137">
        <v>4.4813199999999997E-2</v>
      </c>
      <c r="P311" s="138">
        <v>1.4799999999999999E-4</v>
      </c>
      <c r="Q311" s="137">
        <v>1.9553499999999998E-5</v>
      </c>
      <c r="S311" s="74">
        <v>670</v>
      </c>
      <c r="T311" s="137">
        <v>4.285120114835782E-8</v>
      </c>
      <c r="U311" s="137">
        <v>4.6964315832858528E-3</v>
      </c>
      <c r="V311" s="137">
        <v>5.3309425219360322E-2</v>
      </c>
      <c r="W311" s="138">
        <v>1.5517294406794299E-4</v>
      </c>
      <c r="X311" s="137">
        <v>1.9553477231436827E-5</v>
      </c>
      <c r="Z311" s="74">
        <v>670</v>
      </c>
      <c r="AA311" s="137">
        <f t="shared" ca="1" si="60"/>
        <v>0</v>
      </c>
      <c r="AB311" s="137">
        <f t="shared" ca="1" si="61"/>
        <v>3.0604999999999999E-3</v>
      </c>
      <c r="AC311" s="137">
        <f t="shared" ca="1" si="62"/>
        <v>4.4813199999999997E-2</v>
      </c>
      <c r="AD311" s="137">
        <f t="shared" ca="1" si="63"/>
        <v>1.4799999999999999E-4</v>
      </c>
      <c r="AE311" s="137">
        <f t="shared" ca="1" si="64"/>
        <v>1.9553499999999998E-5</v>
      </c>
      <c r="AG311" s="74">
        <v>670</v>
      </c>
      <c r="AH311" s="136">
        <f t="shared" ca="1" si="65"/>
        <v>0</v>
      </c>
      <c r="AI311" s="136">
        <f t="shared" ca="1" si="66"/>
        <v>4.567910447761194E-6</v>
      </c>
      <c r="AJ311" s="136">
        <f t="shared" ca="1" si="67"/>
        <v>6.6885373134328361E-5</v>
      </c>
      <c r="AK311" s="136">
        <f t="shared" ca="1" si="68"/>
        <v>2.2089552238805968E-7</v>
      </c>
      <c r="AL311" s="136">
        <f t="shared" ca="1" si="69"/>
        <v>2.9184328358208953E-8</v>
      </c>
      <c r="AN311" s="74">
        <v>670</v>
      </c>
      <c r="AO311" s="136" t="str">
        <f t="shared" ca="1" si="70"/>
        <v/>
      </c>
      <c r="AP311" s="136">
        <f t="shared" ca="1" si="71"/>
        <v>2.4693113356088108E-3</v>
      </c>
      <c r="AQ311" s="136">
        <f t="shared" ca="1" si="72"/>
        <v>3.7904746058738975E-2</v>
      </c>
      <c r="AR311" s="136">
        <f t="shared" ca="1" si="73"/>
        <v>1.1166634231051362E-4</v>
      </c>
      <c r="AS311" s="136">
        <f t="shared" ca="1" si="74"/>
        <v>1.4270378833442185E-5</v>
      </c>
    </row>
    <row r="312" spans="9:45" ht="15" hidden="1" customHeight="1" x14ac:dyDescent="0.2">
      <c r="I312" s="74">
        <v>671</v>
      </c>
      <c r="J312" s="137">
        <v>2.9962610000000001E-2</v>
      </c>
      <c r="L312" s="74">
        <v>671</v>
      </c>
      <c r="M312" s="137"/>
      <c r="N312" s="137">
        <v>2.8436899999999998E-3</v>
      </c>
      <c r="O312" s="137">
        <v>4.1983100000000002E-2</v>
      </c>
      <c r="P312" s="138">
        <v>1.3750000000000001E-4</v>
      </c>
      <c r="Q312" s="137">
        <v>1.8198200000000001E-5</v>
      </c>
      <c r="S312" s="74">
        <v>671</v>
      </c>
      <c r="T312" s="137">
        <v>4.0234536255473091E-8</v>
      </c>
      <c r="U312" s="137">
        <v>4.3506785838726449E-3</v>
      </c>
      <c r="V312" s="137">
        <v>4.9894767127991339E-2</v>
      </c>
      <c r="W312" s="138">
        <v>1.4401973252193656E-4</v>
      </c>
      <c r="X312" s="137">
        <v>1.8189007414966178E-5</v>
      </c>
      <c r="Z312" s="74">
        <v>671</v>
      </c>
      <c r="AA312" s="137">
        <f t="shared" ca="1" si="60"/>
        <v>0</v>
      </c>
      <c r="AB312" s="137">
        <f t="shared" ca="1" si="61"/>
        <v>2.8436899999999998E-3</v>
      </c>
      <c r="AC312" s="137">
        <f t="shared" ca="1" si="62"/>
        <v>4.1983100000000002E-2</v>
      </c>
      <c r="AD312" s="137">
        <f t="shared" ca="1" si="63"/>
        <v>1.3750000000000001E-4</v>
      </c>
      <c r="AE312" s="137">
        <f t="shared" ca="1" si="64"/>
        <v>1.8198200000000001E-5</v>
      </c>
      <c r="AG312" s="74">
        <v>671</v>
      </c>
      <c r="AH312" s="136">
        <f t="shared" ca="1" si="65"/>
        <v>0</v>
      </c>
      <c r="AI312" s="136">
        <f t="shared" ca="1" si="66"/>
        <v>4.2379880774962738E-6</v>
      </c>
      <c r="AJ312" s="136">
        <f t="shared" ca="1" si="67"/>
        <v>6.2567958271236965E-5</v>
      </c>
      <c r="AK312" s="136">
        <f t="shared" ca="1" si="68"/>
        <v>2.0491803278688526E-7</v>
      </c>
      <c r="AL312" s="136">
        <f t="shared" ca="1" si="69"/>
        <v>2.7121013412816693E-8</v>
      </c>
      <c r="AN312" s="74">
        <v>671</v>
      </c>
      <c r="AO312" s="136" t="str">
        <f t="shared" ca="1" si="70"/>
        <v/>
      </c>
      <c r="AP312" s="136">
        <f t="shared" ca="1" si="71"/>
        <v>2.2909626008683162E-3</v>
      </c>
      <c r="AQ312" s="136">
        <f t="shared" ca="1" si="72"/>
        <v>3.5458015086826188E-2</v>
      </c>
      <c r="AR312" s="136">
        <f t="shared" ca="1" si="73"/>
        <v>1.0358945689527599E-4</v>
      </c>
      <c r="AS312" s="136">
        <f t="shared" ca="1" si="74"/>
        <v>1.3261471396476326E-5</v>
      </c>
    </row>
    <row r="313" spans="9:45" ht="15" hidden="1" customHeight="1" x14ac:dyDescent="0.2">
      <c r="I313" s="74">
        <v>672</v>
      </c>
      <c r="J313" s="137">
        <v>2.807664E-2</v>
      </c>
      <c r="L313" s="74">
        <v>672</v>
      </c>
      <c r="M313" s="137"/>
      <c r="N313" s="137">
        <v>2.64175E-3</v>
      </c>
      <c r="O313" s="137">
        <v>3.9311100000000002E-2</v>
      </c>
      <c r="P313" s="138">
        <v>1.2769999999999999E-4</v>
      </c>
      <c r="Q313" s="137">
        <v>1.6930199999999999E-5</v>
      </c>
      <c r="S313" s="74">
        <v>672</v>
      </c>
      <c r="T313" s="137">
        <v>3.7784962888482629E-8</v>
      </c>
      <c r="U313" s="137">
        <v>4.0306027790777063E-3</v>
      </c>
      <c r="V313" s="137">
        <v>4.6676039640167269E-2</v>
      </c>
      <c r="W313" s="138">
        <v>1.3369556471689746E-4</v>
      </c>
      <c r="X313" s="137">
        <v>1.6923336891645447E-5</v>
      </c>
      <c r="Z313" s="74">
        <v>672</v>
      </c>
      <c r="AA313" s="137">
        <f t="shared" ca="1" si="60"/>
        <v>0</v>
      </c>
      <c r="AB313" s="137">
        <f t="shared" ca="1" si="61"/>
        <v>2.64175E-3</v>
      </c>
      <c r="AC313" s="137">
        <f t="shared" ca="1" si="62"/>
        <v>3.9311100000000002E-2</v>
      </c>
      <c r="AD313" s="137">
        <f t="shared" ca="1" si="63"/>
        <v>1.2769999999999999E-4</v>
      </c>
      <c r="AE313" s="137">
        <f t="shared" ca="1" si="64"/>
        <v>1.6930199999999999E-5</v>
      </c>
      <c r="AG313" s="74">
        <v>672</v>
      </c>
      <c r="AH313" s="136">
        <f t="shared" ca="1" si="65"/>
        <v>0</v>
      </c>
      <c r="AI313" s="136">
        <f t="shared" ca="1" si="66"/>
        <v>3.9311755952380953E-6</v>
      </c>
      <c r="AJ313" s="136">
        <f t="shared" ca="1" si="67"/>
        <v>5.8498660714285713E-5</v>
      </c>
      <c r="AK313" s="136">
        <f t="shared" ca="1" si="68"/>
        <v>1.9002976190476189E-7</v>
      </c>
      <c r="AL313" s="136">
        <f t="shared" ca="1" si="69"/>
        <v>2.519375E-8</v>
      </c>
      <c r="AN313" s="74">
        <v>672</v>
      </c>
      <c r="AO313" s="136" t="str">
        <f t="shared" ca="1" si="70"/>
        <v/>
      </c>
      <c r="AP313" s="136">
        <f t="shared" ca="1" si="71"/>
        <v>2.1251065603415768E-3</v>
      </c>
      <c r="AQ313" s="136">
        <f t="shared" ca="1" si="72"/>
        <v>3.3151895178906911E-2</v>
      </c>
      <c r="AR313" s="136">
        <f t="shared" ca="1" si="73"/>
        <v>9.6063189568706115E-5</v>
      </c>
      <c r="AS313" s="136">
        <f t="shared" ca="1" si="74"/>
        <v>1.2319089626536058E-5</v>
      </c>
    </row>
    <row r="314" spans="9:45" ht="15" hidden="1" customHeight="1" x14ac:dyDescent="0.2">
      <c r="I314" s="74">
        <v>673</v>
      </c>
      <c r="J314" s="137">
        <v>2.632936E-2</v>
      </c>
      <c r="L314" s="74">
        <v>673</v>
      </c>
      <c r="M314" s="137"/>
      <c r="N314" s="137">
        <v>2.4537399999999998E-3</v>
      </c>
      <c r="O314" s="137">
        <v>3.6789200000000001E-2</v>
      </c>
      <c r="P314" s="138">
        <v>1.187E-4</v>
      </c>
      <c r="Q314" s="137">
        <v>1.5749299999999998E-5</v>
      </c>
      <c r="S314" s="74">
        <v>673</v>
      </c>
      <c r="T314" s="137">
        <v>3.5491144134185103E-8</v>
      </c>
      <c r="U314" s="137">
        <v>3.7343068389060867E-3</v>
      </c>
      <c r="V314" s="137">
        <v>4.3644447491897838E-2</v>
      </c>
      <c r="W314" s="138">
        <v>1.2413750145812334E-4</v>
      </c>
      <c r="X314" s="137">
        <v>1.5749073143567776E-5</v>
      </c>
      <c r="Z314" s="74">
        <v>673</v>
      </c>
      <c r="AA314" s="137">
        <f t="shared" ca="1" si="60"/>
        <v>0</v>
      </c>
      <c r="AB314" s="137">
        <f t="shared" ca="1" si="61"/>
        <v>2.4537399999999998E-3</v>
      </c>
      <c r="AC314" s="137">
        <f t="shared" ca="1" si="62"/>
        <v>3.6789200000000001E-2</v>
      </c>
      <c r="AD314" s="137">
        <f t="shared" ca="1" si="63"/>
        <v>1.187E-4</v>
      </c>
      <c r="AE314" s="137">
        <f t="shared" ca="1" si="64"/>
        <v>1.5749299999999998E-5</v>
      </c>
      <c r="AG314" s="74">
        <v>673</v>
      </c>
      <c r="AH314" s="136">
        <f t="shared" ca="1" si="65"/>
        <v>0</v>
      </c>
      <c r="AI314" s="136">
        <f t="shared" ca="1" si="66"/>
        <v>3.645973254086181E-6</v>
      </c>
      <c r="AJ314" s="136">
        <f t="shared" ca="1" si="67"/>
        <v>5.4664487369985146E-5</v>
      </c>
      <c r="AK314" s="136">
        <f t="shared" ca="1" si="68"/>
        <v>1.7637444279346211E-7</v>
      </c>
      <c r="AL314" s="136">
        <f t="shared" ca="1" si="69"/>
        <v>2.3401634472511141E-8</v>
      </c>
      <c r="AN314" s="74">
        <v>673</v>
      </c>
      <c r="AO314" s="136" t="str">
        <f t="shared" ca="1" si="70"/>
        <v/>
      </c>
      <c r="AP314" s="136">
        <f t="shared" ca="1" si="71"/>
        <v>1.970932484031968E-3</v>
      </c>
      <c r="AQ314" s="136">
        <f t="shared" ca="1" si="72"/>
        <v>3.0979022992501958E-2</v>
      </c>
      <c r="AR314" s="136">
        <f t="shared" ca="1" si="73"/>
        <v>8.9160199767206527E-5</v>
      </c>
      <c r="AS314" s="136">
        <f t="shared" ca="1" si="74"/>
        <v>1.1442791663579286E-5</v>
      </c>
    </row>
    <row r="315" spans="9:45" ht="15" hidden="1" customHeight="1" x14ac:dyDescent="0.2">
      <c r="I315" s="74">
        <v>674</v>
      </c>
      <c r="J315" s="137">
        <v>2.4708049999999999E-2</v>
      </c>
      <c r="L315" s="74">
        <v>674</v>
      </c>
      <c r="M315" s="137"/>
      <c r="N315" s="137">
        <v>2.27875E-3</v>
      </c>
      <c r="O315" s="137">
        <v>3.4409799999999997E-2</v>
      </c>
      <c r="P315" s="138">
        <v>1.104E-4</v>
      </c>
      <c r="Q315" s="137">
        <v>1.46553E-5</v>
      </c>
      <c r="S315" s="74">
        <v>674</v>
      </c>
      <c r="T315" s="137">
        <v>3.3343025149877015E-8</v>
      </c>
      <c r="U315" s="137">
        <v>3.4600390478658812E-3</v>
      </c>
      <c r="V315" s="137">
        <v>4.0791530465185605E-2</v>
      </c>
      <c r="W315" s="138">
        <v>1.152863793303885E-4</v>
      </c>
      <c r="X315" s="137">
        <v>1.4659427163312824E-5</v>
      </c>
      <c r="Z315" s="74">
        <v>674</v>
      </c>
      <c r="AA315" s="137">
        <f t="shared" ca="1" si="60"/>
        <v>0</v>
      </c>
      <c r="AB315" s="137">
        <f t="shared" ca="1" si="61"/>
        <v>2.27875E-3</v>
      </c>
      <c r="AC315" s="137">
        <f t="shared" ca="1" si="62"/>
        <v>3.4409799999999997E-2</v>
      </c>
      <c r="AD315" s="137">
        <f t="shared" ca="1" si="63"/>
        <v>1.104E-4</v>
      </c>
      <c r="AE315" s="137">
        <f t="shared" ca="1" si="64"/>
        <v>1.46553E-5</v>
      </c>
      <c r="AG315" s="74">
        <v>674</v>
      </c>
      <c r="AH315" s="136">
        <f t="shared" ca="1" si="65"/>
        <v>0</v>
      </c>
      <c r="AI315" s="136">
        <f t="shared" ca="1" si="66"/>
        <v>3.3809347181008901E-6</v>
      </c>
      <c r="AJ315" s="136">
        <f t="shared" ca="1" si="67"/>
        <v>5.1053115727002966E-5</v>
      </c>
      <c r="AK315" s="136">
        <f t="shared" ca="1" si="68"/>
        <v>1.6379821958456973E-7</v>
      </c>
      <c r="AL315" s="136">
        <f t="shared" ca="1" si="69"/>
        <v>2.1743768545994064E-8</v>
      </c>
      <c r="AN315" s="74">
        <v>674</v>
      </c>
      <c r="AO315" s="136" t="str">
        <f t="shared" ca="1" si="70"/>
        <v/>
      </c>
      <c r="AP315" s="136">
        <f t="shared" ca="1" si="71"/>
        <v>1.8276585147267235E-3</v>
      </c>
      <c r="AQ315" s="136">
        <f t="shared" ca="1" si="72"/>
        <v>2.8932415212112469E-2</v>
      </c>
      <c r="AR315" s="136">
        <f t="shared" ca="1" si="73"/>
        <v>8.2802710803032235E-5</v>
      </c>
      <c r="AS315" s="136">
        <f t="shared" ca="1" si="74"/>
        <v>1.06321382698787E-5</v>
      </c>
    </row>
    <row r="316" spans="9:45" ht="15" hidden="1" customHeight="1" x14ac:dyDescent="0.2">
      <c r="I316" s="74">
        <v>675</v>
      </c>
      <c r="J316" s="137">
        <v>2.3199999999999998E-2</v>
      </c>
      <c r="L316" s="74">
        <v>675</v>
      </c>
      <c r="M316" s="137"/>
      <c r="N316" s="137">
        <v>2.1159600000000001E-3</v>
      </c>
      <c r="O316" s="137">
        <v>3.2166E-2</v>
      </c>
      <c r="P316" s="138">
        <v>1.026E-4</v>
      </c>
      <c r="Q316" s="137">
        <v>1.3648E-5</v>
      </c>
      <c r="S316" s="74">
        <v>675</v>
      </c>
      <c r="T316" s="137">
        <v>3.1330692920809397E-8</v>
      </c>
      <c r="U316" s="137">
        <v>3.2061585857986025E-3</v>
      </c>
      <c r="V316" s="137">
        <v>3.8108863742526672E-2</v>
      </c>
      <c r="W316" s="138">
        <v>1.0708878716778172E-4</v>
      </c>
      <c r="X316" s="137">
        <v>1.3648030991305238E-5</v>
      </c>
      <c r="Z316" s="74">
        <v>675</v>
      </c>
      <c r="AA316" s="137">
        <f t="shared" ca="1" si="60"/>
        <v>0</v>
      </c>
      <c r="AB316" s="137">
        <f t="shared" ca="1" si="61"/>
        <v>2.1159600000000001E-3</v>
      </c>
      <c r="AC316" s="137">
        <f t="shared" ca="1" si="62"/>
        <v>3.2166E-2</v>
      </c>
      <c r="AD316" s="137">
        <f t="shared" ca="1" si="63"/>
        <v>1.026E-4</v>
      </c>
      <c r="AE316" s="137">
        <f t="shared" ca="1" si="64"/>
        <v>1.3648E-5</v>
      </c>
      <c r="AG316" s="74">
        <v>675</v>
      </c>
      <c r="AH316" s="136">
        <f t="shared" ca="1" si="65"/>
        <v>0</v>
      </c>
      <c r="AI316" s="136">
        <f t="shared" ca="1" si="66"/>
        <v>3.1347555555555556E-6</v>
      </c>
      <c r="AJ316" s="136">
        <f t="shared" ca="1" si="67"/>
        <v>4.7653333333333333E-5</v>
      </c>
      <c r="AK316" s="136">
        <f t="shared" ca="1" si="68"/>
        <v>1.5200000000000001E-7</v>
      </c>
      <c r="AL316" s="136">
        <f t="shared" ca="1" si="69"/>
        <v>2.0219259259259259E-8</v>
      </c>
      <c r="AN316" s="74">
        <v>675</v>
      </c>
      <c r="AO316" s="136" t="str">
        <f t="shared" ca="1" si="70"/>
        <v/>
      </c>
      <c r="AP316" s="136">
        <f t="shared" ca="1" si="71"/>
        <v>1.6945795054913704E-3</v>
      </c>
      <c r="AQ316" s="136">
        <f t="shared" ca="1" si="72"/>
        <v>2.7005717606221731E-2</v>
      </c>
      <c r="AR316" s="136">
        <f t="shared" ca="1" si="73"/>
        <v>7.6838515546639923E-5</v>
      </c>
      <c r="AS316" s="136">
        <f t="shared" ca="1" si="74"/>
        <v>9.8866928105972265E-6</v>
      </c>
    </row>
    <row r="317" spans="9:45" ht="15" hidden="1" customHeight="1" x14ac:dyDescent="0.2">
      <c r="I317" s="74">
        <v>676</v>
      </c>
      <c r="J317" s="137">
        <v>2.1800770000000001E-2</v>
      </c>
      <c r="L317" s="74">
        <v>676</v>
      </c>
      <c r="M317" s="137"/>
      <c r="N317" s="137">
        <v>1.9645600000000002E-3</v>
      </c>
      <c r="O317" s="137">
        <v>3.0050899999999998E-2</v>
      </c>
      <c r="P317" s="136">
        <v>9.5400000000000001E-5</v>
      </c>
      <c r="Q317" s="137">
        <v>1.27143E-5</v>
      </c>
      <c r="S317" s="74">
        <v>676</v>
      </c>
      <c r="T317" s="137">
        <v>2.9445436723922826E-8</v>
      </c>
      <c r="U317" s="137">
        <v>2.9711597288450083E-3</v>
      </c>
      <c r="V317" s="137">
        <v>3.5588362040696743E-2</v>
      </c>
      <c r="W317" s="136">
        <v>9.9494483080321818E-5</v>
      </c>
      <c r="X317" s="137">
        <v>1.2709105943316096E-5</v>
      </c>
      <c r="Z317" s="74">
        <v>676</v>
      </c>
      <c r="AA317" s="137">
        <f t="shared" ca="1" si="60"/>
        <v>0</v>
      </c>
      <c r="AB317" s="137">
        <f t="shared" ca="1" si="61"/>
        <v>1.9645600000000002E-3</v>
      </c>
      <c r="AC317" s="137">
        <f t="shared" ca="1" si="62"/>
        <v>3.0050899999999998E-2</v>
      </c>
      <c r="AD317" s="137">
        <f t="shared" ca="1" si="63"/>
        <v>9.5400000000000001E-5</v>
      </c>
      <c r="AE317" s="137">
        <f t="shared" ca="1" si="64"/>
        <v>1.27143E-5</v>
      </c>
      <c r="AG317" s="74">
        <v>676</v>
      </c>
      <c r="AH317" s="136">
        <f t="shared" ca="1" si="65"/>
        <v>0</v>
      </c>
      <c r="AI317" s="136">
        <f t="shared" ca="1" si="66"/>
        <v>2.9061538461538465E-6</v>
      </c>
      <c r="AJ317" s="136">
        <f t="shared" ca="1" si="67"/>
        <v>4.4453994082840237E-5</v>
      </c>
      <c r="AK317" s="136">
        <f t="shared" ca="1" si="68"/>
        <v>1.4112426035502958E-7</v>
      </c>
      <c r="AL317" s="136">
        <f t="shared" ca="1" si="69"/>
        <v>1.8808136094674556E-8</v>
      </c>
      <c r="AN317" s="74">
        <v>676</v>
      </c>
      <c r="AO317" s="136" t="str">
        <f t="shared" ca="1" si="70"/>
        <v/>
      </c>
      <c r="AP317" s="136">
        <f t="shared" ca="1" si="71"/>
        <v>1.5710024785726712E-3</v>
      </c>
      <c r="AQ317" s="136">
        <f t="shared" ca="1" si="72"/>
        <v>2.5192613542316073E-2</v>
      </c>
      <c r="AR317" s="136">
        <f t="shared" ca="1" si="73"/>
        <v>7.1340649166434209E-5</v>
      </c>
      <c r="AS317" s="136">
        <f t="shared" ca="1" si="74"/>
        <v>9.1966902211216563E-6</v>
      </c>
    </row>
    <row r="318" spans="9:45" ht="15" hidden="1" customHeight="1" x14ac:dyDescent="0.2">
      <c r="I318" s="74">
        <v>677</v>
      </c>
      <c r="J318" s="137">
        <v>2.0501120000000001E-2</v>
      </c>
      <c r="L318" s="74">
        <v>677</v>
      </c>
      <c r="M318" s="137"/>
      <c r="N318" s="137">
        <v>1.8237800000000001E-3</v>
      </c>
      <c r="O318" s="137">
        <v>2.8059400000000002E-2</v>
      </c>
      <c r="P318" s="136">
        <v>8.8800000000000004E-5</v>
      </c>
      <c r="Q318" s="137">
        <v>1.18407E-5</v>
      </c>
      <c r="S318" s="74">
        <v>677</v>
      </c>
      <c r="T318" s="137">
        <v>2.7678783583639939E-8</v>
      </c>
      <c r="U318" s="137">
        <v>2.7536389748089567E-3</v>
      </c>
      <c r="V318" s="137">
        <v>3.3221787807424671E-2</v>
      </c>
      <c r="W318" s="136">
        <v>9.2458107556047837E-5</v>
      </c>
      <c r="X318" s="137">
        <v>1.1837227652368621E-5</v>
      </c>
      <c r="Z318" s="74">
        <v>677</v>
      </c>
      <c r="AA318" s="137">
        <f t="shared" ca="1" si="60"/>
        <v>0</v>
      </c>
      <c r="AB318" s="137">
        <f t="shared" ca="1" si="61"/>
        <v>1.8237800000000001E-3</v>
      </c>
      <c r="AC318" s="137">
        <f t="shared" ca="1" si="62"/>
        <v>2.8059400000000002E-2</v>
      </c>
      <c r="AD318" s="137">
        <f t="shared" ca="1" si="63"/>
        <v>8.8800000000000004E-5</v>
      </c>
      <c r="AE318" s="137">
        <f t="shared" ca="1" si="64"/>
        <v>1.18407E-5</v>
      </c>
      <c r="AG318" s="74">
        <v>677</v>
      </c>
      <c r="AH318" s="136">
        <f t="shared" ca="1" si="65"/>
        <v>0</v>
      </c>
      <c r="AI318" s="136">
        <f t="shared" ca="1" si="66"/>
        <v>2.6939143279172822E-6</v>
      </c>
      <c r="AJ318" s="136">
        <f t="shared" ca="1" si="67"/>
        <v>4.14466765140325E-5</v>
      </c>
      <c r="AK318" s="136">
        <f t="shared" ca="1" si="68"/>
        <v>1.3116691285081241E-7</v>
      </c>
      <c r="AL318" s="136">
        <f t="shared" ca="1" si="69"/>
        <v>1.7489955686853768E-8</v>
      </c>
      <c r="AN318" s="74">
        <v>677</v>
      </c>
      <c r="AO318" s="136" t="str">
        <f t="shared" ca="1" si="70"/>
        <v/>
      </c>
      <c r="AP318" s="136">
        <f t="shared" ca="1" si="71"/>
        <v>1.4562704902293876E-3</v>
      </c>
      <c r="AQ318" s="136">
        <f t="shared" ca="1" si="72"/>
        <v>2.3488330476798772E-2</v>
      </c>
      <c r="AR318" s="136">
        <f t="shared" ca="1" si="73"/>
        <v>6.6307045212446797E-5</v>
      </c>
      <c r="AS318" s="136">
        <f t="shared" ca="1" si="74"/>
        <v>8.5521342265639529E-6</v>
      </c>
    </row>
    <row r="319" spans="9:45" ht="15" hidden="1" customHeight="1" x14ac:dyDescent="0.2">
      <c r="I319" s="74">
        <v>678</v>
      </c>
      <c r="J319" s="137">
        <v>1.9281079999999999E-2</v>
      </c>
      <c r="L319" s="74">
        <v>678</v>
      </c>
      <c r="M319" s="137"/>
      <c r="N319" s="137">
        <v>1.69287E-3</v>
      </c>
      <c r="O319" s="137">
        <v>2.61861E-2</v>
      </c>
      <c r="P319" s="136">
        <v>8.2600000000000002E-5</v>
      </c>
      <c r="Q319" s="137">
        <v>1.1026899999999999E-5</v>
      </c>
      <c r="S319" s="74">
        <v>678</v>
      </c>
      <c r="T319" s="137">
        <v>2.6022918405406245E-8</v>
      </c>
      <c r="U319" s="137">
        <v>2.552284012122629E-3</v>
      </c>
      <c r="V319" s="137">
        <v>3.1001378107402621E-2</v>
      </c>
      <c r="W319" s="136">
        <v>8.5936962660817663E-5</v>
      </c>
      <c r="X319" s="137">
        <v>1.1027498312706555E-5</v>
      </c>
      <c r="Z319" s="74">
        <v>678</v>
      </c>
      <c r="AA319" s="137">
        <f t="shared" ca="1" si="60"/>
        <v>0</v>
      </c>
      <c r="AB319" s="137">
        <f t="shared" ca="1" si="61"/>
        <v>1.69287E-3</v>
      </c>
      <c r="AC319" s="137">
        <f t="shared" ca="1" si="62"/>
        <v>2.61861E-2</v>
      </c>
      <c r="AD319" s="137">
        <f t="shared" ca="1" si="63"/>
        <v>8.2600000000000002E-5</v>
      </c>
      <c r="AE319" s="137">
        <f t="shared" ca="1" si="64"/>
        <v>1.1026899999999999E-5</v>
      </c>
      <c r="AG319" s="74">
        <v>678</v>
      </c>
      <c r="AH319" s="136">
        <f t="shared" ca="1" si="65"/>
        <v>0</v>
      </c>
      <c r="AI319" s="136">
        <f t="shared" ca="1" si="66"/>
        <v>2.4968584070796458E-6</v>
      </c>
      <c r="AJ319" s="136">
        <f t="shared" ca="1" si="67"/>
        <v>3.8622566371681417E-5</v>
      </c>
      <c r="AK319" s="136">
        <f t="shared" ca="1" si="68"/>
        <v>1.2182890855457228E-7</v>
      </c>
      <c r="AL319" s="136">
        <f t="shared" ca="1" si="69"/>
        <v>1.6263864306784658E-8</v>
      </c>
      <c r="AN319" s="74">
        <v>678</v>
      </c>
      <c r="AO319" s="136" t="str">
        <f t="shared" ca="1" si="70"/>
        <v/>
      </c>
      <c r="AP319" s="136">
        <f t="shared" ca="1" si="71"/>
        <v>1.3497464187446468E-3</v>
      </c>
      <c r="AQ319" s="136">
        <f t="shared" ca="1" si="72"/>
        <v>2.1887873265133972E-2</v>
      </c>
      <c r="AR319" s="136">
        <f t="shared" ca="1" si="73"/>
        <v>6.1586529500004447E-5</v>
      </c>
      <c r="AS319" s="136">
        <f t="shared" ca="1" si="74"/>
        <v>7.9526073756031146E-6</v>
      </c>
    </row>
    <row r="320" spans="9:45" ht="15" hidden="1" customHeight="1" x14ac:dyDescent="0.2">
      <c r="I320" s="74">
        <v>679</v>
      </c>
      <c r="J320" s="137">
        <v>1.8120689999999998E-2</v>
      </c>
      <c r="L320" s="74">
        <v>679</v>
      </c>
      <c r="M320" s="137"/>
      <c r="N320" s="137">
        <v>1.5711500000000001E-3</v>
      </c>
      <c r="O320" s="137">
        <v>2.4426E-2</v>
      </c>
      <c r="P320" s="136">
        <v>7.6899999999999999E-5</v>
      </c>
      <c r="Q320" s="137">
        <v>1.02723E-5</v>
      </c>
      <c r="S320" s="74">
        <v>679</v>
      </c>
      <c r="T320" s="137">
        <v>2.4470677867326306E-8</v>
      </c>
      <c r="U320" s="137">
        <v>2.3658979066604005E-3</v>
      </c>
      <c r="V320" s="137">
        <v>2.8919581238875076E-2</v>
      </c>
      <c r="W320" s="136">
        <v>7.9892313955701308E-5</v>
      </c>
      <c r="X320" s="137">
        <v>1.0275287921848717E-5</v>
      </c>
      <c r="Z320" s="74">
        <v>679</v>
      </c>
      <c r="AA320" s="137">
        <f t="shared" ca="1" si="60"/>
        <v>0</v>
      </c>
      <c r="AB320" s="137">
        <f t="shared" ca="1" si="61"/>
        <v>1.5711500000000001E-3</v>
      </c>
      <c r="AC320" s="137">
        <f t="shared" ca="1" si="62"/>
        <v>2.4426E-2</v>
      </c>
      <c r="AD320" s="137">
        <f t="shared" ca="1" si="63"/>
        <v>7.6899999999999999E-5</v>
      </c>
      <c r="AE320" s="137">
        <f t="shared" ca="1" si="64"/>
        <v>1.02723E-5</v>
      </c>
      <c r="AG320" s="74">
        <v>679</v>
      </c>
      <c r="AH320" s="136">
        <f t="shared" ca="1" si="65"/>
        <v>0</v>
      </c>
      <c r="AI320" s="136">
        <f t="shared" ca="1" si="66"/>
        <v>2.3139175257731962E-6</v>
      </c>
      <c r="AJ320" s="136">
        <f t="shared" ca="1" si="67"/>
        <v>3.5973490427098674E-5</v>
      </c>
      <c r="AK320" s="136">
        <f t="shared" ca="1" si="68"/>
        <v>1.1325478645066274E-7</v>
      </c>
      <c r="AL320" s="136">
        <f t="shared" ca="1" si="69"/>
        <v>1.5128571428571429E-8</v>
      </c>
      <c r="AN320" s="74">
        <v>679</v>
      </c>
      <c r="AO320" s="136" t="str">
        <f t="shared" ca="1" si="70"/>
        <v/>
      </c>
      <c r="AP320" s="136">
        <f t="shared" ca="1" si="71"/>
        <v>1.2508526253740507E-3</v>
      </c>
      <c r="AQ320" s="136">
        <f t="shared" ca="1" si="72"/>
        <v>2.0386610040242323E-2</v>
      </c>
      <c r="AR320" s="136">
        <f t="shared" ca="1" si="73"/>
        <v>5.7252168877767321E-5</v>
      </c>
      <c r="AS320" s="136">
        <f t="shared" ca="1" si="74"/>
        <v>7.397478634582946E-6</v>
      </c>
    </row>
    <row r="321" spans="9:45" ht="15" hidden="1" customHeight="1" x14ac:dyDescent="0.2">
      <c r="I321" s="74">
        <v>680</v>
      </c>
      <c r="J321" s="137">
        <v>1.7000000000000001E-2</v>
      </c>
      <c r="L321" s="74">
        <v>680</v>
      </c>
      <c r="M321" s="137"/>
      <c r="N321" s="137">
        <v>1.45798E-3</v>
      </c>
      <c r="O321" s="137">
        <v>2.27738E-2</v>
      </c>
      <c r="P321" s="136">
        <v>7.1500000000000003E-5</v>
      </c>
      <c r="Q321" s="137">
        <v>9.5763699999999999E-6</v>
      </c>
      <c r="S321" s="74">
        <v>680</v>
      </c>
      <c r="T321" s="137">
        <v>2.3015266072203163E-8</v>
      </c>
      <c r="U321" s="137">
        <v>2.1933654592938123E-3</v>
      </c>
      <c r="V321" s="137">
        <v>2.6968947633606848E-2</v>
      </c>
      <c r="W321" s="136">
        <v>7.4288228131878599E-5</v>
      </c>
      <c r="X321" s="137">
        <v>9.5763718200782931E-6</v>
      </c>
      <c r="Z321" s="74">
        <v>680</v>
      </c>
      <c r="AA321" s="137">
        <f t="shared" ca="1" si="60"/>
        <v>0</v>
      </c>
      <c r="AB321" s="137">
        <f t="shared" ca="1" si="61"/>
        <v>1.45798E-3</v>
      </c>
      <c r="AC321" s="137">
        <f t="shared" ca="1" si="62"/>
        <v>2.27738E-2</v>
      </c>
      <c r="AD321" s="137">
        <f t="shared" ca="1" si="63"/>
        <v>7.1500000000000003E-5</v>
      </c>
      <c r="AE321" s="137">
        <f t="shared" ca="1" si="64"/>
        <v>9.5763699999999999E-6</v>
      </c>
      <c r="AG321" s="74">
        <v>680</v>
      </c>
      <c r="AH321" s="136">
        <f t="shared" ca="1" si="65"/>
        <v>0</v>
      </c>
      <c r="AI321" s="136">
        <f t="shared" ca="1" si="66"/>
        <v>2.1440882352941175E-6</v>
      </c>
      <c r="AJ321" s="136">
        <f t="shared" ca="1" si="67"/>
        <v>3.3490882352941179E-5</v>
      </c>
      <c r="AK321" s="136">
        <f t="shared" ca="1" si="68"/>
        <v>1.0514705882352942E-7</v>
      </c>
      <c r="AL321" s="136">
        <f t="shared" ca="1" si="69"/>
        <v>1.408289705882353E-8</v>
      </c>
      <c r="AN321" s="74">
        <v>680</v>
      </c>
      <c r="AO321" s="136" t="str">
        <f t="shared" ca="1" si="70"/>
        <v/>
      </c>
      <c r="AP321" s="136">
        <f t="shared" ca="1" si="71"/>
        <v>1.1590466679468586E-3</v>
      </c>
      <c r="AQ321" s="136">
        <f t="shared" ca="1" si="72"/>
        <v>1.8979686161305069E-2</v>
      </c>
      <c r="AR321" s="136">
        <f t="shared" ca="1" si="73"/>
        <v>5.3153578382205442E-5</v>
      </c>
      <c r="AS321" s="136">
        <f t="shared" ca="1" si="74"/>
        <v>6.8861710173724874E-6</v>
      </c>
    </row>
    <row r="322" spans="9:45" ht="15" hidden="1" customHeight="1" x14ac:dyDescent="0.2">
      <c r="I322" s="74">
        <v>681</v>
      </c>
      <c r="J322" s="137">
        <v>1.5903790000000001E-2</v>
      </c>
      <c r="L322" s="74">
        <v>681</v>
      </c>
      <c r="M322" s="137"/>
      <c r="N322" s="137">
        <v>1.3527400000000001E-3</v>
      </c>
      <c r="O322" s="137">
        <v>2.1223800000000001E-2</v>
      </c>
      <c r="P322" s="136">
        <v>6.6600000000000006E-5</v>
      </c>
      <c r="Q322" s="137">
        <v>8.9303300000000003E-6</v>
      </c>
      <c r="S322" s="74">
        <v>681</v>
      </c>
      <c r="T322" s="137">
        <v>2.165035391039374E-8</v>
      </c>
      <c r="U322" s="137">
        <v>2.0336443290783286E-3</v>
      </c>
      <c r="V322" s="137">
        <v>2.5142299761347103E-2</v>
      </c>
      <c r="W322" s="136">
        <v>6.9091401131410172E-5</v>
      </c>
      <c r="X322" s="137">
        <v>8.9268451227321946E-6</v>
      </c>
      <c r="Z322" s="74">
        <v>681</v>
      </c>
      <c r="AA322" s="137">
        <f t="shared" ca="1" si="60"/>
        <v>0</v>
      </c>
      <c r="AB322" s="137">
        <f t="shared" ca="1" si="61"/>
        <v>1.3527400000000001E-3</v>
      </c>
      <c r="AC322" s="137">
        <f t="shared" ca="1" si="62"/>
        <v>2.1223800000000001E-2</v>
      </c>
      <c r="AD322" s="137">
        <f t="shared" ca="1" si="63"/>
        <v>6.6600000000000006E-5</v>
      </c>
      <c r="AE322" s="137">
        <f t="shared" ca="1" si="64"/>
        <v>8.9303300000000003E-6</v>
      </c>
      <c r="AG322" s="74">
        <v>681</v>
      </c>
      <c r="AH322" s="136">
        <f t="shared" ca="1" si="65"/>
        <v>0</v>
      </c>
      <c r="AI322" s="136">
        <f t="shared" ca="1" si="66"/>
        <v>1.9864023494860501E-6</v>
      </c>
      <c r="AJ322" s="136">
        <f t="shared" ca="1" si="67"/>
        <v>3.1165638766519825E-5</v>
      </c>
      <c r="AK322" s="136">
        <f t="shared" ca="1" si="68"/>
        <v>9.7797356828193842E-8</v>
      </c>
      <c r="AL322" s="136">
        <f t="shared" ca="1" si="69"/>
        <v>1.3113553597650515E-8</v>
      </c>
      <c r="AN322" s="74">
        <v>681</v>
      </c>
      <c r="AO322" s="136" t="str">
        <f t="shared" ca="1" si="70"/>
        <v/>
      </c>
      <c r="AP322" s="136">
        <f t="shared" ca="1" si="71"/>
        <v>1.0738051664453971E-3</v>
      </c>
      <c r="AQ322" s="136">
        <f t="shared" ca="1" si="72"/>
        <v>1.7661942631774293E-2</v>
      </c>
      <c r="AR322" s="136">
        <f t="shared" ca="1" si="73"/>
        <v>4.9438182388575424E-5</v>
      </c>
      <c r="AS322" s="136">
        <f t="shared" ca="1" si="74"/>
        <v>6.4121872326208316E-6</v>
      </c>
    </row>
    <row r="323" spans="9:45" ht="15" hidden="1" customHeight="1" x14ac:dyDescent="0.2">
      <c r="I323" s="74">
        <v>682</v>
      </c>
      <c r="J323" s="137">
        <v>1.483718E-2</v>
      </c>
      <c r="L323" s="74">
        <v>682</v>
      </c>
      <c r="M323" s="137"/>
      <c r="N323" s="137">
        <v>1.2547599999999999E-3</v>
      </c>
      <c r="O323" s="137">
        <v>1.9767900000000001E-2</v>
      </c>
      <c r="P323" s="136">
        <v>6.2000000000000003E-5</v>
      </c>
      <c r="Q323" s="137">
        <v>8.3254300000000003E-6</v>
      </c>
      <c r="S323" s="74">
        <v>682</v>
      </c>
      <c r="T323" s="137">
        <v>2.0370139351237893E-8</v>
      </c>
      <c r="U323" s="137">
        <v>1.8857755474038494E-3</v>
      </c>
      <c r="V323" s="137">
        <v>2.3432843930044894E-2</v>
      </c>
      <c r="W323" s="136">
        <v>6.4271287514307997E-5</v>
      </c>
      <c r="X323" s="137">
        <v>8.3230786773327489E-6</v>
      </c>
      <c r="Z323" s="74">
        <v>682</v>
      </c>
      <c r="AA323" s="137">
        <f t="shared" ca="1" si="60"/>
        <v>0</v>
      </c>
      <c r="AB323" s="137">
        <f t="shared" ca="1" si="61"/>
        <v>1.2547599999999999E-3</v>
      </c>
      <c r="AC323" s="137">
        <f t="shared" ca="1" si="62"/>
        <v>1.9767900000000001E-2</v>
      </c>
      <c r="AD323" s="137">
        <f t="shared" ca="1" si="63"/>
        <v>6.2000000000000003E-5</v>
      </c>
      <c r="AE323" s="137">
        <f t="shared" ca="1" si="64"/>
        <v>8.3254300000000003E-6</v>
      </c>
      <c r="AG323" s="74">
        <v>682</v>
      </c>
      <c r="AH323" s="136">
        <f t="shared" ca="1" si="65"/>
        <v>0</v>
      </c>
      <c r="AI323" s="136">
        <f t="shared" ca="1" si="66"/>
        <v>1.8398240469208211E-6</v>
      </c>
      <c r="AJ323" s="136">
        <f t="shared" ca="1" si="67"/>
        <v>2.898519061583578E-5</v>
      </c>
      <c r="AK323" s="136">
        <f t="shared" ca="1" si="68"/>
        <v>9.0909090909090915E-8</v>
      </c>
      <c r="AL323" s="136">
        <f t="shared" ca="1" si="69"/>
        <v>1.2207375366568915E-8</v>
      </c>
      <c r="AN323" s="74">
        <v>682</v>
      </c>
      <c r="AO323" s="136" t="str">
        <f t="shared" ca="1" si="70"/>
        <v/>
      </c>
      <c r="AP323" s="136">
        <f t="shared" ca="1" si="71"/>
        <v>9.9456817872029544E-4</v>
      </c>
      <c r="AQ323" s="136">
        <f t="shared" ca="1" si="72"/>
        <v>1.6426256418587769E-2</v>
      </c>
      <c r="AR323" s="136">
        <f t="shared" ca="1" si="73"/>
        <v>4.5956049968086077E-5</v>
      </c>
      <c r="AS323" s="136">
        <f t="shared" ca="1" si="74"/>
        <v>5.9690896053795458E-6</v>
      </c>
    </row>
    <row r="324" spans="9:45" ht="15" hidden="1" customHeight="1" x14ac:dyDescent="0.2">
      <c r="I324" s="74">
        <v>683</v>
      </c>
      <c r="J324" s="137">
        <v>1.3810680000000001E-2</v>
      </c>
      <c r="L324" s="74">
        <v>683</v>
      </c>
      <c r="M324" s="137"/>
      <c r="N324" s="137">
        <v>1.1634E-3</v>
      </c>
      <c r="O324" s="137">
        <v>1.8398600000000001E-2</v>
      </c>
      <c r="P324" s="136">
        <v>5.7800000000000002E-5</v>
      </c>
      <c r="Q324" s="137">
        <v>7.7613499999999998E-6</v>
      </c>
      <c r="S324" s="74">
        <v>683</v>
      </c>
      <c r="T324" s="137">
        <v>1.9169112226932095E-8</v>
      </c>
      <c r="U324" s="137">
        <v>1.7488759278113618E-3</v>
      </c>
      <c r="V324" s="137">
        <v>2.1833934342929382E-2</v>
      </c>
      <c r="W324" s="136">
        <v>5.9799699277370405E-5</v>
      </c>
      <c r="X324" s="137">
        <v>7.7617562491948726E-6</v>
      </c>
      <c r="Z324" s="74">
        <v>683</v>
      </c>
      <c r="AA324" s="137">
        <f t="shared" ca="1" si="60"/>
        <v>0</v>
      </c>
      <c r="AB324" s="137">
        <f t="shared" ca="1" si="61"/>
        <v>1.1634E-3</v>
      </c>
      <c r="AC324" s="137">
        <f t="shared" ca="1" si="62"/>
        <v>1.8398600000000001E-2</v>
      </c>
      <c r="AD324" s="137">
        <f t="shared" ca="1" si="63"/>
        <v>5.7800000000000002E-5</v>
      </c>
      <c r="AE324" s="137">
        <f t="shared" ca="1" si="64"/>
        <v>7.7613499999999998E-6</v>
      </c>
      <c r="AG324" s="74">
        <v>683</v>
      </c>
      <c r="AH324" s="136">
        <f t="shared" ca="1" si="65"/>
        <v>0</v>
      </c>
      <c r="AI324" s="136">
        <f t="shared" ca="1" si="66"/>
        <v>1.7033674963396779E-6</v>
      </c>
      <c r="AJ324" s="136">
        <f t="shared" ca="1" si="67"/>
        <v>2.6937920937042463E-5</v>
      </c>
      <c r="AK324" s="136">
        <f t="shared" ca="1" si="68"/>
        <v>8.4626647144948762E-8</v>
      </c>
      <c r="AL324" s="136">
        <f t="shared" ca="1" si="69"/>
        <v>1.1363616398243045E-8</v>
      </c>
      <c r="AN324" s="74">
        <v>683</v>
      </c>
      <c r="AO324" s="136" t="str">
        <f t="shared" ca="1" si="70"/>
        <v/>
      </c>
      <c r="AP324" s="136">
        <f t="shared" ca="1" si="71"/>
        <v>9.2080278620187592E-4</v>
      </c>
      <c r="AQ324" s="136">
        <f t="shared" ca="1" si="72"/>
        <v>1.5266044048499509E-2</v>
      </c>
      <c r="AR324" s="136">
        <f t="shared" ca="1" si="73"/>
        <v>4.2780170673073392E-5</v>
      </c>
      <c r="AS324" s="136">
        <f t="shared" ca="1" si="74"/>
        <v>5.5565133769895686E-6</v>
      </c>
    </row>
    <row r="325" spans="9:45" ht="15" hidden="1" customHeight="1" x14ac:dyDescent="0.2">
      <c r="I325" s="74">
        <v>684</v>
      </c>
      <c r="J325" s="137">
        <v>1.283478E-2</v>
      </c>
      <c r="L325" s="74">
        <v>684</v>
      </c>
      <c r="M325" s="137"/>
      <c r="N325" s="137">
        <v>1.0781199999999999E-3</v>
      </c>
      <c r="O325" s="137">
        <v>1.7109200000000001E-2</v>
      </c>
      <c r="P325" s="136">
        <v>5.38E-5</v>
      </c>
      <c r="Q325" s="137">
        <v>7.2377299999999997E-6</v>
      </c>
      <c r="S325" s="74">
        <v>684</v>
      </c>
      <c r="T325" s="137">
        <v>1.8042179530663903E-8</v>
      </c>
      <c r="U325" s="137">
        <v>1.62212007850651E-3</v>
      </c>
      <c r="V325" s="137">
        <v>2.0339159402835167E-2</v>
      </c>
      <c r="W325" s="136">
        <v>5.5650619084470832E-5</v>
      </c>
      <c r="X325" s="137">
        <v>7.2397571751352702E-6</v>
      </c>
      <c r="Z325" s="74">
        <v>684</v>
      </c>
      <c r="AA325" s="137">
        <f t="shared" ca="1" si="60"/>
        <v>0</v>
      </c>
      <c r="AB325" s="137">
        <f t="shared" ca="1" si="61"/>
        <v>1.0781199999999999E-3</v>
      </c>
      <c r="AC325" s="137">
        <f t="shared" ca="1" si="62"/>
        <v>1.7109200000000001E-2</v>
      </c>
      <c r="AD325" s="137">
        <f t="shared" ca="1" si="63"/>
        <v>5.38E-5</v>
      </c>
      <c r="AE325" s="137">
        <f t="shared" ca="1" si="64"/>
        <v>7.2377299999999997E-6</v>
      </c>
      <c r="AG325" s="74">
        <v>684</v>
      </c>
      <c r="AH325" s="136">
        <f t="shared" ca="1" si="65"/>
        <v>0</v>
      </c>
      <c r="AI325" s="136">
        <f t="shared" ca="1" si="66"/>
        <v>1.5761988304093567E-6</v>
      </c>
      <c r="AJ325" s="136">
        <f t="shared" ca="1" si="67"/>
        <v>2.5013450292397664E-5</v>
      </c>
      <c r="AK325" s="136">
        <f t="shared" ca="1" si="68"/>
        <v>7.8654970760233917E-8</v>
      </c>
      <c r="AL325" s="136">
        <f t="shared" ca="1" si="69"/>
        <v>1.0581476608187135E-8</v>
      </c>
      <c r="AN325" s="74">
        <v>684</v>
      </c>
      <c r="AO325" s="136" t="str">
        <f t="shared" ca="1" si="70"/>
        <v/>
      </c>
      <c r="AP325" s="136">
        <f t="shared" ca="1" si="71"/>
        <v>8.5205821865679671E-4</v>
      </c>
      <c r="AQ325" s="136">
        <f t="shared" ca="1" si="72"/>
        <v>1.4175423369203044E-2</v>
      </c>
      <c r="AR325" s="136">
        <f t="shared" ca="1" si="73"/>
        <v>3.9761389431452249E-5</v>
      </c>
      <c r="AS325" s="136">
        <f t="shared" ca="1" si="74"/>
        <v>5.174067326910527E-6</v>
      </c>
    </row>
    <row r="326" spans="9:45" ht="15" hidden="1" customHeight="1" x14ac:dyDescent="0.2">
      <c r="I326" s="74">
        <v>685</v>
      </c>
      <c r="J326" s="137">
        <v>1.192E-2</v>
      </c>
      <c r="L326" s="74">
        <v>685</v>
      </c>
      <c r="M326" s="137"/>
      <c r="N326" s="137">
        <v>9.9842399999999993E-4</v>
      </c>
      <c r="O326" s="137">
        <v>1.5893899999999999E-2</v>
      </c>
      <c r="P326" s="136">
        <v>5.0099999999999998E-5</v>
      </c>
      <c r="Q326" s="137">
        <v>6.7542499999999997E-6</v>
      </c>
      <c r="S326" s="74">
        <v>685</v>
      </c>
      <c r="T326" s="137">
        <v>1.6984548245179911E-8</v>
      </c>
      <c r="U326" s="137">
        <v>1.5047487803966342E-3</v>
      </c>
      <c r="V326" s="137">
        <v>1.8942443476243027E-2</v>
      </c>
      <c r="W326" s="136">
        <v>5.1799909382296391E-5</v>
      </c>
      <c r="X326" s="137">
        <v>6.7542479555578924E-6</v>
      </c>
      <c r="Z326" s="74">
        <v>685</v>
      </c>
      <c r="AA326" s="137">
        <f t="shared" ca="1" si="60"/>
        <v>0</v>
      </c>
      <c r="AB326" s="137">
        <f t="shared" ca="1" si="61"/>
        <v>9.9842399999999993E-4</v>
      </c>
      <c r="AC326" s="137">
        <f t="shared" ca="1" si="62"/>
        <v>1.5893899999999999E-2</v>
      </c>
      <c r="AD326" s="137">
        <f t="shared" ca="1" si="63"/>
        <v>5.0099999999999998E-5</v>
      </c>
      <c r="AE326" s="137">
        <f t="shared" ca="1" si="64"/>
        <v>6.7542499999999997E-6</v>
      </c>
      <c r="AG326" s="74">
        <v>685</v>
      </c>
      <c r="AH326" s="136">
        <f t="shared" ca="1" si="65"/>
        <v>0</v>
      </c>
      <c r="AI326" s="136">
        <f t="shared" ca="1" si="66"/>
        <v>1.4575532846715328E-6</v>
      </c>
      <c r="AJ326" s="136">
        <f t="shared" ca="1" si="67"/>
        <v>2.3202773722627735E-5</v>
      </c>
      <c r="AK326" s="136">
        <f t="shared" ca="1" si="68"/>
        <v>7.3138686131386857E-8</v>
      </c>
      <c r="AL326" s="136">
        <f t="shared" ca="1" si="69"/>
        <v>9.8602189781021889E-9</v>
      </c>
      <c r="AN326" s="74">
        <v>685</v>
      </c>
      <c r="AO326" s="136" t="str">
        <f t="shared" ca="1" si="70"/>
        <v/>
      </c>
      <c r="AP326" s="136">
        <f t="shared" ca="1" si="71"/>
        <v>7.8792106133719717E-4</v>
      </c>
      <c r="AQ326" s="136">
        <f t="shared" ca="1" si="72"/>
        <v>1.3149291161884725E-2</v>
      </c>
      <c r="AR326" s="136">
        <f t="shared" ca="1" si="73"/>
        <v>3.697281625899596E-5</v>
      </c>
      <c r="AS326" s="136">
        <f t="shared" ca="1" si="74"/>
        <v>4.8213910723299489E-6</v>
      </c>
    </row>
    <row r="327" spans="9:45" ht="15" hidden="1" customHeight="1" x14ac:dyDescent="0.2">
      <c r="I327" s="74">
        <v>686</v>
      </c>
      <c r="J327" s="137">
        <v>1.106831E-2</v>
      </c>
      <c r="L327" s="74">
        <v>686</v>
      </c>
      <c r="M327" s="137"/>
      <c r="N327" s="137">
        <v>9.2396199999999996E-4</v>
      </c>
      <c r="O327" s="137">
        <v>1.4749200000000001E-2</v>
      </c>
      <c r="P327" s="136">
        <v>4.6699999999999997E-5</v>
      </c>
      <c r="Q327" s="137">
        <v>6.3049899999999999E-6</v>
      </c>
      <c r="S327" s="74">
        <v>686</v>
      </c>
      <c r="T327" s="137">
        <v>1.5991787123943267E-8</v>
      </c>
      <c r="U327" s="137">
        <v>1.3960597304989431E-3</v>
      </c>
      <c r="V327" s="137">
        <v>1.7638026874978271E-2</v>
      </c>
      <c r="W327" s="136">
        <v>4.8225528972699769E-5</v>
      </c>
      <c r="X327" s="137">
        <v>6.302574674356123E-6</v>
      </c>
      <c r="Z327" s="74">
        <v>686</v>
      </c>
      <c r="AA327" s="137">
        <f t="shared" ca="1" si="60"/>
        <v>0</v>
      </c>
      <c r="AB327" s="137">
        <f t="shared" ca="1" si="61"/>
        <v>9.2396199999999996E-4</v>
      </c>
      <c r="AC327" s="137">
        <f t="shared" ca="1" si="62"/>
        <v>1.4749200000000001E-2</v>
      </c>
      <c r="AD327" s="137">
        <f t="shared" ca="1" si="63"/>
        <v>4.6699999999999997E-5</v>
      </c>
      <c r="AE327" s="137">
        <f t="shared" ca="1" si="64"/>
        <v>6.3049899999999999E-6</v>
      </c>
      <c r="AG327" s="74">
        <v>686</v>
      </c>
      <c r="AH327" s="136">
        <f t="shared" ca="1" si="65"/>
        <v>0</v>
      </c>
      <c r="AI327" s="136">
        <f t="shared" ca="1" si="66"/>
        <v>1.3468833819241982E-6</v>
      </c>
      <c r="AJ327" s="136">
        <f t="shared" ca="1" si="67"/>
        <v>2.1500291545189504E-5</v>
      </c>
      <c r="AK327" s="136">
        <f t="shared" ca="1" si="68"/>
        <v>6.8075801749271131E-8</v>
      </c>
      <c r="AL327" s="136">
        <f t="shared" ca="1" si="69"/>
        <v>9.1909475218658884E-9</v>
      </c>
      <c r="AN327" s="74">
        <v>686</v>
      </c>
      <c r="AO327" s="136" t="str">
        <f t="shared" ca="1" si="70"/>
        <v/>
      </c>
      <c r="AP327" s="136">
        <f t="shared" ca="1" si="71"/>
        <v>7.2809536017909846E-4</v>
      </c>
      <c r="AQ327" s="136">
        <f t="shared" ca="1" si="72"/>
        <v>1.2184474019043601E-2</v>
      </c>
      <c r="AR327" s="136">
        <f t="shared" ca="1" si="73"/>
        <v>3.4413444414877278E-5</v>
      </c>
      <c r="AS327" s="136">
        <f t="shared" ca="1" si="74"/>
        <v>4.4941347070069106E-6</v>
      </c>
    </row>
    <row r="328" spans="9:45" ht="15" hidden="1" customHeight="1" x14ac:dyDescent="0.2">
      <c r="I328" s="74">
        <v>687</v>
      </c>
      <c r="J328" s="137">
        <v>1.027339E-2</v>
      </c>
      <c r="L328" s="74">
        <v>687</v>
      </c>
      <c r="M328" s="137"/>
      <c r="N328" s="137">
        <v>8.54713E-4</v>
      </c>
      <c r="O328" s="137">
        <v>1.36773E-2</v>
      </c>
      <c r="P328" s="136">
        <v>4.3600000000000003E-5</v>
      </c>
      <c r="Q328" s="137">
        <v>5.8840699999999997E-6</v>
      </c>
      <c r="S328" s="74">
        <v>687</v>
      </c>
      <c r="T328" s="137">
        <v>1.5059723562731601E-8</v>
      </c>
      <c r="U328" s="137">
        <v>1.2954003199978092E-3</v>
      </c>
      <c r="V328" s="137">
        <v>1.6420334502928229E-2</v>
      </c>
      <c r="W328" s="136">
        <v>4.4906995542717952E-5</v>
      </c>
      <c r="X328" s="137">
        <v>5.882297698061838E-6</v>
      </c>
      <c r="Z328" s="74">
        <v>687</v>
      </c>
      <c r="AA328" s="137">
        <f t="shared" ca="1" si="60"/>
        <v>0</v>
      </c>
      <c r="AB328" s="137">
        <f t="shared" ca="1" si="61"/>
        <v>8.54713E-4</v>
      </c>
      <c r="AC328" s="137">
        <f t="shared" ca="1" si="62"/>
        <v>1.36773E-2</v>
      </c>
      <c r="AD328" s="137">
        <f t="shared" ca="1" si="63"/>
        <v>4.3600000000000003E-5</v>
      </c>
      <c r="AE328" s="137">
        <f t="shared" ca="1" si="64"/>
        <v>5.8840699999999997E-6</v>
      </c>
      <c r="AG328" s="74">
        <v>687</v>
      </c>
      <c r="AH328" s="136">
        <f t="shared" ca="1" si="65"/>
        <v>0</v>
      </c>
      <c r="AI328" s="136">
        <f t="shared" ca="1" si="66"/>
        <v>1.2441237263464337E-6</v>
      </c>
      <c r="AJ328" s="136">
        <f t="shared" ca="1" si="67"/>
        <v>1.9908733624454147E-5</v>
      </c>
      <c r="AK328" s="136">
        <f t="shared" ca="1" si="68"/>
        <v>6.3464337700145559E-8</v>
      </c>
      <c r="AL328" s="136">
        <f t="shared" ca="1" si="69"/>
        <v>8.5648762736535658E-9</v>
      </c>
      <c r="AN328" s="74">
        <v>687</v>
      </c>
      <c r="AO328" s="136" t="str">
        <f t="shared" ca="1" si="70"/>
        <v/>
      </c>
      <c r="AP328" s="136">
        <f t="shared" ca="1" si="71"/>
        <v>6.7254576364841434E-4</v>
      </c>
      <c r="AQ328" s="136">
        <f t="shared" ca="1" si="72"/>
        <v>1.128251898767837E-2</v>
      </c>
      <c r="AR328" s="136">
        <f t="shared" ca="1" si="73"/>
        <v>3.2082273019933161E-5</v>
      </c>
      <c r="AS328" s="136">
        <f t="shared" ca="1" si="74"/>
        <v>4.1880021217695048E-6</v>
      </c>
    </row>
    <row r="329" spans="9:45" ht="15" hidden="1" customHeight="1" x14ac:dyDescent="0.2">
      <c r="I329" s="74">
        <v>688</v>
      </c>
      <c r="J329" s="137">
        <v>9.5333109999999992E-3</v>
      </c>
      <c r="L329" s="74">
        <v>688</v>
      </c>
      <c r="M329" s="137"/>
      <c r="N329" s="137">
        <v>7.9065199999999998E-4</v>
      </c>
      <c r="O329" s="137">
        <v>1.26804E-2</v>
      </c>
      <c r="P329" s="136">
        <v>4.0599999999999998E-5</v>
      </c>
      <c r="Q329" s="137">
        <v>5.4911499999999999E-6</v>
      </c>
      <c r="S329" s="74">
        <v>688</v>
      </c>
      <c r="T329" s="137">
        <v>1.4184531627914215E-8</v>
      </c>
      <c r="U329" s="137">
        <v>1.2021730836546773E-3</v>
      </c>
      <c r="V329" s="137">
        <v>1.5284069364413764E-2</v>
      </c>
      <c r="W329" s="136">
        <v>4.1825197462196456E-5</v>
      </c>
      <c r="X329" s="137">
        <v>5.4911587576895003E-6</v>
      </c>
      <c r="Z329" s="74">
        <v>688</v>
      </c>
      <c r="AA329" s="137">
        <f t="shared" ca="1" si="60"/>
        <v>0</v>
      </c>
      <c r="AB329" s="137">
        <f t="shared" ca="1" si="61"/>
        <v>7.9065199999999998E-4</v>
      </c>
      <c r="AC329" s="137">
        <f t="shared" ca="1" si="62"/>
        <v>1.26804E-2</v>
      </c>
      <c r="AD329" s="137">
        <f t="shared" ca="1" si="63"/>
        <v>4.0599999999999998E-5</v>
      </c>
      <c r="AE329" s="137">
        <f t="shared" ca="1" si="64"/>
        <v>5.4911499999999999E-6</v>
      </c>
      <c r="AG329" s="74">
        <v>688</v>
      </c>
      <c r="AH329" s="136">
        <f t="shared" ca="1" si="65"/>
        <v>0</v>
      </c>
      <c r="AI329" s="136">
        <f t="shared" ca="1" si="66"/>
        <v>1.149203488372093E-6</v>
      </c>
      <c r="AJ329" s="136">
        <f t="shared" ca="1" si="67"/>
        <v>1.8430813953488372E-5</v>
      </c>
      <c r="AK329" s="136">
        <f t="shared" ca="1" si="68"/>
        <v>5.9011627906976744E-8</v>
      </c>
      <c r="AL329" s="136">
        <f t="shared" ca="1" si="69"/>
        <v>7.9813226744186049E-9</v>
      </c>
      <c r="AN329" s="74">
        <v>688</v>
      </c>
      <c r="AO329" s="136" t="str">
        <f t="shared" ca="1" si="70"/>
        <v/>
      </c>
      <c r="AP329" s="136">
        <f t="shared" ca="1" si="71"/>
        <v>6.2123398284859538E-4</v>
      </c>
      <c r="AQ329" s="136">
        <f t="shared" ca="1" si="72"/>
        <v>1.0444964120328443E-2</v>
      </c>
      <c r="AR329" s="136">
        <f t="shared" ca="1" si="73"/>
        <v>2.9831354528702385E-5</v>
      </c>
      <c r="AS329" s="136">
        <f t="shared" ca="1" si="74"/>
        <v>3.9026595629657069E-6</v>
      </c>
    </row>
    <row r="330" spans="9:45" ht="15" hidden="1" customHeight="1" x14ac:dyDescent="0.2">
      <c r="I330" s="74">
        <v>689</v>
      </c>
      <c r="J330" s="137">
        <v>8.8461570000000003E-3</v>
      </c>
      <c r="L330" s="74">
        <v>689</v>
      </c>
      <c r="M330" s="137"/>
      <c r="N330" s="137">
        <v>7.3168400000000002E-4</v>
      </c>
      <c r="O330" s="137">
        <v>1.1759E-2</v>
      </c>
      <c r="P330" s="138">
        <v>3.7889999999999998E-5</v>
      </c>
      <c r="Q330" s="137">
        <v>5.12592E-6</v>
      </c>
      <c r="S330" s="74">
        <v>689</v>
      </c>
      <c r="T330" s="137">
        <v>1.3362570206758086E-8</v>
      </c>
      <c r="U330" s="137">
        <v>1.1158144980367172E-3</v>
      </c>
      <c r="V330" s="137">
        <v>1.4224172157642753E-2</v>
      </c>
      <c r="W330" s="138">
        <v>3.8962785716080554E-5</v>
      </c>
      <c r="X330" s="137">
        <v>5.1270434741031849E-6</v>
      </c>
      <c r="Z330" s="74">
        <v>689</v>
      </c>
      <c r="AA330" s="137">
        <f t="shared" ca="1" si="60"/>
        <v>0</v>
      </c>
      <c r="AB330" s="137">
        <f t="shared" ca="1" si="61"/>
        <v>7.3168400000000002E-4</v>
      </c>
      <c r="AC330" s="137">
        <f t="shared" ca="1" si="62"/>
        <v>1.1759E-2</v>
      </c>
      <c r="AD330" s="137">
        <f t="shared" ca="1" si="63"/>
        <v>3.7889999999999998E-5</v>
      </c>
      <c r="AE330" s="137">
        <f t="shared" ca="1" si="64"/>
        <v>5.12592E-6</v>
      </c>
      <c r="AG330" s="74">
        <v>689</v>
      </c>
      <c r="AH330" s="136">
        <f t="shared" ca="1" si="65"/>
        <v>0</v>
      </c>
      <c r="AI330" s="136">
        <f t="shared" ca="1" si="66"/>
        <v>1.0619506531204644E-6</v>
      </c>
      <c r="AJ330" s="136">
        <f t="shared" ca="1" si="67"/>
        <v>1.7066763425253992E-5</v>
      </c>
      <c r="AK330" s="136">
        <f t="shared" ca="1" si="68"/>
        <v>5.4992743105950649E-8</v>
      </c>
      <c r="AL330" s="136">
        <f t="shared" ca="1" si="69"/>
        <v>7.4396516690856315E-9</v>
      </c>
      <c r="AN330" s="74">
        <v>689</v>
      </c>
      <c r="AO330" s="136" t="str">
        <f t="shared" ca="1" si="70"/>
        <v/>
      </c>
      <c r="AP330" s="136">
        <f t="shared" ca="1" si="71"/>
        <v>5.7406703034048473E-4</v>
      </c>
      <c r="AQ330" s="136">
        <f t="shared" ca="1" si="72"/>
        <v>9.6719402668145535E-3</v>
      </c>
      <c r="AR330" s="136">
        <f t="shared" ca="1" si="73"/>
        <v>2.779974175065108E-5</v>
      </c>
      <c r="AS330" s="136">
        <f t="shared" ca="1" si="74"/>
        <v>3.6377965051520509E-6</v>
      </c>
    </row>
    <row r="331" spans="9:45" ht="15" hidden="1" customHeight="1" x14ac:dyDescent="0.2">
      <c r="I331" s="74">
        <v>690</v>
      </c>
      <c r="J331" s="137">
        <v>8.2100000000000003E-3</v>
      </c>
      <c r="L331" s="74">
        <v>690</v>
      </c>
      <c r="M331" s="137"/>
      <c r="N331" s="137">
        <v>6.7765299999999996E-4</v>
      </c>
      <c r="O331" s="137">
        <v>1.09123E-2</v>
      </c>
      <c r="P331" s="138">
        <v>3.5330000000000002E-5</v>
      </c>
      <c r="Q331" s="137">
        <v>4.78804E-6</v>
      </c>
      <c r="S331" s="74">
        <v>690</v>
      </c>
      <c r="T331" s="137">
        <v>1.2590471665626629E-8</v>
      </c>
      <c r="U331" s="137">
        <v>1.0358145327731586E-3</v>
      </c>
      <c r="V331" s="137">
        <v>1.3235915929788903E-2</v>
      </c>
      <c r="W331" s="138">
        <v>3.6303625627043682E-5</v>
      </c>
      <c r="X331" s="137">
        <v>4.7880425367087183E-6</v>
      </c>
      <c r="Z331" s="74">
        <v>690</v>
      </c>
      <c r="AA331" s="137">
        <f t="shared" ca="1" si="60"/>
        <v>0</v>
      </c>
      <c r="AB331" s="137">
        <f t="shared" ca="1" si="61"/>
        <v>6.7765299999999996E-4</v>
      </c>
      <c r="AC331" s="137">
        <f t="shared" ca="1" si="62"/>
        <v>1.09123E-2</v>
      </c>
      <c r="AD331" s="137">
        <f t="shared" ca="1" si="63"/>
        <v>3.5330000000000002E-5</v>
      </c>
      <c r="AE331" s="137">
        <f t="shared" ca="1" si="64"/>
        <v>4.78804E-6</v>
      </c>
      <c r="AG331" s="74">
        <v>690</v>
      </c>
      <c r="AH331" s="136">
        <f t="shared" ca="1" si="65"/>
        <v>0</v>
      </c>
      <c r="AI331" s="136">
        <f t="shared" ca="1" si="66"/>
        <v>9.8210579710144919E-7</v>
      </c>
      <c r="AJ331" s="136">
        <f t="shared" ca="1" si="67"/>
        <v>1.5814927536231884E-5</v>
      </c>
      <c r="AK331" s="136">
        <f t="shared" ca="1" si="68"/>
        <v>5.1202898550724642E-8</v>
      </c>
      <c r="AL331" s="136">
        <f t="shared" ca="1" si="69"/>
        <v>6.9391884057971016E-9</v>
      </c>
      <c r="AN331" s="74">
        <v>690</v>
      </c>
      <c r="AO331" s="136" t="str">
        <f t="shared" ca="1" si="70"/>
        <v/>
      </c>
      <c r="AP331" s="136">
        <f t="shared" ca="1" si="71"/>
        <v>5.3090466752436609E-4</v>
      </c>
      <c r="AQ331" s="136">
        <f t="shared" ca="1" si="72"/>
        <v>8.9625098000770467E-3</v>
      </c>
      <c r="AR331" s="136">
        <f t="shared" ca="1" si="73"/>
        <v>2.5883912607387381E-5</v>
      </c>
      <c r="AS331" s="136">
        <f t="shared" ca="1" si="74"/>
        <v>3.3930829632918625E-6</v>
      </c>
    </row>
    <row r="332" spans="9:45" ht="15" hidden="1" customHeight="1" x14ac:dyDescent="0.2">
      <c r="I332" s="74">
        <v>691</v>
      </c>
      <c r="J332" s="137">
        <v>7.6237809999999996E-3</v>
      </c>
      <c r="L332" s="74">
        <v>691</v>
      </c>
      <c r="M332" s="137"/>
      <c r="N332" s="137">
        <v>6.2829699999999999E-4</v>
      </c>
      <c r="O332" s="137">
        <v>1.01373E-2</v>
      </c>
      <c r="P332" s="138">
        <v>3.2950000000000001E-5</v>
      </c>
      <c r="Q332" s="137">
        <v>4.47347E-6</v>
      </c>
      <c r="S332" s="74">
        <v>691</v>
      </c>
      <c r="T332" s="137">
        <v>1.1863149406116195E-8</v>
      </c>
      <c r="U332" s="137">
        <v>9.6153921275444023E-4</v>
      </c>
      <c r="V332" s="137">
        <v>1.231277660536988E-2</v>
      </c>
      <c r="W332" s="138">
        <v>3.3827273906272229E-5</v>
      </c>
      <c r="X332" s="137">
        <v>4.471621133280201E-6</v>
      </c>
      <c r="Z332" s="74">
        <v>691</v>
      </c>
      <c r="AA332" s="137">
        <f t="shared" ca="1" si="60"/>
        <v>0</v>
      </c>
      <c r="AB332" s="137">
        <f t="shared" ca="1" si="61"/>
        <v>6.2829699999999999E-4</v>
      </c>
      <c r="AC332" s="137">
        <f t="shared" ca="1" si="62"/>
        <v>1.01373E-2</v>
      </c>
      <c r="AD332" s="137">
        <f t="shared" ca="1" si="63"/>
        <v>3.2950000000000001E-5</v>
      </c>
      <c r="AE332" s="137">
        <f t="shared" ca="1" si="64"/>
        <v>4.47347E-6</v>
      </c>
      <c r="AG332" s="74">
        <v>691</v>
      </c>
      <c r="AH332" s="136">
        <f t="shared" ca="1" si="65"/>
        <v>0</v>
      </c>
      <c r="AI332" s="136">
        <f t="shared" ca="1" si="66"/>
        <v>9.0925759768451522E-7</v>
      </c>
      <c r="AJ332" s="136">
        <f t="shared" ca="1" si="67"/>
        <v>1.4670477568740955E-5</v>
      </c>
      <c r="AK332" s="136">
        <f t="shared" ca="1" si="68"/>
        <v>4.768451519536903E-8</v>
      </c>
      <c r="AL332" s="136">
        <f t="shared" ca="1" si="69"/>
        <v>6.4739073806078152E-9</v>
      </c>
      <c r="AN332" s="74">
        <v>691</v>
      </c>
      <c r="AO332" s="136" t="str">
        <f t="shared" ca="1" si="70"/>
        <v/>
      </c>
      <c r="AP332" s="136">
        <f t="shared" ca="1" si="71"/>
        <v>4.915245424855553E-4</v>
      </c>
      <c r="AQ332" s="136">
        <f t="shared" ca="1" si="72"/>
        <v>8.3139362276824693E-3</v>
      </c>
      <c r="AR332" s="136">
        <f t="shared" ca="1" si="73"/>
        <v>2.4105311593245726E-5</v>
      </c>
      <c r="AS332" s="136">
        <f t="shared" ca="1" si="74"/>
        <v>3.1655726224004351E-6</v>
      </c>
    </row>
    <row r="333" spans="9:45" ht="15" hidden="1" customHeight="1" x14ac:dyDescent="0.2">
      <c r="I333" s="74">
        <v>692</v>
      </c>
      <c r="J333" s="137">
        <v>7.0854239999999999E-3</v>
      </c>
      <c r="L333" s="74">
        <v>692</v>
      </c>
      <c r="M333" s="137"/>
      <c r="N333" s="137">
        <v>5.8310800000000004E-4</v>
      </c>
      <c r="O333" s="137">
        <v>9.4256800000000005E-3</v>
      </c>
      <c r="P333" s="138">
        <v>3.0750000000000002E-5</v>
      </c>
      <c r="Q333" s="137">
        <v>4.1782899999999996E-6</v>
      </c>
      <c r="S333" s="74">
        <v>692</v>
      </c>
      <c r="T333" s="137">
        <v>1.1179773373367475E-8</v>
      </c>
      <c r="U333" s="137">
        <v>8.9272973402372243E-4</v>
      </c>
      <c r="V333" s="137">
        <v>1.1452755783490256E-2</v>
      </c>
      <c r="W333" s="138">
        <v>3.1526154531313902E-5</v>
      </c>
      <c r="X333" s="137">
        <v>4.1769377220252518E-6</v>
      </c>
      <c r="Z333" s="74">
        <v>692</v>
      </c>
      <c r="AA333" s="137">
        <f t="shared" ca="1" si="60"/>
        <v>0</v>
      </c>
      <c r="AB333" s="137">
        <f t="shared" ca="1" si="61"/>
        <v>5.8310800000000004E-4</v>
      </c>
      <c r="AC333" s="137">
        <f t="shared" ca="1" si="62"/>
        <v>9.4256800000000005E-3</v>
      </c>
      <c r="AD333" s="137">
        <f t="shared" ca="1" si="63"/>
        <v>3.0750000000000002E-5</v>
      </c>
      <c r="AE333" s="137">
        <f t="shared" ca="1" si="64"/>
        <v>4.1782899999999996E-6</v>
      </c>
      <c r="AG333" s="74">
        <v>692</v>
      </c>
      <c r="AH333" s="136">
        <f t="shared" ca="1" si="65"/>
        <v>0</v>
      </c>
      <c r="AI333" s="136">
        <f t="shared" ca="1" si="66"/>
        <v>8.4264161849710985E-7</v>
      </c>
      <c r="AJ333" s="136">
        <f t="shared" ca="1" si="67"/>
        <v>1.3620924855491329E-5</v>
      </c>
      <c r="AK333" s="136">
        <f t="shared" ca="1" si="68"/>
        <v>4.44364161849711E-8</v>
      </c>
      <c r="AL333" s="136">
        <f t="shared" ca="1" si="69"/>
        <v>6.037991329479768E-9</v>
      </c>
      <c r="AN333" s="74">
        <v>692</v>
      </c>
      <c r="AO333" s="136" t="str">
        <f t="shared" ca="1" si="70"/>
        <v/>
      </c>
      <c r="AP333" s="136">
        <f t="shared" ca="1" si="71"/>
        <v>4.5551341783210182E-4</v>
      </c>
      <c r="AQ333" s="136">
        <f t="shared" ca="1" si="72"/>
        <v>7.7191420715507567E-3</v>
      </c>
      <c r="AR333" s="136">
        <f t="shared" ca="1" si="73"/>
        <v>2.2463343788591208E-5</v>
      </c>
      <c r="AS333" s="136">
        <f t="shared" ca="1" si="74"/>
        <v>2.9524209914009972E-6</v>
      </c>
    </row>
    <row r="334" spans="9:45" ht="15" hidden="1" customHeight="1" x14ac:dyDescent="0.2">
      <c r="I334" s="74">
        <v>693</v>
      </c>
      <c r="J334" s="137">
        <v>6.5914759999999998E-3</v>
      </c>
      <c r="L334" s="74">
        <v>693</v>
      </c>
      <c r="M334" s="137"/>
      <c r="N334" s="137">
        <v>5.4158400000000001E-4</v>
      </c>
      <c r="O334" s="137">
        <v>8.7691699999999997E-3</v>
      </c>
      <c r="P334" s="138">
        <v>2.87E-5</v>
      </c>
      <c r="Q334" s="137">
        <v>3.9024299999999997E-6</v>
      </c>
      <c r="S334" s="74">
        <v>693</v>
      </c>
      <c r="T334" s="137">
        <v>1.0537631323737999E-8</v>
      </c>
      <c r="U334" s="137">
        <v>8.2897226392420961E-4</v>
      </c>
      <c r="V334" s="137">
        <v>1.0651750861979094E-2</v>
      </c>
      <c r="W334" s="138">
        <v>2.9387524215875029E-5</v>
      </c>
      <c r="X334" s="137">
        <v>3.9024558641978655E-6</v>
      </c>
      <c r="Z334" s="74">
        <v>693</v>
      </c>
      <c r="AA334" s="137">
        <f t="shared" ca="1" si="60"/>
        <v>0</v>
      </c>
      <c r="AB334" s="137">
        <f t="shared" ca="1" si="61"/>
        <v>5.4158400000000001E-4</v>
      </c>
      <c r="AC334" s="137">
        <f t="shared" ca="1" si="62"/>
        <v>8.7691699999999997E-3</v>
      </c>
      <c r="AD334" s="137">
        <f t="shared" ca="1" si="63"/>
        <v>2.87E-5</v>
      </c>
      <c r="AE334" s="137">
        <f t="shared" ca="1" si="64"/>
        <v>3.9024299999999997E-6</v>
      </c>
      <c r="AG334" s="74">
        <v>693</v>
      </c>
      <c r="AH334" s="136">
        <f t="shared" ca="1" si="65"/>
        <v>0</v>
      </c>
      <c r="AI334" s="136">
        <f t="shared" ca="1" si="66"/>
        <v>7.8150649350649351E-7</v>
      </c>
      <c r="AJ334" s="136">
        <f t="shared" ca="1" si="67"/>
        <v>1.2653924963924964E-5</v>
      </c>
      <c r="AK334" s="136">
        <f t="shared" ca="1" si="68"/>
        <v>4.1414141414141412E-8</v>
      </c>
      <c r="AL334" s="136">
        <f t="shared" ca="1" si="69"/>
        <v>5.6312121212121211E-9</v>
      </c>
      <c r="AN334" s="74">
        <v>693</v>
      </c>
      <c r="AO334" s="136" t="str">
        <f t="shared" ca="1" si="70"/>
        <v/>
      </c>
      <c r="AP334" s="136">
        <f t="shared" ca="1" si="71"/>
        <v>4.2246512170861298E-4</v>
      </c>
      <c r="AQ334" s="136">
        <f t="shared" ca="1" si="72"/>
        <v>7.1711315931605431E-3</v>
      </c>
      <c r="AR334" s="136">
        <f t="shared" ca="1" si="73"/>
        <v>2.0935533874350322E-5</v>
      </c>
      <c r="AS334" s="136">
        <f t="shared" ca="1" si="74"/>
        <v>2.7535165200594733E-6</v>
      </c>
    </row>
    <row r="335" spans="9:45" ht="15" hidden="1" customHeight="1" x14ac:dyDescent="0.2">
      <c r="I335" s="74">
        <v>694</v>
      </c>
      <c r="J335" s="137">
        <v>6.1384849999999999E-3</v>
      </c>
      <c r="L335" s="74">
        <v>694</v>
      </c>
      <c r="M335" s="137"/>
      <c r="N335" s="137">
        <v>5.0329400000000005E-4</v>
      </c>
      <c r="O335" s="137">
        <v>8.1607599999999995E-3</v>
      </c>
      <c r="P335" s="138">
        <v>2.6789999999999999E-5</v>
      </c>
      <c r="Q335" s="137">
        <v>3.6458299999999999E-6</v>
      </c>
      <c r="S335" s="74">
        <v>694</v>
      </c>
      <c r="T335" s="137">
        <v>9.93406506132398E-9</v>
      </c>
      <c r="U335" s="137">
        <v>7.6989056963095933E-4</v>
      </c>
      <c r="V335" s="137">
        <v>9.9059469991423128E-3</v>
      </c>
      <c r="W335" s="138">
        <v>2.7399333590982376E-5</v>
      </c>
      <c r="X335" s="137">
        <v>3.6467164826536172E-6</v>
      </c>
      <c r="Z335" s="74">
        <v>694</v>
      </c>
      <c r="AA335" s="137">
        <f t="shared" ca="1" si="60"/>
        <v>0</v>
      </c>
      <c r="AB335" s="137">
        <f t="shared" ca="1" si="61"/>
        <v>5.0329400000000005E-4</v>
      </c>
      <c r="AC335" s="137">
        <f t="shared" ca="1" si="62"/>
        <v>8.1607599999999995E-3</v>
      </c>
      <c r="AD335" s="137">
        <f t="shared" ca="1" si="63"/>
        <v>2.6789999999999999E-5</v>
      </c>
      <c r="AE335" s="137">
        <f t="shared" ca="1" si="64"/>
        <v>3.6458299999999999E-6</v>
      </c>
      <c r="AG335" s="74">
        <v>694</v>
      </c>
      <c r="AH335" s="136">
        <f t="shared" ca="1" si="65"/>
        <v>0</v>
      </c>
      <c r="AI335" s="136">
        <f t="shared" ca="1" si="66"/>
        <v>7.2520749279538916E-7</v>
      </c>
      <c r="AJ335" s="136">
        <f t="shared" ca="1" si="67"/>
        <v>1.1759020172910662E-5</v>
      </c>
      <c r="AK335" s="136">
        <f t="shared" ca="1" si="68"/>
        <v>3.8602305475504324E-8</v>
      </c>
      <c r="AL335" s="136">
        <f t="shared" ca="1" si="69"/>
        <v>5.2533573487031699E-9</v>
      </c>
      <c r="AN335" s="74">
        <v>694</v>
      </c>
      <c r="AO335" s="136" t="str">
        <f t="shared" ca="1" si="70"/>
        <v/>
      </c>
      <c r="AP335" s="136">
        <f t="shared" ca="1" si="71"/>
        <v>3.9203112738468439E-4</v>
      </c>
      <c r="AQ335" s="136">
        <f t="shared" ca="1" si="72"/>
        <v>6.6639782760665213E-3</v>
      </c>
      <c r="AR335" s="136">
        <f t="shared" ca="1" si="73"/>
        <v>1.9514104272471594E-5</v>
      </c>
      <c r="AS335" s="136">
        <f t="shared" ca="1" si="74"/>
        <v>2.568755346818008E-6</v>
      </c>
    </row>
    <row r="336" spans="9:45" ht="15" hidden="1" customHeight="1" x14ac:dyDescent="0.2">
      <c r="I336" s="74">
        <v>695</v>
      </c>
      <c r="J336" s="137">
        <v>5.7229999999999998E-3</v>
      </c>
      <c r="L336" s="74">
        <v>695</v>
      </c>
      <c r="M336" s="137"/>
      <c r="N336" s="137">
        <v>4.6787E-4</v>
      </c>
      <c r="O336" s="137">
        <v>7.5945300000000004E-3</v>
      </c>
      <c r="P336" s="138">
        <v>2.5009999999999999E-5</v>
      </c>
      <c r="Q336" s="137">
        <v>3.4084100000000001E-6</v>
      </c>
      <c r="S336" s="74">
        <v>695</v>
      </c>
      <c r="T336" s="137">
        <v>9.3667083959641197E-9</v>
      </c>
      <c r="U336" s="137">
        <v>7.1513494447753446E-4</v>
      </c>
      <c r="V336" s="137">
        <v>9.2116833340472708E-3</v>
      </c>
      <c r="W336" s="138">
        <v>2.5550770435341322E-5</v>
      </c>
      <c r="X336" s="137">
        <v>3.4084113277424921E-6</v>
      </c>
      <c r="Z336" s="74">
        <v>695</v>
      </c>
      <c r="AA336" s="137">
        <f t="shared" ca="1" si="60"/>
        <v>0</v>
      </c>
      <c r="AB336" s="137">
        <f t="shared" ca="1" si="61"/>
        <v>4.6787E-4</v>
      </c>
      <c r="AC336" s="137">
        <f t="shared" ca="1" si="62"/>
        <v>7.5945300000000004E-3</v>
      </c>
      <c r="AD336" s="137">
        <f t="shared" ca="1" si="63"/>
        <v>2.5009999999999999E-5</v>
      </c>
      <c r="AE336" s="137">
        <f t="shared" ca="1" si="64"/>
        <v>3.4084100000000001E-6</v>
      </c>
      <c r="AG336" s="74">
        <v>695</v>
      </c>
      <c r="AH336" s="136">
        <f t="shared" ca="1" si="65"/>
        <v>0</v>
      </c>
      <c r="AI336" s="136">
        <f t="shared" ca="1" si="66"/>
        <v>6.7319424460431655E-7</v>
      </c>
      <c r="AJ336" s="136">
        <f t="shared" ca="1" si="67"/>
        <v>1.0927381294964029E-5</v>
      </c>
      <c r="AK336" s="136">
        <f t="shared" ca="1" si="68"/>
        <v>3.5985611510791368E-8</v>
      </c>
      <c r="AL336" s="136">
        <f t="shared" ca="1" si="69"/>
        <v>4.9041870503597124E-9</v>
      </c>
      <c r="AN336" s="74">
        <v>695</v>
      </c>
      <c r="AO336" s="136" t="str">
        <f t="shared" ca="1" si="70"/>
        <v/>
      </c>
      <c r="AP336" s="136">
        <f t="shared" ca="1" si="71"/>
        <v>3.6391391606260186E-4</v>
      </c>
      <c r="AQ336" s="136">
        <f t="shared" ca="1" si="72"/>
        <v>6.192678513443791E-3</v>
      </c>
      <c r="AR336" s="136">
        <f t="shared" ca="1" si="73"/>
        <v>1.8191322167942676E-5</v>
      </c>
      <c r="AS336" s="136">
        <f t="shared" ca="1" si="74"/>
        <v>2.3980201366878216E-6</v>
      </c>
    </row>
    <row r="337" spans="9:45" ht="15" hidden="1" customHeight="1" x14ac:dyDescent="0.2">
      <c r="I337" s="74">
        <v>696</v>
      </c>
      <c r="J337" s="137">
        <v>5.3430589999999998E-3</v>
      </c>
      <c r="L337" s="74">
        <v>696</v>
      </c>
      <c r="M337" s="137"/>
      <c r="N337" s="137">
        <v>4.35007E-4</v>
      </c>
      <c r="O337" s="137">
        <v>7.0658800000000001E-3</v>
      </c>
      <c r="P337" s="138">
        <v>2.336E-5</v>
      </c>
      <c r="Q337" s="137">
        <v>3.1873899999999999E-6</v>
      </c>
      <c r="S337" s="74">
        <v>696</v>
      </c>
      <c r="T337" s="137">
        <v>8.8332800599225157E-9</v>
      </c>
      <c r="U337" s="137">
        <v>6.6438068794917214E-4</v>
      </c>
      <c r="V337" s="137">
        <v>8.5655844253885987E-3</v>
      </c>
      <c r="W337" s="138">
        <v>2.3831698725654273E-5</v>
      </c>
      <c r="X337" s="137">
        <v>3.1863024683773103E-6</v>
      </c>
      <c r="Z337" s="74">
        <v>696</v>
      </c>
      <c r="AA337" s="137">
        <f t="shared" ca="1" si="60"/>
        <v>0</v>
      </c>
      <c r="AB337" s="137">
        <f t="shared" ca="1" si="61"/>
        <v>4.35007E-4</v>
      </c>
      <c r="AC337" s="137">
        <f t="shared" ca="1" si="62"/>
        <v>7.0658800000000001E-3</v>
      </c>
      <c r="AD337" s="137">
        <f t="shared" ca="1" si="63"/>
        <v>2.336E-5</v>
      </c>
      <c r="AE337" s="137">
        <f t="shared" ca="1" si="64"/>
        <v>3.1873899999999999E-6</v>
      </c>
      <c r="AG337" s="74">
        <v>696</v>
      </c>
      <c r="AH337" s="136">
        <f t="shared" ca="1" si="65"/>
        <v>0</v>
      </c>
      <c r="AI337" s="136">
        <f t="shared" ca="1" si="66"/>
        <v>6.2501005747126436E-7</v>
      </c>
      <c r="AJ337" s="136">
        <f t="shared" ca="1" si="67"/>
        <v>1.0152126436781609E-5</v>
      </c>
      <c r="AK337" s="136">
        <f t="shared" ca="1" si="68"/>
        <v>3.3563218390804595E-8</v>
      </c>
      <c r="AL337" s="136">
        <f t="shared" ca="1" si="69"/>
        <v>4.5795833333333329E-9</v>
      </c>
      <c r="AN337" s="74">
        <v>696</v>
      </c>
      <c r="AO337" s="136" t="str">
        <f t="shared" ca="1" si="70"/>
        <v/>
      </c>
      <c r="AP337" s="136">
        <f t="shared" ca="1" si="71"/>
        <v>3.3786661044104421E-4</v>
      </c>
      <c r="AQ337" s="136">
        <f t="shared" ca="1" si="72"/>
        <v>5.7533322535194917E-3</v>
      </c>
      <c r="AR337" s="136">
        <f t="shared" ca="1" si="73"/>
        <v>1.6966762356033617E-5</v>
      </c>
      <c r="AS337" s="136">
        <f t="shared" ca="1" si="74"/>
        <v>2.2392973469818541E-6</v>
      </c>
    </row>
    <row r="338" spans="9:45" ht="15" hidden="1" customHeight="1" x14ac:dyDescent="0.2">
      <c r="I338" s="74">
        <v>697</v>
      </c>
      <c r="J338" s="137">
        <v>4.9957960000000003E-3</v>
      </c>
      <c r="L338" s="74">
        <v>697</v>
      </c>
      <c r="M338" s="137"/>
      <c r="N338" s="137">
        <v>4.0449000000000003E-4</v>
      </c>
      <c r="O338" s="137">
        <v>6.5725200000000001E-3</v>
      </c>
      <c r="P338" s="138">
        <v>2.1820000000000001E-5</v>
      </c>
      <c r="Q338" s="137">
        <v>2.9799800000000001E-6</v>
      </c>
      <c r="S338" s="74">
        <v>697</v>
      </c>
      <c r="T338" s="137">
        <v>8.3316304779426543E-9</v>
      </c>
      <c r="U338" s="137">
        <v>6.1732945612699177E-4</v>
      </c>
      <c r="V338" s="137">
        <v>7.9644171707409592E-3</v>
      </c>
      <c r="W338" s="138">
        <v>2.2232638168869003E-5</v>
      </c>
      <c r="X338" s="137">
        <v>2.979243496632826E-6</v>
      </c>
      <c r="Z338" s="74">
        <v>697</v>
      </c>
      <c r="AA338" s="137">
        <f t="shared" ca="1" si="60"/>
        <v>0</v>
      </c>
      <c r="AB338" s="137">
        <f t="shared" ca="1" si="61"/>
        <v>4.0449000000000003E-4</v>
      </c>
      <c r="AC338" s="137">
        <f t="shared" ca="1" si="62"/>
        <v>6.5725200000000001E-3</v>
      </c>
      <c r="AD338" s="137">
        <f t="shared" ca="1" si="63"/>
        <v>2.1820000000000001E-5</v>
      </c>
      <c r="AE338" s="137">
        <f t="shared" ca="1" si="64"/>
        <v>2.9799800000000001E-6</v>
      </c>
      <c r="AG338" s="74">
        <v>697</v>
      </c>
      <c r="AH338" s="136">
        <f t="shared" ca="1" si="65"/>
        <v>0</v>
      </c>
      <c r="AI338" s="136">
        <f t="shared" ca="1" si="66"/>
        <v>5.8032998565279771E-7</v>
      </c>
      <c r="AJ338" s="136">
        <f t="shared" ca="1" si="67"/>
        <v>9.4297274031563844E-6</v>
      </c>
      <c r="AK338" s="136">
        <f t="shared" ca="1" si="68"/>
        <v>3.1305595408895265E-8</v>
      </c>
      <c r="AL338" s="136">
        <f t="shared" ca="1" si="69"/>
        <v>4.2754375896700146E-9</v>
      </c>
      <c r="AN338" s="74">
        <v>697</v>
      </c>
      <c r="AO338" s="136" t="str">
        <f t="shared" ca="1" si="70"/>
        <v/>
      </c>
      <c r="AP338" s="136">
        <f t="shared" ca="1" si="71"/>
        <v>3.1371355203964113E-4</v>
      </c>
      <c r="AQ338" s="136">
        <f t="shared" ca="1" si="72"/>
        <v>5.3439400256006971E-3</v>
      </c>
      <c r="AR338" s="136">
        <f t="shared" ca="1" si="73"/>
        <v>1.5825496575810645E-5</v>
      </c>
      <c r="AS338" s="136">
        <f t="shared" ca="1" si="74"/>
        <v>2.0905779750853371E-6</v>
      </c>
    </row>
    <row r="339" spans="9:45" ht="15" hidden="1" customHeight="1" x14ac:dyDescent="0.2">
      <c r="I339" s="74">
        <v>698</v>
      </c>
      <c r="J339" s="137">
        <v>4.6764040000000003E-3</v>
      </c>
      <c r="L339" s="74">
        <v>698</v>
      </c>
      <c r="M339" s="137"/>
      <c r="N339" s="137">
        <v>3.7613799999999998E-4</v>
      </c>
      <c r="O339" s="137">
        <v>6.11262E-3</v>
      </c>
      <c r="P339" s="138">
        <v>2.0380000000000001E-5</v>
      </c>
      <c r="Q339" s="137">
        <v>2.7860399999999999E-6</v>
      </c>
      <c r="S339" s="74">
        <v>698</v>
      </c>
      <c r="T339" s="137">
        <v>7.8598272346339531E-9</v>
      </c>
      <c r="U339" s="137">
        <v>5.7370680330993268E-4</v>
      </c>
      <c r="V339" s="137">
        <v>7.4051864876608434E-3</v>
      </c>
      <c r="W339" s="138">
        <v>2.0744931255335873E-5</v>
      </c>
      <c r="X339" s="137">
        <v>2.786178906757657E-6</v>
      </c>
      <c r="Z339" s="74">
        <v>698</v>
      </c>
      <c r="AA339" s="137">
        <f t="shared" ca="1" si="60"/>
        <v>0</v>
      </c>
      <c r="AB339" s="137">
        <f t="shared" ca="1" si="61"/>
        <v>3.7613799999999998E-4</v>
      </c>
      <c r="AC339" s="137">
        <f t="shared" ca="1" si="62"/>
        <v>6.11262E-3</v>
      </c>
      <c r="AD339" s="137">
        <f t="shared" ca="1" si="63"/>
        <v>2.0380000000000001E-5</v>
      </c>
      <c r="AE339" s="137">
        <f t="shared" ca="1" si="64"/>
        <v>2.7860399999999999E-6</v>
      </c>
      <c r="AG339" s="74">
        <v>698</v>
      </c>
      <c r="AH339" s="136">
        <f t="shared" ca="1" si="65"/>
        <v>0</v>
      </c>
      <c r="AI339" s="136">
        <f t="shared" ca="1" si="66"/>
        <v>5.3887965616045847E-7</v>
      </c>
      <c r="AJ339" s="136">
        <f t="shared" ca="1" si="67"/>
        <v>8.7573352435530084E-6</v>
      </c>
      <c r="AK339" s="136">
        <f t="shared" ca="1" si="68"/>
        <v>2.9197707736389686E-8</v>
      </c>
      <c r="AL339" s="136">
        <f t="shared" ca="1" si="69"/>
        <v>3.9914613180515755E-9</v>
      </c>
      <c r="AN339" s="74">
        <v>698</v>
      </c>
      <c r="AO339" s="136" t="str">
        <f t="shared" ca="1" si="70"/>
        <v/>
      </c>
      <c r="AP339" s="136">
        <f t="shared" ca="1" si="71"/>
        <v>2.9130642089057962E-4</v>
      </c>
      <c r="AQ339" s="136">
        <f t="shared" ca="1" si="72"/>
        <v>4.9628872951260261E-3</v>
      </c>
      <c r="AR339" s="136">
        <f t="shared" ca="1" si="73"/>
        <v>1.4759924472558075E-5</v>
      </c>
      <c r="AS339" s="136">
        <f t="shared" ca="1" si="74"/>
        <v>1.9517209513442462E-6</v>
      </c>
    </row>
    <row r="340" spans="9:45" ht="15" hidden="1" customHeight="1" x14ac:dyDescent="0.2">
      <c r="I340" s="74">
        <v>699</v>
      </c>
      <c r="J340" s="137">
        <v>4.3800749999999998E-3</v>
      </c>
      <c r="L340" s="74">
        <v>699</v>
      </c>
      <c r="M340" s="137"/>
      <c r="N340" s="137">
        <v>3.4978400000000001E-4</v>
      </c>
      <c r="O340" s="137">
        <v>5.6844E-3</v>
      </c>
      <c r="P340" s="138">
        <v>1.9049999999999999E-5</v>
      </c>
      <c r="Q340" s="137">
        <v>2.6054800000000002E-6</v>
      </c>
      <c r="S340" s="74">
        <v>699</v>
      </c>
      <c r="T340" s="137">
        <v>7.415987685905243E-9</v>
      </c>
      <c r="U340" s="137">
        <v>5.3325507827711694E-4</v>
      </c>
      <c r="V340" s="137">
        <v>6.8850325850584497E-3</v>
      </c>
      <c r="W340" s="138">
        <v>1.9360608367402795E-5</v>
      </c>
      <c r="X340" s="137">
        <v>2.6061355473901271E-6</v>
      </c>
      <c r="Z340" s="74">
        <v>699</v>
      </c>
      <c r="AA340" s="137">
        <f t="shared" ca="1" si="60"/>
        <v>0</v>
      </c>
      <c r="AB340" s="137">
        <f t="shared" ca="1" si="61"/>
        <v>3.4978400000000001E-4</v>
      </c>
      <c r="AC340" s="137">
        <f t="shared" ca="1" si="62"/>
        <v>5.6844E-3</v>
      </c>
      <c r="AD340" s="137">
        <f t="shared" ca="1" si="63"/>
        <v>1.9049999999999999E-5</v>
      </c>
      <c r="AE340" s="137">
        <f t="shared" ca="1" si="64"/>
        <v>2.6054800000000002E-6</v>
      </c>
      <c r="AG340" s="74">
        <v>699</v>
      </c>
      <c r="AH340" s="136">
        <f t="shared" ca="1" si="65"/>
        <v>0</v>
      </c>
      <c r="AI340" s="136">
        <f t="shared" ca="1" si="66"/>
        <v>5.0040629470672392E-7</v>
      </c>
      <c r="AJ340" s="136">
        <f t="shared" ca="1" si="67"/>
        <v>8.132188841201717E-6</v>
      </c>
      <c r="AK340" s="136">
        <f t="shared" ca="1" si="68"/>
        <v>2.7253218884120172E-8</v>
      </c>
      <c r="AL340" s="136">
        <f t="shared" ca="1" si="69"/>
        <v>3.7274391988555082E-9</v>
      </c>
      <c r="AN340" s="74">
        <v>699</v>
      </c>
      <c r="AO340" s="136" t="str">
        <f t="shared" ca="1" si="70"/>
        <v/>
      </c>
      <c r="AP340" s="136">
        <f t="shared" ca="1" si="71"/>
        <v>2.7050857280596047E-4</v>
      </c>
      <c r="AQ340" s="136">
        <f t="shared" ca="1" si="72"/>
        <v>4.6086093039863132E-3</v>
      </c>
      <c r="AR340" s="136">
        <f t="shared" ca="1" si="73"/>
        <v>1.3776953177127951E-5</v>
      </c>
      <c r="AS340" s="136">
        <f t="shared" ca="1" si="74"/>
        <v>1.8226209900536748E-6</v>
      </c>
    </row>
    <row r="341" spans="9:45" ht="15" hidden="1" customHeight="1" x14ac:dyDescent="0.2">
      <c r="I341" s="74">
        <v>700</v>
      </c>
      <c r="J341" s="137">
        <v>4.1019999999999997E-3</v>
      </c>
      <c r="L341" s="74">
        <v>700</v>
      </c>
      <c r="M341" s="137"/>
      <c r="N341" s="137">
        <v>3.2527800000000003E-4</v>
      </c>
      <c r="O341" s="137">
        <v>5.2860700000000004E-3</v>
      </c>
      <c r="P341" s="138">
        <v>1.7799999999999999E-5</v>
      </c>
      <c r="Q341" s="137">
        <v>2.4381899999999999E-6</v>
      </c>
      <c r="S341" s="74">
        <v>700</v>
      </c>
      <c r="T341" s="137">
        <v>6.9984038455837974E-9</v>
      </c>
      <c r="U341" s="137">
        <v>4.9574004287829038E-4</v>
      </c>
      <c r="V341" s="137">
        <v>6.4013415495319916E-3</v>
      </c>
      <c r="W341" s="138">
        <v>1.8072198994848427E-5</v>
      </c>
      <c r="X341" s="137">
        <v>2.438186936259402E-6</v>
      </c>
      <c r="Z341" s="74">
        <v>700</v>
      </c>
      <c r="AA341" s="137">
        <f t="shared" ref="AA341:AA404" ca="1" si="75">OFFSET(M341,0,$AA$8)</f>
        <v>0</v>
      </c>
      <c r="AB341" s="137">
        <f t="shared" ref="AB341:AB404" ca="1" si="76">OFFSET(N341,0,$AA$8)</f>
        <v>3.2527800000000003E-4</v>
      </c>
      <c r="AC341" s="137">
        <f t="shared" ref="AC341:AC404" ca="1" si="77">OFFSET(O341,0,$AA$8)</f>
        <v>5.2860700000000004E-3</v>
      </c>
      <c r="AD341" s="137">
        <f t="shared" ref="AD341:AD404" ca="1" si="78">OFFSET(P341,0,$AA$8)</f>
        <v>1.7799999999999999E-5</v>
      </c>
      <c r="AE341" s="137">
        <f t="shared" ref="AE341:AE404" ca="1" si="79">OFFSET(Q341,0,$AA$8)</f>
        <v>2.4381899999999999E-6</v>
      </c>
      <c r="AG341" s="74">
        <v>700</v>
      </c>
      <c r="AH341" s="136">
        <f t="shared" ref="AH341:AH404" ca="1" si="80">AA341/$Z341</f>
        <v>0</v>
      </c>
      <c r="AI341" s="136">
        <f t="shared" ref="AI341:AI404" ca="1" si="81">AB341/$Z341</f>
        <v>4.6468285714285718E-7</v>
      </c>
      <c r="AJ341" s="136">
        <f t="shared" ref="AJ341:AJ404" ca="1" si="82">AC341/$Z341</f>
        <v>7.5515285714285716E-6</v>
      </c>
      <c r="AK341" s="136">
        <f t="shared" ref="AK341:AK404" ca="1" si="83">AD341/$Z341</f>
        <v>2.5428571428571428E-8</v>
      </c>
      <c r="AL341" s="136">
        <f t="shared" ref="AL341:AL404" ca="1" si="84">AE341/$Z341</f>
        <v>3.4831285714285713E-9</v>
      </c>
      <c r="AN341" s="74">
        <v>700</v>
      </c>
      <c r="AO341" s="136" t="str">
        <f t="shared" ref="AO341:AO404" ca="1" si="85">IF(AH341=0,"",AH341/AH$11)</f>
        <v/>
      </c>
      <c r="AP341" s="136">
        <f t="shared" ref="AP341:AP404" ca="1" si="86">IF(AI341=0,"",AI341/AI$11)</f>
        <v>2.5119727274170377E-4</v>
      </c>
      <c r="AQ341" s="136">
        <f t="shared" ref="AQ341:AQ404" ca="1" si="87">IF(AJ341=0,"",AJ341/AJ$11)</f>
        <v>4.2795421396610595E-3</v>
      </c>
      <c r="AR341" s="136">
        <f t="shared" ref="AR341:AR404" ca="1" si="88">IF(AK341=0,"",AK341/AK$11)</f>
        <v>1.2854563691073219E-5</v>
      </c>
      <c r="AS341" s="136">
        <f t="shared" ref="AS341:AS404" ca="1" si="89">IF(AL341=0,"",AL341/AL$11)</f>
        <v>1.7031594364545601E-6</v>
      </c>
    </row>
    <row r="342" spans="9:45" ht="15" hidden="1" customHeight="1" x14ac:dyDescent="0.2">
      <c r="I342" s="74">
        <v>701</v>
      </c>
      <c r="J342" s="137">
        <v>3.8384529999999999E-3</v>
      </c>
      <c r="L342" s="74">
        <v>701</v>
      </c>
      <c r="M342" s="137"/>
      <c r="N342" s="137">
        <v>3.02477E-4</v>
      </c>
      <c r="O342" s="137">
        <v>4.9157300000000001E-3</v>
      </c>
      <c r="P342" s="138">
        <v>1.664E-5</v>
      </c>
      <c r="Q342" s="137">
        <v>2.28225E-6</v>
      </c>
      <c r="S342" s="74">
        <v>701</v>
      </c>
      <c r="T342" s="137">
        <v>6.6054437714472335E-9</v>
      </c>
      <c r="U342" s="137">
        <v>4.6094276219858571E-4</v>
      </c>
      <c r="V342" s="137">
        <v>5.9515899261509304E-3</v>
      </c>
      <c r="W342" s="138">
        <v>1.6872832686220754E-5</v>
      </c>
      <c r="X342" s="137">
        <v>2.2815027679450839E-6</v>
      </c>
      <c r="Z342" s="74">
        <v>701</v>
      </c>
      <c r="AA342" s="137">
        <f t="shared" ca="1" si="75"/>
        <v>0</v>
      </c>
      <c r="AB342" s="137">
        <f t="shared" ca="1" si="76"/>
        <v>3.02477E-4</v>
      </c>
      <c r="AC342" s="137">
        <f t="shared" ca="1" si="77"/>
        <v>4.9157300000000001E-3</v>
      </c>
      <c r="AD342" s="137">
        <f t="shared" ca="1" si="78"/>
        <v>1.664E-5</v>
      </c>
      <c r="AE342" s="137">
        <f t="shared" ca="1" si="79"/>
        <v>2.28225E-6</v>
      </c>
      <c r="AG342" s="74">
        <v>701</v>
      </c>
      <c r="AH342" s="136">
        <f t="shared" ca="1" si="80"/>
        <v>0</v>
      </c>
      <c r="AI342" s="136">
        <f t="shared" ca="1" si="81"/>
        <v>4.3149358059914407E-7</v>
      </c>
      <c r="AJ342" s="136">
        <f t="shared" ca="1" si="82"/>
        <v>7.0124536376604854E-6</v>
      </c>
      <c r="AK342" s="136">
        <f t="shared" ca="1" si="83"/>
        <v>2.3737517831669046E-8</v>
      </c>
      <c r="AL342" s="136">
        <f t="shared" ca="1" si="84"/>
        <v>3.2557061340941512E-9</v>
      </c>
      <c r="AN342" s="74">
        <v>701</v>
      </c>
      <c r="AO342" s="136" t="str">
        <f t="shared" ca="1" si="85"/>
        <v/>
      </c>
      <c r="AP342" s="136">
        <f t="shared" ca="1" si="86"/>
        <v>2.3325588406360179E-4</v>
      </c>
      <c r="AQ342" s="136">
        <f t="shared" ca="1" si="87"/>
        <v>3.9740418858152226E-3</v>
      </c>
      <c r="AR342" s="136">
        <f t="shared" ca="1" si="88"/>
        <v>1.1999708111495685E-5</v>
      </c>
      <c r="AS342" s="136">
        <f t="shared" ca="1" si="89"/>
        <v>1.5919557693304518E-6</v>
      </c>
    </row>
    <row r="343" spans="9:45" ht="15" hidden="1" customHeight="1" x14ac:dyDescent="0.2">
      <c r="I343" s="74">
        <v>702</v>
      </c>
      <c r="J343" s="137">
        <v>3.5890990000000001E-3</v>
      </c>
      <c r="L343" s="74">
        <v>702</v>
      </c>
      <c r="M343" s="137"/>
      <c r="N343" s="137">
        <v>2.8123699999999999E-4</v>
      </c>
      <c r="O343" s="137">
        <v>4.5708600000000004E-3</v>
      </c>
      <c r="P343" s="138">
        <v>1.556E-5</v>
      </c>
      <c r="Q343" s="137">
        <v>2.1357999999999999E-6</v>
      </c>
      <c r="S343" s="74">
        <v>702</v>
      </c>
      <c r="T343" s="137">
        <v>6.2355964338148109E-9</v>
      </c>
      <c r="U343" s="137">
        <v>4.286610268785256E-4</v>
      </c>
      <c r="V343" s="137">
        <v>5.5334756095017845E-3</v>
      </c>
      <c r="W343" s="138">
        <v>1.5756109849827869E-5</v>
      </c>
      <c r="X343" s="137">
        <v>2.1352955746719914E-6</v>
      </c>
      <c r="Z343" s="74">
        <v>702</v>
      </c>
      <c r="AA343" s="137">
        <f t="shared" ca="1" si="75"/>
        <v>0</v>
      </c>
      <c r="AB343" s="137">
        <f t="shared" ca="1" si="76"/>
        <v>2.8123699999999999E-4</v>
      </c>
      <c r="AC343" s="137">
        <f t="shared" ca="1" si="77"/>
        <v>4.5708600000000004E-3</v>
      </c>
      <c r="AD343" s="137">
        <f t="shared" ca="1" si="78"/>
        <v>1.556E-5</v>
      </c>
      <c r="AE343" s="137">
        <f t="shared" ca="1" si="79"/>
        <v>2.1357999999999999E-6</v>
      </c>
      <c r="AG343" s="74">
        <v>702</v>
      </c>
      <c r="AH343" s="136">
        <f t="shared" ca="1" si="80"/>
        <v>0</v>
      </c>
      <c r="AI343" s="136">
        <f t="shared" ca="1" si="81"/>
        <v>4.006225071225071E-7</v>
      </c>
      <c r="AJ343" s="136">
        <f t="shared" ca="1" si="82"/>
        <v>6.5111965811965817E-6</v>
      </c>
      <c r="AK343" s="136">
        <f t="shared" ca="1" si="83"/>
        <v>2.2165242165242167E-8</v>
      </c>
      <c r="AL343" s="136">
        <f t="shared" ca="1" si="84"/>
        <v>3.0424501424501422E-9</v>
      </c>
      <c r="AN343" s="74">
        <v>702</v>
      </c>
      <c r="AO343" s="136" t="str">
        <f t="shared" ca="1" si="85"/>
        <v/>
      </c>
      <c r="AP343" s="136">
        <f t="shared" ca="1" si="86"/>
        <v>2.1656766467969643E-4</v>
      </c>
      <c r="AQ343" s="136">
        <f t="shared" ca="1" si="87"/>
        <v>3.689973478253874E-3</v>
      </c>
      <c r="AR343" s="136">
        <f t="shared" ca="1" si="88"/>
        <v>1.1204896741506571E-5</v>
      </c>
      <c r="AS343" s="136">
        <f t="shared" ca="1" si="89"/>
        <v>1.4876791263353292E-6</v>
      </c>
    </row>
    <row r="344" spans="9:45" ht="15" hidden="1" customHeight="1" x14ac:dyDescent="0.2">
      <c r="I344" s="74">
        <v>703</v>
      </c>
      <c r="J344" s="137">
        <v>3.3542189999999999E-3</v>
      </c>
      <c r="L344" s="74">
        <v>703</v>
      </c>
      <c r="M344" s="137"/>
      <c r="N344" s="137">
        <v>2.61427E-4</v>
      </c>
      <c r="O344" s="137">
        <v>4.2490799999999997E-3</v>
      </c>
      <c r="P344" s="138">
        <v>1.454E-5</v>
      </c>
      <c r="Q344" s="137">
        <v>1.9987399999999999E-6</v>
      </c>
      <c r="S344" s="74">
        <v>703</v>
      </c>
      <c r="T344" s="137">
        <v>5.8874333006901209E-9</v>
      </c>
      <c r="U344" s="137">
        <v>3.9870896415987255E-4</v>
      </c>
      <c r="V344" s="137">
        <v>5.144794117410598E-3</v>
      </c>
      <c r="W344" s="138">
        <v>1.4716176908433884E-5</v>
      </c>
      <c r="X344" s="137">
        <v>1.9988398536962762E-6</v>
      </c>
      <c r="Z344" s="74">
        <v>703</v>
      </c>
      <c r="AA344" s="137">
        <f t="shared" ca="1" si="75"/>
        <v>0</v>
      </c>
      <c r="AB344" s="137">
        <f t="shared" ca="1" si="76"/>
        <v>2.61427E-4</v>
      </c>
      <c r="AC344" s="137">
        <f t="shared" ca="1" si="77"/>
        <v>4.2490799999999997E-3</v>
      </c>
      <c r="AD344" s="137">
        <f t="shared" ca="1" si="78"/>
        <v>1.454E-5</v>
      </c>
      <c r="AE344" s="137">
        <f t="shared" ca="1" si="79"/>
        <v>1.9987399999999999E-6</v>
      </c>
      <c r="AG344" s="74">
        <v>703</v>
      </c>
      <c r="AH344" s="136">
        <f t="shared" ca="1" si="80"/>
        <v>0</v>
      </c>
      <c r="AI344" s="136">
        <f t="shared" ca="1" si="81"/>
        <v>3.7187339971550499E-7</v>
      </c>
      <c r="AJ344" s="136">
        <f t="shared" ca="1" si="82"/>
        <v>6.0442105263157891E-6</v>
      </c>
      <c r="AK344" s="136">
        <f t="shared" ca="1" si="83"/>
        <v>2.0682788051209103E-8</v>
      </c>
      <c r="AL344" s="136">
        <f t="shared" ca="1" si="84"/>
        <v>2.8431578947368418E-9</v>
      </c>
      <c r="AN344" s="74">
        <v>703</v>
      </c>
      <c r="AO344" s="136" t="str">
        <f t="shared" ca="1" si="85"/>
        <v/>
      </c>
      <c r="AP344" s="136">
        <f t="shared" ca="1" si="86"/>
        <v>2.0102653321037457E-4</v>
      </c>
      <c r="AQ344" s="136">
        <f t="shared" ca="1" si="87"/>
        <v>3.4253268598119129E-3</v>
      </c>
      <c r="AR344" s="136">
        <f t="shared" ca="1" si="88"/>
        <v>1.0455491652767691E-5</v>
      </c>
      <c r="AS344" s="136">
        <f t="shared" ca="1" si="89"/>
        <v>1.3902303915715893E-6</v>
      </c>
    </row>
    <row r="345" spans="9:45" ht="15" hidden="1" customHeight="1" x14ac:dyDescent="0.2">
      <c r="I345" s="74">
        <v>704</v>
      </c>
      <c r="J345" s="137">
        <v>3.1340930000000001E-3</v>
      </c>
      <c r="L345" s="74">
        <v>704</v>
      </c>
      <c r="M345" s="137"/>
      <c r="N345" s="137">
        <v>2.4293000000000001E-4</v>
      </c>
      <c r="O345" s="137">
        <v>3.94832E-3</v>
      </c>
      <c r="P345" s="138">
        <v>1.36E-5</v>
      </c>
      <c r="Q345" s="137">
        <v>1.87101E-6</v>
      </c>
      <c r="S345" s="74">
        <v>704</v>
      </c>
      <c r="T345" s="137">
        <v>5.5596314116417935E-9</v>
      </c>
      <c r="U345" s="137">
        <v>3.7091380706012777E-4</v>
      </c>
      <c r="V345" s="137">
        <v>4.7835354852899499E-3</v>
      </c>
      <c r="W345" s="138">
        <v>1.3747508598902022E-5</v>
      </c>
      <c r="X345" s="137">
        <v>1.8714533247426256E-6</v>
      </c>
      <c r="Z345" s="74">
        <v>704</v>
      </c>
      <c r="AA345" s="137">
        <f t="shared" ca="1" si="75"/>
        <v>0</v>
      </c>
      <c r="AB345" s="137">
        <f t="shared" ca="1" si="76"/>
        <v>2.4293000000000001E-4</v>
      </c>
      <c r="AC345" s="137">
        <f t="shared" ca="1" si="77"/>
        <v>3.94832E-3</v>
      </c>
      <c r="AD345" s="137">
        <f t="shared" ca="1" si="78"/>
        <v>1.36E-5</v>
      </c>
      <c r="AE345" s="137">
        <f t="shared" ca="1" si="79"/>
        <v>1.87101E-6</v>
      </c>
      <c r="AG345" s="74">
        <v>704</v>
      </c>
      <c r="AH345" s="136">
        <f t="shared" ca="1" si="80"/>
        <v>0</v>
      </c>
      <c r="AI345" s="136">
        <f t="shared" ca="1" si="81"/>
        <v>3.4507102272727271E-7</v>
      </c>
      <c r="AJ345" s="136">
        <f t="shared" ca="1" si="82"/>
        <v>5.6084090909090909E-6</v>
      </c>
      <c r="AK345" s="136">
        <f t="shared" ca="1" si="83"/>
        <v>1.931818181818182E-8</v>
      </c>
      <c r="AL345" s="136">
        <f t="shared" ca="1" si="84"/>
        <v>2.657684659090909E-9</v>
      </c>
      <c r="AN345" s="74">
        <v>704</v>
      </c>
      <c r="AO345" s="136" t="str">
        <f t="shared" ca="1" si="85"/>
        <v/>
      </c>
      <c r="AP345" s="136">
        <f t="shared" ca="1" si="86"/>
        <v>1.8653776113938526E-4</v>
      </c>
      <c r="AQ345" s="136">
        <f t="shared" ca="1" si="87"/>
        <v>3.1783529405971806E-3</v>
      </c>
      <c r="AR345" s="136">
        <f t="shared" ca="1" si="88"/>
        <v>9.7656606182182918E-6</v>
      </c>
      <c r="AS345" s="136">
        <f t="shared" ca="1" si="89"/>
        <v>1.2995387949158359E-6</v>
      </c>
    </row>
    <row r="346" spans="9:45" ht="15" hidden="1" customHeight="1" x14ac:dyDescent="0.2">
      <c r="I346" s="74">
        <v>705</v>
      </c>
      <c r="J346" s="137">
        <v>2.9290000000000002E-3</v>
      </c>
      <c r="L346" s="74">
        <v>705</v>
      </c>
      <c r="M346" s="137"/>
      <c r="N346" s="137">
        <v>2.25641E-4</v>
      </c>
      <c r="O346" s="137">
        <v>3.6667499999999999E-3</v>
      </c>
      <c r="P346" s="138">
        <v>1.273E-5</v>
      </c>
      <c r="Q346" s="137">
        <v>1.7525200000000001E-6</v>
      </c>
      <c r="S346" s="74">
        <v>705</v>
      </c>
      <c r="T346" s="137">
        <v>5.2509514156209456E-9</v>
      </c>
      <c r="U346" s="137">
        <v>3.4511671981732989E-4</v>
      </c>
      <c r="V346" s="137">
        <v>4.4477667102752793E-3</v>
      </c>
      <c r="W346" s="138">
        <v>1.2845085518301052E-5</v>
      </c>
      <c r="X346" s="137">
        <v>1.7525200690221762E-6</v>
      </c>
      <c r="Z346" s="74">
        <v>705</v>
      </c>
      <c r="AA346" s="137">
        <f t="shared" ca="1" si="75"/>
        <v>0</v>
      </c>
      <c r="AB346" s="137">
        <f t="shared" ca="1" si="76"/>
        <v>2.25641E-4</v>
      </c>
      <c r="AC346" s="137">
        <f t="shared" ca="1" si="77"/>
        <v>3.6667499999999999E-3</v>
      </c>
      <c r="AD346" s="137">
        <f t="shared" ca="1" si="78"/>
        <v>1.273E-5</v>
      </c>
      <c r="AE346" s="137">
        <f t="shared" ca="1" si="79"/>
        <v>1.7525200000000001E-6</v>
      </c>
      <c r="AG346" s="74">
        <v>705</v>
      </c>
      <c r="AH346" s="136">
        <f t="shared" ca="1" si="80"/>
        <v>0</v>
      </c>
      <c r="AI346" s="136">
        <f t="shared" ca="1" si="81"/>
        <v>3.2005815602836878E-7</v>
      </c>
      <c r="AJ346" s="136">
        <f t="shared" ca="1" si="82"/>
        <v>5.2010638297872341E-6</v>
      </c>
      <c r="AK346" s="136">
        <f t="shared" ca="1" si="83"/>
        <v>1.8056737588652481E-8</v>
      </c>
      <c r="AL346" s="136">
        <f t="shared" ca="1" si="84"/>
        <v>2.4858439716312058E-9</v>
      </c>
      <c r="AN346" s="74">
        <v>705</v>
      </c>
      <c r="AO346" s="136" t="str">
        <f t="shared" ca="1" si="85"/>
        <v/>
      </c>
      <c r="AP346" s="136">
        <f t="shared" ca="1" si="86"/>
        <v>1.7301635874281522E-4</v>
      </c>
      <c r="AQ346" s="136">
        <f t="shared" ca="1" si="87"/>
        <v>2.9475054778784582E-3</v>
      </c>
      <c r="AR346" s="136">
        <f t="shared" ca="1" si="88"/>
        <v>9.1279796837320463E-6</v>
      </c>
      <c r="AS346" s="136">
        <f t="shared" ca="1" si="89"/>
        <v>1.2155131603714883E-6</v>
      </c>
    </row>
    <row r="347" spans="9:45" ht="15" hidden="1" customHeight="1" x14ac:dyDescent="0.2">
      <c r="I347" s="74">
        <v>706</v>
      </c>
      <c r="J347" s="137">
        <v>2.7381390000000001E-3</v>
      </c>
      <c r="L347" s="74">
        <v>706</v>
      </c>
      <c r="M347" s="137"/>
      <c r="N347" s="137">
        <v>2.09478E-4</v>
      </c>
      <c r="O347" s="137">
        <v>3.40297E-3</v>
      </c>
      <c r="P347" s="138">
        <v>1.1909999999999999E-5</v>
      </c>
      <c r="Q347" s="137">
        <v>1.6419699999999999E-6</v>
      </c>
      <c r="S347" s="74">
        <v>706</v>
      </c>
      <c r="T347" s="137">
        <v>4.9602206952768197E-9</v>
      </c>
      <c r="U347" s="137">
        <v>3.2117002091677001E-4</v>
      </c>
      <c r="V347" s="137">
        <v>4.1357378257585765E-3</v>
      </c>
      <c r="W347" s="138">
        <v>1.2004193849340628E-5</v>
      </c>
      <c r="X347" s="137">
        <v>1.6414512915664072E-6</v>
      </c>
      <c r="Z347" s="74">
        <v>706</v>
      </c>
      <c r="AA347" s="137">
        <f t="shared" ca="1" si="75"/>
        <v>0</v>
      </c>
      <c r="AB347" s="137">
        <f t="shared" ca="1" si="76"/>
        <v>2.09478E-4</v>
      </c>
      <c r="AC347" s="137">
        <f t="shared" ca="1" si="77"/>
        <v>3.40297E-3</v>
      </c>
      <c r="AD347" s="137">
        <f t="shared" ca="1" si="78"/>
        <v>1.1909999999999999E-5</v>
      </c>
      <c r="AE347" s="137">
        <f t="shared" ca="1" si="79"/>
        <v>1.6419699999999999E-6</v>
      </c>
      <c r="AG347" s="74">
        <v>706</v>
      </c>
      <c r="AH347" s="136">
        <f t="shared" ca="1" si="80"/>
        <v>0</v>
      </c>
      <c r="AI347" s="136">
        <f t="shared" ca="1" si="81"/>
        <v>2.9671104815864022E-7</v>
      </c>
      <c r="AJ347" s="136">
        <f t="shared" ca="1" si="82"/>
        <v>4.8200708215297452E-6</v>
      </c>
      <c r="AK347" s="136">
        <f t="shared" ca="1" si="83"/>
        <v>1.6869688385269122E-8</v>
      </c>
      <c r="AL347" s="136">
        <f t="shared" ca="1" si="84"/>
        <v>2.3257365439093484E-9</v>
      </c>
      <c r="AN347" s="74">
        <v>706</v>
      </c>
      <c r="AO347" s="136" t="str">
        <f t="shared" ca="1" si="85"/>
        <v/>
      </c>
      <c r="AP347" s="136">
        <f t="shared" ca="1" si="86"/>
        <v>1.603954287189663E-4</v>
      </c>
      <c r="AQ347" s="136">
        <f t="shared" ca="1" si="87"/>
        <v>2.7315921540617266E-3</v>
      </c>
      <c r="AR347" s="136">
        <f t="shared" ca="1" si="88"/>
        <v>8.5279066661741605E-6</v>
      </c>
      <c r="AS347" s="136">
        <f t="shared" ca="1" si="89"/>
        <v>1.13722478519988E-6</v>
      </c>
    </row>
    <row r="348" spans="9:45" ht="15" hidden="1" customHeight="1" x14ac:dyDescent="0.2">
      <c r="I348" s="74">
        <v>707</v>
      </c>
      <c r="J348" s="137">
        <v>2.559876E-3</v>
      </c>
      <c r="L348" s="74">
        <v>707</v>
      </c>
      <c r="M348" s="137"/>
      <c r="N348" s="137">
        <v>1.9440000000000001E-4</v>
      </c>
      <c r="O348" s="137">
        <v>3.1563199999999998E-3</v>
      </c>
      <c r="P348" s="138">
        <v>1.114E-5</v>
      </c>
      <c r="Q348" s="137">
        <v>1.5380600000000001E-6</v>
      </c>
      <c r="S348" s="74">
        <v>707</v>
      </c>
      <c r="T348" s="137">
        <v>4.6863638040377596E-9</v>
      </c>
      <c r="U348" s="137">
        <v>2.9893791422565724E-4</v>
      </c>
      <c r="V348" s="137">
        <v>3.8457761342148298E-3</v>
      </c>
      <c r="W348" s="138">
        <v>1.1220494572458851E-5</v>
      </c>
      <c r="X348" s="137">
        <v>1.5377084468071392E-6</v>
      </c>
      <c r="Z348" s="74">
        <v>707</v>
      </c>
      <c r="AA348" s="137">
        <f t="shared" ca="1" si="75"/>
        <v>0</v>
      </c>
      <c r="AB348" s="137">
        <f t="shared" ca="1" si="76"/>
        <v>1.9440000000000001E-4</v>
      </c>
      <c r="AC348" s="137">
        <f t="shared" ca="1" si="77"/>
        <v>3.1563199999999998E-3</v>
      </c>
      <c r="AD348" s="137">
        <f t="shared" ca="1" si="78"/>
        <v>1.114E-5</v>
      </c>
      <c r="AE348" s="137">
        <f t="shared" ca="1" si="79"/>
        <v>1.5380600000000001E-6</v>
      </c>
      <c r="AG348" s="74">
        <v>707</v>
      </c>
      <c r="AH348" s="136">
        <f t="shared" ca="1" si="80"/>
        <v>0</v>
      </c>
      <c r="AI348" s="136">
        <f t="shared" ca="1" si="81"/>
        <v>2.74964639321075E-7</v>
      </c>
      <c r="AJ348" s="136">
        <f t="shared" ca="1" si="82"/>
        <v>4.4643847241867039E-6</v>
      </c>
      <c r="AK348" s="136">
        <f t="shared" ca="1" si="83"/>
        <v>1.5756718528995756E-8</v>
      </c>
      <c r="AL348" s="136">
        <f t="shared" ca="1" si="84"/>
        <v>2.1754738330975958E-9</v>
      </c>
      <c r="AN348" s="74">
        <v>707</v>
      </c>
      <c r="AO348" s="136" t="str">
        <f t="shared" ca="1" si="85"/>
        <v/>
      </c>
      <c r="AP348" s="136">
        <f t="shared" ca="1" si="86"/>
        <v>1.4863980118084283E-4</v>
      </c>
      <c r="AQ348" s="136">
        <f t="shared" ca="1" si="87"/>
        <v>2.5300205612811179E-3</v>
      </c>
      <c r="AR348" s="136">
        <f t="shared" ca="1" si="88"/>
        <v>7.9652819845675634E-6</v>
      </c>
      <c r="AS348" s="136">
        <f t="shared" ca="1" si="89"/>
        <v>1.0637502209918425E-6</v>
      </c>
    </row>
    <row r="349" spans="9:45" ht="15" hidden="1" customHeight="1" x14ac:dyDescent="0.2">
      <c r="I349" s="74">
        <v>708</v>
      </c>
      <c r="J349" s="137">
        <v>2.3932440000000001E-3</v>
      </c>
      <c r="L349" s="74">
        <v>708</v>
      </c>
      <c r="M349" s="137"/>
      <c r="N349" s="137">
        <v>1.8037000000000001E-4</v>
      </c>
      <c r="O349" s="137">
        <v>2.9262400000000001E-3</v>
      </c>
      <c r="P349" s="138">
        <v>1.043E-5</v>
      </c>
      <c r="Q349" s="137">
        <v>1.44073E-6</v>
      </c>
      <c r="S349" s="74">
        <v>708</v>
      </c>
      <c r="T349" s="137">
        <v>4.4283506265534093E-9</v>
      </c>
      <c r="U349" s="137">
        <v>2.7829345976173637E-4</v>
      </c>
      <c r="V349" s="137">
        <v>3.5763334109753112E-3</v>
      </c>
      <c r="W349" s="138">
        <v>1.0489964054059346E-5</v>
      </c>
      <c r="X349" s="137">
        <v>1.4407910432288497E-6</v>
      </c>
      <c r="Z349" s="74">
        <v>708</v>
      </c>
      <c r="AA349" s="137">
        <f t="shared" ca="1" si="75"/>
        <v>0</v>
      </c>
      <c r="AB349" s="137">
        <f t="shared" ca="1" si="76"/>
        <v>1.8037000000000001E-4</v>
      </c>
      <c r="AC349" s="137">
        <f t="shared" ca="1" si="77"/>
        <v>2.9262400000000001E-3</v>
      </c>
      <c r="AD349" s="137">
        <f t="shared" ca="1" si="78"/>
        <v>1.043E-5</v>
      </c>
      <c r="AE349" s="137">
        <f t="shared" ca="1" si="79"/>
        <v>1.44073E-6</v>
      </c>
      <c r="AG349" s="74">
        <v>708</v>
      </c>
      <c r="AH349" s="136">
        <f t="shared" ca="1" si="80"/>
        <v>0</v>
      </c>
      <c r="AI349" s="136">
        <f t="shared" ca="1" si="81"/>
        <v>2.5475988700564971E-7</v>
      </c>
      <c r="AJ349" s="136">
        <f t="shared" ca="1" si="82"/>
        <v>4.1331073446327682E-6</v>
      </c>
      <c r="AK349" s="136">
        <f t="shared" ca="1" si="83"/>
        <v>1.4731638418079096E-8</v>
      </c>
      <c r="AL349" s="136">
        <f t="shared" ca="1" si="84"/>
        <v>2.0349293785310735E-9</v>
      </c>
      <c r="AN349" s="74">
        <v>708</v>
      </c>
      <c r="AO349" s="136" t="str">
        <f t="shared" ca="1" si="85"/>
        <v/>
      </c>
      <c r="AP349" s="136">
        <f t="shared" ca="1" si="86"/>
        <v>1.3771755905367923E-4</v>
      </c>
      <c r="AQ349" s="136">
        <f t="shared" ca="1" si="87"/>
        <v>2.342281682680893E-3</v>
      </c>
      <c r="AR349" s="136">
        <f t="shared" ca="1" si="88"/>
        <v>7.4470870237832135E-6</v>
      </c>
      <c r="AS349" s="136">
        <f t="shared" ca="1" si="89"/>
        <v>9.9502763176564088E-7</v>
      </c>
    </row>
    <row r="350" spans="9:45" ht="15" hidden="1" customHeight="1" x14ac:dyDescent="0.2">
      <c r="I350" s="74">
        <v>709</v>
      </c>
      <c r="J350" s="137">
        <v>2.2372749999999999E-3</v>
      </c>
      <c r="L350" s="74">
        <v>709</v>
      </c>
      <c r="M350" s="137"/>
      <c r="N350" s="137">
        <v>1.6734700000000001E-4</v>
      </c>
      <c r="O350" s="137">
        <v>2.7121300000000001E-3</v>
      </c>
      <c r="P350" s="136">
        <v>9.7599999999999997E-6</v>
      </c>
      <c r="Q350" s="137">
        <v>1.34993E-6</v>
      </c>
      <c r="S350" s="74">
        <v>709</v>
      </c>
      <c r="T350" s="137">
        <v>4.1852171858112416E-9</v>
      </c>
      <c r="U350" s="137">
        <v>2.5912123207534236E-4</v>
      </c>
      <c r="V350" s="137">
        <v>3.3259598328371355E-3</v>
      </c>
      <c r="W350" s="136">
        <v>9.8088704803421673E-6</v>
      </c>
      <c r="X350" s="137">
        <v>1.3502338766278747E-6</v>
      </c>
      <c r="Z350" s="74">
        <v>709</v>
      </c>
      <c r="AA350" s="137">
        <f t="shared" ca="1" si="75"/>
        <v>0</v>
      </c>
      <c r="AB350" s="137">
        <f t="shared" ca="1" si="76"/>
        <v>1.6734700000000001E-4</v>
      </c>
      <c r="AC350" s="137">
        <f t="shared" ca="1" si="77"/>
        <v>2.7121300000000001E-3</v>
      </c>
      <c r="AD350" s="137">
        <f t="shared" ca="1" si="78"/>
        <v>9.7599999999999997E-6</v>
      </c>
      <c r="AE350" s="137">
        <f t="shared" ca="1" si="79"/>
        <v>1.34993E-6</v>
      </c>
      <c r="AG350" s="74">
        <v>709</v>
      </c>
      <c r="AH350" s="136">
        <f t="shared" ca="1" si="80"/>
        <v>0</v>
      </c>
      <c r="AI350" s="136">
        <f t="shared" ca="1" si="81"/>
        <v>2.3603244005641749E-7</v>
      </c>
      <c r="AJ350" s="136">
        <f t="shared" ca="1" si="82"/>
        <v>3.8252891396332869E-6</v>
      </c>
      <c r="AK350" s="136">
        <f t="shared" ca="1" si="83"/>
        <v>1.3765867418899859E-8</v>
      </c>
      <c r="AL350" s="136">
        <f t="shared" ca="1" si="84"/>
        <v>1.9039915373765868E-9</v>
      </c>
      <c r="AN350" s="74">
        <v>709</v>
      </c>
      <c r="AO350" s="136" t="str">
        <f t="shared" ca="1" si="85"/>
        <v/>
      </c>
      <c r="AP350" s="136">
        <f t="shared" ca="1" si="86"/>
        <v>1.2759391552616292E-4</v>
      </c>
      <c r="AQ350" s="136">
        <f t="shared" ca="1" si="87"/>
        <v>2.1678374006802621E-3</v>
      </c>
      <c r="AR350" s="136">
        <f t="shared" ca="1" si="88"/>
        <v>6.9588738005271105E-6</v>
      </c>
      <c r="AS350" s="136">
        <f t="shared" ca="1" si="89"/>
        <v>9.3100242707450669E-7</v>
      </c>
    </row>
    <row r="351" spans="9:45" ht="15" hidden="1" customHeight="1" x14ac:dyDescent="0.2">
      <c r="I351" s="74">
        <v>710</v>
      </c>
      <c r="J351" s="137">
        <v>2.091E-3</v>
      </c>
      <c r="L351" s="74">
        <v>710</v>
      </c>
      <c r="M351" s="137"/>
      <c r="N351" s="137">
        <v>1.55286E-4</v>
      </c>
      <c r="O351" s="137">
        <v>2.5132700000000002E-3</v>
      </c>
      <c r="P351" s="136">
        <v>9.1400000000000006E-6</v>
      </c>
      <c r="Q351" s="137">
        <v>1.2656E-6</v>
      </c>
      <c r="S351" s="74">
        <v>710</v>
      </c>
      <c r="T351" s="137">
        <v>3.9560702956649045E-9</v>
      </c>
      <c r="U351" s="137">
        <v>2.4131204494687932E-4</v>
      </c>
      <c r="V351" s="137">
        <v>3.0933281943417864E-3</v>
      </c>
      <c r="W351" s="136">
        <v>9.1737309740650435E-6</v>
      </c>
      <c r="X351" s="137">
        <v>1.2656015557103413E-6</v>
      </c>
      <c r="Z351" s="74">
        <v>710</v>
      </c>
      <c r="AA351" s="137">
        <f t="shared" ca="1" si="75"/>
        <v>0</v>
      </c>
      <c r="AB351" s="137">
        <f t="shared" ca="1" si="76"/>
        <v>1.55286E-4</v>
      </c>
      <c r="AC351" s="137">
        <f t="shared" ca="1" si="77"/>
        <v>2.5132700000000002E-3</v>
      </c>
      <c r="AD351" s="137">
        <f t="shared" ca="1" si="78"/>
        <v>9.1400000000000006E-6</v>
      </c>
      <c r="AE351" s="137">
        <f t="shared" ca="1" si="79"/>
        <v>1.2656E-6</v>
      </c>
      <c r="AG351" s="74">
        <v>710</v>
      </c>
      <c r="AH351" s="136">
        <f t="shared" ca="1" si="80"/>
        <v>0</v>
      </c>
      <c r="AI351" s="136">
        <f t="shared" ca="1" si="81"/>
        <v>2.1871267605633804E-7</v>
      </c>
      <c r="AJ351" s="136">
        <f t="shared" ca="1" si="82"/>
        <v>3.5398169014084509E-6</v>
      </c>
      <c r="AK351" s="136">
        <f t="shared" ca="1" si="83"/>
        <v>1.287323943661972E-8</v>
      </c>
      <c r="AL351" s="136">
        <f t="shared" ca="1" si="84"/>
        <v>1.7825352112676056E-9</v>
      </c>
      <c r="AN351" s="74">
        <v>710</v>
      </c>
      <c r="AO351" s="136" t="str">
        <f t="shared" ca="1" si="85"/>
        <v/>
      </c>
      <c r="AP351" s="136">
        <f t="shared" ca="1" si="86"/>
        <v>1.1823123425984632E-4</v>
      </c>
      <c r="AQ351" s="136">
        <f t="shared" ca="1" si="87"/>
        <v>2.0060568470306544E-3</v>
      </c>
      <c r="AR351" s="136">
        <f t="shared" ca="1" si="88"/>
        <v>6.5076355828047532E-6</v>
      </c>
      <c r="AS351" s="136">
        <f t="shared" ca="1" si="89"/>
        <v>8.7161343706522533E-7</v>
      </c>
    </row>
    <row r="352" spans="9:45" ht="15" hidden="1" customHeight="1" x14ac:dyDescent="0.2">
      <c r="I352" s="74">
        <v>711</v>
      </c>
      <c r="J352" s="137">
        <v>1.9535870000000001E-3</v>
      </c>
      <c r="L352" s="74">
        <v>711</v>
      </c>
      <c r="M352" s="137"/>
      <c r="N352" s="137">
        <v>1.4413499999999999E-4</v>
      </c>
      <c r="O352" s="137">
        <v>2.3289500000000002E-3</v>
      </c>
      <c r="P352" s="136">
        <v>8.5599999999999994E-6</v>
      </c>
      <c r="Q352" s="137">
        <v>1.18683E-6</v>
      </c>
      <c r="S352" s="74">
        <v>711</v>
      </c>
      <c r="T352" s="137">
        <v>3.7399948140528291E-9</v>
      </c>
      <c r="U352" s="137">
        <v>2.2476205800351279E-4</v>
      </c>
      <c r="V352" s="137">
        <v>2.877113534287126E-3</v>
      </c>
      <c r="W352" s="136">
        <v>8.5811204886323801E-6</v>
      </c>
      <c r="X352" s="137">
        <v>1.1864651876356025E-6</v>
      </c>
      <c r="Z352" s="74">
        <v>711</v>
      </c>
      <c r="AA352" s="137">
        <f t="shared" ca="1" si="75"/>
        <v>0</v>
      </c>
      <c r="AB352" s="137">
        <f t="shared" ca="1" si="76"/>
        <v>1.4413499999999999E-4</v>
      </c>
      <c r="AC352" s="137">
        <f t="shared" ca="1" si="77"/>
        <v>2.3289500000000002E-3</v>
      </c>
      <c r="AD352" s="137">
        <f t="shared" ca="1" si="78"/>
        <v>8.5599999999999994E-6</v>
      </c>
      <c r="AE352" s="137">
        <f t="shared" ca="1" si="79"/>
        <v>1.18683E-6</v>
      </c>
      <c r="AG352" s="74">
        <v>711</v>
      </c>
      <c r="AH352" s="136">
        <f t="shared" ca="1" si="80"/>
        <v>0</v>
      </c>
      <c r="AI352" s="136">
        <f t="shared" ca="1" si="81"/>
        <v>2.0272151898734176E-7</v>
      </c>
      <c r="AJ352" s="136">
        <f t="shared" ca="1" si="82"/>
        <v>3.2755977496483828E-6</v>
      </c>
      <c r="AK352" s="136">
        <f t="shared" ca="1" si="83"/>
        <v>1.2039381153305203E-8</v>
      </c>
      <c r="AL352" s="136">
        <f t="shared" ca="1" si="84"/>
        <v>1.669240506329114E-9</v>
      </c>
      <c r="AN352" s="74">
        <v>711</v>
      </c>
      <c r="AO352" s="136" t="str">
        <f t="shared" ca="1" si="85"/>
        <v/>
      </c>
      <c r="AP352" s="136">
        <f t="shared" ca="1" si="86"/>
        <v>1.0958676850870035E-4</v>
      </c>
      <c r="AQ352" s="136">
        <f t="shared" ca="1" si="87"/>
        <v>1.856320673305392E-3</v>
      </c>
      <c r="AR352" s="136">
        <f t="shared" ca="1" si="88"/>
        <v>6.0861064205274043E-6</v>
      </c>
      <c r="AS352" s="136">
        <f t="shared" ca="1" si="89"/>
        <v>8.1621526790226884E-7</v>
      </c>
    </row>
    <row r="353" spans="9:45" ht="15" hidden="1" customHeight="1" x14ac:dyDescent="0.2">
      <c r="I353" s="74">
        <v>712</v>
      </c>
      <c r="J353" s="137">
        <v>1.8245799999999999E-3</v>
      </c>
      <c r="L353" s="74">
        <v>712</v>
      </c>
      <c r="M353" s="137"/>
      <c r="N353" s="137">
        <v>1.3383000000000001E-4</v>
      </c>
      <c r="O353" s="137">
        <v>2.1583599999999998E-3</v>
      </c>
      <c r="P353" s="136">
        <v>8.0199999999999994E-6</v>
      </c>
      <c r="Q353" s="137">
        <v>1.1127299999999999E-6</v>
      </c>
      <c r="S353" s="74">
        <v>712</v>
      </c>
      <c r="T353" s="137">
        <v>3.5362828921331048E-9</v>
      </c>
      <c r="U353" s="137">
        <v>2.0938472696763102E-4</v>
      </c>
      <c r="V353" s="137">
        <v>2.6762149965385918E-3</v>
      </c>
      <c r="W353" s="136">
        <v>8.0283075283089723E-6</v>
      </c>
      <c r="X353" s="137">
        <v>1.1124820184203536E-6</v>
      </c>
      <c r="Z353" s="74">
        <v>712</v>
      </c>
      <c r="AA353" s="137">
        <f t="shared" ca="1" si="75"/>
        <v>0</v>
      </c>
      <c r="AB353" s="137">
        <f t="shared" ca="1" si="76"/>
        <v>1.3383000000000001E-4</v>
      </c>
      <c r="AC353" s="137">
        <f t="shared" ca="1" si="77"/>
        <v>2.1583599999999998E-3</v>
      </c>
      <c r="AD353" s="137">
        <f t="shared" ca="1" si="78"/>
        <v>8.0199999999999994E-6</v>
      </c>
      <c r="AE353" s="137">
        <f t="shared" ca="1" si="79"/>
        <v>1.1127299999999999E-6</v>
      </c>
      <c r="AG353" s="74">
        <v>712</v>
      </c>
      <c r="AH353" s="136">
        <f t="shared" ca="1" si="80"/>
        <v>0</v>
      </c>
      <c r="AI353" s="136">
        <f t="shared" ca="1" si="81"/>
        <v>1.8796348314606742E-7</v>
      </c>
      <c r="AJ353" s="136">
        <f t="shared" ca="1" si="82"/>
        <v>3.0314044943820223E-6</v>
      </c>
      <c r="AK353" s="136">
        <f t="shared" ca="1" si="83"/>
        <v>1.1264044943820224E-8</v>
      </c>
      <c r="AL353" s="136">
        <f t="shared" ca="1" si="84"/>
        <v>1.5628230337078651E-9</v>
      </c>
      <c r="AN353" s="74">
        <v>712</v>
      </c>
      <c r="AO353" s="136" t="str">
        <f t="shared" ca="1" si="85"/>
        <v/>
      </c>
      <c r="AP353" s="136">
        <f t="shared" ca="1" si="86"/>
        <v>1.0160890081384642E-4</v>
      </c>
      <c r="AQ353" s="136">
        <f t="shared" ca="1" si="87"/>
        <v>1.7179334161761108E-3</v>
      </c>
      <c r="AR353" s="136">
        <f t="shared" ca="1" si="88"/>
        <v>5.6941611350906645E-6</v>
      </c>
      <c r="AS353" s="136">
        <f t="shared" ca="1" si="89"/>
        <v>7.6417988678391164E-7</v>
      </c>
    </row>
    <row r="354" spans="9:45" ht="15" hidden="1" customHeight="1" x14ac:dyDescent="0.2">
      <c r="I354" s="74">
        <v>713</v>
      </c>
      <c r="J354" s="137">
        <v>1.7035799999999999E-3</v>
      </c>
      <c r="L354" s="74">
        <v>713</v>
      </c>
      <c r="M354" s="137"/>
      <c r="N354" s="137">
        <v>1.2430899999999999E-4</v>
      </c>
      <c r="O354" s="137">
        <v>2.0007100000000002E-3</v>
      </c>
      <c r="P354" s="136">
        <v>7.5100000000000001E-6</v>
      </c>
      <c r="Q354" s="137">
        <v>1.04326E-6</v>
      </c>
      <c r="S354" s="74">
        <v>713</v>
      </c>
      <c r="T354" s="137">
        <v>3.3442058326734409E-9</v>
      </c>
      <c r="U354" s="137">
        <v>1.9509403902322287E-4</v>
      </c>
      <c r="V354" s="137">
        <v>2.4895565747964261E-3</v>
      </c>
      <c r="W354" s="136">
        <v>7.5125089083763268E-6</v>
      </c>
      <c r="X354" s="137">
        <v>1.0432995018088661E-6</v>
      </c>
      <c r="Z354" s="74">
        <v>713</v>
      </c>
      <c r="AA354" s="137">
        <f t="shared" ca="1" si="75"/>
        <v>0</v>
      </c>
      <c r="AB354" s="137">
        <f t="shared" ca="1" si="76"/>
        <v>1.2430899999999999E-4</v>
      </c>
      <c r="AC354" s="137">
        <f t="shared" ca="1" si="77"/>
        <v>2.0007100000000002E-3</v>
      </c>
      <c r="AD354" s="137">
        <f t="shared" ca="1" si="78"/>
        <v>7.5100000000000001E-6</v>
      </c>
      <c r="AE354" s="137">
        <f t="shared" ca="1" si="79"/>
        <v>1.04326E-6</v>
      </c>
      <c r="AG354" s="74">
        <v>713</v>
      </c>
      <c r="AH354" s="136">
        <f t="shared" ca="1" si="80"/>
        <v>0</v>
      </c>
      <c r="AI354" s="136">
        <f t="shared" ca="1" si="81"/>
        <v>1.7434642356241232E-7</v>
      </c>
      <c r="AJ354" s="136">
        <f t="shared" ca="1" si="82"/>
        <v>2.8060448807854139E-6</v>
      </c>
      <c r="AK354" s="136">
        <f t="shared" ca="1" si="83"/>
        <v>1.0532959326788219E-8</v>
      </c>
      <c r="AL354" s="136">
        <f t="shared" ca="1" si="84"/>
        <v>1.4631977559607292E-9</v>
      </c>
      <c r="AN354" s="74">
        <v>713</v>
      </c>
      <c r="AO354" s="136" t="str">
        <f t="shared" ca="1" si="85"/>
        <v/>
      </c>
      <c r="AP354" s="136">
        <f t="shared" ca="1" si="86"/>
        <v>9.4247819642900908E-5</v>
      </c>
      <c r="AQ354" s="136">
        <f t="shared" ca="1" si="87"/>
        <v>1.5902194104828276E-3</v>
      </c>
      <c r="AR354" s="136">
        <f t="shared" ca="1" si="88"/>
        <v>5.3245852564706739E-6</v>
      </c>
      <c r="AS354" s="136">
        <f t="shared" ca="1" si="89"/>
        <v>7.1546571260835166E-7</v>
      </c>
    </row>
    <row r="355" spans="9:45" ht="15" hidden="1" customHeight="1" x14ac:dyDescent="0.2">
      <c r="I355" s="74">
        <v>714</v>
      </c>
      <c r="J355" s="137">
        <v>1.5901870000000001E-3</v>
      </c>
      <c r="L355" s="74">
        <v>714</v>
      </c>
      <c r="M355" s="137"/>
      <c r="N355" s="137">
        <v>1.15513E-4</v>
      </c>
      <c r="O355" s="137">
        <v>1.8552099999999999E-3</v>
      </c>
      <c r="P355" s="136">
        <v>7.0400000000000004E-6</v>
      </c>
      <c r="Q355" s="137">
        <v>9.7838500000000004E-7</v>
      </c>
      <c r="S355" s="74">
        <v>714</v>
      </c>
      <c r="T355" s="137">
        <v>3.1630568673874679E-9</v>
      </c>
      <c r="U355" s="137">
        <v>1.8181135352323945E-4</v>
      </c>
      <c r="V355" s="137">
        <v>2.3161196972035091E-3</v>
      </c>
      <c r="W355" s="136">
        <v>7.0311765009269645E-6</v>
      </c>
      <c r="X355" s="137">
        <v>9.7859952359653111E-7</v>
      </c>
      <c r="Z355" s="74">
        <v>714</v>
      </c>
      <c r="AA355" s="137">
        <f t="shared" ca="1" si="75"/>
        <v>0</v>
      </c>
      <c r="AB355" s="137">
        <f t="shared" ca="1" si="76"/>
        <v>1.15513E-4</v>
      </c>
      <c r="AC355" s="137">
        <f t="shared" ca="1" si="77"/>
        <v>1.8552099999999999E-3</v>
      </c>
      <c r="AD355" s="137">
        <f t="shared" ca="1" si="78"/>
        <v>7.0400000000000004E-6</v>
      </c>
      <c r="AE355" s="137">
        <f t="shared" ca="1" si="79"/>
        <v>9.7838500000000004E-7</v>
      </c>
      <c r="AG355" s="74">
        <v>714</v>
      </c>
      <c r="AH355" s="136">
        <f t="shared" ca="1" si="80"/>
        <v>0</v>
      </c>
      <c r="AI355" s="136">
        <f t="shared" ca="1" si="81"/>
        <v>1.6178291316526612E-7</v>
      </c>
      <c r="AJ355" s="136">
        <f t="shared" ca="1" si="82"/>
        <v>2.5983333333333332E-6</v>
      </c>
      <c r="AK355" s="136">
        <f t="shared" ca="1" si="83"/>
        <v>9.8599439775910376E-9</v>
      </c>
      <c r="AL355" s="136">
        <f t="shared" ca="1" si="84"/>
        <v>1.3702871148459383E-9</v>
      </c>
      <c r="AN355" s="74">
        <v>714</v>
      </c>
      <c r="AO355" s="136" t="str">
        <f t="shared" ca="1" si="85"/>
        <v/>
      </c>
      <c r="AP355" s="136">
        <f t="shared" ca="1" si="86"/>
        <v>8.7456263855305034E-5</v>
      </c>
      <c r="AQ355" s="136">
        <f t="shared" ca="1" si="87"/>
        <v>1.4725067763045495E-3</v>
      </c>
      <c r="AR355" s="136">
        <f t="shared" ca="1" si="88"/>
        <v>4.9843648592837338E-6</v>
      </c>
      <c r="AS355" s="136">
        <f t="shared" ca="1" si="89"/>
        <v>6.7003482140906476E-7</v>
      </c>
    </row>
    <row r="356" spans="9:45" ht="15" hidden="1" customHeight="1" x14ac:dyDescent="0.2">
      <c r="I356" s="74">
        <v>715</v>
      </c>
      <c r="J356" s="137">
        <v>1.4840000000000001E-3</v>
      </c>
      <c r="L356" s="74">
        <v>715</v>
      </c>
      <c r="M356" s="137"/>
      <c r="N356" s="137">
        <v>1.07388E-4</v>
      </c>
      <c r="O356" s="137">
        <v>1.72108E-3</v>
      </c>
      <c r="P356" s="136">
        <v>6.6000000000000003E-6</v>
      </c>
      <c r="Q356" s="137">
        <v>9.1807799999999997E-7</v>
      </c>
      <c r="S356" s="74">
        <v>715</v>
      </c>
      <c r="T356" s="137">
        <v>2.9922026277551844E-9</v>
      </c>
      <c r="U356" s="137">
        <v>1.6946343295214369E-4</v>
      </c>
      <c r="V356" s="137">
        <v>2.1549688657273242E-3</v>
      </c>
      <c r="W356" s="136">
        <v>6.5818957611360324E-6</v>
      </c>
      <c r="X356" s="137">
        <v>9.1807888686282514E-7</v>
      </c>
      <c r="Z356" s="74">
        <v>715</v>
      </c>
      <c r="AA356" s="137">
        <f t="shared" ca="1" si="75"/>
        <v>0</v>
      </c>
      <c r="AB356" s="137">
        <f t="shared" ca="1" si="76"/>
        <v>1.07388E-4</v>
      </c>
      <c r="AC356" s="137">
        <f t="shared" ca="1" si="77"/>
        <v>1.72108E-3</v>
      </c>
      <c r="AD356" s="137">
        <f t="shared" ca="1" si="78"/>
        <v>6.6000000000000003E-6</v>
      </c>
      <c r="AE356" s="137">
        <f t="shared" ca="1" si="79"/>
        <v>9.1807799999999997E-7</v>
      </c>
      <c r="AG356" s="74">
        <v>715</v>
      </c>
      <c r="AH356" s="136">
        <f t="shared" ca="1" si="80"/>
        <v>0</v>
      </c>
      <c r="AI356" s="136">
        <f t="shared" ca="1" si="81"/>
        <v>1.5019300699300697E-7</v>
      </c>
      <c r="AJ356" s="136">
        <f t="shared" ca="1" si="82"/>
        <v>2.4071048951048952E-6</v>
      </c>
      <c r="AK356" s="136">
        <f t="shared" ca="1" si="83"/>
        <v>9.2307692307692305E-9</v>
      </c>
      <c r="AL356" s="136">
        <f t="shared" ca="1" si="84"/>
        <v>1.2840251748251748E-9</v>
      </c>
      <c r="AN356" s="74">
        <v>715</v>
      </c>
      <c r="AO356" s="136" t="str">
        <f t="shared" ca="1" si="85"/>
        <v/>
      </c>
      <c r="AP356" s="136">
        <f t="shared" ca="1" si="86"/>
        <v>8.1191016973368297E-5</v>
      </c>
      <c r="AQ356" s="136">
        <f t="shared" ca="1" si="87"/>
        <v>1.3641353185315497E-3</v>
      </c>
      <c r="AR356" s="136">
        <f t="shared" ca="1" si="88"/>
        <v>4.6663066121441247E-6</v>
      </c>
      <c r="AS356" s="136">
        <f t="shared" ca="1" si="89"/>
        <v>6.2785497241974536E-7</v>
      </c>
    </row>
    <row r="357" spans="9:45" ht="15" hidden="1" customHeight="1" x14ac:dyDescent="0.2">
      <c r="I357" s="74">
        <v>716</v>
      </c>
      <c r="J357" s="137">
        <v>1.384496E-3</v>
      </c>
      <c r="L357" s="74">
        <v>716</v>
      </c>
      <c r="M357" s="137"/>
      <c r="N357" s="137">
        <v>9.9879999999999999E-5</v>
      </c>
      <c r="O357" s="137">
        <v>1.5975E-3</v>
      </c>
      <c r="P357" s="136">
        <v>6.1800000000000001E-6</v>
      </c>
      <c r="Q357" s="137">
        <v>8.6170499999999997E-7</v>
      </c>
      <c r="S357" s="74">
        <v>716</v>
      </c>
      <c r="T357" s="137">
        <v>2.8310204074877879E-9</v>
      </c>
      <c r="U357" s="137">
        <v>1.5798250652839538E-4</v>
      </c>
      <c r="V357" s="137">
        <v>2.0052337241729876E-3</v>
      </c>
      <c r="W357" s="136">
        <v>6.1624583919487186E-6</v>
      </c>
      <c r="X357" s="137">
        <v>8.614538176970124E-7</v>
      </c>
      <c r="Z357" s="74">
        <v>716</v>
      </c>
      <c r="AA357" s="137">
        <f t="shared" ca="1" si="75"/>
        <v>0</v>
      </c>
      <c r="AB357" s="137">
        <f t="shared" ca="1" si="76"/>
        <v>9.9879999999999999E-5</v>
      </c>
      <c r="AC357" s="137">
        <f t="shared" ca="1" si="77"/>
        <v>1.5975E-3</v>
      </c>
      <c r="AD357" s="137">
        <f t="shared" ca="1" si="78"/>
        <v>6.1800000000000001E-6</v>
      </c>
      <c r="AE357" s="137">
        <f t="shared" ca="1" si="79"/>
        <v>8.6170499999999997E-7</v>
      </c>
      <c r="AG357" s="74">
        <v>716</v>
      </c>
      <c r="AH357" s="136">
        <f t="shared" ca="1" si="80"/>
        <v>0</v>
      </c>
      <c r="AI357" s="136">
        <f t="shared" ca="1" si="81"/>
        <v>1.3949720670391061E-7</v>
      </c>
      <c r="AJ357" s="136">
        <f t="shared" ca="1" si="82"/>
        <v>2.2311452513966478E-6</v>
      </c>
      <c r="AK357" s="136">
        <f t="shared" ca="1" si="83"/>
        <v>8.6312849162011176E-9</v>
      </c>
      <c r="AL357" s="136">
        <f t="shared" ca="1" si="84"/>
        <v>1.2034986033519553E-9</v>
      </c>
      <c r="AN357" s="74">
        <v>716</v>
      </c>
      <c r="AO357" s="136" t="str">
        <f t="shared" ca="1" si="85"/>
        <v/>
      </c>
      <c r="AP357" s="136">
        <f t="shared" ca="1" si="86"/>
        <v>7.5409103952236666E-5</v>
      </c>
      <c r="AQ357" s="136">
        <f t="shared" ca="1" si="87"/>
        <v>1.2644168704045984E-3</v>
      </c>
      <c r="AR357" s="136">
        <f t="shared" ca="1" si="88"/>
        <v>4.3632573698749885E-6</v>
      </c>
      <c r="AS357" s="136">
        <f t="shared" ca="1" si="89"/>
        <v>5.8847956973867357E-7</v>
      </c>
    </row>
    <row r="358" spans="9:45" ht="15" hidden="1" customHeight="1" x14ac:dyDescent="0.2">
      <c r="I358" s="74">
        <v>717</v>
      </c>
      <c r="J358" s="137">
        <v>1.2912679999999999E-3</v>
      </c>
      <c r="L358" s="74">
        <v>717</v>
      </c>
      <c r="M358" s="137"/>
      <c r="N358" s="137">
        <v>9.2931999999999997E-5</v>
      </c>
      <c r="O358" s="137">
        <v>1.4834200000000001E-3</v>
      </c>
      <c r="P358" s="136">
        <v>5.8000000000000004E-6</v>
      </c>
      <c r="Q358" s="137">
        <v>8.0864000000000002E-7</v>
      </c>
      <c r="S358" s="74">
        <v>717</v>
      </c>
      <c r="T358" s="137">
        <v>2.6789462495537296E-9</v>
      </c>
      <c r="U358" s="137">
        <v>1.4730619106780138E-4</v>
      </c>
      <c r="V358" s="137">
        <v>1.8660874838438651E-3</v>
      </c>
      <c r="W358" s="136">
        <v>5.7708129805406602E-6</v>
      </c>
      <c r="X358" s="137">
        <v>8.084683076096997E-7</v>
      </c>
      <c r="Z358" s="74">
        <v>717</v>
      </c>
      <c r="AA358" s="137">
        <f t="shared" ca="1" si="75"/>
        <v>0</v>
      </c>
      <c r="AB358" s="137">
        <f t="shared" ca="1" si="76"/>
        <v>9.2931999999999997E-5</v>
      </c>
      <c r="AC358" s="137">
        <f t="shared" ca="1" si="77"/>
        <v>1.4834200000000001E-3</v>
      </c>
      <c r="AD358" s="137">
        <f t="shared" ca="1" si="78"/>
        <v>5.8000000000000004E-6</v>
      </c>
      <c r="AE358" s="137">
        <f t="shared" ca="1" si="79"/>
        <v>8.0864000000000002E-7</v>
      </c>
      <c r="AG358" s="74">
        <v>717</v>
      </c>
      <c r="AH358" s="136">
        <f t="shared" ca="1" si="80"/>
        <v>0</v>
      </c>
      <c r="AI358" s="136">
        <f t="shared" ca="1" si="81"/>
        <v>1.2961227336122733E-7</v>
      </c>
      <c r="AJ358" s="136">
        <f t="shared" ca="1" si="82"/>
        <v>2.0689260808926084E-6</v>
      </c>
      <c r="AK358" s="136">
        <f t="shared" ca="1" si="83"/>
        <v>8.0892608089260821E-9</v>
      </c>
      <c r="AL358" s="136">
        <f t="shared" ca="1" si="84"/>
        <v>1.127810320781032E-9</v>
      </c>
      <c r="AN358" s="74">
        <v>717</v>
      </c>
      <c r="AO358" s="136" t="str">
        <f t="shared" ca="1" si="85"/>
        <v/>
      </c>
      <c r="AP358" s="136">
        <f t="shared" ca="1" si="86"/>
        <v>7.0065527664135721E-5</v>
      </c>
      <c r="AQ358" s="136">
        <f t="shared" ca="1" si="87"/>
        <v>1.1724853138374266E-3</v>
      </c>
      <c r="AR358" s="136">
        <f t="shared" ca="1" si="88"/>
        <v>4.0892552133387615E-6</v>
      </c>
      <c r="AS358" s="136">
        <f t="shared" ca="1" si="89"/>
        <v>5.5146996471084755E-7</v>
      </c>
    </row>
    <row r="359" spans="9:45" ht="15" hidden="1" customHeight="1" x14ac:dyDescent="0.2">
      <c r="I359" s="74">
        <v>718</v>
      </c>
      <c r="J359" s="137">
        <v>1.2040919999999999E-3</v>
      </c>
      <c r="L359" s="74">
        <v>718</v>
      </c>
      <c r="M359" s="137"/>
      <c r="N359" s="137">
        <v>8.6490700000000002E-5</v>
      </c>
      <c r="O359" s="137">
        <v>1.37787E-3</v>
      </c>
      <c r="P359" s="136">
        <v>5.4399999999999996E-6</v>
      </c>
      <c r="Q359" s="137">
        <v>7.5885300000000003E-7</v>
      </c>
      <c r="S359" s="74">
        <v>718</v>
      </c>
      <c r="T359" s="137">
        <v>2.5354321908393123E-9</v>
      </c>
      <c r="U359" s="137">
        <v>1.3737572581436566E-4</v>
      </c>
      <c r="V359" s="137">
        <v>1.7367887606965912E-3</v>
      </c>
      <c r="W359" s="136">
        <v>5.4050659826967157E-6</v>
      </c>
      <c r="X359" s="137">
        <v>7.5887631772926425E-7</v>
      </c>
      <c r="Z359" s="74">
        <v>718</v>
      </c>
      <c r="AA359" s="137">
        <f t="shared" ca="1" si="75"/>
        <v>0</v>
      </c>
      <c r="AB359" s="137">
        <f t="shared" ca="1" si="76"/>
        <v>8.6490700000000002E-5</v>
      </c>
      <c r="AC359" s="137">
        <f t="shared" ca="1" si="77"/>
        <v>1.37787E-3</v>
      </c>
      <c r="AD359" s="137">
        <f t="shared" ca="1" si="78"/>
        <v>5.4399999999999996E-6</v>
      </c>
      <c r="AE359" s="137">
        <f t="shared" ca="1" si="79"/>
        <v>7.5885300000000003E-7</v>
      </c>
      <c r="AG359" s="74">
        <v>718</v>
      </c>
      <c r="AH359" s="136">
        <f t="shared" ca="1" si="80"/>
        <v>0</v>
      </c>
      <c r="AI359" s="136">
        <f t="shared" ca="1" si="81"/>
        <v>1.2046058495821728E-7</v>
      </c>
      <c r="AJ359" s="136">
        <f t="shared" ca="1" si="82"/>
        <v>1.9190389972144845E-6</v>
      </c>
      <c r="AK359" s="136">
        <f t="shared" ca="1" si="83"/>
        <v>7.5766016713091919E-9</v>
      </c>
      <c r="AL359" s="136">
        <f t="shared" ca="1" si="84"/>
        <v>1.0568983286908077E-9</v>
      </c>
      <c r="AN359" s="74">
        <v>718</v>
      </c>
      <c r="AO359" s="136" t="str">
        <f t="shared" ca="1" si="85"/>
        <v/>
      </c>
      <c r="AP359" s="136">
        <f t="shared" ca="1" si="86"/>
        <v>6.5118327369395219E-5</v>
      </c>
      <c r="AQ359" s="136">
        <f t="shared" ca="1" si="87"/>
        <v>1.0875424993166192E-3</v>
      </c>
      <c r="AR359" s="136">
        <f t="shared" ca="1" si="88"/>
        <v>3.8300975349446668E-6</v>
      </c>
      <c r="AS359" s="136">
        <f t="shared" ca="1" si="89"/>
        <v>5.1679584171781598E-7</v>
      </c>
    </row>
    <row r="360" spans="9:45" ht="15" hidden="1" customHeight="1" x14ac:dyDescent="0.2">
      <c r="I360" s="74">
        <v>719</v>
      </c>
      <c r="J360" s="137">
        <v>1.122744E-3</v>
      </c>
      <c r="L360" s="74">
        <v>719</v>
      </c>
      <c r="M360" s="137"/>
      <c r="N360" s="137">
        <v>8.0508999999999998E-5</v>
      </c>
      <c r="O360" s="137">
        <v>1.27998E-3</v>
      </c>
      <c r="P360" s="136">
        <v>5.1000000000000003E-6</v>
      </c>
      <c r="Q360" s="137">
        <v>7.1231299999999998E-7</v>
      </c>
      <c r="S360" s="74">
        <v>719</v>
      </c>
      <c r="T360" s="137">
        <v>2.3999820857064816E-9</v>
      </c>
      <c r="U360" s="137">
        <v>1.2813801735901762E-4</v>
      </c>
      <c r="V360" s="137">
        <v>1.6166239183345564E-3</v>
      </c>
      <c r="W360" s="136">
        <v>5.0634088926251486E-6</v>
      </c>
      <c r="X360" s="137">
        <v>7.1245428033595255E-7</v>
      </c>
      <c r="Z360" s="74">
        <v>719</v>
      </c>
      <c r="AA360" s="137">
        <f t="shared" ca="1" si="75"/>
        <v>0</v>
      </c>
      <c r="AB360" s="137">
        <f t="shared" ca="1" si="76"/>
        <v>8.0508999999999998E-5</v>
      </c>
      <c r="AC360" s="137">
        <f t="shared" ca="1" si="77"/>
        <v>1.27998E-3</v>
      </c>
      <c r="AD360" s="137">
        <f t="shared" ca="1" si="78"/>
        <v>5.1000000000000003E-6</v>
      </c>
      <c r="AE360" s="137">
        <f t="shared" ca="1" si="79"/>
        <v>7.1231299999999998E-7</v>
      </c>
      <c r="AG360" s="74">
        <v>719</v>
      </c>
      <c r="AH360" s="136">
        <f t="shared" ca="1" si="80"/>
        <v>0</v>
      </c>
      <c r="AI360" s="136">
        <f t="shared" ca="1" si="81"/>
        <v>1.1197357440890125E-7</v>
      </c>
      <c r="AJ360" s="136">
        <f t="shared" ca="1" si="82"/>
        <v>1.7802225312934633E-6</v>
      </c>
      <c r="AK360" s="136">
        <f t="shared" ca="1" si="83"/>
        <v>7.0931849791376915E-9</v>
      </c>
      <c r="AL360" s="136">
        <f t="shared" ca="1" si="84"/>
        <v>9.9069958275382477E-10</v>
      </c>
      <c r="AN360" s="74">
        <v>719</v>
      </c>
      <c r="AO360" s="136" t="str">
        <f t="shared" ca="1" si="85"/>
        <v/>
      </c>
      <c r="AP360" s="136">
        <f t="shared" ca="1" si="86"/>
        <v>6.0530437218192923E-5</v>
      </c>
      <c r="AQ360" s="136">
        <f t="shared" ca="1" si="87"/>
        <v>1.0088735371364961E-3</v>
      </c>
      <c r="AR360" s="136">
        <f t="shared" ca="1" si="88"/>
        <v>3.5857223966754225E-6</v>
      </c>
      <c r="AS360" s="136">
        <f t="shared" ca="1" si="89"/>
        <v>4.8442637372031727E-7</v>
      </c>
    </row>
    <row r="361" spans="9:45" ht="15" hidden="1" customHeight="1" x14ac:dyDescent="0.2">
      <c r="I361" s="74">
        <v>720</v>
      </c>
      <c r="J361" s="137">
        <v>1.047E-3</v>
      </c>
      <c r="L361" s="74">
        <v>720</v>
      </c>
      <c r="M361" s="137"/>
      <c r="N361" s="137">
        <v>7.4945300000000002E-5</v>
      </c>
      <c r="O361" s="137">
        <v>1.189E-3</v>
      </c>
      <c r="P361" s="136">
        <v>4.78E-6</v>
      </c>
      <c r="Q361" s="137">
        <v>6.6899100000000004E-7</v>
      </c>
      <c r="S361" s="74">
        <v>720</v>
      </c>
      <c r="T361" s="137">
        <v>2.2721238478396141E-9</v>
      </c>
      <c r="U361" s="137">
        <v>1.195426833153471E-4</v>
      </c>
      <c r="V361" s="137">
        <v>1.5049497529186755E-3</v>
      </c>
      <c r="W361" s="136">
        <v>4.7442219660835959E-6</v>
      </c>
      <c r="X361" s="137">
        <v>6.6899057607679167E-7</v>
      </c>
      <c r="Z361" s="74">
        <v>720</v>
      </c>
      <c r="AA361" s="137">
        <f t="shared" ca="1" si="75"/>
        <v>0</v>
      </c>
      <c r="AB361" s="137">
        <f t="shared" ca="1" si="76"/>
        <v>7.4945300000000002E-5</v>
      </c>
      <c r="AC361" s="137">
        <f t="shared" ca="1" si="77"/>
        <v>1.189E-3</v>
      </c>
      <c r="AD361" s="137">
        <f t="shared" ca="1" si="78"/>
        <v>4.78E-6</v>
      </c>
      <c r="AE361" s="137">
        <f t="shared" ca="1" si="79"/>
        <v>6.6899100000000004E-7</v>
      </c>
      <c r="AG361" s="74">
        <v>720</v>
      </c>
      <c r="AH361" s="136">
        <f t="shared" ca="1" si="80"/>
        <v>0</v>
      </c>
      <c r="AI361" s="136">
        <f t="shared" ca="1" si="81"/>
        <v>1.0409069444444445E-7</v>
      </c>
      <c r="AJ361" s="136">
        <f t="shared" ca="1" si="82"/>
        <v>1.6513888888888888E-6</v>
      </c>
      <c r="AK361" s="136">
        <f t="shared" ca="1" si="83"/>
        <v>6.6388888888888891E-9</v>
      </c>
      <c r="AL361" s="136">
        <f t="shared" ca="1" si="84"/>
        <v>9.2915416666666676E-10</v>
      </c>
      <c r="AN361" s="74">
        <v>720</v>
      </c>
      <c r="AO361" s="136" t="str">
        <f t="shared" ca="1" si="85"/>
        <v/>
      </c>
      <c r="AP361" s="136">
        <f t="shared" ca="1" si="86"/>
        <v>5.6269126696438496E-5</v>
      </c>
      <c r="AQ361" s="136">
        <f t="shared" ca="1" si="87"/>
        <v>9.3586196120702865E-4</v>
      </c>
      <c r="AR361" s="136">
        <f t="shared" ca="1" si="88"/>
        <v>3.3560682046138416E-6</v>
      </c>
      <c r="AS361" s="136">
        <f t="shared" ca="1" si="89"/>
        <v>4.5433226320163097E-7</v>
      </c>
    </row>
    <row r="362" spans="9:45" ht="15" hidden="1" customHeight="1" x14ac:dyDescent="0.2">
      <c r="I362" s="74">
        <v>721</v>
      </c>
      <c r="J362" s="137">
        <v>9.7658959999999992E-4</v>
      </c>
      <c r="L362" s="74">
        <v>721</v>
      </c>
      <c r="M362" s="137"/>
      <c r="N362" s="137">
        <v>6.9765199999999994E-5</v>
      </c>
      <c r="O362" s="137">
        <v>1.1043299999999999E-3</v>
      </c>
      <c r="P362" s="136">
        <v>4.4900000000000002E-6</v>
      </c>
      <c r="Q362" s="137">
        <v>6.2844400000000004E-7</v>
      </c>
      <c r="S362" s="74">
        <v>721</v>
      </c>
      <c r="T362" s="137">
        <v>2.1513050663923339E-9</v>
      </c>
      <c r="U362" s="137">
        <v>1.1153906510152773E-4</v>
      </c>
      <c r="V362" s="137">
        <v>1.4010898922704621E-3</v>
      </c>
      <c r="W362" s="136">
        <v>4.4457598563430915E-6</v>
      </c>
      <c r="X362" s="137">
        <v>6.2826085354389305E-7</v>
      </c>
      <c r="Z362" s="74">
        <v>721</v>
      </c>
      <c r="AA362" s="137">
        <f t="shared" ca="1" si="75"/>
        <v>0</v>
      </c>
      <c r="AB362" s="137">
        <f t="shared" ca="1" si="76"/>
        <v>6.9765199999999994E-5</v>
      </c>
      <c r="AC362" s="137">
        <f t="shared" ca="1" si="77"/>
        <v>1.1043299999999999E-3</v>
      </c>
      <c r="AD362" s="137">
        <f t="shared" ca="1" si="78"/>
        <v>4.4900000000000002E-6</v>
      </c>
      <c r="AE362" s="137">
        <f t="shared" ca="1" si="79"/>
        <v>6.2844400000000004E-7</v>
      </c>
      <c r="AG362" s="74">
        <v>721</v>
      </c>
      <c r="AH362" s="136">
        <f t="shared" ca="1" si="80"/>
        <v>0</v>
      </c>
      <c r="AI362" s="136">
        <f t="shared" ca="1" si="81"/>
        <v>9.6761719833564491E-8</v>
      </c>
      <c r="AJ362" s="136">
        <f t="shared" ca="1" si="82"/>
        <v>1.5316643550624133E-6</v>
      </c>
      <c r="AK362" s="136">
        <f t="shared" ca="1" si="83"/>
        <v>6.2274618585298204E-9</v>
      </c>
      <c r="AL362" s="136">
        <f t="shared" ca="1" si="84"/>
        <v>8.7162829403606107E-10</v>
      </c>
      <c r="AN362" s="74">
        <v>721</v>
      </c>
      <c r="AO362" s="136" t="str">
        <f t="shared" ca="1" si="85"/>
        <v/>
      </c>
      <c r="AP362" s="136">
        <f t="shared" ca="1" si="86"/>
        <v>5.2307245155195731E-5</v>
      </c>
      <c r="AQ362" s="136">
        <f t="shared" ca="1" si="87"/>
        <v>8.6801262675569252E-4</v>
      </c>
      <c r="AR362" s="136">
        <f t="shared" ca="1" si="88"/>
        <v>3.1480850317944127E-6</v>
      </c>
      <c r="AS362" s="136">
        <f t="shared" ca="1" si="89"/>
        <v>4.2620360507089898E-7</v>
      </c>
    </row>
    <row r="363" spans="9:45" ht="15" hidden="1" customHeight="1" x14ac:dyDescent="0.2">
      <c r="I363" s="74">
        <v>722</v>
      </c>
      <c r="J363" s="137">
        <v>9.1110880000000005E-4</v>
      </c>
      <c r="L363" s="74">
        <v>722</v>
      </c>
      <c r="M363" s="137"/>
      <c r="N363" s="137">
        <v>6.4947E-5</v>
      </c>
      <c r="O363" s="137">
        <v>1.02563E-3</v>
      </c>
      <c r="P363" s="136">
        <v>4.2100000000000003E-6</v>
      </c>
      <c r="Q363" s="137">
        <v>5.90239E-7</v>
      </c>
      <c r="S363" s="74">
        <v>722</v>
      </c>
      <c r="T363" s="137">
        <v>2.0372297048550062E-9</v>
      </c>
      <c r="U363" s="137">
        <v>1.0408999795407436E-4</v>
      </c>
      <c r="V363" s="137">
        <v>1.3045568213410066E-3</v>
      </c>
      <c r="W363" s="136">
        <v>4.1668224942597462E-6</v>
      </c>
      <c r="X363" s="137">
        <v>5.9011411133472108E-7</v>
      </c>
      <c r="Z363" s="74">
        <v>722</v>
      </c>
      <c r="AA363" s="137">
        <f t="shared" ca="1" si="75"/>
        <v>0</v>
      </c>
      <c r="AB363" s="137">
        <f t="shared" ca="1" si="76"/>
        <v>6.4947E-5</v>
      </c>
      <c r="AC363" s="137">
        <f t="shared" ca="1" si="77"/>
        <v>1.02563E-3</v>
      </c>
      <c r="AD363" s="137">
        <f t="shared" ca="1" si="78"/>
        <v>4.2100000000000003E-6</v>
      </c>
      <c r="AE363" s="137">
        <f t="shared" ca="1" si="79"/>
        <v>5.90239E-7</v>
      </c>
      <c r="AG363" s="74">
        <v>722</v>
      </c>
      <c r="AH363" s="136">
        <f t="shared" ca="1" si="80"/>
        <v>0</v>
      </c>
      <c r="AI363" s="136">
        <f t="shared" ca="1" si="81"/>
        <v>8.9954293628808861E-8</v>
      </c>
      <c r="AJ363" s="136">
        <f t="shared" ca="1" si="82"/>
        <v>1.4205401662049862E-6</v>
      </c>
      <c r="AK363" s="136">
        <f t="shared" ca="1" si="83"/>
        <v>5.8310249307479229E-9</v>
      </c>
      <c r="AL363" s="136">
        <f t="shared" ca="1" si="84"/>
        <v>8.1750554016620497E-10</v>
      </c>
      <c r="AN363" s="74">
        <v>722</v>
      </c>
      <c r="AO363" s="136" t="str">
        <f t="shared" ca="1" si="85"/>
        <v/>
      </c>
      <c r="AP363" s="136">
        <f t="shared" ca="1" si="86"/>
        <v>4.8627301144480237E-5</v>
      </c>
      <c r="AQ363" s="136">
        <f t="shared" ca="1" si="87"/>
        <v>8.0503721132121865E-4</v>
      </c>
      <c r="AR363" s="136">
        <f t="shared" ca="1" si="88"/>
        <v>2.9476796039086791E-6</v>
      </c>
      <c r="AS363" s="136">
        <f t="shared" ca="1" si="89"/>
        <v>3.9973898365655183E-7</v>
      </c>
    </row>
    <row r="364" spans="9:45" ht="15" hidden="1" customHeight="1" x14ac:dyDescent="0.2">
      <c r="I364" s="74">
        <v>723</v>
      </c>
      <c r="J364" s="137">
        <v>8.5013319999999995E-4</v>
      </c>
      <c r="L364" s="74">
        <v>723</v>
      </c>
      <c r="M364" s="137"/>
      <c r="N364" s="137">
        <v>6.0471799999999999E-5</v>
      </c>
      <c r="O364" s="137">
        <v>9.5260199999999998E-4</v>
      </c>
      <c r="P364" s="138">
        <v>3.9509999999999999E-6</v>
      </c>
      <c r="Q364" s="137">
        <v>5.5436299999999997E-7</v>
      </c>
      <c r="S364" s="74">
        <v>723</v>
      </c>
      <c r="T364" s="137">
        <v>1.9294965216723675E-9</v>
      </c>
      <c r="U364" s="137">
        <v>9.7156083621409835E-5</v>
      </c>
      <c r="V364" s="137">
        <v>1.214822983959789E-3</v>
      </c>
      <c r="W364" s="138">
        <v>3.9060967849618889E-6</v>
      </c>
      <c r="X364" s="137">
        <v>5.5438056915391199E-7</v>
      </c>
      <c r="Z364" s="74">
        <v>723</v>
      </c>
      <c r="AA364" s="137">
        <f t="shared" ca="1" si="75"/>
        <v>0</v>
      </c>
      <c r="AB364" s="137">
        <f t="shared" ca="1" si="76"/>
        <v>6.0471799999999999E-5</v>
      </c>
      <c r="AC364" s="137">
        <f t="shared" ca="1" si="77"/>
        <v>9.5260199999999998E-4</v>
      </c>
      <c r="AD364" s="137">
        <f t="shared" ca="1" si="78"/>
        <v>3.9509999999999999E-6</v>
      </c>
      <c r="AE364" s="137">
        <f t="shared" ca="1" si="79"/>
        <v>5.5436299999999997E-7</v>
      </c>
      <c r="AG364" s="74">
        <v>723</v>
      </c>
      <c r="AH364" s="136">
        <f t="shared" ca="1" si="80"/>
        <v>0</v>
      </c>
      <c r="AI364" s="136">
        <f t="shared" ca="1" si="81"/>
        <v>8.3640110650069162E-8</v>
      </c>
      <c r="AJ364" s="136">
        <f t="shared" ca="1" si="82"/>
        <v>1.3175684647302905E-6</v>
      </c>
      <c r="AK364" s="136">
        <f t="shared" ca="1" si="83"/>
        <v>5.4647302904564315E-9</v>
      </c>
      <c r="AL364" s="136">
        <f t="shared" ca="1" si="84"/>
        <v>7.6675380359612722E-10</v>
      </c>
      <c r="AN364" s="74">
        <v>723</v>
      </c>
      <c r="AO364" s="136" t="str">
        <f t="shared" ca="1" si="85"/>
        <v/>
      </c>
      <c r="AP364" s="136">
        <f t="shared" ca="1" si="86"/>
        <v>4.5213993510099645E-5</v>
      </c>
      <c r="AQ364" s="136">
        <f t="shared" ca="1" si="87"/>
        <v>7.4668190861855086E-4</v>
      </c>
      <c r="AR364" s="136">
        <f t="shared" ca="1" si="88"/>
        <v>2.7625116011936223E-6</v>
      </c>
      <c r="AS364" s="136">
        <f t="shared" ca="1" si="89"/>
        <v>3.7492270217764793E-7</v>
      </c>
    </row>
    <row r="365" spans="9:45" ht="15" hidden="1" customHeight="1" x14ac:dyDescent="0.2">
      <c r="I365" s="74">
        <v>724</v>
      </c>
      <c r="J365" s="137">
        <v>7.9323839999999996E-4</v>
      </c>
      <c r="L365" s="74">
        <v>724</v>
      </c>
      <c r="M365" s="137"/>
      <c r="N365" s="137">
        <v>5.6320699999999998E-5</v>
      </c>
      <c r="O365" s="137">
        <v>8.8495900000000005E-4</v>
      </c>
      <c r="P365" s="138">
        <v>3.709E-6</v>
      </c>
      <c r="Q365" s="137">
        <v>5.20798E-7</v>
      </c>
      <c r="S365" s="74">
        <v>724</v>
      </c>
      <c r="T365" s="137">
        <v>1.8277382473405467E-9</v>
      </c>
      <c r="U365" s="137">
        <v>9.0700148893677114E-5</v>
      </c>
      <c r="V365" s="137">
        <v>1.1314099662743055E-3</v>
      </c>
      <c r="W365" s="138">
        <v>3.6623428641675581E-6</v>
      </c>
      <c r="X365" s="137">
        <v>5.2090197012617404E-7</v>
      </c>
      <c r="Z365" s="74">
        <v>724</v>
      </c>
      <c r="AA365" s="137">
        <f t="shared" ca="1" si="75"/>
        <v>0</v>
      </c>
      <c r="AB365" s="137">
        <f t="shared" ca="1" si="76"/>
        <v>5.6320699999999998E-5</v>
      </c>
      <c r="AC365" s="137">
        <f t="shared" ca="1" si="77"/>
        <v>8.8495900000000005E-4</v>
      </c>
      <c r="AD365" s="137">
        <f t="shared" ca="1" si="78"/>
        <v>3.709E-6</v>
      </c>
      <c r="AE365" s="137">
        <f t="shared" ca="1" si="79"/>
        <v>5.20798E-7</v>
      </c>
      <c r="AG365" s="74">
        <v>724</v>
      </c>
      <c r="AH365" s="136">
        <f t="shared" ca="1" si="80"/>
        <v>0</v>
      </c>
      <c r="AI365" s="136">
        <f t="shared" ca="1" si="81"/>
        <v>7.7791022099447516E-8</v>
      </c>
      <c r="AJ365" s="136">
        <f t="shared" ca="1" si="82"/>
        <v>1.2223190607734807E-6</v>
      </c>
      <c r="AK365" s="136">
        <f t="shared" ca="1" si="83"/>
        <v>5.1229281767955804E-9</v>
      </c>
      <c r="AL365" s="136">
        <f t="shared" ca="1" si="84"/>
        <v>7.1933425414364645E-10</v>
      </c>
      <c r="AN365" s="74">
        <v>724</v>
      </c>
      <c r="AO365" s="136" t="str">
        <f t="shared" ca="1" si="85"/>
        <v/>
      </c>
      <c r="AP365" s="136">
        <f t="shared" ca="1" si="86"/>
        <v>4.2052105634625074E-5</v>
      </c>
      <c r="AQ365" s="136">
        <f t="shared" ca="1" si="87"/>
        <v>6.9270292487305814E-4</v>
      </c>
      <c r="AR365" s="136">
        <f t="shared" ca="1" si="88"/>
        <v>2.5897249760330719E-6</v>
      </c>
      <c r="AS365" s="136">
        <f t="shared" ca="1" si="89"/>
        <v>3.5173577368327651E-7</v>
      </c>
    </row>
    <row r="366" spans="9:45" ht="15" hidden="1" customHeight="1" x14ac:dyDescent="0.2">
      <c r="I366" s="74">
        <v>725</v>
      </c>
      <c r="J366" s="137">
        <v>7.3999999999999999E-4</v>
      </c>
      <c r="L366" s="74">
        <v>725</v>
      </c>
      <c r="M366" s="137"/>
      <c r="N366" s="137">
        <v>5.2474800000000001E-5</v>
      </c>
      <c r="O366" s="137">
        <v>8.2239599999999998E-4</v>
      </c>
      <c r="P366" s="138">
        <v>3.4819999999999999E-6</v>
      </c>
      <c r="Q366" s="137">
        <v>4.8953100000000004E-7</v>
      </c>
      <c r="S366" s="74">
        <v>725</v>
      </c>
      <c r="T366" s="137">
        <v>1.731609660344112E-9</v>
      </c>
      <c r="U366" s="137">
        <v>8.46884140576259E-5</v>
      </c>
      <c r="V366" s="137">
        <v>1.0538601920147012E-3</v>
      </c>
      <c r="W366" s="138">
        <v>3.4344088927818433E-6</v>
      </c>
      <c r="X366" s="137">
        <v>4.8953077556952915E-7</v>
      </c>
      <c r="Z366" s="74">
        <v>725</v>
      </c>
      <c r="AA366" s="137">
        <f t="shared" ca="1" si="75"/>
        <v>0</v>
      </c>
      <c r="AB366" s="137">
        <f t="shared" ca="1" si="76"/>
        <v>5.2474800000000001E-5</v>
      </c>
      <c r="AC366" s="137">
        <f t="shared" ca="1" si="77"/>
        <v>8.2239599999999998E-4</v>
      </c>
      <c r="AD366" s="137">
        <f t="shared" ca="1" si="78"/>
        <v>3.4819999999999999E-6</v>
      </c>
      <c r="AE366" s="137">
        <f t="shared" ca="1" si="79"/>
        <v>4.8953100000000004E-7</v>
      </c>
      <c r="AG366" s="74">
        <v>725</v>
      </c>
      <c r="AH366" s="136">
        <f t="shared" ca="1" si="80"/>
        <v>0</v>
      </c>
      <c r="AI366" s="136">
        <f t="shared" ca="1" si="81"/>
        <v>7.2379034482758626E-8</v>
      </c>
      <c r="AJ366" s="136">
        <f t="shared" ca="1" si="82"/>
        <v>1.1343393103448275E-6</v>
      </c>
      <c r="AK366" s="136">
        <f t="shared" ca="1" si="83"/>
        <v>4.8027586206896549E-9</v>
      </c>
      <c r="AL366" s="136">
        <f t="shared" ca="1" si="84"/>
        <v>6.7521517241379312E-10</v>
      </c>
      <c r="AN366" s="74">
        <v>725</v>
      </c>
      <c r="AO366" s="136" t="str">
        <f t="shared" ca="1" si="85"/>
        <v/>
      </c>
      <c r="AP366" s="136">
        <f t="shared" ca="1" si="86"/>
        <v>3.9126504854378989E-5</v>
      </c>
      <c r="AQ366" s="136">
        <f t="shared" ca="1" si="87"/>
        <v>6.4284374128725633E-4</v>
      </c>
      <c r="AR366" s="136">
        <f t="shared" ca="1" si="88"/>
        <v>2.4278739667277693E-6</v>
      </c>
      <c r="AS366" s="136">
        <f t="shared" ca="1" si="89"/>
        <v>3.3016268821285101E-7</v>
      </c>
    </row>
    <row r="367" spans="9:45" ht="15" hidden="1" customHeight="1" x14ac:dyDescent="0.2">
      <c r="I367" s="74">
        <v>726</v>
      </c>
      <c r="J367" s="137">
        <v>6.9008269999999998E-4</v>
      </c>
      <c r="L367" s="74">
        <v>726</v>
      </c>
      <c r="M367" s="137"/>
      <c r="N367" s="137">
        <v>4.89142E-5</v>
      </c>
      <c r="O367" s="137">
        <v>7.6458500000000003E-4</v>
      </c>
      <c r="P367" s="138">
        <v>3.27E-6</v>
      </c>
      <c r="Q367" s="137">
        <v>4.6025099999999998E-7</v>
      </c>
      <c r="S367" s="74">
        <v>726</v>
      </c>
      <c r="T367" s="137">
        <v>1.6407862200329116E-9</v>
      </c>
      <c r="U367" s="137">
        <v>7.9089348855686893E-5</v>
      </c>
      <c r="V367" s="137">
        <v>9.8175472471794261E-4</v>
      </c>
      <c r="W367" s="138">
        <v>3.2212393818551753E-6</v>
      </c>
      <c r="X367" s="137">
        <v>4.6012835807246637E-7</v>
      </c>
      <c r="Z367" s="74">
        <v>726</v>
      </c>
      <c r="AA367" s="137">
        <f t="shared" ca="1" si="75"/>
        <v>0</v>
      </c>
      <c r="AB367" s="137">
        <f t="shared" ca="1" si="76"/>
        <v>4.89142E-5</v>
      </c>
      <c r="AC367" s="137">
        <f t="shared" ca="1" si="77"/>
        <v>7.6458500000000003E-4</v>
      </c>
      <c r="AD367" s="137">
        <f t="shared" ca="1" si="78"/>
        <v>3.27E-6</v>
      </c>
      <c r="AE367" s="137">
        <f t="shared" ca="1" si="79"/>
        <v>4.6025099999999998E-7</v>
      </c>
      <c r="AG367" s="74">
        <v>726</v>
      </c>
      <c r="AH367" s="136">
        <f t="shared" ca="1" si="80"/>
        <v>0</v>
      </c>
      <c r="AI367" s="136">
        <f t="shared" ca="1" si="81"/>
        <v>6.737493112947659E-8</v>
      </c>
      <c r="AJ367" s="136">
        <f t="shared" ca="1" si="82"/>
        <v>1.0531473829201101E-6</v>
      </c>
      <c r="AK367" s="136">
        <f t="shared" ca="1" si="83"/>
        <v>4.5041322314049585E-9</v>
      </c>
      <c r="AL367" s="136">
        <f t="shared" ca="1" si="84"/>
        <v>6.3395454545454541E-10</v>
      </c>
      <c r="AN367" s="74">
        <v>726</v>
      </c>
      <c r="AO367" s="136" t="str">
        <f t="shared" ca="1" si="85"/>
        <v/>
      </c>
      <c r="AP367" s="136">
        <f t="shared" ca="1" si="86"/>
        <v>3.6421397283613541E-5</v>
      </c>
      <c r="AQ367" s="136">
        <f t="shared" ca="1" si="87"/>
        <v>5.9683129870324479E-4</v>
      </c>
      <c r="AR367" s="136">
        <f t="shared" ca="1" si="88"/>
        <v>2.2769133847824463E-6</v>
      </c>
      <c r="AS367" s="136">
        <f t="shared" ca="1" si="89"/>
        <v>3.0998731290913314E-7</v>
      </c>
    </row>
    <row r="368" spans="9:45" ht="15" hidden="1" customHeight="1" x14ac:dyDescent="0.2">
      <c r="I368" s="74">
        <v>727</v>
      </c>
      <c r="J368" s="137">
        <v>6.4331000000000002E-4</v>
      </c>
      <c r="L368" s="74">
        <v>727</v>
      </c>
      <c r="M368" s="137"/>
      <c r="N368" s="137">
        <v>4.56137E-5</v>
      </c>
      <c r="O368" s="137">
        <v>7.1111000000000004E-4</v>
      </c>
      <c r="P368" s="138">
        <v>3.0699999999999998E-6</v>
      </c>
      <c r="Q368" s="137">
        <v>4.32648E-7</v>
      </c>
      <c r="S368" s="74">
        <v>727</v>
      </c>
      <c r="T368" s="137">
        <v>1.5549627868035882E-9</v>
      </c>
      <c r="U368" s="137">
        <v>7.387372527439416E-5</v>
      </c>
      <c r="V368" s="137">
        <v>9.1470910064653547E-4</v>
      </c>
      <c r="W368" s="138">
        <v>3.0218367600390541E-6</v>
      </c>
      <c r="X368" s="137">
        <v>4.3256661695055278E-7</v>
      </c>
      <c r="Z368" s="74">
        <v>727</v>
      </c>
      <c r="AA368" s="137">
        <f t="shared" ca="1" si="75"/>
        <v>0</v>
      </c>
      <c r="AB368" s="137">
        <f t="shared" ca="1" si="76"/>
        <v>4.56137E-5</v>
      </c>
      <c r="AC368" s="137">
        <f t="shared" ca="1" si="77"/>
        <v>7.1111000000000004E-4</v>
      </c>
      <c r="AD368" s="137">
        <f t="shared" ca="1" si="78"/>
        <v>3.0699999999999998E-6</v>
      </c>
      <c r="AE368" s="137">
        <f t="shared" ca="1" si="79"/>
        <v>4.32648E-7</v>
      </c>
      <c r="AG368" s="74">
        <v>727</v>
      </c>
      <c r="AH368" s="136">
        <f t="shared" ca="1" si="80"/>
        <v>0</v>
      </c>
      <c r="AI368" s="136">
        <f t="shared" ca="1" si="81"/>
        <v>6.2742365887207701E-8</v>
      </c>
      <c r="AJ368" s="136">
        <f t="shared" ca="1" si="82"/>
        <v>9.7814305364511703E-7</v>
      </c>
      <c r="AK368" s="136">
        <f t="shared" ca="1" si="83"/>
        <v>4.2228335625859698E-9</v>
      </c>
      <c r="AL368" s="136">
        <f t="shared" ca="1" si="84"/>
        <v>5.951141678129298E-10</v>
      </c>
      <c r="AN368" s="74">
        <v>727</v>
      </c>
      <c r="AO368" s="136" t="str">
        <f t="shared" ca="1" si="85"/>
        <v/>
      </c>
      <c r="AP368" s="136">
        <f t="shared" ca="1" si="86"/>
        <v>3.3917134996403312E-5</v>
      </c>
      <c r="AQ368" s="136">
        <f t="shared" ca="1" si="87"/>
        <v>5.5432544247119666E-4</v>
      </c>
      <c r="AR368" s="136">
        <f t="shared" ca="1" si="88"/>
        <v>2.1347122523002296E-6</v>
      </c>
      <c r="AS368" s="136">
        <f t="shared" ca="1" si="89"/>
        <v>2.9099537668306236E-7</v>
      </c>
    </row>
    <row r="369" spans="9:45" ht="15" hidden="1" customHeight="1" x14ac:dyDescent="0.2">
      <c r="I369" s="74">
        <v>728</v>
      </c>
      <c r="J369" s="137">
        <v>5.9949600000000003E-4</v>
      </c>
      <c r="L369" s="74">
        <v>728</v>
      </c>
      <c r="M369" s="137"/>
      <c r="N369" s="137">
        <v>4.2549000000000002E-5</v>
      </c>
      <c r="O369" s="137">
        <v>6.6157E-4</v>
      </c>
      <c r="P369" s="138">
        <v>2.8839999999999998E-6</v>
      </c>
      <c r="Q369" s="137">
        <v>4.0671000000000002E-7</v>
      </c>
      <c r="S369" s="74">
        <v>728</v>
      </c>
      <c r="T369" s="137">
        <v>1.4738490301908203E-9</v>
      </c>
      <c r="U369" s="137">
        <v>6.9014445027420975E-5</v>
      </c>
      <c r="V369" s="137">
        <v>8.5235791820075955E-4</v>
      </c>
      <c r="W369" s="138">
        <v>2.8352802977438311E-6</v>
      </c>
      <c r="X369" s="137">
        <v>4.0672512378238848E-7</v>
      </c>
      <c r="Z369" s="74">
        <v>728</v>
      </c>
      <c r="AA369" s="137">
        <f t="shared" ca="1" si="75"/>
        <v>0</v>
      </c>
      <c r="AB369" s="137">
        <f t="shared" ca="1" si="76"/>
        <v>4.2549000000000002E-5</v>
      </c>
      <c r="AC369" s="137">
        <f t="shared" ca="1" si="77"/>
        <v>6.6157E-4</v>
      </c>
      <c r="AD369" s="137">
        <f t="shared" ca="1" si="78"/>
        <v>2.8839999999999998E-6</v>
      </c>
      <c r="AE369" s="137">
        <f t="shared" ca="1" si="79"/>
        <v>4.0671000000000002E-7</v>
      </c>
      <c r="AG369" s="74">
        <v>728</v>
      </c>
      <c r="AH369" s="136">
        <f t="shared" ca="1" si="80"/>
        <v>0</v>
      </c>
      <c r="AI369" s="136">
        <f t="shared" ca="1" si="81"/>
        <v>5.8446428571428573E-8</v>
      </c>
      <c r="AJ369" s="136">
        <f t="shared" ca="1" si="82"/>
        <v>9.0874999999999998E-7</v>
      </c>
      <c r="AK369" s="136">
        <f t="shared" ca="1" si="83"/>
        <v>3.9615384615384609E-9</v>
      </c>
      <c r="AL369" s="136">
        <f t="shared" ca="1" si="84"/>
        <v>5.5866758241758244E-10</v>
      </c>
      <c r="AN369" s="74">
        <v>728</v>
      </c>
      <c r="AO369" s="136" t="str">
        <f t="shared" ca="1" si="85"/>
        <v/>
      </c>
      <c r="AP369" s="136">
        <f t="shared" ca="1" si="86"/>
        <v>3.1594846319286749E-5</v>
      </c>
      <c r="AQ369" s="136">
        <f t="shared" ca="1" si="87"/>
        <v>5.14999563681883E-4</v>
      </c>
      <c r="AR369" s="136">
        <f t="shared" ca="1" si="88"/>
        <v>2.0026232543785199E-6</v>
      </c>
      <c r="AS369" s="136">
        <f t="shared" ca="1" si="89"/>
        <v>2.7317394271366582E-7</v>
      </c>
    </row>
    <row r="370" spans="9:45" ht="15" hidden="1" customHeight="1" x14ac:dyDescent="0.2">
      <c r="I370" s="74">
        <v>729</v>
      </c>
      <c r="J370" s="137">
        <v>5.5845470000000003E-4</v>
      </c>
      <c r="L370" s="74">
        <v>729</v>
      </c>
      <c r="M370" s="137"/>
      <c r="N370" s="137">
        <v>3.96989E-5</v>
      </c>
      <c r="O370" s="137">
        <v>6.1561199999999997E-4</v>
      </c>
      <c r="P370" s="138">
        <v>2.7099999999999999E-6</v>
      </c>
      <c r="Q370" s="137">
        <v>3.8242000000000001E-7</v>
      </c>
      <c r="S370" s="74">
        <v>729</v>
      </c>
      <c r="T370" s="137">
        <v>1.3971724066997957E-9</v>
      </c>
      <c r="U370" s="137">
        <v>6.4486231794452439E-5</v>
      </c>
      <c r="V370" s="137">
        <v>7.9436847392721718E-4</v>
      </c>
      <c r="W370" s="138">
        <v>2.6607066802247105E-6</v>
      </c>
      <c r="X370" s="137">
        <v>3.824934478089587E-7</v>
      </c>
      <c r="Z370" s="74">
        <v>729</v>
      </c>
      <c r="AA370" s="137">
        <f t="shared" ca="1" si="75"/>
        <v>0</v>
      </c>
      <c r="AB370" s="137">
        <f t="shared" ca="1" si="76"/>
        <v>3.96989E-5</v>
      </c>
      <c r="AC370" s="137">
        <f t="shared" ca="1" si="77"/>
        <v>6.1561199999999997E-4</v>
      </c>
      <c r="AD370" s="137">
        <f t="shared" ca="1" si="78"/>
        <v>2.7099999999999999E-6</v>
      </c>
      <c r="AE370" s="137">
        <f t="shared" ca="1" si="79"/>
        <v>3.8242000000000001E-7</v>
      </c>
      <c r="AG370" s="74">
        <v>729</v>
      </c>
      <c r="AH370" s="136">
        <f t="shared" ca="1" si="80"/>
        <v>0</v>
      </c>
      <c r="AI370" s="136">
        <f t="shared" ca="1" si="81"/>
        <v>5.4456652949245542E-8</v>
      </c>
      <c r="AJ370" s="136">
        <f t="shared" ca="1" si="82"/>
        <v>8.444609053497942E-7</v>
      </c>
      <c r="AK370" s="136">
        <f t="shared" ca="1" si="83"/>
        <v>3.7174211248285322E-9</v>
      </c>
      <c r="AL370" s="136">
        <f t="shared" ca="1" si="84"/>
        <v>5.2458161865569279E-10</v>
      </c>
      <c r="AN370" s="74">
        <v>729</v>
      </c>
      <c r="AO370" s="136" t="str">
        <f t="shared" ca="1" si="85"/>
        <v/>
      </c>
      <c r="AP370" s="136">
        <f t="shared" ca="1" si="86"/>
        <v>2.9438061880743109E-5</v>
      </c>
      <c r="AQ370" s="136">
        <f t="shared" ca="1" si="87"/>
        <v>4.7856615989166646E-4</v>
      </c>
      <c r="AR370" s="136">
        <f t="shared" ca="1" si="88"/>
        <v>1.8792179006154265E-6</v>
      </c>
      <c r="AS370" s="136">
        <f t="shared" ca="1" si="89"/>
        <v>2.5650679143251161E-7</v>
      </c>
    </row>
    <row r="371" spans="9:45" ht="15" hidden="1" customHeight="1" x14ac:dyDescent="0.2">
      <c r="I371" s="74">
        <v>730</v>
      </c>
      <c r="J371" s="137">
        <v>5.1999999999999995E-4</v>
      </c>
      <c r="L371" s="74">
        <v>730</v>
      </c>
      <c r="M371" s="137"/>
      <c r="N371" s="137">
        <v>3.70443E-5</v>
      </c>
      <c r="O371" s="137">
        <v>5.7291700000000004E-4</v>
      </c>
      <c r="P371" s="138">
        <v>2.5459999999999998E-6</v>
      </c>
      <c r="Q371" s="137">
        <v>3.5976599999999999E-7</v>
      </c>
      <c r="S371" s="74">
        <v>730</v>
      </c>
      <c r="T371" s="137">
        <v>1.3246831130540631E-9</v>
      </c>
      <c r="U371" s="137">
        <v>6.0265949037538043E-5</v>
      </c>
      <c r="V371" s="137">
        <v>7.404282835984518E-4</v>
      </c>
      <c r="W371" s="138">
        <v>2.4973188771590575E-6</v>
      </c>
      <c r="X371" s="137">
        <v>3.5976590260634531E-7</v>
      </c>
      <c r="Z371" s="74">
        <v>730</v>
      </c>
      <c r="AA371" s="137">
        <f t="shared" ca="1" si="75"/>
        <v>0</v>
      </c>
      <c r="AB371" s="137">
        <f t="shared" ca="1" si="76"/>
        <v>3.70443E-5</v>
      </c>
      <c r="AC371" s="137">
        <f t="shared" ca="1" si="77"/>
        <v>5.7291700000000004E-4</v>
      </c>
      <c r="AD371" s="137">
        <f t="shared" ca="1" si="78"/>
        <v>2.5459999999999998E-6</v>
      </c>
      <c r="AE371" s="137">
        <f t="shared" ca="1" si="79"/>
        <v>3.5976599999999999E-7</v>
      </c>
      <c r="AG371" s="74">
        <v>730</v>
      </c>
      <c r="AH371" s="136">
        <f t="shared" ca="1" si="80"/>
        <v>0</v>
      </c>
      <c r="AI371" s="136">
        <f t="shared" ca="1" si="81"/>
        <v>5.0745616438356167E-8</v>
      </c>
      <c r="AJ371" s="136">
        <f t="shared" ca="1" si="82"/>
        <v>7.8481780821917814E-7</v>
      </c>
      <c r="AK371" s="136">
        <f t="shared" ca="1" si="83"/>
        <v>3.4876712328767122E-9</v>
      </c>
      <c r="AL371" s="136">
        <f t="shared" ca="1" si="84"/>
        <v>4.9283013698630139E-10</v>
      </c>
      <c r="AN371" s="74">
        <v>730</v>
      </c>
      <c r="AO371" s="136" t="str">
        <f t="shared" ca="1" si="85"/>
        <v/>
      </c>
      <c r="AP371" s="136">
        <f t="shared" ca="1" si="86"/>
        <v>2.7431957639428878E-5</v>
      </c>
      <c r="AQ371" s="136">
        <f t="shared" ca="1" si="87"/>
        <v>4.4476569881997082E-4</v>
      </c>
      <c r="AR371" s="136">
        <f t="shared" ca="1" si="88"/>
        <v>1.7630755279537241E-6</v>
      </c>
      <c r="AS371" s="136">
        <f t="shared" ca="1" si="89"/>
        <v>2.4098114128275028E-7</v>
      </c>
    </row>
    <row r="372" spans="9:45" ht="15" hidden="1" customHeight="1" x14ac:dyDescent="0.2">
      <c r="I372" s="74">
        <v>731</v>
      </c>
      <c r="J372" s="137">
        <v>4.8391359999999997E-4</v>
      </c>
      <c r="L372" s="74">
        <v>731</v>
      </c>
      <c r="M372" s="137"/>
      <c r="N372" s="137">
        <v>3.45688E-5</v>
      </c>
      <c r="O372" s="137">
        <v>5.3320600000000004E-4</v>
      </c>
      <c r="P372" s="138">
        <v>2.3929999999999998E-6</v>
      </c>
      <c r="Q372" s="137">
        <v>3.38528E-7</v>
      </c>
      <c r="S372" s="74">
        <v>731</v>
      </c>
      <c r="T372" s="137">
        <v>1.2561138378554402E-9</v>
      </c>
      <c r="U372" s="137">
        <v>5.6330551087092671E-5</v>
      </c>
      <c r="V372" s="137">
        <v>6.9023503584906079E-4</v>
      </c>
      <c r="W372" s="138">
        <v>2.3443259774872665E-6</v>
      </c>
      <c r="X372" s="137">
        <v>3.3843946511474191E-7</v>
      </c>
      <c r="Z372" s="74">
        <v>731</v>
      </c>
      <c r="AA372" s="137">
        <f t="shared" ca="1" si="75"/>
        <v>0</v>
      </c>
      <c r="AB372" s="137">
        <f t="shared" ca="1" si="76"/>
        <v>3.45688E-5</v>
      </c>
      <c r="AC372" s="137">
        <f t="shared" ca="1" si="77"/>
        <v>5.3320600000000004E-4</v>
      </c>
      <c r="AD372" s="137">
        <f t="shared" ca="1" si="78"/>
        <v>2.3929999999999998E-6</v>
      </c>
      <c r="AE372" s="137">
        <f t="shared" ca="1" si="79"/>
        <v>3.38528E-7</v>
      </c>
      <c r="AG372" s="74">
        <v>731</v>
      </c>
      <c r="AH372" s="136">
        <f t="shared" ca="1" si="80"/>
        <v>0</v>
      </c>
      <c r="AI372" s="136">
        <f t="shared" ca="1" si="81"/>
        <v>4.7289740082079344E-8</v>
      </c>
      <c r="AJ372" s="136">
        <f t="shared" ca="1" si="82"/>
        <v>7.2941997264021893E-7</v>
      </c>
      <c r="AK372" s="136">
        <f t="shared" ca="1" si="83"/>
        <v>3.2735978112175101E-9</v>
      </c>
      <c r="AL372" s="136">
        <f t="shared" ca="1" si="84"/>
        <v>4.6310259917920655E-10</v>
      </c>
      <c r="AN372" s="74">
        <v>731</v>
      </c>
      <c r="AO372" s="136" t="str">
        <f t="shared" ca="1" si="85"/>
        <v/>
      </c>
      <c r="AP372" s="136">
        <f t="shared" ca="1" si="86"/>
        <v>2.5563787332981803E-5</v>
      </c>
      <c r="AQ372" s="136">
        <f t="shared" ca="1" si="87"/>
        <v>4.1337107857008392E-4</v>
      </c>
      <c r="AR372" s="136">
        <f t="shared" ca="1" si="88"/>
        <v>1.6548578704650201E-6</v>
      </c>
      <c r="AS372" s="136">
        <f t="shared" ca="1" si="89"/>
        <v>2.2644514713254079E-7</v>
      </c>
    </row>
    <row r="373" spans="9:45" ht="15" hidden="1" customHeight="1" x14ac:dyDescent="0.2">
      <c r="I373" s="74">
        <v>732</v>
      </c>
      <c r="J373" s="137">
        <v>4.500528E-4</v>
      </c>
      <c r="L373" s="74">
        <v>732</v>
      </c>
      <c r="M373" s="137"/>
      <c r="N373" s="137">
        <v>3.2258799999999997E-5</v>
      </c>
      <c r="O373" s="137">
        <v>4.9623400000000002E-4</v>
      </c>
      <c r="P373" s="138">
        <v>2.2500000000000001E-6</v>
      </c>
      <c r="Q373" s="137">
        <v>3.1848999999999999E-7</v>
      </c>
      <c r="S373" s="74">
        <v>732</v>
      </c>
      <c r="T373" s="137">
        <v>1.1912694377040675E-9</v>
      </c>
      <c r="U373" s="137">
        <v>5.2661593937556935E-5</v>
      </c>
      <c r="V373" s="137">
        <v>6.4353770887565622E-4</v>
      </c>
      <c r="W373" s="138">
        <v>2.2010859418443179E-6</v>
      </c>
      <c r="X373" s="137">
        <v>3.1843075019116008E-7</v>
      </c>
      <c r="Z373" s="74">
        <v>732</v>
      </c>
      <c r="AA373" s="137">
        <f t="shared" ca="1" si="75"/>
        <v>0</v>
      </c>
      <c r="AB373" s="137">
        <f t="shared" ca="1" si="76"/>
        <v>3.2258799999999997E-5</v>
      </c>
      <c r="AC373" s="137">
        <f t="shared" ca="1" si="77"/>
        <v>4.9623400000000002E-4</v>
      </c>
      <c r="AD373" s="137">
        <f t="shared" ca="1" si="78"/>
        <v>2.2500000000000001E-6</v>
      </c>
      <c r="AE373" s="137">
        <f t="shared" ca="1" si="79"/>
        <v>3.1848999999999999E-7</v>
      </c>
      <c r="AG373" s="74">
        <v>732</v>
      </c>
      <c r="AH373" s="136">
        <f t="shared" ca="1" si="80"/>
        <v>0</v>
      </c>
      <c r="AI373" s="136">
        <f t="shared" ca="1" si="81"/>
        <v>4.4069398907103819E-8</v>
      </c>
      <c r="AJ373" s="136">
        <f t="shared" ca="1" si="82"/>
        <v>6.7791530054644808E-7</v>
      </c>
      <c r="AK373" s="136">
        <f t="shared" ca="1" si="83"/>
        <v>3.0737704918032787E-9</v>
      </c>
      <c r="AL373" s="136">
        <f t="shared" ca="1" si="84"/>
        <v>4.3509562841530051E-10</v>
      </c>
      <c r="AN373" s="74">
        <v>732</v>
      </c>
      <c r="AO373" s="136" t="str">
        <f t="shared" ca="1" si="85"/>
        <v/>
      </c>
      <c r="AP373" s="136">
        <f t="shared" ca="1" si="86"/>
        <v>2.3822942134978356E-5</v>
      </c>
      <c r="AQ373" s="136">
        <f t="shared" ca="1" si="87"/>
        <v>3.8418276092951124E-4</v>
      </c>
      <c r="AR373" s="136">
        <f t="shared" ca="1" si="88"/>
        <v>1.5538418534291399E-6</v>
      </c>
      <c r="AS373" s="136">
        <f t="shared" ca="1" si="89"/>
        <v>2.1275046559413013E-7</v>
      </c>
    </row>
    <row r="374" spans="9:45" ht="15" hidden="1" customHeight="1" x14ac:dyDescent="0.2">
      <c r="I374" s="74">
        <v>733</v>
      </c>
      <c r="J374" s="137">
        <v>4.1834519999999999E-4</v>
      </c>
      <c r="L374" s="74">
        <v>733</v>
      </c>
      <c r="M374" s="137"/>
      <c r="N374" s="137">
        <v>3.0102599999999999E-5</v>
      </c>
      <c r="O374" s="137">
        <v>4.6178199999999999E-4</v>
      </c>
      <c r="P374" s="138">
        <v>2.1150000000000001E-6</v>
      </c>
      <c r="Q374" s="137">
        <v>2.9964400000000001E-7</v>
      </c>
      <c r="S374" s="74">
        <v>733</v>
      </c>
      <c r="T374" s="137">
        <v>1.1299364017731539E-9</v>
      </c>
      <c r="U374" s="137">
        <v>4.9240221740993557E-5</v>
      </c>
      <c r="V374" s="137">
        <v>6.0008807981419522E-4</v>
      </c>
      <c r="W374" s="138">
        <v>2.0669548970210056E-6</v>
      </c>
      <c r="X374" s="137">
        <v>2.996553252104419E-7</v>
      </c>
      <c r="Z374" s="74">
        <v>733</v>
      </c>
      <c r="AA374" s="137">
        <f t="shared" ca="1" si="75"/>
        <v>0</v>
      </c>
      <c r="AB374" s="137">
        <f t="shared" ca="1" si="76"/>
        <v>3.0102599999999999E-5</v>
      </c>
      <c r="AC374" s="137">
        <f t="shared" ca="1" si="77"/>
        <v>4.6178199999999999E-4</v>
      </c>
      <c r="AD374" s="137">
        <f t="shared" ca="1" si="78"/>
        <v>2.1150000000000001E-6</v>
      </c>
      <c r="AE374" s="137">
        <f t="shared" ca="1" si="79"/>
        <v>2.9964400000000001E-7</v>
      </c>
      <c r="AG374" s="74">
        <v>733</v>
      </c>
      <c r="AH374" s="136">
        <f t="shared" ca="1" si="80"/>
        <v>0</v>
      </c>
      <c r="AI374" s="136">
        <f t="shared" ca="1" si="81"/>
        <v>4.1067667121418822E-8</v>
      </c>
      <c r="AJ374" s="136">
        <f t="shared" ca="1" si="82"/>
        <v>6.2998908594815821E-7</v>
      </c>
      <c r="AK374" s="136">
        <f t="shared" ca="1" si="83"/>
        <v>2.8854024556616645E-9</v>
      </c>
      <c r="AL374" s="136">
        <f t="shared" ca="1" si="84"/>
        <v>4.0879126875852661E-10</v>
      </c>
      <c r="AN374" s="74">
        <v>733</v>
      </c>
      <c r="AO374" s="136" t="str">
        <f t="shared" ca="1" si="85"/>
        <v/>
      </c>
      <c r="AP374" s="136">
        <f t="shared" ca="1" si="86"/>
        <v>2.220027233669409E-5</v>
      </c>
      <c r="AQ374" s="136">
        <f t="shared" ca="1" si="87"/>
        <v>3.5702239822574938E-4</v>
      </c>
      <c r="AR374" s="136">
        <f t="shared" ca="1" si="88"/>
        <v>1.458618693734683E-6</v>
      </c>
      <c r="AS374" s="136">
        <f t="shared" ca="1" si="89"/>
        <v>1.9988831668098951E-7</v>
      </c>
    </row>
    <row r="375" spans="9:45" ht="15" hidden="1" customHeight="1" x14ac:dyDescent="0.2">
      <c r="I375" s="74">
        <v>734</v>
      </c>
      <c r="J375" s="137">
        <v>3.887184E-4</v>
      </c>
      <c r="L375" s="74">
        <v>734</v>
      </c>
      <c r="M375" s="137"/>
      <c r="N375" s="137">
        <v>2.8089299999999999E-5</v>
      </c>
      <c r="O375" s="137">
        <v>4.2965400000000002E-4</v>
      </c>
      <c r="P375" s="138">
        <v>1.9889999999999999E-6</v>
      </c>
      <c r="Q375" s="137">
        <v>2.8198100000000002E-7</v>
      </c>
      <c r="S375" s="74">
        <v>734</v>
      </c>
      <c r="T375" s="137">
        <v>1.0719215448112307E-9</v>
      </c>
      <c r="U375" s="137">
        <v>4.6049402551572214E-5</v>
      </c>
      <c r="V375" s="137">
        <v>5.596544998307042E-4</v>
      </c>
      <c r="W375" s="138">
        <v>1.9413328345375142E-6</v>
      </c>
      <c r="X375" s="137">
        <v>2.8203369678599121E-7</v>
      </c>
      <c r="Z375" s="74">
        <v>734</v>
      </c>
      <c r="AA375" s="137">
        <f t="shared" ca="1" si="75"/>
        <v>0</v>
      </c>
      <c r="AB375" s="137">
        <f t="shared" ca="1" si="76"/>
        <v>2.8089299999999999E-5</v>
      </c>
      <c r="AC375" s="137">
        <f t="shared" ca="1" si="77"/>
        <v>4.2965400000000002E-4</v>
      </c>
      <c r="AD375" s="137">
        <f t="shared" ca="1" si="78"/>
        <v>1.9889999999999999E-6</v>
      </c>
      <c r="AE375" s="137">
        <f t="shared" ca="1" si="79"/>
        <v>2.8198100000000002E-7</v>
      </c>
      <c r="AG375" s="74">
        <v>734</v>
      </c>
      <c r="AH375" s="136">
        <f t="shared" ca="1" si="80"/>
        <v>0</v>
      </c>
      <c r="AI375" s="136">
        <f t="shared" ca="1" si="81"/>
        <v>3.8268801089918254E-8</v>
      </c>
      <c r="AJ375" s="136">
        <f t="shared" ca="1" si="82"/>
        <v>5.8535967302452317E-7</v>
      </c>
      <c r="AK375" s="136">
        <f t="shared" ca="1" si="83"/>
        <v>2.7098092643051771E-9</v>
      </c>
      <c r="AL375" s="136">
        <f t="shared" ca="1" si="84"/>
        <v>3.8417029972752047E-10</v>
      </c>
      <c r="AN375" s="74">
        <v>734</v>
      </c>
      <c r="AO375" s="136" t="str">
        <f t="shared" ca="1" si="85"/>
        <v/>
      </c>
      <c r="AP375" s="136">
        <f t="shared" ca="1" si="86"/>
        <v>2.0687267277275264E-5</v>
      </c>
      <c r="AQ375" s="136">
        <f t="shared" ca="1" si="87"/>
        <v>3.3173037271482712E-4</v>
      </c>
      <c r="AR375" s="136">
        <f t="shared" ca="1" si="88"/>
        <v>1.3698534294983041E-6</v>
      </c>
      <c r="AS375" s="136">
        <f t="shared" ca="1" si="89"/>
        <v>1.878493020767669E-7</v>
      </c>
    </row>
    <row r="376" spans="9:45" ht="15" hidden="1" customHeight="1" x14ac:dyDescent="0.2">
      <c r="I376" s="74">
        <v>735</v>
      </c>
      <c r="J376" s="137">
        <v>3.611E-4</v>
      </c>
      <c r="L376" s="74">
        <v>735</v>
      </c>
      <c r="M376" s="137"/>
      <c r="N376" s="137">
        <v>2.6208799999999999E-5</v>
      </c>
      <c r="O376" s="137">
        <v>3.9966999999999997E-4</v>
      </c>
      <c r="P376" s="138">
        <v>1.8700000000000001E-6</v>
      </c>
      <c r="Q376" s="137">
        <v>2.6549300000000001E-7</v>
      </c>
      <c r="S376" s="74">
        <v>735</v>
      </c>
      <c r="T376" s="137">
        <v>1.0170305531786265E-9</v>
      </c>
      <c r="U376" s="137">
        <v>4.3072888812337298E-5</v>
      </c>
      <c r="V376" s="137">
        <v>5.2202463693589113E-4</v>
      </c>
      <c r="W376" s="138">
        <v>1.8236605356786179E-6</v>
      </c>
      <c r="X376" s="137">
        <v>2.6549356550774495E-7</v>
      </c>
      <c r="Z376" s="74">
        <v>735</v>
      </c>
      <c r="AA376" s="137">
        <f t="shared" ca="1" si="75"/>
        <v>0</v>
      </c>
      <c r="AB376" s="137">
        <f t="shared" ca="1" si="76"/>
        <v>2.6208799999999999E-5</v>
      </c>
      <c r="AC376" s="137">
        <f t="shared" ca="1" si="77"/>
        <v>3.9966999999999997E-4</v>
      </c>
      <c r="AD376" s="137">
        <f t="shared" ca="1" si="78"/>
        <v>1.8700000000000001E-6</v>
      </c>
      <c r="AE376" s="137">
        <f t="shared" ca="1" si="79"/>
        <v>2.6549300000000001E-7</v>
      </c>
      <c r="AG376" s="74">
        <v>735</v>
      </c>
      <c r="AH376" s="136">
        <f t="shared" ca="1" si="80"/>
        <v>0</v>
      </c>
      <c r="AI376" s="136">
        <f t="shared" ca="1" si="81"/>
        <v>3.5658231292517003E-8</v>
      </c>
      <c r="AJ376" s="136">
        <f t="shared" ca="1" si="82"/>
        <v>5.4376870748299319E-7</v>
      </c>
      <c r="AK376" s="136">
        <f t="shared" ca="1" si="83"/>
        <v>2.54421768707483E-9</v>
      </c>
      <c r="AL376" s="136">
        <f t="shared" ca="1" si="84"/>
        <v>3.6121496598639456E-10</v>
      </c>
      <c r="AN376" s="74">
        <v>735</v>
      </c>
      <c r="AO376" s="136" t="str">
        <f t="shared" ca="1" si="85"/>
        <v/>
      </c>
      <c r="AP376" s="136">
        <f t="shared" ca="1" si="86"/>
        <v>1.9276050996474414E-5</v>
      </c>
      <c r="AQ376" s="136">
        <f t="shared" ca="1" si="87"/>
        <v>3.0816027190932923E-4</v>
      </c>
      <c r="AR376" s="136">
        <f t="shared" ca="1" si="88"/>
        <v>1.2861441467258919E-6</v>
      </c>
      <c r="AS376" s="136">
        <f t="shared" ca="1" si="89"/>
        <v>1.7662473988320789E-7</v>
      </c>
    </row>
    <row r="377" spans="9:45" ht="15" hidden="1" customHeight="1" x14ac:dyDescent="0.2">
      <c r="I377" s="74">
        <v>736</v>
      </c>
      <c r="J377" s="137">
        <v>3.3538349999999998E-4</v>
      </c>
      <c r="L377" s="74">
        <v>736</v>
      </c>
      <c r="M377" s="137"/>
      <c r="N377" s="137">
        <v>2.4452900000000001E-5</v>
      </c>
      <c r="O377" s="137">
        <v>3.7168999999999999E-4</v>
      </c>
      <c r="P377" s="138">
        <v>1.759E-6</v>
      </c>
      <c r="Q377" s="137">
        <v>2.5002600000000002E-7</v>
      </c>
      <c r="S377" s="74">
        <v>736</v>
      </c>
      <c r="T377" s="137">
        <v>9.6509263197126193E-10</v>
      </c>
      <c r="U377" s="137">
        <v>4.0295912981742819E-5</v>
      </c>
      <c r="V377" s="137">
        <v>4.8699780077940153E-4</v>
      </c>
      <c r="W377" s="138">
        <v>1.7134167178196981E-6</v>
      </c>
      <c r="X377" s="137">
        <v>2.4996430748718567E-7</v>
      </c>
      <c r="Z377" s="74">
        <v>736</v>
      </c>
      <c r="AA377" s="137">
        <f t="shared" ca="1" si="75"/>
        <v>0</v>
      </c>
      <c r="AB377" s="137">
        <f t="shared" ca="1" si="76"/>
        <v>2.4452900000000001E-5</v>
      </c>
      <c r="AC377" s="137">
        <f t="shared" ca="1" si="77"/>
        <v>3.7168999999999999E-4</v>
      </c>
      <c r="AD377" s="137">
        <f t="shared" ca="1" si="78"/>
        <v>1.759E-6</v>
      </c>
      <c r="AE377" s="137">
        <f t="shared" ca="1" si="79"/>
        <v>2.5002600000000002E-7</v>
      </c>
      <c r="AG377" s="74">
        <v>736</v>
      </c>
      <c r="AH377" s="136">
        <f t="shared" ca="1" si="80"/>
        <v>0</v>
      </c>
      <c r="AI377" s="136">
        <f t="shared" ca="1" si="81"/>
        <v>3.3224048913043478E-8</v>
      </c>
      <c r="AJ377" s="136">
        <f t="shared" ca="1" si="82"/>
        <v>5.0501358695652168E-7</v>
      </c>
      <c r="AK377" s="136">
        <f t="shared" ca="1" si="83"/>
        <v>2.3899456521739132E-9</v>
      </c>
      <c r="AL377" s="136">
        <f t="shared" ca="1" si="84"/>
        <v>3.3970923913043479E-10</v>
      </c>
      <c r="AN377" s="74">
        <v>736</v>
      </c>
      <c r="AO377" s="136" t="str">
        <f t="shared" ca="1" si="85"/>
        <v/>
      </c>
      <c r="AP377" s="136">
        <f t="shared" ca="1" si="86"/>
        <v>1.7960185851718968E-5</v>
      </c>
      <c r="AQ377" s="136">
        <f t="shared" ca="1" si="87"/>
        <v>2.8619727860911291E-4</v>
      </c>
      <c r="AR377" s="136">
        <f t="shared" ca="1" si="88"/>
        <v>1.2081570799354585E-6</v>
      </c>
      <c r="AS377" s="136">
        <f t="shared" ca="1" si="89"/>
        <v>1.6610899781930822E-7</v>
      </c>
    </row>
    <row r="378" spans="9:45" ht="15" hidden="1" customHeight="1" x14ac:dyDescent="0.2">
      <c r="I378" s="74">
        <v>737</v>
      </c>
      <c r="J378" s="137">
        <v>3.1144039999999999E-4</v>
      </c>
      <c r="L378" s="74">
        <v>737</v>
      </c>
      <c r="M378" s="137"/>
      <c r="N378" s="137">
        <v>2.28177E-5</v>
      </c>
      <c r="O378" s="137">
        <v>3.4565000000000003E-4</v>
      </c>
      <c r="P378" s="138">
        <v>1.655E-6</v>
      </c>
      <c r="Q378" s="137">
        <v>2.35424E-7</v>
      </c>
      <c r="S378" s="74">
        <v>737</v>
      </c>
      <c r="T378" s="137">
        <v>9.1593994622116137E-10</v>
      </c>
      <c r="U378" s="137">
        <v>3.7704570671846736E-5</v>
      </c>
      <c r="V378" s="137">
        <v>4.5439024581030873E-4</v>
      </c>
      <c r="W378" s="138">
        <v>1.6101116783031318E-6</v>
      </c>
      <c r="X378" s="137">
        <v>2.3538294920899327E-7</v>
      </c>
      <c r="Z378" s="74">
        <v>737</v>
      </c>
      <c r="AA378" s="137">
        <f t="shared" ca="1" si="75"/>
        <v>0</v>
      </c>
      <c r="AB378" s="137">
        <f t="shared" ca="1" si="76"/>
        <v>2.28177E-5</v>
      </c>
      <c r="AC378" s="137">
        <f t="shared" ca="1" si="77"/>
        <v>3.4565000000000003E-4</v>
      </c>
      <c r="AD378" s="137">
        <f t="shared" ca="1" si="78"/>
        <v>1.655E-6</v>
      </c>
      <c r="AE378" s="137">
        <f t="shared" ca="1" si="79"/>
        <v>2.35424E-7</v>
      </c>
      <c r="AG378" s="74">
        <v>737</v>
      </c>
      <c r="AH378" s="136">
        <f t="shared" ca="1" si="80"/>
        <v>0</v>
      </c>
      <c r="AI378" s="136">
        <f t="shared" ca="1" si="81"/>
        <v>3.096024423337856E-8</v>
      </c>
      <c r="AJ378" s="136">
        <f t="shared" ca="1" si="82"/>
        <v>4.6899592944369066E-7</v>
      </c>
      <c r="AK378" s="136">
        <f t="shared" ca="1" si="83"/>
        <v>2.2455902306648575E-9</v>
      </c>
      <c r="AL378" s="136">
        <f t="shared" ca="1" si="84"/>
        <v>3.1943554952510177E-10</v>
      </c>
      <c r="AN378" s="74">
        <v>737</v>
      </c>
      <c r="AO378" s="136" t="str">
        <f t="shared" ca="1" si="85"/>
        <v/>
      </c>
      <c r="AP378" s="136">
        <f t="shared" ca="1" si="86"/>
        <v>1.6736423122342207E-5</v>
      </c>
      <c r="AQ378" s="136">
        <f t="shared" ca="1" si="87"/>
        <v>2.65785638549744E-4</v>
      </c>
      <c r="AR378" s="136">
        <f t="shared" ca="1" si="88"/>
        <v>1.1351830253310813E-6</v>
      </c>
      <c r="AS378" s="136">
        <f t="shared" ca="1" si="89"/>
        <v>1.5619568998269519E-7</v>
      </c>
    </row>
    <row r="379" spans="9:45" ht="15" hidden="1" customHeight="1" x14ac:dyDescent="0.2">
      <c r="I379" s="74">
        <v>738</v>
      </c>
      <c r="J379" s="137">
        <v>2.8916560000000002E-4</v>
      </c>
      <c r="L379" s="74">
        <v>738</v>
      </c>
      <c r="M379" s="137"/>
      <c r="N379" s="137">
        <v>2.1299500000000002E-5</v>
      </c>
      <c r="O379" s="137">
        <v>3.2149400000000002E-4</v>
      </c>
      <c r="P379" s="138">
        <v>1.5570000000000001E-6</v>
      </c>
      <c r="Q379" s="137">
        <v>2.2168100000000001E-7</v>
      </c>
      <c r="S379" s="74">
        <v>738</v>
      </c>
      <c r="T379" s="137">
        <v>8.6941274026862153E-10</v>
      </c>
      <c r="U379" s="137">
        <v>3.5286127578601411E-5</v>
      </c>
      <c r="V379" s="137">
        <v>4.240313826438405E-4</v>
      </c>
      <c r="W379" s="138">
        <v>1.5132929192494281E-6</v>
      </c>
      <c r="X379" s="137">
        <v>2.216884158508787E-7</v>
      </c>
      <c r="Z379" s="74">
        <v>738</v>
      </c>
      <c r="AA379" s="137">
        <f t="shared" ca="1" si="75"/>
        <v>0</v>
      </c>
      <c r="AB379" s="137">
        <f t="shared" ca="1" si="76"/>
        <v>2.1299500000000002E-5</v>
      </c>
      <c r="AC379" s="137">
        <f t="shared" ca="1" si="77"/>
        <v>3.2149400000000002E-4</v>
      </c>
      <c r="AD379" s="137">
        <f t="shared" ca="1" si="78"/>
        <v>1.5570000000000001E-6</v>
      </c>
      <c r="AE379" s="137">
        <f t="shared" ca="1" si="79"/>
        <v>2.2168100000000001E-7</v>
      </c>
      <c r="AG379" s="74">
        <v>738</v>
      </c>
      <c r="AH379" s="136">
        <f t="shared" ca="1" si="80"/>
        <v>0</v>
      </c>
      <c r="AI379" s="136">
        <f t="shared" ca="1" si="81"/>
        <v>2.8861111111111114E-8</v>
      </c>
      <c r="AJ379" s="136">
        <f t="shared" ca="1" si="82"/>
        <v>4.3562872628726289E-7</v>
      </c>
      <c r="AK379" s="136">
        <f t="shared" ca="1" si="83"/>
        <v>2.1097560975609756E-9</v>
      </c>
      <c r="AL379" s="136">
        <f t="shared" ca="1" si="84"/>
        <v>3.003807588075881E-10</v>
      </c>
      <c r="AN379" s="74">
        <v>738</v>
      </c>
      <c r="AO379" s="136" t="str">
        <f t="shared" ca="1" si="85"/>
        <v/>
      </c>
      <c r="AP379" s="136">
        <f t="shared" ca="1" si="86"/>
        <v>1.5601678193989376E-5</v>
      </c>
      <c r="AQ379" s="136">
        <f t="shared" ca="1" si="87"/>
        <v>2.468760428778375E-4</v>
      </c>
      <c r="AR379" s="136">
        <f t="shared" ca="1" si="88"/>
        <v>1.0665166230398513E-6</v>
      </c>
      <c r="AS379" s="136">
        <f t="shared" ca="1" si="89"/>
        <v>1.468783920550767E-7</v>
      </c>
    </row>
    <row r="380" spans="9:45" ht="15" hidden="1" customHeight="1" x14ac:dyDescent="0.2">
      <c r="I380" s="74">
        <v>739</v>
      </c>
      <c r="J380" s="137">
        <v>2.6845390000000002E-4</v>
      </c>
      <c r="L380" s="74">
        <v>739</v>
      </c>
      <c r="M380" s="137"/>
      <c r="N380" s="137">
        <v>1.98941E-5</v>
      </c>
      <c r="O380" s="137">
        <v>2.99155E-4</v>
      </c>
      <c r="P380" s="138">
        <v>1.466E-6</v>
      </c>
      <c r="Q380" s="137">
        <v>2.08789E-7</v>
      </c>
      <c r="S380" s="74">
        <v>739</v>
      </c>
      <c r="T380" s="137">
        <v>8.2537060933135346E-10</v>
      </c>
      <c r="U380" s="137">
        <v>3.3028587419517206E-5</v>
      </c>
      <c r="V380" s="137">
        <v>3.9576191608318539E-4</v>
      </c>
      <c r="W380" s="138">
        <v>1.4225351291716838E-6</v>
      </c>
      <c r="X380" s="137">
        <v>2.0882524518972792E-7</v>
      </c>
      <c r="Z380" s="74">
        <v>739</v>
      </c>
      <c r="AA380" s="137">
        <f t="shared" ca="1" si="75"/>
        <v>0</v>
      </c>
      <c r="AB380" s="137">
        <f t="shared" ca="1" si="76"/>
        <v>1.98941E-5</v>
      </c>
      <c r="AC380" s="137">
        <f t="shared" ca="1" si="77"/>
        <v>2.99155E-4</v>
      </c>
      <c r="AD380" s="137">
        <f t="shared" ca="1" si="78"/>
        <v>1.466E-6</v>
      </c>
      <c r="AE380" s="137">
        <f t="shared" ca="1" si="79"/>
        <v>2.08789E-7</v>
      </c>
      <c r="AG380" s="74">
        <v>739</v>
      </c>
      <c r="AH380" s="136">
        <f t="shared" ca="1" si="80"/>
        <v>0</v>
      </c>
      <c r="AI380" s="136">
        <f t="shared" ca="1" si="81"/>
        <v>2.6920297699594046E-8</v>
      </c>
      <c r="AJ380" s="136">
        <f t="shared" ca="1" si="82"/>
        <v>4.0481055480378893E-7</v>
      </c>
      <c r="AK380" s="136">
        <f t="shared" ca="1" si="83"/>
        <v>1.9837618403247632E-9</v>
      </c>
      <c r="AL380" s="136">
        <f t="shared" ca="1" si="84"/>
        <v>2.8252909336941816E-10</v>
      </c>
      <c r="AN380" s="74">
        <v>739</v>
      </c>
      <c r="AO380" s="136" t="str">
        <f t="shared" ca="1" si="85"/>
        <v/>
      </c>
      <c r="AP380" s="136">
        <f t="shared" ca="1" si="86"/>
        <v>1.4552517398880188E-5</v>
      </c>
      <c r="AQ380" s="136">
        <f t="shared" ca="1" si="87"/>
        <v>2.2941101413785121E-4</v>
      </c>
      <c r="AR380" s="136">
        <f t="shared" ca="1" si="88"/>
        <v>1.0028244408462193E-6</v>
      </c>
      <c r="AS380" s="136">
        <f t="shared" ca="1" si="89"/>
        <v>1.3814939115144975E-7</v>
      </c>
    </row>
    <row r="381" spans="9:45" ht="15" hidden="1" customHeight="1" x14ac:dyDescent="0.2">
      <c r="I381" s="74">
        <v>740</v>
      </c>
      <c r="J381" s="137">
        <v>2.4919999999999999E-4</v>
      </c>
      <c r="L381" s="74">
        <v>740</v>
      </c>
      <c r="M381" s="137"/>
      <c r="N381" s="137">
        <v>1.8596500000000001E-5</v>
      </c>
      <c r="O381" s="137">
        <v>2.7855300000000001E-4</v>
      </c>
      <c r="P381" s="138">
        <v>1.3790000000000001E-6</v>
      </c>
      <c r="Q381" s="137">
        <v>1.9674E-7</v>
      </c>
      <c r="S381" s="74">
        <v>740</v>
      </c>
      <c r="T381" s="137">
        <v>7.836695999914843E-10</v>
      </c>
      <c r="U381" s="137">
        <v>3.0920819814479732E-5</v>
      </c>
      <c r="V381" s="137">
        <v>3.6943411719676068E-4</v>
      </c>
      <c r="W381" s="138">
        <v>1.3374452109896286E-6</v>
      </c>
      <c r="X381" s="137">
        <v>1.967406038400307E-7</v>
      </c>
      <c r="Z381" s="74">
        <v>740</v>
      </c>
      <c r="AA381" s="137">
        <f t="shared" ca="1" si="75"/>
        <v>0</v>
      </c>
      <c r="AB381" s="137">
        <f t="shared" ca="1" si="76"/>
        <v>1.8596500000000001E-5</v>
      </c>
      <c r="AC381" s="137">
        <f t="shared" ca="1" si="77"/>
        <v>2.7855300000000001E-4</v>
      </c>
      <c r="AD381" s="137">
        <f t="shared" ca="1" si="78"/>
        <v>1.3790000000000001E-6</v>
      </c>
      <c r="AE381" s="137">
        <f t="shared" ca="1" si="79"/>
        <v>1.9674E-7</v>
      </c>
      <c r="AG381" s="74">
        <v>740</v>
      </c>
      <c r="AH381" s="136">
        <f t="shared" ca="1" si="80"/>
        <v>0</v>
      </c>
      <c r="AI381" s="136">
        <f t="shared" ca="1" si="81"/>
        <v>2.5130405405405408E-8</v>
      </c>
      <c r="AJ381" s="136">
        <f t="shared" ca="1" si="82"/>
        <v>3.7642297297297299E-7</v>
      </c>
      <c r="AK381" s="136">
        <f t="shared" ca="1" si="83"/>
        <v>1.8635135135135138E-9</v>
      </c>
      <c r="AL381" s="136">
        <f t="shared" ca="1" si="84"/>
        <v>2.6586486486486486E-10</v>
      </c>
      <c r="AN381" s="74">
        <v>740</v>
      </c>
      <c r="AO381" s="136" t="str">
        <f t="shared" ca="1" si="85"/>
        <v/>
      </c>
      <c r="AP381" s="136">
        <f t="shared" ca="1" si="86"/>
        <v>1.3584941221084259E-5</v>
      </c>
      <c r="AQ381" s="136">
        <f t="shared" ca="1" si="87"/>
        <v>2.1332342981118937E-4</v>
      </c>
      <c r="AR381" s="136">
        <f t="shared" ca="1" si="88"/>
        <v>9.4203692157553754E-7</v>
      </c>
      <c r="AS381" s="136">
        <f t="shared" ca="1" si="89"/>
        <v>1.3000101607808157E-7</v>
      </c>
    </row>
    <row r="382" spans="9:45" ht="15" hidden="1" customHeight="1" x14ac:dyDescent="0.2">
      <c r="I382" s="74">
        <v>741</v>
      </c>
      <c r="J382" s="137">
        <v>2.3130190000000001E-4</v>
      </c>
      <c r="L382" s="74">
        <v>741</v>
      </c>
      <c r="M382" s="137"/>
      <c r="N382" s="137">
        <v>1.74003E-5</v>
      </c>
      <c r="O382" s="137">
        <v>2.5958300000000003E-4</v>
      </c>
      <c r="P382" s="138">
        <v>1.299E-6</v>
      </c>
      <c r="Q382" s="137">
        <v>1.8542600000000001E-7</v>
      </c>
      <c r="S382" s="74">
        <v>741</v>
      </c>
      <c r="T382" s="137">
        <v>7.4416458845806939E-10</v>
      </c>
      <c r="U382" s="137">
        <v>2.895202865904896E-5</v>
      </c>
      <c r="V382" s="137">
        <v>3.4490461064129078E-4</v>
      </c>
      <c r="W382" s="138">
        <v>1.2576303224472219E-6</v>
      </c>
      <c r="X382" s="137">
        <v>1.8538090586044355E-7</v>
      </c>
      <c r="Z382" s="74">
        <v>741</v>
      </c>
      <c r="AA382" s="137">
        <f t="shared" ca="1" si="75"/>
        <v>0</v>
      </c>
      <c r="AB382" s="137">
        <f t="shared" ca="1" si="76"/>
        <v>1.74003E-5</v>
      </c>
      <c r="AC382" s="137">
        <f t="shared" ca="1" si="77"/>
        <v>2.5958300000000003E-4</v>
      </c>
      <c r="AD382" s="137">
        <f t="shared" ca="1" si="78"/>
        <v>1.299E-6</v>
      </c>
      <c r="AE382" s="137">
        <f t="shared" ca="1" si="79"/>
        <v>1.8542600000000001E-7</v>
      </c>
      <c r="AG382" s="74">
        <v>741</v>
      </c>
      <c r="AH382" s="136">
        <f t="shared" ca="1" si="80"/>
        <v>0</v>
      </c>
      <c r="AI382" s="136">
        <f t="shared" ca="1" si="81"/>
        <v>2.3482186234817813E-8</v>
      </c>
      <c r="AJ382" s="136">
        <f t="shared" ca="1" si="82"/>
        <v>3.5031443994601894E-7</v>
      </c>
      <c r="AK382" s="136">
        <f t="shared" ca="1" si="83"/>
        <v>1.7530364372469635E-9</v>
      </c>
      <c r="AL382" s="136">
        <f t="shared" ca="1" si="84"/>
        <v>2.5023751686909581E-10</v>
      </c>
      <c r="AN382" s="74">
        <v>741</v>
      </c>
      <c r="AO382" s="136" t="str">
        <f t="shared" ca="1" si="85"/>
        <v/>
      </c>
      <c r="AP382" s="136">
        <f t="shared" ca="1" si="86"/>
        <v>1.2693950399778982E-5</v>
      </c>
      <c r="AQ382" s="136">
        <f t="shared" ca="1" si="87"/>
        <v>1.9852740987473229E-4</v>
      </c>
      <c r="AR382" s="136">
        <f t="shared" ca="1" si="88"/>
        <v>8.8618893116596749E-7</v>
      </c>
      <c r="AS382" s="136">
        <f t="shared" ca="1" si="89"/>
        <v>1.2235964865223399E-7</v>
      </c>
    </row>
    <row r="383" spans="9:45" ht="15" hidden="1" customHeight="1" x14ac:dyDescent="0.2">
      <c r="I383" s="74">
        <v>742</v>
      </c>
      <c r="J383" s="137">
        <v>2.1468560000000001E-4</v>
      </c>
      <c r="L383" s="74">
        <v>742</v>
      </c>
      <c r="M383" s="137"/>
      <c r="N383" s="137">
        <v>1.6293100000000002E-5</v>
      </c>
      <c r="O383" s="137">
        <v>2.4206100000000001E-4</v>
      </c>
      <c r="P383" s="138">
        <v>1.223E-6</v>
      </c>
      <c r="Q383" s="137">
        <v>1.7473600000000001E-7</v>
      </c>
      <c r="S383" s="74">
        <v>742</v>
      </c>
      <c r="T383" s="137">
        <v>7.067535522554631E-10</v>
      </c>
      <c r="U383" s="137">
        <v>2.7113276312329533E-5</v>
      </c>
      <c r="V383" s="137">
        <v>3.220542242591881E-4</v>
      </c>
      <c r="W383" s="138">
        <v>1.182777352007803E-6</v>
      </c>
      <c r="X383" s="137">
        <v>1.7470566997634893E-7</v>
      </c>
      <c r="Z383" s="74">
        <v>742</v>
      </c>
      <c r="AA383" s="137">
        <f t="shared" ca="1" si="75"/>
        <v>0</v>
      </c>
      <c r="AB383" s="137">
        <f t="shared" ca="1" si="76"/>
        <v>1.6293100000000002E-5</v>
      </c>
      <c r="AC383" s="137">
        <f t="shared" ca="1" si="77"/>
        <v>2.4206100000000001E-4</v>
      </c>
      <c r="AD383" s="137">
        <f t="shared" ca="1" si="78"/>
        <v>1.223E-6</v>
      </c>
      <c r="AE383" s="137">
        <f t="shared" ca="1" si="79"/>
        <v>1.7473600000000001E-7</v>
      </c>
      <c r="AG383" s="74">
        <v>742</v>
      </c>
      <c r="AH383" s="136">
        <f t="shared" ca="1" si="80"/>
        <v>0</v>
      </c>
      <c r="AI383" s="136">
        <f t="shared" ca="1" si="81"/>
        <v>2.195835579514825E-8</v>
      </c>
      <c r="AJ383" s="136">
        <f t="shared" ca="1" si="82"/>
        <v>3.2622776280323453E-7</v>
      </c>
      <c r="AK383" s="136">
        <f t="shared" ca="1" si="83"/>
        <v>1.6482479784366577E-9</v>
      </c>
      <c r="AL383" s="136">
        <f t="shared" ca="1" si="84"/>
        <v>2.3549326145552564E-10</v>
      </c>
      <c r="AN383" s="74">
        <v>742</v>
      </c>
      <c r="AO383" s="136" t="str">
        <f t="shared" ca="1" si="85"/>
        <v/>
      </c>
      <c r="AP383" s="136">
        <f t="shared" ca="1" si="86"/>
        <v>1.1870201374649555E-5</v>
      </c>
      <c r="AQ383" s="136">
        <f t="shared" ca="1" si="87"/>
        <v>1.8487720000504276E-4</v>
      </c>
      <c r="AR383" s="136">
        <f t="shared" ca="1" si="88"/>
        <v>8.3321663102515084E-7</v>
      </c>
      <c r="AS383" s="136">
        <f t="shared" ca="1" si="89"/>
        <v>1.1515009057071336E-7</v>
      </c>
    </row>
    <row r="384" spans="9:45" ht="15" hidden="1" customHeight="1" x14ac:dyDescent="0.2">
      <c r="I384" s="74">
        <v>743</v>
      </c>
      <c r="J384" s="137">
        <v>1.9928839999999999E-4</v>
      </c>
      <c r="L384" s="74">
        <v>743</v>
      </c>
      <c r="M384" s="137"/>
      <c r="N384" s="137">
        <v>1.52632E-5</v>
      </c>
      <c r="O384" s="137">
        <v>2.2580899999999999E-4</v>
      </c>
      <c r="P384" s="138">
        <v>1.1510000000000001E-6</v>
      </c>
      <c r="Q384" s="137">
        <v>1.64666E-7</v>
      </c>
      <c r="S384" s="74">
        <v>743</v>
      </c>
      <c r="T384" s="137">
        <v>6.7131445703924591E-10</v>
      </c>
      <c r="U384" s="137">
        <v>2.5395689000611746E-5</v>
      </c>
      <c r="V384" s="137">
        <v>3.0076479497836728E-4</v>
      </c>
      <c r="W384" s="138">
        <v>1.1125614303744044E-6</v>
      </c>
      <c r="X384" s="137">
        <v>1.6467171175642185E-7</v>
      </c>
      <c r="Z384" s="74">
        <v>743</v>
      </c>
      <c r="AA384" s="137">
        <f t="shared" ca="1" si="75"/>
        <v>0</v>
      </c>
      <c r="AB384" s="137">
        <f t="shared" ca="1" si="76"/>
        <v>1.52632E-5</v>
      </c>
      <c r="AC384" s="137">
        <f t="shared" ca="1" si="77"/>
        <v>2.2580899999999999E-4</v>
      </c>
      <c r="AD384" s="137">
        <f t="shared" ca="1" si="78"/>
        <v>1.1510000000000001E-6</v>
      </c>
      <c r="AE384" s="137">
        <f t="shared" ca="1" si="79"/>
        <v>1.64666E-7</v>
      </c>
      <c r="AG384" s="74">
        <v>743</v>
      </c>
      <c r="AH384" s="136">
        <f t="shared" ca="1" si="80"/>
        <v>0</v>
      </c>
      <c r="AI384" s="136">
        <f t="shared" ca="1" si="81"/>
        <v>2.0542664872139973E-8</v>
      </c>
      <c r="AJ384" s="136">
        <f t="shared" ca="1" si="82"/>
        <v>3.0391520861372812E-7</v>
      </c>
      <c r="AK384" s="136">
        <f t="shared" ca="1" si="83"/>
        <v>1.5491251682368775E-9</v>
      </c>
      <c r="AL384" s="136">
        <f t="shared" ca="1" si="84"/>
        <v>2.2162314939434725E-10</v>
      </c>
      <c r="AN384" s="74">
        <v>743</v>
      </c>
      <c r="AO384" s="136" t="str">
        <f t="shared" ca="1" si="85"/>
        <v/>
      </c>
      <c r="AP384" s="136">
        <f t="shared" ca="1" si="86"/>
        <v>1.110491017993794E-5</v>
      </c>
      <c r="AQ384" s="136">
        <f t="shared" ca="1" si="87"/>
        <v>1.7223240696820734E-4</v>
      </c>
      <c r="AR384" s="136">
        <f t="shared" ca="1" si="88"/>
        <v>7.8310841002145066E-7</v>
      </c>
      <c r="AS384" s="136">
        <f t="shared" ca="1" si="89"/>
        <v>1.0836796589249931E-7</v>
      </c>
    </row>
    <row r="385" spans="9:45" ht="15" hidden="1" customHeight="1" x14ac:dyDescent="0.2">
      <c r="I385" s="74">
        <v>744</v>
      </c>
      <c r="J385" s="137">
        <v>1.8504750000000001E-4</v>
      </c>
      <c r="L385" s="74">
        <v>744</v>
      </c>
      <c r="M385" s="137"/>
      <c r="N385" s="137">
        <v>1.43005E-5</v>
      </c>
      <c r="O385" s="137">
        <v>2.10674E-4</v>
      </c>
      <c r="P385" s="138">
        <v>1.0839999999999999E-6</v>
      </c>
      <c r="Q385" s="137">
        <v>1.55212E-7</v>
      </c>
      <c r="S385" s="74">
        <v>744</v>
      </c>
      <c r="T385" s="137">
        <v>6.377434399481173E-10</v>
      </c>
      <c r="U385" s="137">
        <v>2.379101659906989E-5</v>
      </c>
      <c r="V385" s="137">
        <v>2.8092733545179816E-4</v>
      </c>
      <c r="W385" s="138">
        <v>1.0466898193159457E-6</v>
      </c>
      <c r="X385" s="137">
        <v>1.5523941589809167E-7</v>
      </c>
      <c r="Z385" s="74">
        <v>744</v>
      </c>
      <c r="AA385" s="137">
        <f t="shared" ca="1" si="75"/>
        <v>0</v>
      </c>
      <c r="AB385" s="137">
        <f t="shared" ca="1" si="76"/>
        <v>1.43005E-5</v>
      </c>
      <c r="AC385" s="137">
        <f t="shared" ca="1" si="77"/>
        <v>2.10674E-4</v>
      </c>
      <c r="AD385" s="137">
        <f t="shared" ca="1" si="78"/>
        <v>1.0839999999999999E-6</v>
      </c>
      <c r="AE385" s="137">
        <f t="shared" ca="1" si="79"/>
        <v>1.55212E-7</v>
      </c>
      <c r="AG385" s="74">
        <v>744</v>
      </c>
      <c r="AH385" s="136">
        <f t="shared" ca="1" si="80"/>
        <v>0</v>
      </c>
      <c r="AI385" s="136">
        <f t="shared" ca="1" si="81"/>
        <v>1.9221102150537633E-8</v>
      </c>
      <c r="AJ385" s="136">
        <f t="shared" ca="1" si="82"/>
        <v>2.8316397849462365E-7</v>
      </c>
      <c r="AK385" s="136">
        <f t="shared" ca="1" si="83"/>
        <v>1.4569892473118277E-9</v>
      </c>
      <c r="AL385" s="136">
        <f t="shared" ca="1" si="84"/>
        <v>2.0861827956989246E-10</v>
      </c>
      <c r="AN385" s="74">
        <v>744</v>
      </c>
      <c r="AO385" s="136" t="str">
        <f t="shared" ca="1" si="85"/>
        <v/>
      </c>
      <c r="AP385" s="136">
        <f t="shared" ca="1" si="86"/>
        <v>1.0390502608578894E-5</v>
      </c>
      <c r="AQ385" s="136">
        <f t="shared" ca="1" si="87"/>
        <v>1.6047243507582646E-4</v>
      </c>
      <c r="AR385" s="136">
        <f t="shared" ca="1" si="88"/>
        <v>7.3653217717669129E-7</v>
      </c>
      <c r="AS385" s="136">
        <f t="shared" ca="1" si="89"/>
        <v>1.0200892220313616E-7</v>
      </c>
    </row>
    <row r="386" spans="9:45" ht="15" hidden="1" customHeight="1" x14ac:dyDescent="0.2">
      <c r="I386" s="74">
        <v>745</v>
      </c>
      <c r="J386" s="137">
        <v>1.719E-4</v>
      </c>
      <c r="L386" s="74">
        <v>745</v>
      </c>
      <c r="M386" s="137"/>
      <c r="N386" s="137">
        <v>1.33965E-5</v>
      </c>
      <c r="O386" s="137">
        <v>1.9652800000000001E-4</v>
      </c>
      <c r="P386" s="138">
        <v>1.0219999999999999E-6</v>
      </c>
      <c r="Q386" s="137">
        <v>1.4637000000000001E-7</v>
      </c>
      <c r="S386" s="74">
        <v>745</v>
      </c>
      <c r="T386" s="137">
        <v>6.059363409076106E-10</v>
      </c>
      <c r="U386" s="137">
        <v>2.2291638933423402E-5</v>
      </c>
      <c r="V386" s="137">
        <v>2.6243998242405481E-4</v>
      </c>
      <c r="W386" s="138">
        <v>9.8488154593536785E-7</v>
      </c>
      <c r="X386" s="137">
        <v>1.4637031248321382E-7</v>
      </c>
      <c r="Z386" s="74">
        <v>745</v>
      </c>
      <c r="AA386" s="137">
        <f t="shared" ca="1" si="75"/>
        <v>0</v>
      </c>
      <c r="AB386" s="137">
        <f t="shared" ca="1" si="76"/>
        <v>1.33965E-5</v>
      </c>
      <c r="AC386" s="137">
        <f t="shared" ca="1" si="77"/>
        <v>1.9652800000000001E-4</v>
      </c>
      <c r="AD386" s="137">
        <f t="shared" ca="1" si="78"/>
        <v>1.0219999999999999E-6</v>
      </c>
      <c r="AE386" s="137">
        <f t="shared" ca="1" si="79"/>
        <v>1.4637000000000001E-7</v>
      </c>
      <c r="AG386" s="74">
        <v>745</v>
      </c>
      <c r="AH386" s="136">
        <f t="shared" ca="1" si="80"/>
        <v>0</v>
      </c>
      <c r="AI386" s="136">
        <f t="shared" ca="1" si="81"/>
        <v>1.7981879194630873E-8</v>
      </c>
      <c r="AJ386" s="136">
        <f t="shared" ca="1" si="82"/>
        <v>2.6379597315436241E-7</v>
      </c>
      <c r="AK386" s="136">
        <f t="shared" ca="1" si="83"/>
        <v>1.3718120805369126E-9</v>
      </c>
      <c r="AL386" s="136">
        <f t="shared" ca="1" si="84"/>
        <v>1.9646979865771813E-10</v>
      </c>
      <c r="AN386" s="74">
        <v>745</v>
      </c>
      <c r="AO386" s="136" t="str">
        <f t="shared" ca="1" si="85"/>
        <v/>
      </c>
      <c r="AP386" s="136">
        <f t="shared" ca="1" si="86"/>
        <v>9.7206060930141037E-6</v>
      </c>
      <c r="AQ386" s="136">
        <f t="shared" ca="1" si="87"/>
        <v>1.4949635331558113E-4</v>
      </c>
      <c r="AR386" s="136">
        <f t="shared" ca="1" si="88"/>
        <v>6.9347370971976321E-7</v>
      </c>
      <c r="AS386" s="136">
        <f t="shared" ca="1" si="89"/>
        <v>9.6068630456836453E-8</v>
      </c>
    </row>
    <row r="387" spans="9:45" ht="15" hidden="1" customHeight="1" x14ac:dyDescent="0.2">
      <c r="I387" s="74">
        <v>746</v>
      </c>
      <c r="J387" s="137">
        <v>1.5977809999999999E-4</v>
      </c>
      <c r="L387" s="74">
        <v>746</v>
      </c>
      <c r="M387" s="137"/>
      <c r="N387" s="137">
        <v>1.2544900000000001E-5</v>
      </c>
      <c r="O387" s="137">
        <v>1.8327099999999999E-4</v>
      </c>
      <c r="P387" s="136">
        <v>9.6200000000000006E-7</v>
      </c>
      <c r="Q387" s="137">
        <v>1.3806200000000001E-7</v>
      </c>
      <c r="S387" s="74">
        <v>746</v>
      </c>
      <c r="T387" s="137">
        <v>5.7579647258831815E-10</v>
      </c>
      <c r="U387" s="137">
        <v>2.08903155459073E-5</v>
      </c>
      <c r="V387" s="137">
        <v>2.4520820603127642E-4</v>
      </c>
      <c r="W387" s="136">
        <v>9.268767748683175E-7</v>
      </c>
      <c r="X387" s="137">
        <v>1.380304805584162E-7</v>
      </c>
      <c r="Z387" s="74">
        <v>746</v>
      </c>
      <c r="AA387" s="137">
        <f t="shared" ca="1" si="75"/>
        <v>0</v>
      </c>
      <c r="AB387" s="137">
        <f t="shared" ca="1" si="76"/>
        <v>1.2544900000000001E-5</v>
      </c>
      <c r="AC387" s="137">
        <f t="shared" ca="1" si="77"/>
        <v>1.8327099999999999E-4</v>
      </c>
      <c r="AD387" s="137">
        <f t="shared" ca="1" si="78"/>
        <v>9.6200000000000006E-7</v>
      </c>
      <c r="AE387" s="137">
        <f t="shared" ca="1" si="79"/>
        <v>1.3806200000000001E-7</v>
      </c>
      <c r="AG387" s="74">
        <v>746</v>
      </c>
      <c r="AH387" s="136">
        <f t="shared" ca="1" si="80"/>
        <v>0</v>
      </c>
      <c r="AI387" s="136">
        <f t="shared" ca="1" si="81"/>
        <v>1.6816219839142091E-8</v>
      </c>
      <c r="AJ387" s="136">
        <f t="shared" ca="1" si="82"/>
        <v>2.4567158176943697E-7</v>
      </c>
      <c r="AK387" s="136">
        <f t="shared" ca="1" si="83"/>
        <v>1.2895442359249331E-9</v>
      </c>
      <c r="AL387" s="136">
        <f t="shared" ca="1" si="84"/>
        <v>1.8506970509383378E-10</v>
      </c>
      <c r="AN387" s="74">
        <v>746</v>
      </c>
      <c r="AO387" s="136" t="str">
        <f t="shared" ca="1" si="85"/>
        <v/>
      </c>
      <c r="AP387" s="136">
        <f t="shared" ca="1" si="86"/>
        <v>9.0904764324430115E-6</v>
      </c>
      <c r="AQ387" s="136">
        <f t="shared" ca="1" si="87"/>
        <v>1.3922504255328537E-4</v>
      </c>
      <c r="AR387" s="136">
        <f t="shared" ca="1" si="88"/>
        <v>6.5188595276445965E-7</v>
      </c>
      <c r="AS387" s="136">
        <f t="shared" ca="1" si="89"/>
        <v>9.0494280692931197E-8</v>
      </c>
    </row>
    <row r="388" spans="9:45" ht="15" hidden="1" customHeight="1" x14ac:dyDescent="0.2">
      <c r="I388" s="74">
        <v>747</v>
      </c>
      <c r="J388" s="137">
        <v>1.4860439999999999E-4</v>
      </c>
      <c r="L388" s="74">
        <v>747</v>
      </c>
      <c r="M388" s="137"/>
      <c r="N388" s="137">
        <v>1.17441E-5</v>
      </c>
      <c r="O388" s="137">
        <v>1.7086799999999999E-4</v>
      </c>
      <c r="P388" s="136">
        <v>9.0699999999999996E-7</v>
      </c>
      <c r="Q388" s="137">
        <v>1.30208E-7</v>
      </c>
      <c r="S388" s="74">
        <v>747</v>
      </c>
      <c r="T388" s="137">
        <v>5.472313884893501E-10</v>
      </c>
      <c r="U388" s="137">
        <v>1.9580464942106271E-5</v>
      </c>
      <c r="V388" s="137">
        <v>2.2914479672047578E-4</v>
      </c>
      <c r="W388" s="136">
        <v>8.7243082137036304E-7</v>
      </c>
      <c r="X388" s="137">
        <v>1.3018621481431985E-7</v>
      </c>
      <c r="Z388" s="74">
        <v>747</v>
      </c>
      <c r="AA388" s="137">
        <f t="shared" ca="1" si="75"/>
        <v>0</v>
      </c>
      <c r="AB388" s="137">
        <f t="shared" ca="1" si="76"/>
        <v>1.17441E-5</v>
      </c>
      <c r="AC388" s="137">
        <f t="shared" ca="1" si="77"/>
        <v>1.7086799999999999E-4</v>
      </c>
      <c r="AD388" s="137">
        <f t="shared" ca="1" si="78"/>
        <v>9.0699999999999996E-7</v>
      </c>
      <c r="AE388" s="137">
        <f t="shared" ca="1" si="79"/>
        <v>1.30208E-7</v>
      </c>
      <c r="AG388" s="74">
        <v>747</v>
      </c>
      <c r="AH388" s="136">
        <f t="shared" ca="1" si="80"/>
        <v>0</v>
      </c>
      <c r="AI388" s="136">
        <f t="shared" ca="1" si="81"/>
        <v>1.5721686746987953E-8</v>
      </c>
      <c r="AJ388" s="136">
        <f t="shared" ca="1" si="82"/>
        <v>2.2873895582329317E-7</v>
      </c>
      <c r="AK388" s="136">
        <f t="shared" ca="1" si="83"/>
        <v>1.214190093708166E-9</v>
      </c>
      <c r="AL388" s="136">
        <f t="shared" ca="1" si="84"/>
        <v>1.7430789825970548E-10</v>
      </c>
      <c r="AN388" s="74">
        <v>747</v>
      </c>
      <c r="AO388" s="136" t="str">
        <f t="shared" ca="1" si="85"/>
        <v/>
      </c>
      <c r="AP388" s="136">
        <f t="shared" ca="1" si="86"/>
        <v>8.4987960563577418E-6</v>
      </c>
      <c r="AQ388" s="136">
        <f t="shared" ca="1" si="87"/>
        <v>1.2962911961050398E-4</v>
      </c>
      <c r="AR388" s="136">
        <f t="shared" ca="1" si="88"/>
        <v>6.1379318678928352E-7</v>
      </c>
      <c r="AS388" s="136">
        <f t="shared" ca="1" si="89"/>
        <v>8.5232036567578888E-8</v>
      </c>
    </row>
    <row r="389" spans="9:45" ht="15" hidden="1" customHeight="1" x14ac:dyDescent="0.2">
      <c r="I389" s="74">
        <v>748</v>
      </c>
      <c r="J389" s="137">
        <v>1.383016E-4</v>
      </c>
      <c r="L389" s="74">
        <v>748</v>
      </c>
      <c r="M389" s="137"/>
      <c r="N389" s="137">
        <v>1.0992899999999999E-5</v>
      </c>
      <c r="O389" s="137">
        <v>1.5929E-4</v>
      </c>
      <c r="P389" s="136">
        <v>8.5499999999999997E-7</v>
      </c>
      <c r="Q389" s="137">
        <v>1.2280499999999999E-7</v>
      </c>
      <c r="S389" s="74">
        <v>748</v>
      </c>
      <c r="T389" s="137">
        <v>5.2015526647898145E-10</v>
      </c>
      <c r="U389" s="137">
        <v>1.8355828863787392E-5</v>
      </c>
      <c r="V389" s="137">
        <v>2.1416820659908472E-4</v>
      </c>
      <c r="W389" s="136">
        <v>8.2131735525519275E-7</v>
      </c>
      <c r="X389" s="137">
        <v>1.2280753096516229E-7</v>
      </c>
      <c r="Z389" s="74">
        <v>748</v>
      </c>
      <c r="AA389" s="137">
        <f t="shared" ca="1" si="75"/>
        <v>0</v>
      </c>
      <c r="AB389" s="137">
        <f t="shared" ca="1" si="76"/>
        <v>1.0992899999999999E-5</v>
      </c>
      <c r="AC389" s="137">
        <f t="shared" ca="1" si="77"/>
        <v>1.5929E-4</v>
      </c>
      <c r="AD389" s="137">
        <f t="shared" ca="1" si="78"/>
        <v>8.5499999999999997E-7</v>
      </c>
      <c r="AE389" s="137">
        <f t="shared" ca="1" si="79"/>
        <v>1.2280499999999999E-7</v>
      </c>
      <c r="AG389" s="74">
        <v>748</v>
      </c>
      <c r="AH389" s="136">
        <f t="shared" ca="1" si="80"/>
        <v>0</v>
      </c>
      <c r="AI389" s="136">
        <f t="shared" ca="1" si="81"/>
        <v>1.469639037433155E-8</v>
      </c>
      <c r="AJ389" s="136">
        <f t="shared" ca="1" si="82"/>
        <v>2.1295454545454547E-7</v>
      </c>
      <c r="AK389" s="136">
        <f t="shared" ca="1" si="83"/>
        <v>1.1430481283422459E-9</v>
      </c>
      <c r="AL389" s="136">
        <f t="shared" ca="1" si="84"/>
        <v>1.64177807486631E-10</v>
      </c>
      <c r="AN389" s="74">
        <v>748</v>
      </c>
      <c r="AO389" s="136" t="str">
        <f t="shared" ca="1" si="85"/>
        <v/>
      </c>
      <c r="AP389" s="136">
        <f t="shared" ca="1" si="86"/>
        <v>7.9445435191610209E-6</v>
      </c>
      <c r="AQ389" s="136">
        <f t="shared" ca="1" si="87"/>
        <v>1.2068390425657731E-4</v>
      </c>
      <c r="AR389" s="136">
        <f t="shared" ca="1" si="88"/>
        <v>5.7782974592225869E-7</v>
      </c>
      <c r="AS389" s="136">
        <f t="shared" ca="1" si="89"/>
        <v>8.0278685194383139E-8</v>
      </c>
    </row>
    <row r="390" spans="9:45" ht="15" hidden="1" customHeight="1" x14ac:dyDescent="0.2">
      <c r="I390" s="74">
        <v>749</v>
      </c>
      <c r="J390" s="137">
        <v>1.287925E-4</v>
      </c>
      <c r="L390" s="74">
        <v>749</v>
      </c>
      <c r="M390" s="137"/>
      <c r="N390" s="137">
        <v>1.029E-5</v>
      </c>
      <c r="O390" s="137">
        <v>1.4850599999999999E-4</v>
      </c>
      <c r="P390" s="136">
        <v>8.0599999999999999E-7</v>
      </c>
      <c r="Q390" s="137">
        <v>1.1584800000000001E-7</v>
      </c>
      <c r="S390" s="74">
        <v>749</v>
      </c>
      <c r="T390" s="137">
        <v>4.9448599970032651E-10</v>
      </c>
      <c r="U390" s="137">
        <v>1.7210758077588458E-5</v>
      </c>
      <c r="V390" s="137">
        <v>2.0020227118314264E-4</v>
      </c>
      <c r="W390" s="136">
        <v>7.7332491052502661E-7</v>
      </c>
      <c r="X390" s="137">
        <v>1.1586519583176972E-7</v>
      </c>
      <c r="Z390" s="74">
        <v>749</v>
      </c>
      <c r="AA390" s="137">
        <f t="shared" ca="1" si="75"/>
        <v>0</v>
      </c>
      <c r="AB390" s="137">
        <f t="shared" ca="1" si="76"/>
        <v>1.029E-5</v>
      </c>
      <c r="AC390" s="137">
        <f t="shared" ca="1" si="77"/>
        <v>1.4850599999999999E-4</v>
      </c>
      <c r="AD390" s="137">
        <f t="shared" ca="1" si="78"/>
        <v>8.0599999999999999E-7</v>
      </c>
      <c r="AE390" s="137">
        <f t="shared" ca="1" si="79"/>
        <v>1.1584800000000001E-7</v>
      </c>
      <c r="AG390" s="74">
        <v>749</v>
      </c>
      <c r="AH390" s="136">
        <f t="shared" ca="1" si="80"/>
        <v>0</v>
      </c>
      <c r="AI390" s="136">
        <f t="shared" ca="1" si="81"/>
        <v>1.3738317757009345E-8</v>
      </c>
      <c r="AJ390" s="136">
        <f t="shared" ca="1" si="82"/>
        <v>1.982723631508678E-7</v>
      </c>
      <c r="AK390" s="136">
        <f t="shared" ca="1" si="83"/>
        <v>1.0761014686248331E-9</v>
      </c>
      <c r="AL390" s="136">
        <f t="shared" ca="1" si="84"/>
        <v>1.546702269692924E-10</v>
      </c>
      <c r="AN390" s="74">
        <v>749</v>
      </c>
      <c r="AO390" s="136" t="str">
        <f t="shared" ca="1" si="85"/>
        <v/>
      </c>
      <c r="AP390" s="136">
        <f t="shared" ca="1" si="86"/>
        <v>7.426630656957334E-6</v>
      </c>
      <c r="AQ390" s="136">
        <f t="shared" ca="1" si="87"/>
        <v>1.1236333481471557E-4</v>
      </c>
      <c r="AR390" s="136">
        <f t="shared" ca="1" si="88"/>
        <v>5.4398710149139008E-7</v>
      </c>
      <c r="AS390" s="136">
        <f t="shared" ca="1" si="89"/>
        <v>7.5629725173560417E-8</v>
      </c>
    </row>
    <row r="391" spans="9:45" ht="15" hidden="1" customHeight="1" x14ac:dyDescent="0.2">
      <c r="I391" s="74">
        <v>750</v>
      </c>
      <c r="J391" s="137">
        <v>1.2E-4</v>
      </c>
      <c r="L391" s="74">
        <v>750</v>
      </c>
      <c r="M391" s="137"/>
      <c r="N391" s="137">
        <v>9.6339699999999992E-6</v>
      </c>
      <c r="O391" s="137">
        <v>1.3848199999999999E-4</v>
      </c>
      <c r="P391" s="136">
        <v>7.6000000000000003E-7</v>
      </c>
      <c r="Q391" s="137">
        <v>1.09332E-7</v>
      </c>
      <c r="S391" s="74">
        <v>750</v>
      </c>
      <c r="T391" s="137">
        <v>4.7014844063438668E-10</v>
      </c>
      <c r="U391" s="137">
        <v>1.6139868798242549E-5</v>
      </c>
      <c r="V391" s="137">
        <v>1.8717765411901599E-4</v>
      </c>
      <c r="W391" s="136">
        <v>7.2825420339155429E-7</v>
      </c>
      <c r="X391" s="137">
        <v>1.0933242981082628E-7</v>
      </c>
      <c r="Z391" s="74">
        <v>750</v>
      </c>
      <c r="AA391" s="137">
        <f t="shared" ca="1" si="75"/>
        <v>0</v>
      </c>
      <c r="AB391" s="137">
        <f t="shared" ca="1" si="76"/>
        <v>9.6339699999999992E-6</v>
      </c>
      <c r="AC391" s="137">
        <f t="shared" ca="1" si="77"/>
        <v>1.3848199999999999E-4</v>
      </c>
      <c r="AD391" s="137">
        <f t="shared" ca="1" si="78"/>
        <v>7.6000000000000003E-7</v>
      </c>
      <c r="AE391" s="137">
        <f t="shared" ca="1" si="79"/>
        <v>1.09332E-7</v>
      </c>
      <c r="AG391" s="74">
        <v>750</v>
      </c>
      <c r="AH391" s="136">
        <f t="shared" ca="1" si="80"/>
        <v>0</v>
      </c>
      <c r="AI391" s="136">
        <f t="shared" ca="1" si="81"/>
        <v>1.2845293333333332E-8</v>
      </c>
      <c r="AJ391" s="136">
        <f t="shared" ca="1" si="82"/>
        <v>1.8464266666666665E-7</v>
      </c>
      <c r="AK391" s="136">
        <f t="shared" ca="1" si="83"/>
        <v>1.0133333333333333E-9</v>
      </c>
      <c r="AL391" s="136">
        <f t="shared" ca="1" si="84"/>
        <v>1.45776E-10</v>
      </c>
      <c r="AN391" s="74">
        <v>750</v>
      </c>
      <c r="AO391" s="136" t="str">
        <f t="shared" ca="1" si="85"/>
        <v/>
      </c>
      <c r="AP391" s="136">
        <f t="shared" ca="1" si="86"/>
        <v>6.9438814092264622E-6</v>
      </c>
      <c r="AQ391" s="136">
        <f t="shared" ca="1" si="87"/>
        <v>1.046392217555903E-4</v>
      </c>
      <c r="AR391" s="136">
        <f t="shared" ca="1" si="88"/>
        <v>5.1225677031093282E-7</v>
      </c>
      <c r="AS391" s="136">
        <f t="shared" ca="1" si="89"/>
        <v>7.1280679112792682E-8</v>
      </c>
    </row>
    <row r="392" spans="9:45" ht="15" hidden="1" customHeight="1" x14ac:dyDescent="0.2">
      <c r="I392" s="74">
        <v>751</v>
      </c>
      <c r="J392" s="137">
        <v>1.118595E-4</v>
      </c>
      <c r="L392" s="74">
        <v>751</v>
      </c>
      <c r="M392" s="137"/>
      <c r="N392" s="137">
        <v>9.0226299999999994E-6</v>
      </c>
      <c r="O392" s="137">
        <v>1.2917899999999999E-4</v>
      </c>
      <c r="P392" s="136">
        <v>7.1600000000000001E-7</v>
      </c>
      <c r="Q392" s="137">
        <v>1.03202E-7</v>
      </c>
      <c r="S392" s="74">
        <v>751</v>
      </c>
      <c r="T392" s="137">
        <v>4.4703960428385436E-10</v>
      </c>
      <c r="U392" s="137">
        <v>1.5137146007614135E-5</v>
      </c>
      <c r="V392" s="137">
        <v>1.7501650220779966E-4</v>
      </c>
      <c r="W392" s="136">
        <v>6.8587504231832182E-7</v>
      </c>
      <c r="X392" s="137">
        <v>1.0317702469176876E-7</v>
      </c>
      <c r="Z392" s="74">
        <v>751</v>
      </c>
      <c r="AA392" s="137">
        <f t="shared" ca="1" si="75"/>
        <v>0</v>
      </c>
      <c r="AB392" s="137">
        <f t="shared" ca="1" si="76"/>
        <v>9.0226299999999994E-6</v>
      </c>
      <c r="AC392" s="137">
        <f t="shared" ca="1" si="77"/>
        <v>1.2917899999999999E-4</v>
      </c>
      <c r="AD392" s="137">
        <f t="shared" ca="1" si="78"/>
        <v>7.1600000000000001E-7</v>
      </c>
      <c r="AE392" s="137">
        <f t="shared" ca="1" si="79"/>
        <v>1.03202E-7</v>
      </c>
      <c r="AG392" s="74">
        <v>751</v>
      </c>
      <c r="AH392" s="136">
        <f t="shared" ca="1" si="80"/>
        <v>0</v>
      </c>
      <c r="AI392" s="136">
        <f t="shared" ca="1" si="81"/>
        <v>1.2014154460719041E-8</v>
      </c>
      <c r="AJ392" s="136">
        <f t="shared" ca="1" si="82"/>
        <v>1.7200932090545939E-7</v>
      </c>
      <c r="AK392" s="136">
        <f t="shared" ca="1" si="83"/>
        <v>9.5339547270306258E-10</v>
      </c>
      <c r="AL392" s="136">
        <f t="shared" ca="1" si="84"/>
        <v>1.3741944074567245E-10</v>
      </c>
      <c r="AN392" s="74">
        <v>751</v>
      </c>
      <c r="AO392" s="136" t="str">
        <f t="shared" ca="1" si="85"/>
        <v/>
      </c>
      <c r="AP392" s="136">
        <f t="shared" ca="1" si="86"/>
        <v>6.4945861213520078E-6</v>
      </c>
      <c r="AQ392" s="136">
        <f t="shared" ca="1" si="87"/>
        <v>9.7479752644323065E-5</v>
      </c>
      <c r="AR392" s="136">
        <f t="shared" ca="1" si="88"/>
        <v>4.8195718981177883E-7</v>
      </c>
      <c r="AS392" s="136">
        <f t="shared" ca="1" si="89"/>
        <v>6.7194538604788888E-8</v>
      </c>
    </row>
    <row r="393" spans="9:45" ht="15" hidden="1" customHeight="1" x14ac:dyDescent="0.2">
      <c r="I393" s="74">
        <v>752</v>
      </c>
      <c r="J393" s="137">
        <v>1.043224E-4</v>
      </c>
      <c r="L393" s="74">
        <v>752</v>
      </c>
      <c r="M393" s="137"/>
      <c r="N393" s="137">
        <v>8.4530099999999992E-6</v>
      </c>
      <c r="O393" s="137">
        <v>1.20542E-4</v>
      </c>
      <c r="P393" s="136">
        <v>6.75E-7</v>
      </c>
      <c r="Q393" s="137">
        <v>9.7400499999999999E-8</v>
      </c>
      <c r="S393" s="74">
        <v>752</v>
      </c>
      <c r="T393" s="137">
        <v>4.2512534756281658E-10</v>
      </c>
      <c r="U393" s="137">
        <v>1.4199105956829013E-5</v>
      </c>
      <c r="V393" s="137">
        <v>1.6367147640392596E-4</v>
      </c>
      <c r="W393" s="136">
        <v>6.4606468141448005E-7</v>
      </c>
      <c r="X393" s="137">
        <v>9.7383414970782554E-8</v>
      </c>
      <c r="Z393" s="74">
        <v>752</v>
      </c>
      <c r="AA393" s="137">
        <f t="shared" ca="1" si="75"/>
        <v>0</v>
      </c>
      <c r="AB393" s="137">
        <f t="shared" ca="1" si="76"/>
        <v>8.4530099999999992E-6</v>
      </c>
      <c r="AC393" s="137">
        <f t="shared" ca="1" si="77"/>
        <v>1.20542E-4</v>
      </c>
      <c r="AD393" s="137">
        <f t="shared" ca="1" si="78"/>
        <v>6.75E-7</v>
      </c>
      <c r="AE393" s="137">
        <f t="shared" ca="1" si="79"/>
        <v>9.7400499999999999E-8</v>
      </c>
      <c r="AG393" s="74">
        <v>752</v>
      </c>
      <c r="AH393" s="136">
        <f t="shared" ca="1" si="80"/>
        <v>0</v>
      </c>
      <c r="AI393" s="136">
        <f t="shared" ca="1" si="81"/>
        <v>1.1240704787234042E-8</v>
      </c>
      <c r="AJ393" s="136">
        <f t="shared" ca="1" si="82"/>
        <v>1.6029521276595744E-7</v>
      </c>
      <c r="AK393" s="136">
        <f t="shared" ca="1" si="83"/>
        <v>8.9760638297872337E-10</v>
      </c>
      <c r="AL393" s="136">
        <f t="shared" ca="1" si="84"/>
        <v>1.2952194148936169E-10</v>
      </c>
      <c r="AN393" s="74">
        <v>752</v>
      </c>
      <c r="AO393" s="136" t="str">
        <f t="shared" ca="1" si="85"/>
        <v/>
      </c>
      <c r="AP393" s="136">
        <f t="shared" ca="1" si="86"/>
        <v>6.0764763383120382E-6</v>
      </c>
      <c r="AQ393" s="136">
        <f t="shared" ca="1" si="87"/>
        <v>9.0841226558198275E-5</v>
      </c>
      <c r="AR393" s="136">
        <f t="shared" ca="1" si="88"/>
        <v>4.537548816662754E-7</v>
      </c>
      <c r="AS393" s="136">
        <f t="shared" ca="1" si="89"/>
        <v>6.3332866516910186E-8</v>
      </c>
    </row>
    <row r="394" spans="9:45" ht="15" hidden="1" customHeight="1" x14ac:dyDescent="0.2">
      <c r="I394" s="74">
        <v>753</v>
      </c>
      <c r="J394" s="137">
        <v>9.7335600000000004E-5</v>
      </c>
      <c r="L394" s="74">
        <v>753</v>
      </c>
      <c r="M394" s="137"/>
      <c r="N394" s="137">
        <v>7.9220699999999995E-6</v>
      </c>
      <c r="O394" s="137">
        <v>1.12519E-4</v>
      </c>
      <c r="P394" s="136">
        <v>6.37E-7</v>
      </c>
      <c r="Q394" s="137">
        <v>9.1927399999999995E-8</v>
      </c>
      <c r="S394" s="74">
        <v>753</v>
      </c>
      <c r="T394" s="137">
        <v>4.0433841096737508E-10</v>
      </c>
      <c r="U394" s="137">
        <v>1.3321434691866217E-5</v>
      </c>
      <c r="V394" s="137">
        <v>1.5308724237751603E-4</v>
      </c>
      <c r="W394" s="136">
        <v>6.0866313701200923E-7</v>
      </c>
      <c r="X394" s="137">
        <v>9.19293099120146E-8</v>
      </c>
      <c r="Z394" s="74">
        <v>753</v>
      </c>
      <c r="AA394" s="137">
        <f t="shared" ca="1" si="75"/>
        <v>0</v>
      </c>
      <c r="AB394" s="137">
        <f t="shared" ca="1" si="76"/>
        <v>7.9220699999999995E-6</v>
      </c>
      <c r="AC394" s="137">
        <f t="shared" ca="1" si="77"/>
        <v>1.12519E-4</v>
      </c>
      <c r="AD394" s="137">
        <f t="shared" ca="1" si="78"/>
        <v>6.37E-7</v>
      </c>
      <c r="AE394" s="137">
        <f t="shared" ca="1" si="79"/>
        <v>9.1927399999999995E-8</v>
      </c>
      <c r="AG394" s="74">
        <v>753</v>
      </c>
      <c r="AH394" s="136">
        <f t="shared" ca="1" si="80"/>
        <v>0</v>
      </c>
      <c r="AI394" s="136">
        <f t="shared" ca="1" si="81"/>
        <v>1.0520677290836652E-8</v>
      </c>
      <c r="AJ394" s="136">
        <f t="shared" ca="1" si="82"/>
        <v>1.4942762284196548E-7</v>
      </c>
      <c r="AK394" s="136">
        <f t="shared" ca="1" si="83"/>
        <v>8.4594953519256305E-10</v>
      </c>
      <c r="AL394" s="136">
        <f t="shared" ca="1" si="84"/>
        <v>1.2208154050464807E-10</v>
      </c>
      <c r="AN394" s="74">
        <v>753</v>
      </c>
      <c r="AO394" s="136" t="str">
        <f t="shared" ca="1" si="85"/>
        <v/>
      </c>
      <c r="AP394" s="136">
        <f t="shared" ca="1" si="86"/>
        <v>5.6872454023869438E-6</v>
      </c>
      <c r="AQ394" s="136">
        <f t="shared" ca="1" si="87"/>
        <v>8.4682432534396917E-5</v>
      </c>
      <c r="AR394" s="136">
        <f t="shared" ca="1" si="88"/>
        <v>4.2764149020767479E-7</v>
      </c>
      <c r="AS394" s="136">
        <f t="shared" ca="1" si="89"/>
        <v>5.9694703615871066E-8</v>
      </c>
    </row>
    <row r="395" spans="9:45" ht="15" hidden="1" customHeight="1" x14ac:dyDescent="0.2">
      <c r="I395" s="74">
        <v>754</v>
      </c>
      <c r="J395" s="137">
        <v>9.0845869999999995E-5</v>
      </c>
      <c r="L395" s="74">
        <v>754</v>
      </c>
      <c r="M395" s="137"/>
      <c r="N395" s="137">
        <v>7.4270000000000002E-6</v>
      </c>
      <c r="O395" s="137">
        <v>1.05061E-4</v>
      </c>
      <c r="P395" s="136">
        <v>6.0100000000000005E-7</v>
      </c>
      <c r="Q395" s="137">
        <v>8.6780699999999998E-8</v>
      </c>
      <c r="S395" s="74">
        <v>754</v>
      </c>
      <c r="T395" s="137">
        <v>3.8462100648069185E-10</v>
      </c>
      <c r="U395" s="137">
        <v>1.2500114755379421E-5</v>
      </c>
      <c r="V395" s="137">
        <v>1.4321021607428423E-4</v>
      </c>
      <c r="W395" s="136">
        <v>5.7351925073326906E-7</v>
      </c>
      <c r="X395" s="137">
        <v>8.6794259050097158E-8</v>
      </c>
      <c r="Z395" s="74">
        <v>754</v>
      </c>
      <c r="AA395" s="137">
        <f t="shared" ca="1" si="75"/>
        <v>0</v>
      </c>
      <c r="AB395" s="137">
        <f t="shared" ca="1" si="76"/>
        <v>7.4270000000000002E-6</v>
      </c>
      <c r="AC395" s="137">
        <f t="shared" ca="1" si="77"/>
        <v>1.05061E-4</v>
      </c>
      <c r="AD395" s="137">
        <f t="shared" ca="1" si="78"/>
        <v>6.0100000000000005E-7</v>
      </c>
      <c r="AE395" s="137">
        <f t="shared" ca="1" si="79"/>
        <v>8.6780699999999998E-8</v>
      </c>
      <c r="AG395" s="74">
        <v>754</v>
      </c>
      <c r="AH395" s="136">
        <f t="shared" ca="1" si="80"/>
        <v>0</v>
      </c>
      <c r="AI395" s="136">
        <f t="shared" ca="1" si="81"/>
        <v>9.8501326259946948E-9</v>
      </c>
      <c r="AJ395" s="136">
        <f t="shared" ca="1" si="82"/>
        <v>1.3933819628647215E-7</v>
      </c>
      <c r="AK395" s="136">
        <f t="shared" ca="1" si="83"/>
        <v>7.9708222811671097E-10</v>
      </c>
      <c r="AL395" s="136">
        <f t="shared" ca="1" si="84"/>
        <v>1.1509376657824933E-10</v>
      </c>
      <c r="AN395" s="74">
        <v>754</v>
      </c>
      <c r="AO395" s="136" t="str">
        <f t="shared" ca="1" si="85"/>
        <v/>
      </c>
      <c r="AP395" s="136">
        <f t="shared" ca="1" si="86"/>
        <v>5.3247637905292113E-6</v>
      </c>
      <c r="AQ395" s="136">
        <f t="shared" ca="1" si="87"/>
        <v>7.8964633058325974E-5</v>
      </c>
      <c r="AR395" s="136">
        <f t="shared" ca="1" si="88"/>
        <v>4.029382577440545E-7</v>
      </c>
      <c r="AS395" s="136">
        <f t="shared" ca="1" si="89"/>
        <v>5.6277863594465843E-8</v>
      </c>
    </row>
    <row r="396" spans="9:45" ht="15" hidden="1" customHeight="1" x14ac:dyDescent="0.2">
      <c r="I396" s="74">
        <v>755</v>
      </c>
      <c r="J396" s="137">
        <v>8.4800000000000001E-5</v>
      </c>
      <c r="L396" s="74">
        <v>755</v>
      </c>
      <c r="M396" s="137"/>
      <c r="N396" s="137">
        <v>6.9652200000000004E-6</v>
      </c>
      <c r="O396" s="137">
        <v>9.8122599999999995E-5</v>
      </c>
      <c r="P396" s="136">
        <v>5.6700000000000003E-7</v>
      </c>
      <c r="Q396" s="137">
        <v>8.1958699999999997E-8</v>
      </c>
      <c r="S396" s="74">
        <v>755</v>
      </c>
      <c r="T396" s="137">
        <v>3.6591313549096663E-10</v>
      </c>
      <c r="U396" s="137">
        <v>1.173137722909241E-5</v>
      </c>
      <c r="V396" s="137">
        <v>1.3399234877219755E-4</v>
      </c>
      <c r="W396" s="136">
        <v>5.4049041920015518E-7</v>
      </c>
      <c r="X396" s="137">
        <v>8.1958688458481404E-8</v>
      </c>
      <c r="Z396" s="74">
        <v>755</v>
      </c>
      <c r="AA396" s="137">
        <f t="shared" ca="1" si="75"/>
        <v>0</v>
      </c>
      <c r="AB396" s="137">
        <f t="shared" ca="1" si="76"/>
        <v>6.9652200000000004E-6</v>
      </c>
      <c r="AC396" s="137">
        <f t="shared" ca="1" si="77"/>
        <v>9.8122599999999995E-5</v>
      </c>
      <c r="AD396" s="137">
        <f t="shared" ca="1" si="78"/>
        <v>5.6700000000000003E-7</v>
      </c>
      <c r="AE396" s="137">
        <f t="shared" ca="1" si="79"/>
        <v>8.1958699999999997E-8</v>
      </c>
      <c r="AG396" s="74">
        <v>755</v>
      </c>
      <c r="AH396" s="136">
        <f t="shared" ca="1" si="80"/>
        <v>0</v>
      </c>
      <c r="AI396" s="136">
        <f t="shared" ca="1" si="81"/>
        <v>9.2254569536423847E-9</v>
      </c>
      <c r="AJ396" s="136">
        <f t="shared" ca="1" si="82"/>
        <v>1.2996370860927152E-7</v>
      </c>
      <c r="AK396" s="136">
        <f t="shared" ca="1" si="83"/>
        <v>7.5099337748344378E-10</v>
      </c>
      <c r="AL396" s="136">
        <f t="shared" ca="1" si="84"/>
        <v>1.0855456953642383E-10</v>
      </c>
      <c r="AN396" s="74">
        <v>755</v>
      </c>
      <c r="AO396" s="136" t="str">
        <f t="shared" ca="1" si="85"/>
        <v/>
      </c>
      <c r="AP396" s="136">
        <f t="shared" ca="1" si="86"/>
        <v>4.9870779412861231E-6</v>
      </c>
      <c r="AQ396" s="136">
        <f t="shared" ca="1" si="87"/>
        <v>7.3651998050348519E-5</v>
      </c>
      <c r="AR396" s="136">
        <f t="shared" ca="1" si="88"/>
        <v>3.796395809946396E-7</v>
      </c>
      <c r="AS396" s="136">
        <f t="shared" ca="1" si="89"/>
        <v>5.3080366022892429E-8</v>
      </c>
    </row>
    <row r="397" spans="9:45" ht="15" hidden="1" customHeight="1" x14ac:dyDescent="0.2">
      <c r="I397" s="74">
        <v>756</v>
      </c>
      <c r="J397" s="137">
        <v>7.9146669999999997E-5</v>
      </c>
      <c r="L397" s="74">
        <v>756</v>
      </c>
      <c r="M397" s="137"/>
      <c r="N397" s="137">
        <v>6.5342199999999998E-6</v>
      </c>
      <c r="O397" s="137">
        <v>9.1664100000000002E-5</v>
      </c>
      <c r="P397" s="136">
        <v>5.3499999999999996E-7</v>
      </c>
      <c r="Q397" s="137">
        <v>7.7420199999999999E-8</v>
      </c>
      <c r="S397" s="74">
        <v>756</v>
      </c>
      <c r="T397" s="137">
        <v>3.4816250627814605E-10</v>
      </c>
      <c r="U397" s="137">
        <v>1.101179201321314E-5</v>
      </c>
      <c r="V397" s="137">
        <v>1.2538829586968957E-4</v>
      </c>
      <c r="W397" s="136">
        <v>5.0944464319636478E-7</v>
      </c>
      <c r="X397" s="137">
        <v>7.7404284407742345E-8</v>
      </c>
      <c r="Z397" s="74">
        <v>756</v>
      </c>
      <c r="AA397" s="137">
        <f t="shared" ca="1" si="75"/>
        <v>0</v>
      </c>
      <c r="AB397" s="137">
        <f t="shared" ca="1" si="76"/>
        <v>6.5342199999999998E-6</v>
      </c>
      <c r="AC397" s="137">
        <f t="shared" ca="1" si="77"/>
        <v>9.1664100000000002E-5</v>
      </c>
      <c r="AD397" s="137">
        <f t="shared" ca="1" si="78"/>
        <v>5.3499999999999996E-7</v>
      </c>
      <c r="AE397" s="137">
        <f t="shared" ca="1" si="79"/>
        <v>7.7420199999999999E-8</v>
      </c>
      <c r="AG397" s="74">
        <v>756</v>
      </c>
      <c r="AH397" s="136">
        <f t="shared" ca="1" si="80"/>
        <v>0</v>
      </c>
      <c r="AI397" s="136">
        <f t="shared" ca="1" si="81"/>
        <v>8.6431481481481479E-9</v>
      </c>
      <c r="AJ397" s="136">
        <f t="shared" ca="1" si="82"/>
        <v>1.2124880952380951E-7</v>
      </c>
      <c r="AK397" s="136">
        <f t="shared" ca="1" si="83"/>
        <v>7.0767195767195759E-10</v>
      </c>
      <c r="AL397" s="136">
        <f t="shared" ca="1" si="84"/>
        <v>1.0240767195767195E-10</v>
      </c>
      <c r="AN397" s="74">
        <v>756</v>
      </c>
      <c r="AO397" s="136" t="str">
        <f t="shared" ca="1" si="85"/>
        <v/>
      </c>
      <c r="AP397" s="136">
        <f t="shared" ca="1" si="86"/>
        <v>4.672294683016144E-6</v>
      </c>
      <c r="AQ397" s="136">
        <f t="shared" ca="1" si="87"/>
        <v>6.8713159836819416E-5</v>
      </c>
      <c r="AR397" s="136">
        <f t="shared" ca="1" si="88"/>
        <v>3.5773988632564355E-7</v>
      </c>
      <c r="AS397" s="136">
        <f t="shared" ca="1" si="89"/>
        <v>5.0074692703208703E-8</v>
      </c>
    </row>
    <row r="398" spans="9:45" ht="15" hidden="1" customHeight="1" x14ac:dyDescent="0.2">
      <c r="I398" s="74">
        <v>757</v>
      </c>
      <c r="J398" s="137">
        <v>7.3857999999999997E-5</v>
      </c>
      <c r="L398" s="74">
        <v>757</v>
      </c>
      <c r="M398" s="137"/>
      <c r="N398" s="137">
        <v>6.1312900000000002E-6</v>
      </c>
      <c r="O398" s="137">
        <v>8.5645500000000005E-5</v>
      </c>
      <c r="P398" s="136">
        <v>5.0500000000000004E-7</v>
      </c>
      <c r="Q398" s="137">
        <v>7.3124300000000003E-8</v>
      </c>
      <c r="S398" s="74">
        <v>757</v>
      </c>
      <c r="T398" s="137">
        <v>3.3131721340431214E-10</v>
      </c>
      <c r="U398" s="137">
        <v>1.0338035043737826E-5</v>
      </c>
      <c r="V398" s="137">
        <v>1.1735537890856707E-4</v>
      </c>
      <c r="W398" s="136">
        <v>4.8025732771157828E-7</v>
      </c>
      <c r="X398" s="137">
        <v>7.3114245051107974E-8</v>
      </c>
      <c r="Z398" s="74">
        <v>757</v>
      </c>
      <c r="AA398" s="137">
        <f t="shared" ca="1" si="75"/>
        <v>0</v>
      </c>
      <c r="AB398" s="137">
        <f t="shared" ca="1" si="76"/>
        <v>6.1312900000000002E-6</v>
      </c>
      <c r="AC398" s="137">
        <f t="shared" ca="1" si="77"/>
        <v>8.5645500000000005E-5</v>
      </c>
      <c r="AD398" s="137">
        <f t="shared" ca="1" si="78"/>
        <v>5.0500000000000004E-7</v>
      </c>
      <c r="AE398" s="137">
        <f t="shared" ca="1" si="79"/>
        <v>7.3124300000000003E-8</v>
      </c>
      <c r="AG398" s="74">
        <v>757</v>
      </c>
      <c r="AH398" s="136">
        <f t="shared" ca="1" si="80"/>
        <v>0</v>
      </c>
      <c r="AI398" s="136">
        <f t="shared" ca="1" si="81"/>
        <v>8.0994583883751651E-9</v>
      </c>
      <c r="AJ398" s="136">
        <f t="shared" ca="1" si="82"/>
        <v>1.1313804491413474E-7</v>
      </c>
      <c r="AK398" s="136">
        <f t="shared" ca="1" si="83"/>
        <v>6.6710700132100398E-10</v>
      </c>
      <c r="AL398" s="136">
        <f t="shared" ca="1" si="84"/>
        <v>9.6597490092470281E-11</v>
      </c>
      <c r="AN398" s="74">
        <v>757</v>
      </c>
      <c r="AO398" s="136" t="str">
        <f t="shared" ca="1" si="85"/>
        <v/>
      </c>
      <c r="AP398" s="136">
        <f t="shared" ca="1" si="86"/>
        <v>4.3783880265229419E-6</v>
      </c>
      <c r="AQ398" s="136">
        <f t="shared" ca="1" si="87"/>
        <v>6.4116691902724263E-5</v>
      </c>
      <c r="AR398" s="136">
        <f t="shared" ca="1" si="88"/>
        <v>3.3723362955444934E-7</v>
      </c>
      <c r="AS398" s="136">
        <f t="shared" ca="1" si="89"/>
        <v>4.723366462505861E-8</v>
      </c>
    </row>
    <row r="399" spans="9:45" ht="15" hidden="1" customHeight="1" x14ac:dyDescent="0.2">
      <c r="I399" s="74">
        <v>758</v>
      </c>
      <c r="J399" s="137">
        <v>6.8916000000000002E-5</v>
      </c>
      <c r="L399" s="74">
        <v>758</v>
      </c>
      <c r="M399" s="137"/>
      <c r="N399" s="137">
        <v>5.7539099999999999E-6</v>
      </c>
      <c r="O399" s="137">
        <v>8.0030200000000005E-5</v>
      </c>
      <c r="P399" s="136">
        <v>4.7700000000000005E-7</v>
      </c>
      <c r="Q399" s="137">
        <v>6.9069299999999998E-8</v>
      </c>
      <c r="S399" s="74">
        <v>758</v>
      </c>
      <c r="T399" s="137">
        <v>3.1532906277971086E-10</v>
      </c>
      <c r="U399" s="137">
        <v>9.7071334459437521E-6</v>
      </c>
      <c r="V399" s="137">
        <v>1.0985529635193431E-4</v>
      </c>
      <c r="W399" s="136">
        <v>4.5281416076975124E-7</v>
      </c>
      <c r="X399" s="137">
        <v>6.9072472154064986E-8</v>
      </c>
      <c r="Z399" s="74">
        <v>758</v>
      </c>
      <c r="AA399" s="137">
        <f t="shared" ca="1" si="75"/>
        <v>0</v>
      </c>
      <c r="AB399" s="137">
        <f t="shared" ca="1" si="76"/>
        <v>5.7539099999999999E-6</v>
      </c>
      <c r="AC399" s="137">
        <f t="shared" ca="1" si="77"/>
        <v>8.0030200000000005E-5</v>
      </c>
      <c r="AD399" s="137">
        <f t="shared" ca="1" si="78"/>
        <v>4.7700000000000005E-7</v>
      </c>
      <c r="AE399" s="137">
        <f t="shared" ca="1" si="79"/>
        <v>6.9069299999999998E-8</v>
      </c>
      <c r="AG399" s="74">
        <v>758</v>
      </c>
      <c r="AH399" s="136">
        <f t="shared" ca="1" si="80"/>
        <v>0</v>
      </c>
      <c r="AI399" s="136">
        <f t="shared" ca="1" si="81"/>
        <v>7.5909102902374666E-9</v>
      </c>
      <c r="AJ399" s="136">
        <f t="shared" ca="1" si="82"/>
        <v>1.0558073878627969E-7</v>
      </c>
      <c r="AK399" s="136">
        <f t="shared" ca="1" si="83"/>
        <v>6.2928759894459112E-10</v>
      </c>
      <c r="AL399" s="136">
        <f t="shared" ca="1" si="84"/>
        <v>9.1120448548812666E-11</v>
      </c>
      <c r="AN399" s="74">
        <v>758</v>
      </c>
      <c r="AO399" s="136" t="str">
        <f t="shared" ca="1" si="85"/>
        <v/>
      </c>
      <c r="AP399" s="136">
        <f t="shared" ca="1" si="86"/>
        <v>4.1034781748971972E-6</v>
      </c>
      <c r="AQ399" s="136">
        <f t="shared" ca="1" si="87"/>
        <v>5.9833875552291504E-5</v>
      </c>
      <c r="AR399" s="136">
        <f t="shared" ca="1" si="88"/>
        <v>3.1811529575533996E-7</v>
      </c>
      <c r="AS399" s="136">
        <f t="shared" ca="1" si="89"/>
        <v>4.4555533514581626E-8</v>
      </c>
    </row>
    <row r="400" spans="9:45" ht="15" hidden="1" customHeight="1" x14ac:dyDescent="0.2">
      <c r="I400" s="74">
        <v>759</v>
      </c>
      <c r="J400" s="137">
        <v>6.4302670000000001E-5</v>
      </c>
      <c r="L400" s="74">
        <v>759</v>
      </c>
      <c r="M400" s="137"/>
      <c r="N400" s="137">
        <v>5.3998399999999998E-6</v>
      </c>
      <c r="O400" s="137">
        <v>7.4785799999999998E-5</v>
      </c>
      <c r="P400" s="136">
        <v>4.4999999999999998E-7</v>
      </c>
      <c r="Q400" s="137">
        <v>6.5253400000000004E-8</v>
      </c>
      <c r="S400" s="74">
        <v>759</v>
      </c>
      <c r="T400" s="137">
        <v>3.0015183307120429E-10</v>
      </c>
      <c r="U400" s="137">
        <v>9.1162242531552728E-6</v>
      </c>
      <c r="V400" s="137">
        <v>1.0285111400415698E-4</v>
      </c>
      <c r="W400" s="136">
        <v>4.2700503892478021E-7</v>
      </c>
      <c r="X400" s="137">
        <v>6.526404689015635E-8</v>
      </c>
      <c r="Z400" s="74">
        <v>759</v>
      </c>
      <c r="AA400" s="137">
        <f t="shared" ca="1" si="75"/>
        <v>0</v>
      </c>
      <c r="AB400" s="137">
        <f t="shared" ca="1" si="76"/>
        <v>5.3998399999999998E-6</v>
      </c>
      <c r="AC400" s="137">
        <f t="shared" ca="1" si="77"/>
        <v>7.4785799999999998E-5</v>
      </c>
      <c r="AD400" s="137">
        <f t="shared" ca="1" si="78"/>
        <v>4.4999999999999998E-7</v>
      </c>
      <c r="AE400" s="137">
        <f t="shared" ca="1" si="79"/>
        <v>6.5253400000000004E-8</v>
      </c>
      <c r="AG400" s="74">
        <v>759</v>
      </c>
      <c r="AH400" s="136">
        <f t="shared" ca="1" si="80"/>
        <v>0</v>
      </c>
      <c r="AI400" s="136">
        <f t="shared" ca="1" si="81"/>
        <v>7.1144137022397888E-9</v>
      </c>
      <c r="AJ400" s="136">
        <f t="shared" ca="1" si="82"/>
        <v>9.853201581027668E-8</v>
      </c>
      <c r="AK400" s="136">
        <f t="shared" ca="1" si="83"/>
        <v>5.9288537549407113E-10</v>
      </c>
      <c r="AL400" s="136">
        <f t="shared" ca="1" si="84"/>
        <v>8.5972859025032945E-11</v>
      </c>
      <c r="AN400" s="74">
        <v>759</v>
      </c>
      <c r="AO400" s="136" t="str">
        <f t="shared" ca="1" si="85"/>
        <v/>
      </c>
      <c r="AP400" s="136">
        <f t="shared" ca="1" si="86"/>
        <v>3.8458946606016691E-6</v>
      </c>
      <c r="AQ400" s="136">
        <f t="shared" ca="1" si="87"/>
        <v>5.5839279395861222E-5</v>
      </c>
      <c r="AR400" s="136">
        <f t="shared" ca="1" si="88"/>
        <v>2.9971336935708312E-7</v>
      </c>
      <c r="AS400" s="136">
        <f t="shared" ca="1" si="89"/>
        <v>4.2038495888025019E-8</v>
      </c>
    </row>
    <row r="401" spans="9:45" ht="15" hidden="1" customHeight="1" x14ac:dyDescent="0.2">
      <c r="I401" s="74">
        <v>760</v>
      </c>
      <c r="J401" s="137">
        <v>6.0000000000000002E-5</v>
      </c>
      <c r="L401" s="74">
        <v>760</v>
      </c>
      <c r="M401" s="137"/>
      <c r="N401" s="137">
        <v>5.06711E-6</v>
      </c>
      <c r="O401" s="137">
        <v>6.9882700000000001E-5</v>
      </c>
      <c r="P401" s="136">
        <v>4.2500000000000001E-7</v>
      </c>
      <c r="Q401" s="137">
        <v>6.1674899999999996E-8</v>
      </c>
      <c r="S401" s="74">
        <v>760</v>
      </c>
      <c r="T401" s="137">
        <v>2.8574260519747537E-10</v>
      </c>
      <c r="U401" s="137">
        <v>8.5627053532516675E-6</v>
      </c>
      <c r="V401" s="137">
        <v>9.6309028053191486E-5</v>
      </c>
      <c r="W401" s="136">
        <v>4.0273094391926594E-7</v>
      </c>
      <c r="X401" s="137">
        <v>6.1674977539144489E-8</v>
      </c>
      <c r="Z401" s="74">
        <v>760</v>
      </c>
      <c r="AA401" s="137">
        <f t="shared" ca="1" si="75"/>
        <v>0</v>
      </c>
      <c r="AB401" s="137">
        <f t="shared" ca="1" si="76"/>
        <v>5.06711E-6</v>
      </c>
      <c r="AC401" s="137">
        <f t="shared" ca="1" si="77"/>
        <v>6.9882700000000001E-5</v>
      </c>
      <c r="AD401" s="137">
        <f t="shared" ca="1" si="78"/>
        <v>4.2500000000000001E-7</v>
      </c>
      <c r="AE401" s="137">
        <f t="shared" ca="1" si="79"/>
        <v>6.1674899999999996E-8</v>
      </c>
      <c r="AG401" s="74">
        <v>760</v>
      </c>
      <c r="AH401" s="136">
        <f t="shared" ca="1" si="80"/>
        <v>0</v>
      </c>
      <c r="AI401" s="136">
        <f t="shared" ca="1" si="81"/>
        <v>6.6672499999999997E-9</v>
      </c>
      <c r="AJ401" s="136">
        <f t="shared" ca="1" si="82"/>
        <v>9.1950921052631575E-8</v>
      </c>
      <c r="AK401" s="136">
        <f t="shared" ca="1" si="83"/>
        <v>5.5921052631578952E-10</v>
      </c>
      <c r="AL401" s="136">
        <f t="shared" ca="1" si="84"/>
        <v>8.1151184210526317E-11</v>
      </c>
      <c r="AN401" s="74">
        <v>760</v>
      </c>
      <c r="AO401" s="136" t="str">
        <f t="shared" ca="1" si="85"/>
        <v/>
      </c>
      <c r="AP401" s="136">
        <f t="shared" ca="1" si="86"/>
        <v>3.6041678554374626E-6</v>
      </c>
      <c r="AQ401" s="136">
        <f t="shared" ca="1" si="87"/>
        <v>5.2109693779645148E-5</v>
      </c>
      <c r="AR401" s="136">
        <f t="shared" ca="1" si="88"/>
        <v>2.826901757905295E-7</v>
      </c>
      <c r="AS401" s="136">
        <f t="shared" ca="1" si="89"/>
        <v>3.9680822092344788E-8</v>
      </c>
    </row>
    <row r="402" spans="9:45" ht="15" hidden="1" customHeight="1" x14ac:dyDescent="0.2">
      <c r="I402" s="74">
        <v>761</v>
      </c>
      <c r="J402" s="137">
        <v>5.5981869999999998E-5</v>
      </c>
      <c r="L402" s="74">
        <v>761</v>
      </c>
      <c r="M402" s="137"/>
      <c r="N402" s="137">
        <v>4.7541300000000003E-6</v>
      </c>
      <c r="O402" s="137">
        <v>6.5296599999999994E-5</v>
      </c>
      <c r="P402" s="136">
        <v>4.01E-7</v>
      </c>
      <c r="Q402" s="137">
        <v>5.8304399999999999E-8</v>
      </c>
      <c r="S402" s="74">
        <v>761</v>
      </c>
      <c r="T402" s="137">
        <v>2.7206708281111835E-10</v>
      </c>
      <c r="U402" s="137">
        <v>8.0442952103596701E-6</v>
      </c>
      <c r="V402" s="137">
        <v>9.0199888356276271E-5</v>
      </c>
      <c r="W402" s="136">
        <v>3.7990411699508971E-7</v>
      </c>
      <c r="X402" s="137">
        <v>5.8293348113431115E-8</v>
      </c>
      <c r="Z402" s="74">
        <v>761</v>
      </c>
      <c r="AA402" s="137">
        <f t="shared" ca="1" si="75"/>
        <v>0</v>
      </c>
      <c r="AB402" s="137">
        <f t="shared" ca="1" si="76"/>
        <v>4.7541300000000003E-6</v>
      </c>
      <c r="AC402" s="137">
        <f t="shared" ca="1" si="77"/>
        <v>6.5296599999999994E-5</v>
      </c>
      <c r="AD402" s="137">
        <f t="shared" ca="1" si="78"/>
        <v>4.01E-7</v>
      </c>
      <c r="AE402" s="137">
        <f t="shared" ca="1" si="79"/>
        <v>5.8304399999999999E-8</v>
      </c>
      <c r="AG402" s="74">
        <v>761</v>
      </c>
      <c r="AH402" s="136">
        <f t="shared" ca="1" si="80"/>
        <v>0</v>
      </c>
      <c r="AI402" s="136">
        <f t="shared" ca="1" si="81"/>
        <v>6.2472141918528261E-9</v>
      </c>
      <c r="AJ402" s="136">
        <f t="shared" ca="1" si="82"/>
        <v>8.5803679369250982E-8</v>
      </c>
      <c r="AK402" s="136">
        <f t="shared" ca="1" si="83"/>
        <v>5.2693823915900129E-10</v>
      </c>
      <c r="AL402" s="136">
        <f t="shared" ca="1" si="84"/>
        <v>7.6615505913272006E-11</v>
      </c>
      <c r="AN402" s="74">
        <v>761</v>
      </c>
      <c r="AO402" s="136" t="str">
        <f t="shared" ca="1" si="85"/>
        <v/>
      </c>
      <c r="AP402" s="136">
        <f t="shared" ca="1" si="86"/>
        <v>3.3771057896897046E-6</v>
      </c>
      <c r="AQ402" s="136">
        <f t="shared" ca="1" si="87"/>
        <v>4.8625977922931987E-5</v>
      </c>
      <c r="AR402" s="136">
        <f t="shared" ca="1" si="88"/>
        <v>2.6637600053774991E-7</v>
      </c>
      <c r="AS402" s="136">
        <f t="shared" ca="1" si="89"/>
        <v>3.7462993168067527E-8</v>
      </c>
    </row>
    <row r="403" spans="9:45" ht="15" hidden="1" customHeight="1" x14ac:dyDescent="0.2">
      <c r="I403" s="74">
        <v>762</v>
      </c>
      <c r="J403" s="137">
        <v>5.2225599999999997E-5</v>
      </c>
      <c r="L403" s="74">
        <v>762</v>
      </c>
      <c r="M403" s="137"/>
      <c r="N403" s="137">
        <v>4.4601900000000002E-6</v>
      </c>
      <c r="O403" s="137">
        <v>6.10128E-5</v>
      </c>
      <c r="P403" s="138">
        <v>3.7899999999999999E-7</v>
      </c>
      <c r="Q403" s="137">
        <v>5.5112399999999999E-8</v>
      </c>
      <c r="S403" s="74">
        <v>762</v>
      </c>
      <c r="T403" s="137">
        <v>2.5908006658623073E-10</v>
      </c>
      <c r="U403" s="137">
        <v>7.5585066586082611E-6</v>
      </c>
      <c r="V403" s="137">
        <v>8.4491885144384507E-5</v>
      </c>
      <c r="W403" s="138">
        <v>3.5842640804371411E-7</v>
      </c>
      <c r="X403" s="137">
        <v>5.5105379799691059E-8</v>
      </c>
      <c r="Z403" s="74">
        <v>762</v>
      </c>
      <c r="AA403" s="137">
        <f t="shared" ca="1" si="75"/>
        <v>0</v>
      </c>
      <c r="AB403" s="137">
        <f t="shared" ca="1" si="76"/>
        <v>4.4601900000000002E-6</v>
      </c>
      <c r="AC403" s="137">
        <f t="shared" ca="1" si="77"/>
        <v>6.10128E-5</v>
      </c>
      <c r="AD403" s="137">
        <f t="shared" ca="1" si="78"/>
        <v>3.7899999999999999E-7</v>
      </c>
      <c r="AE403" s="137">
        <f t="shared" ca="1" si="79"/>
        <v>5.5112399999999999E-8</v>
      </c>
      <c r="AG403" s="74">
        <v>762</v>
      </c>
      <c r="AH403" s="136">
        <f t="shared" ca="1" si="80"/>
        <v>0</v>
      </c>
      <c r="AI403" s="136">
        <f t="shared" ca="1" si="81"/>
        <v>5.8532677165354336E-9</v>
      </c>
      <c r="AJ403" s="136">
        <f t="shared" ca="1" si="82"/>
        <v>8.0069291338582677E-8</v>
      </c>
      <c r="AK403" s="136">
        <f t="shared" ca="1" si="83"/>
        <v>4.9737532808398953E-10</v>
      </c>
      <c r="AL403" s="136">
        <f t="shared" ca="1" si="84"/>
        <v>7.23259842519685E-11</v>
      </c>
      <c r="AN403" s="74">
        <v>762</v>
      </c>
      <c r="AO403" s="136" t="str">
        <f t="shared" ca="1" si="85"/>
        <v/>
      </c>
      <c r="AP403" s="136">
        <f t="shared" ca="1" si="86"/>
        <v>3.1641470401150172E-6</v>
      </c>
      <c r="AQ403" s="136">
        <f t="shared" ca="1" si="87"/>
        <v>4.5376231200756701E-5</v>
      </c>
      <c r="AR403" s="136">
        <f t="shared" ca="1" si="88"/>
        <v>2.5143145973353129E-7</v>
      </c>
      <c r="AS403" s="136">
        <f t="shared" ca="1" si="89"/>
        <v>3.5365528447628301E-8</v>
      </c>
    </row>
    <row r="404" spans="9:45" ht="15" hidden="1" customHeight="1" x14ac:dyDescent="0.2">
      <c r="I404" s="74">
        <v>763</v>
      </c>
      <c r="J404" s="137">
        <v>4.8718399999999998E-5</v>
      </c>
      <c r="L404" s="74">
        <v>763</v>
      </c>
      <c r="M404" s="137"/>
      <c r="N404" s="137">
        <v>4.1846599999999997E-6</v>
      </c>
      <c r="O404" s="137">
        <v>5.7018300000000003E-5</v>
      </c>
      <c r="P404" s="138">
        <v>3.58E-7</v>
      </c>
      <c r="Q404" s="137">
        <v>5.2097199999999997E-8</v>
      </c>
      <c r="S404" s="74">
        <v>763</v>
      </c>
      <c r="T404" s="137">
        <v>2.4674593122509545E-10</v>
      </c>
      <c r="U404" s="137">
        <v>7.1032156527655921E-6</v>
      </c>
      <c r="V404" s="137">
        <v>7.9157851848733711E-5</v>
      </c>
      <c r="W404" s="138">
        <v>3.3821588401225987E-7</v>
      </c>
      <c r="X404" s="137">
        <v>5.2099553337466128E-8</v>
      </c>
      <c r="Z404" s="74">
        <v>763</v>
      </c>
      <c r="AA404" s="137">
        <f t="shared" ca="1" si="75"/>
        <v>0</v>
      </c>
      <c r="AB404" s="137">
        <f t="shared" ca="1" si="76"/>
        <v>4.1846599999999997E-6</v>
      </c>
      <c r="AC404" s="137">
        <f t="shared" ca="1" si="77"/>
        <v>5.7018300000000003E-5</v>
      </c>
      <c r="AD404" s="137">
        <f t="shared" ca="1" si="78"/>
        <v>3.58E-7</v>
      </c>
      <c r="AE404" s="137">
        <f t="shared" ca="1" si="79"/>
        <v>5.2097199999999997E-8</v>
      </c>
      <c r="AG404" s="74">
        <v>763</v>
      </c>
      <c r="AH404" s="136">
        <f t="shared" ca="1" si="80"/>
        <v>0</v>
      </c>
      <c r="AI404" s="136">
        <f t="shared" ca="1" si="81"/>
        <v>5.4844823066841409E-9</v>
      </c>
      <c r="AJ404" s="136">
        <f t="shared" ca="1" si="82"/>
        <v>7.4729095674967238E-8</v>
      </c>
      <c r="AK404" s="136">
        <f t="shared" ca="1" si="83"/>
        <v>4.6920052424639582E-10</v>
      </c>
      <c r="AL404" s="136">
        <f t="shared" ca="1" si="84"/>
        <v>6.8279423328964604E-11</v>
      </c>
      <c r="AN404" s="74">
        <v>763</v>
      </c>
      <c r="AO404" s="136" t="str">
        <f t="shared" ca="1" si="85"/>
        <v/>
      </c>
      <c r="AP404" s="136">
        <f t="shared" ca="1" si="86"/>
        <v>2.9647898059119561E-6</v>
      </c>
      <c r="AQ404" s="136">
        <f t="shared" ca="1" si="87"/>
        <v>4.2349878037909013E-5</v>
      </c>
      <c r="AR404" s="136">
        <f t="shared" ca="1" si="88"/>
        <v>2.3718863011051504E-7</v>
      </c>
      <c r="AS404" s="136">
        <f t="shared" ca="1" si="89"/>
        <v>3.3386865220053071E-8</v>
      </c>
    </row>
    <row r="405" spans="9:45" ht="15" hidden="1" customHeight="1" x14ac:dyDescent="0.2">
      <c r="I405" s="74">
        <v>764</v>
      </c>
      <c r="J405" s="137">
        <v>4.5447469999999999E-5</v>
      </c>
      <c r="L405" s="74">
        <v>764</v>
      </c>
      <c r="M405" s="137"/>
      <c r="N405" s="137">
        <v>3.9268999999999996E-6</v>
      </c>
      <c r="O405" s="137">
        <v>5.32996E-5</v>
      </c>
      <c r="P405" s="138">
        <v>3.382E-7</v>
      </c>
      <c r="Q405" s="137">
        <v>4.9257500000000003E-8</v>
      </c>
      <c r="S405" s="74">
        <v>764</v>
      </c>
      <c r="T405" s="137">
        <v>2.3502767263731548E-10</v>
      </c>
      <c r="U405" s="137">
        <v>6.6764407620877869E-6</v>
      </c>
      <c r="V405" s="137">
        <v>7.4172684921979017E-5</v>
      </c>
      <c r="W405" s="138">
        <v>3.1919347142973039E-7</v>
      </c>
      <c r="X405" s="137">
        <v>4.9265058178876342E-8</v>
      </c>
      <c r="Z405" s="74">
        <v>764</v>
      </c>
      <c r="AA405" s="137">
        <f t="shared" ref="AA405:AA421" ca="1" si="90">OFFSET(M405,0,$AA$8)</f>
        <v>0</v>
      </c>
      <c r="AB405" s="137">
        <f t="shared" ref="AB405:AB421" ca="1" si="91">OFFSET(N405,0,$AA$8)</f>
        <v>3.9268999999999996E-6</v>
      </c>
      <c r="AC405" s="137">
        <f t="shared" ref="AC405:AC421" ca="1" si="92">OFFSET(O405,0,$AA$8)</f>
        <v>5.32996E-5</v>
      </c>
      <c r="AD405" s="137">
        <f t="shared" ref="AD405:AD421" ca="1" si="93">OFFSET(P405,0,$AA$8)</f>
        <v>3.382E-7</v>
      </c>
      <c r="AE405" s="137">
        <f t="shared" ref="AE405:AE421" ca="1" si="94">OFFSET(Q405,0,$AA$8)</f>
        <v>4.9257500000000003E-8</v>
      </c>
      <c r="AG405" s="74">
        <v>764</v>
      </c>
      <c r="AH405" s="136">
        <f t="shared" ref="AH405:AH421" ca="1" si="95">AA405/$Z405</f>
        <v>0</v>
      </c>
      <c r="AI405" s="136">
        <f t="shared" ref="AI405:AI421" ca="1" si="96">AB405/$Z405</f>
        <v>5.1399214659685859E-9</v>
      </c>
      <c r="AJ405" s="136">
        <f t="shared" ref="AJ405:AJ421" ca="1" si="97">AC405/$Z405</f>
        <v>6.9763874345549733E-8</v>
      </c>
      <c r="AK405" s="136">
        <f t="shared" ref="AK405:AK421" ca="1" si="98">AD405/$Z405</f>
        <v>4.4267015706806284E-10</v>
      </c>
      <c r="AL405" s="136">
        <f t="shared" ref="AL405:AL421" ca="1" si="99">AE405/$Z405</f>
        <v>6.4473167539267021E-11</v>
      </c>
      <c r="AN405" s="74">
        <v>764</v>
      </c>
      <c r="AO405" s="136" t="str">
        <f t="shared" ref="AO405:AO421" ca="1" si="100">IF(AH405=0,"",AH405/AH$11)</f>
        <v/>
      </c>
      <c r="AP405" s="136">
        <f t="shared" ref="AP405:AP421" ca="1" si="101">IF(AI405=0,"",AI405/AI$11)</f>
        <v>2.7785278378817319E-6</v>
      </c>
      <c r="AQ405" s="136">
        <f t="shared" ref="AQ405:AQ421" ca="1" si="102">IF(AJ405=0,"",AJ405/AJ$11)</f>
        <v>3.9536027343841345E-5</v>
      </c>
      <c r="AR405" s="136">
        <f t="shared" ref="AR405:AR421" ca="1" si="103">IF(AK405=0,"",AK405/AK$11)</f>
        <v>2.2377709043360449E-7</v>
      </c>
      <c r="AS405" s="136">
        <f t="shared" ref="AS405:AS421" ca="1" si="104">IF(AL405=0,"",AL405/AL$11)</f>
        <v>3.1525704963449492E-8</v>
      </c>
    </row>
    <row r="406" spans="9:45" ht="15" hidden="1" customHeight="1" x14ac:dyDescent="0.2">
      <c r="I406" s="74">
        <v>765</v>
      </c>
      <c r="J406" s="137">
        <v>4.2400000000000001E-5</v>
      </c>
      <c r="L406" s="74">
        <v>765</v>
      </c>
      <c r="M406" s="137"/>
      <c r="N406" s="137">
        <v>3.68617E-6</v>
      </c>
      <c r="O406" s="137">
        <v>4.9842999999999997E-5</v>
      </c>
      <c r="P406" s="138">
        <v>3.1959999999999998E-7</v>
      </c>
      <c r="Q406" s="137">
        <v>4.6591600000000003E-8</v>
      </c>
      <c r="S406" s="74">
        <v>765</v>
      </c>
      <c r="T406" s="137">
        <v>2.2389634294369246E-10</v>
      </c>
      <c r="U406" s="137">
        <v>6.276318871175639E-6</v>
      </c>
      <c r="V406" s="137">
        <v>6.9512674770444836E-5</v>
      </c>
      <c r="W406" s="138">
        <v>3.0128742107171313E-7</v>
      </c>
      <c r="X406" s="137">
        <v>4.6591640252838391E-8</v>
      </c>
      <c r="Z406" s="74">
        <v>765</v>
      </c>
      <c r="AA406" s="137">
        <f t="shared" ca="1" si="90"/>
        <v>0</v>
      </c>
      <c r="AB406" s="137">
        <f t="shared" ca="1" si="91"/>
        <v>3.68617E-6</v>
      </c>
      <c r="AC406" s="137">
        <f t="shared" ca="1" si="92"/>
        <v>4.9842999999999997E-5</v>
      </c>
      <c r="AD406" s="137">
        <f t="shared" ca="1" si="93"/>
        <v>3.1959999999999998E-7</v>
      </c>
      <c r="AE406" s="137">
        <f t="shared" ca="1" si="94"/>
        <v>4.6591600000000003E-8</v>
      </c>
      <c r="AG406" s="74">
        <v>765</v>
      </c>
      <c r="AH406" s="136">
        <f t="shared" ca="1" si="95"/>
        <v>0</v>
      </c>
      <c r="AI406" s="136">
        <f t="shared" ca="1" si="96"/>
        <v>4.8185228758169936E-9</v>
      </c>
      <c r="AJ406" s="136">
        <f t="shared" ca="1" si="97"/>
        <v>6.5154248366013063E-8</v>
      </c>
      <c r="AK406" s="136">
        <f t="shared" ca="1" si="98"/>
        <v>4.1777777777777775E-10</v>
      </c>
      <c r="AL406" s="136">
        <f t="shared" ca="1" si="99"/>
        <v>6.09040522875817E-11</v>
      </c>
      <c r="AN406" s="74">
        <v>765</v>
      </c>
      <c r="AO406" s="136" t="str">
        <f t="shared" ca="1" si="100"/>
        <v/>
      </c>
      <c r="AP406" s="136">
        <f t="shared" ca="1" si="101"/>
        <v>2.6047868701053193E-6</v>
      </c>
      <c r="AQ406" s="136">
        <f t="shared" ca="1" si="102"/>
        <v>3.692369681487512E-5</v>
      </c>
      <c r="AR406" s="136">
        <f t="shared" ca="1" si="103"/>
        <v>2.1119358074222667E-7</v>
      </c>
      <c r="AS406" s="136">
        <f t="shared" ca="1" si="104"/>
        <v>2.978050027288345E-8</v>
      </c>
    </row>
    <row r="407" spans="9:45" ht="15" hidden="1" customHeight="1" x14ac:dyDescent="0.2">
      <c r="I407" s="74">
        <v>766</v>
      </c>
      <c r="J407" s="137">
        <v>3.9561039999999999E-5</v>
      </c>
      <c r="L407" s="74">
        <v>766</v>
      </c>
      <c r="M407" s="137"/>
      <c r="N407" s="137">
        <v>3.46157E-6</v>
      </c>
      <c r="O407" s="137">
        <v>4.6632199999999997E-5</v>
      </c>
      <c r="P407" s="138">
        <v>3.0209999999999999E-7</v>
      </c>
      <c r="Q407" s="137">
        <v>4.4078199999999997E-8</v>
      </c>
      <c r="S407" s="74">
        <v>766</v>
      </c>
      <c r="T407" s="137">
        <v>2.1331922637584117E-10</v>
      </c>
      <c r="U407" s="137">
        <v>5.901127525483289E-6</v>
      </c>
      <c r="V407" s="137">
        <v>6.5155937794395086E-5</v>
      </c>
      <c r="W407" s="138">
        <v>2.8442908225878669E-7</v>
      </c>
      <c r="X407" s="137">
        <v>4.4069791925150825E-8</v>
      </c>
      <c r="Z407" s="74">
        <v>766</v>
      </c>
      <c r="AA407" s="137">
        <f t="shared" ca="1" si="90"/>
        <v>0</v>
      </c>
      <c r="AB407" s="137">
        <f t="shared" ca="1" si="91"/>
        <v>3.46157E-6</v>
      </c>
      <c r="AC407" s="137">
        <f t="shared" ca="1" si="92"/>
        <v>4.6632199999999997E-5</v>
      </c>
      <c r="AD407" s="137">
        <f t="shared" ca="1" si="93"/>
        <v>3.0209999999999999E-7</v>
      </c>
      <c r="AE407" s="137">
        <f t="shared" ca="1" si="94"/>
        <v>4.4078199999999997E-8</v>
      </c>
      <c r="AG407" s="74">
        <v>766</v>
      </c>
      <c r="AH407" s="136">
        <f t="shared" ca="1" si="95"/>
        <v>0</v>
      </c>
      <c r="AI407" s="136">
        <f t="shared" ca="1" si="96"/>
        <v>4.5190208877284595E-9</v>
      </c>
      <c r="AJ407" s="136">
        <f t="shared" ca="1" si="97"/>
        <v>6.0877545691905998E-8</v>
      </c>
      <c r="AK407" s="136">
        <f t="shared" ca="1" si="98"/>
        <v>3.9438642297650128E-10</v>
      </c>
      <c r="AL407" s="136">
        <f t="shared" ca="1" si="99"/>
        <v>5.7543342036553518E-11</v>
      </c>
      <c r="AN407" s="74">
        <v>766</v>
      </c>
      <c r="AO407" s="136" t="str">
        <f t="shared" ca="1" si="100"/>
        <v/>
      </c>
      <c r="AP407" s="136">
        <f t="shared" ca="1" si="101"/>
        <v>2.4428827210021195E-6</v>
      </c>
      <c r="AQ407" s="136">
        <f t="shared" ca="1" si="102"/>
        <v>3.4500037930514976E-5</v>
      </c>
      <c r="AR407" s="136">
        <f t="shared" ca="1" si="103"/>
        <v>1.9936886377147104E-7</v>
      </c>
      <c r="AS407" s="136">
        <f t="shared" ca="1" si="104"/>
        <v>2.8137200216669721E-8</v>
      </c>
    </row>
    <row r="408" spans="9:45" ht="15" hidden="1" customHeight="1" x14ac:dyDescent="0.2">
      <c r="I408" s="74">
        <v>767</v>
      </c>
      <c r="J408" s="137">
        <v>3.6915120000000003E-5</v>
      </c>
      <c r="L408" s="74">
        <v>767</v>
      </c>
      <c r="M408" s="137"/>
      <c r="N408" s="137">
        <v>3.2515499999999998E-6</v>
      </c>
      <c r="O408" s="137">
        <v>4.3642400000000001E-5</v>
      </c>
      <c r="P408" s="138">
        <v>2.8550000000000001E-7</v>
      </c>
      <c r="Q408" s="137">
        <v>4.1696200000000002E-8</v>
      </c>
      <c r="S408" s="74">
        <v>767</v>
      </c>
      <c r="T408" s="137">
        <v>2.0326892950189161E-10</v>
      </c>
      <c r="U408" s="137">
        <v>5.5492590630024867E-6</v>
      </c>
      <c r="V408" s="137">
        <v>6.1082105672723199E-5</v>
      </c>
      <c r="W408" s="138">
        <v>2.6855485001359538E-7</v>
      </c>
      <c r="X408" s="137">
        <v>4.1690586040081314E-8</v>
      </c>
      <c r="Z408" s="74">
        <v>767</v>
      </c>
      <c r="AA408" s="137">
        <f t="shared" ca="1" si="90"/>
        <v>0</v>
      </c>
      <c r="AB408" s="137">
        <f t="shared" ca="1" si="91"/>
        <v>3.2515499999999998E-6</v>
      </c>
      <c r="AC408" s="137">
        <f t="shared" ca="1" si="92"/>
        <v>4.3642400000000001E-5</v>
      </c>
      <c r="AD408" s="137">
        <f t="shared" ca="1" si="93"/>
        <v>2.8550000000000001E-7</v>
      </c>
      <c r="AE408" s="137">
        <f t="shared" ca="1" si="94"/>
        <v>4.1696200000000002E-8</v>
      </c>
      <c r="AG408" s="74">
        <v>767</v>
      </c>
      <c r="AH408" s="136">
        <f t="shared" ca="1" si="95"/>
        <v>0</v>
      </c>
      <c r="AI408" s="136">
        <f t="shared" ca="1" si="96"/>
        <v>4.2393089960886566E-9</v>
      </c>
      <c r="AJ408" s="136">
        <f t="shared" ca="1" si="97"/>
        <v>5.6900130378096478E-8</v>
      </c>
      <c r="AK408" s="136">
        <f t="shared" ca="1" si="98"/>
        <v>3.7222946544980444E-10</v>
      </c>
      <c r="AL408" s="136">
        <f t="shared" ca="1" si="99"/>
        <v>5.4362711864406785E-11</v>
      </c>
      <c r="AN408" s="74">
        <v>767</v>
      </c>
      <c r="AO408" s="136" t="str">
        <f t="shared" ca="1" si="100"/>
        <v/>
      </c>
      <c r="AP408" s="136">
        <f t="shared" ca="1" si="101"/>
        <v>2.2916766602376686E-6</v>
      </c>
      <c r="AQ408" s="136">
        <f t="shared" ca="1" si="102"/>
        <v>3.2245988795776554E-5</v>
      </c>
      <c r="AR408" s="136">
        <f t="shared" ca="1" si="103"/>
        <v>1.88168155051857E-7</v>
      </c>
      <c r="AS408" s="136">
        <f t="shared" ca="1" si="104"/>
        <v>2.658195464348032E-8</v>
      </c>
    </row>
    <row r="409" spans="9:45" ht="15" hidden="1" customHeight="1" x14ac:dyDescent="0.2">
      <c r="I409" s="74">
        <v>768</v>
      </c>
      <c r="J409" s="137">
        <v>3.444868E-5</v>
      </c>
      <c r="L409" s="74">
        <v>768</v>
      </c>
      <c r="M409" s="137"/>
      <c r="N409" s="137">
        <v>3.0546400000000002E-6</v>
      </c>
      <c r="O409" s="137">
        <v>4.0850099999999997E-5</v>
      </c>
      <c r="P409" s="138">
        <v>2.699E-7</v>
      </c>
      <c r="Q409" s="137">
        <v>3.9444400000000001E-8</v>
      </c>
      <c r="S409" s="74">
        <v>768</v>
      </c>
      <c r="T409" s="137">
        <v>1.9371533413517898E-10</v>
      </c>
      <c r="U409" s="137">
        <v>5.2192127464159146E-6</v>
      </c>
      <c r="V409" s="137">
        <v>5.7272085795773734E-5</v>
      </c>
      <c r="W409" s="138">
        <v>2.5360452600261569E-7</v>
      </c>
      <c r="X409" s="137">
        <v>3.9445548553645255E-8</v>
      </c>
      <c r="Z409" s="74">
        <v>768</v>
      </c>
      <c r="AA409" s="137">
        <f t="shared" ca="1" si="90"/>
        <v>0</v>
      </c>
      <c r="AB409" s="137">
        <f t="shared" ca="1" si="91"/>
        <v>3.0546400000000002E-6</v>
      </c>
      <c r="AC409" s="137">
        <f t="shared" ca="1" si="92"/>
        <v>4.0850099999999997E-5</v>
      </c>
      <c r="AD409" s="137">
        <f t="shared" ca="1" si="93"/>
        <v>2.699E-7</v>
      </c>
      <c r="AE409" s="137">
        <f t="shared" ca="1" si="94"/>
        <v>3.9444400000000001E-8</v>
      </c>
      <c r="AG409" s="74">
        <v>768</v>
      </c>
      <c r="AH409" s="136">
        <f t="shared" ca="1" si="95"/>
        <v>0</v>
      </c>
      <c r="AI409" s="136">
        <f t="shared" ca="1" si="96"/>
        <v>3.9773958333333333E-9</v>
      </c>
      <c r="AJ409" s="136">
        <f t="shared" ca="1" si="97"/>
        <v>5.3190234374999998E-8</v>
      </c>
      <c r="AK409" s="136">
        <f t="shared" ca="1" si="98"/>
        <v>3.5143229166666669E-10</v>
      </c>
      <c r="AL409" s="136">
        <f t="shared" ca="1" si="99"/>
        <v>5.1359895833333332E-11</v>
      </c>
      <c r="AN409" s="74">
        <v>768</v>
      </c>
      <c r="AO409" s="136" t="str">
        <f t="shared" ca="1" si="100"/>
        <v/>
      </c>
      <c r="AP409" s="136">
        <f t="shared" ca="1" si="101"/>
        <v>2.1500921985602609E-6</v>
      </c>
      <c r="AQ409" s="136">
        <f t="shared" ca="1" si="102"/>
        <v>3.0143546074566265E-5</v>
      </c>
      <c r="AR409" s="136">
        <f t="shared" ca="1" si="103"/>
        <v>1.7765483951855567E-7</v>
      </c>
      <c r="AS409" s="136">
        <f t="shared" ca="1" si="104"/>
        <v>2.5113655568559234E-8</v>
      </c>
    </row>
    <row r="410" spans="9:45" ht="15" hidden="1" customHeight="1" x14ac:dyDescent="0.2">
      <c r="I410" s="74">
        <v>769</v>
      </c>
      <c r="J410" s="137">
        <v>3.2148160000000002E-5</v>
      </c>
      <c r="L410" s="74">
        <v>769</v>
      </c>
      <c r="M410" s="137"/>
      <c r="N410" s="137">
        <v>2.8695100000000001E-6</v>
      </c>
      <c r="O410" s="137">
        <v>3.8234600000000002E-5</v>
      </c>
      <c r="P410" s="138">
        <v>2.5520000000000001E-7</v>
      </c>
      <c r="Q410" s="137">
        <v>3.7321799999999997E-8</v>
      </c>
      <c r="S410" s="74">
        <v>769</v>
      </c>
      <c r="T410" s="137">
        <v>1.8463371152140427E-10</v>
      </c>
      <c r="U410" s="137">
        <v>4.9095761438707981E-6</v>
      </c>
      <c r="V410" s="137">
        <v>5.3708497114323442E-5</v>
      </c>
      <c r="W410" s="138">
        <v>2.3952342879498898E-7</v>
      </c>
      <c r="X410" s="137">
        <v>3.7326992544489128E-8</v>
      </c>
      <c r="Z410" s="74">
        <v>769</v>
      </c>
      <c r="AA410" s="137">
        <f t="shared" ca="1" si="90"/>
        <v>0</v>
      </c>
      <c r="AB410" s="137">
        <f t="shared" ca="1" si="91"/>
        <v>2.8695100000000001E-6</v>
      </c>
      <c r="AC410" s="137">
        <f t="shared" ca="1" si="92"/>
        <v>3.8234600000000002E-5</v>
      </c>
      <c r="AD410" s="137">
        <f t="shared" ca="1" si="93"/>
        <v>2.5520000000000001E-7</v>
      </c>
      <c r="AE410" s="137">
        <f t="shared" ca="1" si="94"/>
        <v>3.7321799999999997E-8</v>
      </c>
      <c r="AG410" s="74">
        <v>769</v>
      </c>
      <c r="AH410" s="136">
        <f t="shared" ca="1" si="95"/>
        <v>0</v>
      </c>
      <c r="AI410" s="136">
        <f t="shared" ca="1" si="96"/>
        <v>3.73148244473342E-9</v>
      </c>
      <c r="AJ410" s="136">
        <f t="shared" ca="1" si="97"/>
        <v>4.9719895968790639E-8</v>
      </c>
      <c r="AK410" s="136">
        <f t="shared" ca="1" si="98"/>
        <v>3.3185955786736024E-10</v>
      </c>
      <c r="AL410" s="136">
        <f t="shared" ca="1" si="99"/>
        <v>4.8532899869960984E-11</v>
      </c>
      <c r="AN410" s="74">
        <v>769</v>
      </c>
      <c r="AO410" s="136" t="str">
        <f t="shared" ca="1" si="100"/>
        <v/>
      </c>
      <c r="AP410" s="136">
        <f t="shared" ca="1" si="101"/>
        <v>2.0171568608402852E-6</v>
      </c>
      <c r="AQ410" s="136">
        <f t="shared" ca="1" si="102"/>
        <v>2.8176863527082027E-5</v>
      </c>
      <c r="AR410" s="136">
        <f t="shared" ca="1" si="103"/>
        <v>1.6776049866113295E-7</v>
      </c>
      <c r="AS410" s="136">
        <f t="shared" ca="1" si="104"/>
        <v>2.3731327941801026E-8</v>
      </c>
    </row>
    <row r="411" spans="9:45" ht="15" hidden="1" customHeight="1" x14ac:dyDescent="0.2">
      <c r="I411" s="74">
        <v>770</v>
      </c>
      <c r="J411" s="137">
        <v>3.0000000000000001E-5</v>
      </c>
      <c r="L411" s="74">
        <v>770</v>
      </c>
      <c r="M411" s="137"/>
      <c r="N411" s="137">
        <v>2.6950399999999999E-6</v>
      </c>
      <c r="O411" s="137">
        <v>3.5778100000000002E-5</v>
      </c>
      <c r="P411" s="138">
        <v>2.4130000000000002E-7</v>
      </c>
      <c r="Q411" s="137">
        <v>3.53272E-8</v>
      </c>
      <c r="S411" s="74">
        <v>770</v>
      </c>
      <c r="T411" s="137">
        <v>1.7600256616853475E-10</v>
      </c>
      <c r="U411" s="137">
        <v>4.6190429442939544E-6</v>
      </c>
      <c r="V411" s="137">
        <v>5.0374761154245226E-5</v>
      </c>
      <c r="W411" s="138">
        <v>2.2625750826228434E-7</v>
      </c>
      <c r="X411" s="137">
        <v>3.5327263689499209E-8</v>
      </c>
      <c r="Z411" s="74">
        <v>770</v>
      </c>
      <c r="AA411" s="137">
        <f t="shared" ca="1" si="90"/>
        <v>0</v>
      </c>
      <c r="AB411" s="137">
        <f t="shared" ca="1" si="91"/>
        <v>2.6950399999999999E-6</v>
      </c>
      <c r="AC411" s="137">
        <f t="shared" ca="1" si="92"/>
        <v>3.5778100000000002E-5</v>
      </c>
      <c r="AD411" s="137">
        <f t="shared" ca="1" si="93"/>
        <v>2.4130000000000002E-7</v>
      </c>
      <c r="AE411" s="137">
        <f t="shared" ca="1" si="94"/>
        <v>3.53272E-8</v>
      </c>
      <c r="AG411" s="74">
        <v>770</v>
      </c>
      <c r="AH411" s="136">
        <f t="shared" ca="1" si="95"/>
        <v>0</v>
      </c>
      <c r="AI411" s="136">
        <f t="shared" ca="1" si="96"/>
        <v>3.5000519480519478E-9</v>
      </c>
      <c r="AJ411" s="136">
        <f t="shared" ca="1" si="97"/>
        <v>4.6465064935064936E-8</v>
      </c>
      <c r="AK411" s="136">
        <f t="shared" ca="1" si="98"/>
        <v>3.1337662337662343E-10</v>
      </c>
      <c r="AL411" s="136">
        <f t="shared" ca="1" si="99"/>
        <v>4.5879480519480518E-11</v>
      </c>
      <c r="AN411" s="74">
        <v>770</v>
      </c>
      <c r="AO411" s="136" t="str">
        <f t="shared" ca="1" si="100"/>
        <v/>
      </c>
      <c r="AP411" s="136">
        <f t="shared" ca="1" si="101"/>
        <v>1.8920506540972819E-6</v>
      </c>
      <c r="AQ411" s="136">
        <f t="shared" ca="1" si="102"/>
        <v>2.6332311601660305E-5</v>
      </c>
      <c r="AR411" s="136">
        <f t="shared" ca="1" si="103"/>
        <v>1.5841706938998818E-7</v>
      </c>
      <c r="AS411" s="136">
        <f t="shared" ca="1" si="104"/>
        <v>2.243387477205242E-8</v>
      </c>
    </row>
    <row r="412" spans="9:45" ht="15" hidden="1" customHeight="1" x14ac:dyDescent="0.2">
      <c r="I412" s="74">
        <v>771</v>
      </c>
      <c r="J412" s="137">
        <v>2.7991250000000001E-5</v>
      </c>
      <c r="L412" s="74">
        <v>771</v>
      </c>
      <c r="M412" s="137"/>
      <c r="N412" s="137">
        <v>2.5303999999999999E-6</v>
      </c>
      <c r="O412" s="137">
        <v>3.3467599999999998E-5</v>
      </c>
      <c r="P412" s="138">
        <v>2.2819999999999999E-7</v>
      </c>
      <c r="Q412" s="137">
        <v>3.3445099999999998E-8</v>
      </c>
      <c r="S412" s="74">
        <v>771</v>
      </c>
      <c r="T412" s="137">
        <v>1.6779035774266766E-10</v>
      </c>
      <c r="U412" s="137">
        <v>4.3462929959964016E-6</v>
      </c>
      <c r="V412" s="137">
        <v>4.7254372450022618E-5</v>
      </c>
      <c r="W412" s="138">
        <v>2.1375387672084883E-7</v>
      </c>
      <c r="X412" s="137">
        <v>3.3438747353694583E-8</v>
      </c>
      <c r="Z412" s="74">
        <v>771</v>
      </c>
      <c r="AA412" s="137">
        <f t="shared" ca="1" si="90"/>
        <v>0</v>
      </c>
      <c r="AB412" s="137">
        <f t="shared" ca="1" si="91"/>
        <v>2.5303999999999999E-6</v>
      </c>
      <c r="AC412" s="137">
        <f t="shared" ca="1" si="92"/>
        <v>3.3467599999999998E-5</v>
      </c>
      <c r="AD412" s="137">
        <f t="shared" ca="1" si="93"/>
        <v>2.2819999999999999E-7</v>
      </c>
      <c r="AE412" s="137">
        <f t="shared" ca="1" si="94"/>
        <v>3.3445099999999998E-8</v>
      </c>
      <c r="AG412" s="74">
        <v>771</v>
      </c>
      <c r="AH412" s="136">
        <f t="shared" ca="1" si="95"/>
        <v>0</v>
      </c>
      <c r="AI412" s="136">
        <f t="shared" ca="1" si="96"/>
        <v>3.2819714656290533E-9</v>
      </c>
      <c r="AJ412" s="136">
        <f t="shared" ca="1" si="97"/>
        <v>4.3408041504539553E-8</v>
      </c>
      <c r="AK412" s="136">
        <f t="shared" ca="1" si="98"/>
        <v>2.959792477302205E-10</v>
      </c>
      <c r="AL412" s="136">
        <f t="shared" ca="1" si="99"/>
        <v>4.3378858625162127E-11</v>
      </c>
      <c r="AN412" s="74">
        <v>771</v>
      </c>
      <c r="AO412" s="136" t="str">
        <f t="shared" ca="1" si="100"/>
        <v/>
      </c>
      <c r="AP412" s="136">
        <f t="shared" ca="1" si="101"/>
        <v>1.7741611697301303E-6</v>
      </c>
      <c r="AQ412" s="136">
        <f t="shared" ca="1" si="102"/>
        <v>2.4599859625994979E-5</v>
      </c>
      <c r="AR412" s="136">
        <f t="shared" ca="1" si="103"/>
        <v>1.4962240808027195E-7</v>
      </c>
      <c r="AS412" s="136">
        <f t="shared" ca="1" si="104"/>
        <v>2.121113559117674E-8</v>
      </c>
    </row>
    <row r="413" spans="9:45" ht="15" hidden="1" customHeight="1" x14ac:dyDescent="0.2">
      <c r="I413" s="74">
        <v>772</v>
      </c>
      <c r="J413" s="137">
        <v>2.6113560000000001E-5</v>
      </c>
      <c r="L413" s="74">
        <v>772</v>
      </c>
      <c r="M413" s="137"/>
      <c r="N413" s="137">
        <v>2.3755E-6</v>
      </c>
      <c r="O413" s="137">
        <v>3.1300699999999997E-5</v>
      </c>
      <c r="P413" s="138">
        <v>2.1589999999999999E-7</v>
      </c>
      <c r="Q413" s="137">
        <v>3.166E-8</v>
      </c>
      <c r="S413" s="74">
        <v>772</v>
      </c>
      <c r="T413" s="137">
        <v>1.5998158676865259E-10</v>
      </c>
      <c r="U413" s="137">
        <v>4.0902984725454901E-6</v>
      </c>
      <c r="V413" s="137">
        <v>4.433431472829172E-5</v>
      </c>
      <c r="W413" s="138">
        <v>2.0197099266940799E-7</v>
      </c>
      <c r="X413" s="137">
        <v>3.1655705723075774E-8</v>
      </c>
      <c r="Z413" s="74">
        <v>772</v>
      </c>
      <c r="AA413" s="137">
        <f t="shared" ca="1" si="90"/>
        <v>0</v>
      </c>
      <c r="AB413" s="137">
        <f t="shared" ca="1" si="91"/>
        <v>2.3755E-6</v>
      </c>
      <c r="AC413" s="137">
        <f t="shared" ca="1" si="92"/>
        <v>3.1300699999999997E-5</v>
      </c>
      <c r="AD413" s="137">
        <f t="shared" ca="1" si="93"/>
        <v>2.1589999999999999E-7</v>
      </c>
      <c r="AE413" s="137">
        <f t="shared" ca="1" si="94"/>
        <v>3.166E-8</v>
      </c>
      <c r="AG413" s="74">
        <v>772</v>
      </c>
      <c r="AH413" s="136">
        <f t="shared" ca="1" si="95"/>
        <v>0</v>
      </c>
      <c r="AI413" s="136">
        <f t="shared" ca="1" si="96"/>
        <v>3.0770725388601035E-9</v>
      </c>
      <c r="AJ413" s="136">
        <f t="shared" ca="1" si="97"/>
        <v>4.0544948186528494E-8</v>
      </c>
      <c r="AK413" s="136">
        <f t="shared" ca="1" si="98"/>
        <v>2.7966321243523314E-10</v>
      </c>
      <c r="AL413" s="136">
        <f t="shared" ca="1" si="99"/>
        <v>4.101036269430052E-11</v>
      </c>
      <c r="AN413" s="74">
        <v>772</v>
      </c>
      <c r="AO413" s="136" t="str">
        <f t="shared" ca="1" si="100"/>
        <v/>
      </c>
      <c r="AP413" s="136">
        <f t="shared" ca="1" si="101"/>
        <v>1.663397342743849E-6</v>
      </c>
      <c r="AQ413" s="136">
        <f t="shared" ca="1" si="102"/>
        <v>2.2977310179440689E-5</v>
      </c>
      <c r="AR413" s="136">
        <f t="shared" ca="1" si="103"/>
        <v>1.413743822139995E-7</v>
      </c>
      <c r="AS413" s="136">
        <f t="shared" ca="1" si="104"/>
        <v>2.0053002575949944E-8</v>
      </c>
    </row>
    <row r="414" spans="9:45" ht="15" hidden="1" customHeight="1" x14ac:dyDescent="0.2">
      <c r="I414" s="74">
        <v>773</v>
      </c>
      <c r="J414" s="137">
        <v>2.436024E-5</v>
      </c>
      <c r="L414" s="74">
        <v>773</v>
      </c>
      <c r="M414" s="137"/>
      <c r="N414" s="137">
        <v>2.23033E-6</v>
      </c>
      <c r="O414" s="137">
        <v>2.9276099999999999E-5</v>
      </c>
      <c r="P414" s="138">
        <v>2.0419999999999999E-7</v>
      </c>
      <c r="Q414" s="137">
        <v>2.9971200000000002E-8</v>
      </c>
      <c r="S414" s="74">
        <v>773</v>
      </c>
      <c r="T414" s="137">
        <v>1.5255659961110932E-10</v>
      </c>
      <c r="U414" s="137">
        <v>3.8499846680196294E-6</v>
      </c>
      <c r="V414" s="137">
        <v>4.1601405166907048E-5</v>
      </c>
      <c r="W414" s="138">
        <v>1.9086618808118372E-7</v>
      </c>
      <c r="X414" s="137">
        <v>2.9972157079285148E-8</v>
      </c>
      <c r="Z414" s="74">
        <v>773</v>
      </c>
      <c r="AA414" s="137">
        <f t="shared" ca="1" si="90"/>
        <v>0</v>
      </c>
      <c r="AB414" s="137">
        <f t="shared" ca="1" si="91"/>
        <v>2.23033E-6</v>
      </c>
      <c r="AC414" s="137">
        <f t="shared" ca="1" si="92"/>
        <v>2.9276099999999999E-5</v>
      </c>
      <c r="AD414" s="137">
        <f t="shared" ca="1" si="93"/>
        <v>2.0419999999999999E-7</v>
      </c>
      <c r="AE414" s="137">
        <f t="shared" ca="1" si="94"/>
        <v>2.9971200000000002E-8</v>
      </c>
      <c r="AG414" s="74">
        <v>773</v>
      </c>
      <c r="AH414" s="136">
        <f t="shared" ca="1" si="95"/>
        <v>0</v>
      </c>
      <c r="AI414" s="136">
        <f t="shared" ca="1" si="96"/>
        <v>2.8852910737386807E-9</v>
      </c>
      <c r="AJ414" s="136">
        <f t="shared" ca="1" si="97"/>
        <v>3.7873350582147477E-8</v>
      </c>
      <c r="AK414" s="136">
        <f t="shared" ca="1" si="98"/>
        <v>2.6416558861578265E-10</v>
      </c>
      <c r="AL414" s="136">
        <f t="shared" ca="1" si="99"/>
        <v>3.8772574385511E-11</v>
      </c>
      <c r="AN414" s="74">
        <v>773</v>
      </c>
      <c r="AO414" s="136" t="str">
        <f t="shared" ca="1" si="100"/>
        <v/>
      </c>
      <c r="AP414" s="136">
        <f t="shared" ca="1" si="101"/>
        <v>1.5597245253364722E-6</v>
      </c>
      <c r="AQ414" s="136">
        <f t="shared" ca="1" si="102"/>
        <v>2.1463283658846701E-5</v>
      </c>
      <c r="AR414" s="136">
        <f t="shared" ca="1" si="103"/>
        <v>1.3354007689303356E-7</v>
      </c>
      <c r="AS414" s="136">
        <f t="shared" ca="1" si="104"/>
        <v>1.8958782194260334E-8</v>
      </c>
    </row>
    <row r="415" spans="9:45" ht="15" hidden="1" customHeight="1" x14ac:dyDescent="0.2">
      <c r="I415" s="74">
        <v>774</v>
      </c>
      <c r="J415" s="137">
        <v>2.272461E-5</v>
      </c>
      <c r="L415" s="74">
        <v>774</v>
      </c>
      <c r="M415" s="137"/>
      <c r="N415" s="137">
        <v>2.0947800000000001E-6</v>
      </c>
      <c r="O415" s="137">
        <v>2.7390799999999999E-5</v>
      </c>
      <c r="P415" s="138">
        <v>1.9320000000000001E-7</v>
      </c>
      <c r="Q415" s="137">
        <v>2.8378199999999999E-8</v>
      </c>
      <c r="S415" s="74">
        <v>774</v>
      </c>
      <c r="T415" s="137">
        <v>1.4549397189184725E-10</v>
      </c>
      <c r="U415" s="137">
        <v>3.6243572568851108E-6</v>
      </c>
      <c r="V415" s="137">
        <v>3.9043163550469627E-5</v>
      </c>
      <c r="W415" s="138">
        <v>1.8039853236045473E-7</v>
      </c>
      <c r="X415" s="137">
        <v>2.8382130984287679E-8</v>
      </c>
      <c r="Z415" s="74">
        <v>774</v>
      </c>
      <c r="AA415" s="137">
        <f t="shared" ca="1" si="90"/>
        <v>0</v>
      </c>
      <c r="AB415" s="137">
        <f t="shared" ca="1" si="91"/>
        <v>2.0947800000000001E-6</v>
      </c>
      <c r="AC415" s="137">
        <f t="shared" ca="1" si="92"/>
        <v>2.7390799999999999E-5</v>
      </c>
      <c r="AD415" s="137">
        <f t="shared" ca="1" si="93"/>
        <v>1.9320000000000001E-7</v>
      </c>
      <c r="AE415" s="137">
        <f t="shared" ca="1" si="94"/>
        <v>2.8378199999999999E-8</v>
      </c>
      <c r="AG415" s="74">
        <v>774</v>
      </c>
      <c r="AH415" s="136">
        <f t="shared" ca="1" si="95"/>
        <v>0</v>
      </c>
      <c r="AI415" s="136">
        <f t="shared" ca="1" si="96"/>
        <v>2.7064341085271318E-9</v>
      </c>
      <c r="AJ415" s="136">
        <f t="shared" ca="1" si="97"/>
        <v>3.5388630490956073E-8</v>
      </c>
      <c r="AK415" s="136">
        <f t="shared" ca="1" si="98"/>
        <v>2.4961240310077521E-10</v>
      </c>
      <c r="AL415" s="136">
        <f t="shared" ca="1" si="99"/>
        <v>3.6664341085271314E-11</v>
      </c>
      <c r="AN415" s="74">
        <v>774</v>
      </c>
      <c r="AO415" s="136" t="str">
        <f t="shared" ca="1" si="100"/>
        <v/>
      </c>
      <c r="AP415" s="136">
        <f t="shared" ca="1" si="101"/>
        <v>1.4630384066613722E-6</v>
      </c>
      <c r="AQ415" s="136">
        <f t="shared" ca="1" si="102"/>
        <v>2.0055162874433847E-5</v>
      </c>
      <c r="AR415" s="136">
        <f t="shared" ca="1" si="103"/>
        <v>1.2618320076508595E-7</v>
      </c>
      <c r="AS415" s="136">
        <f t="shared" ca="1" si="104"/>
        <v>1.7927910848021658E-8</v>
      </c>
    </row>
    <row r="416" spans="9:45" ht="15" hidden="1" customHeight="1" x14ac:dyDescent="0.2">
      <c r="I416" s="74">
        <v>775</v>
      </c>
      <c r="J416" s="137">
        <v>2.12E-5</v>
      </c>
      <c r="L416" s="74">
        <v>775</v>
      </c>
      <c r="M416" s="137"/>
      <c r="N416" s="137">
        <v>1.9686399999999999E-6</v>
      </c>
      <c r="O416" s="137">
        <v>2.5641100000000001E-5</v>
      </c>
      <c r="P416" s="138">
        <v>1.829E-7</v>
      </c>
      <c r="Q416" s="137">
        <v>2.6880299999999999E-8</v>
      </c>
      <c r="S416" s="74">
        <v>775</v>
      </c>
      <c r="T416" s="137">
        <v>1.3877556367065701E-10</v>
      </c>
      <c r="U416" s="137">
        <v>3.4124948136231148E-6</v>
      </c>
      <c r="V416" s="137">
        <v>3.6648060861310389E-5</v>
      </c>
      <c r="W416" s="138">
        <v>1.7052968899095857E-7</v>
      </c>
      <c r="X416" s="137">
        <v>2.6880293105523693E-8</v>
      </c>
      <c r="Z416" s="74">
        <v>775</v>
      </c>
      <c r="AA416" s="137">
        <f t="shared" ca="1" si="90"/>
        <v>0</v>
      </c>
      <c r="AB416" s="137">
        <f t="shared" ca="1" si="91"/>
        <v>1.9686399999999999E-6</v>
      </c>
      <c r="AC416" s="137">
        <f t="shared" ca="1" si="92"/>
        <v>2.5641100000000001E-5</v>
      </c>
      <c r="AD416" s="137">
        <f t="shared" ca="1" si="93"/>
        <v>1.829E-7</v>
      </c>
      <c r="AE416" s="137">
        <f t="shared" ca="1" si="94"/>
        <v>2.6880299999999999E-8</v>
      </c>
      <c r="AG416" s="74">
        <v>775</v>
      </c>
      <c r="AH416" s="136">
        <f t="shared" ca="1" si="95"/>
        <v>0</v>
      </c>
      <c r="AI416" s="136">
        <f t="shared" ca="1" si="96"/>
        <v>2.5401806451612904E-9</v>
      </c>
      <c r="AJ416" s="136">
        <f t="shared" ca="1" si="97"/>
        <v>3.3085290322580647E-8</v>
      </c>
      <c r="AK416" s="136">
        <f t="shared" ca="1" si="98"/>
        <v>2.3600000000000001E-10</v>
      </c>
      <c r="AL416" s="136">
        <f t="shared" ca="1" si="99"/>
        <v>3.4684258064516125E-11</v>
      </c>
      <c r="AN416" s="74">
        <v>775</v>
      </c>
      <c r="AO416" s="136" t="str">
        <f t="shared" ca="1" si="100"/>
        <v/>
      </c>
      <c r="AP416" s="136">
        <f t="shared" ca="1" si="101"/>
        <v>1.3731654622662594E-6</v>
      </c>
      <c r="AQ416" s="136">
        <f t="shared" ca="1" si="102"/>
        <v>1.8749832275562541E-5</v>
      </c>
      <c r="AR416" s="136">
        <f t="shared" ca="1" si="103"/>
        <v>1.1930190571715145E-7</v>
      </c>
      <c r="AS416" s="136">
        <f t="shared" ca="1" si="104"/>
        <v>1.6959701661192964E-8</v>
      </c>
    </row>
    <row r="417" spans="9:45" ht="15" hidden="1" customHeight="1" x14ac:dyDescent="0.2">
      <c r="I417" s="74">
        <v>776</v>
      </c>
      <c r="J417" s="137">
        <v>1.9778550000000001E-5</v>
      </c>
      <c r="L417" s="74">
        <v>776</v>
      </c>
      <c r="M417" s="137"/>
      <c r="N417" s="137">
        <v>1.8515200000000001E-6</v>
      </c>
      <c r="O417" s="137">
        <v>2.4020500000000002E-5</v>
      </c>
      <c r="P417" s="138">
        <v>1.7310000000000001E-7</v>
      </c>
      <c r="Q417" s="137">
        <v>2.5480000000000001E-8</v>
      </c>
      <c r="S417" s="74">
        <v>776</v>
      </c>
      <c r="T417" s="137">
        <v>1.3238171406820968E-10</v>
      </c>
      <c r="U417" s="137">
        <v>3.2135125475109626E-6</v>
      </c>
      <c r="V417" s="137">
        <v>3.4405351567658781E-5</v>
      </c>
      <c r="W417" s="138">
        <v>1.6122485684864239E-7</v>
      </c>
      <c r="X417" s="137">
        <v>2.5461559481279626E-8</v>
      </c>
      <c r="Z417" s="74">
        <v>776</v>
      </c>
      <c r="AA417" s="137">
        <f t="shared" ca="1" si="90"/>
        <v>0</v>
      </c>
      <c r="AB417" s="137">
        <f t="shared" ca="1" si="91"/>
        <v>1.8515200000000001E-6</v>
      </c>
      <c r="AC417" s="137">
        <f t="shared" ca="1" si="92"/>
        <v>2.4020500000000002E-5</v>
      </c>
      <c r="AD417" s="137">
        <f t="shared" ca="1" si="93"/>
        <v>1.7310000000000001E-7</v>
      </c>
      <c r="AE417" s="137">
        <f t="shared" ca="1" si="94"/>
        <v>2.5480000000000001E-8</v>
      </c>
      <c r="AG417" s="74">
        <v>776</v>
      </c>
      <c r="AH417" s="136">
        <f t="shared" ca="1" si="95"/>
        <v>0</v>
      </c>
      <c r="AI417" s="136">
        <f t="shared" ca="1" si="96"/>
        <v>2.3859793814432993E-9</v>
      </c>
      <c r="AJ417" s="136">
        <f t="shared" ca="1" si="97"/>
        <v>3.0954252577319593E-8</v>
      </c>
      <c r="AK417" s="136">
        <f t="shared" ca="1" si="98"/>
        <v>2.2306701030927836E-10</v>
      </c>
      <c r="AL417" s="136">
        <f t="shared" ca="1" si="99"/>
        <v>3.2835051546391755E-11</v>
      </c>
      <c r="AN417" s="74">
        <v>776</v>
      </c>
      <c r="AO417" s="136" t="str">
        <f t="shared" ca="1" si="100"/>
        <v/>
      </c>
      <c r="AP417" s="136">
        <f t="shared" ca="1" si="101"/>
        <v>1.2898076703790167E-6</v>
      </c>
      <c r="AQ417" s="136">
        <f t="shared" ca="1" si="102"/>
        <v>1.754214753388544E-5</v>
      </c>
      <c r="AR417" s="136">
        <f t="shared" ca="1" si="103"/>
        <v>1.1276406539205246E-7</v>
      </c>
      <c r="AS417" s="136">
        <f t="shared" ca="1" si="104"/>
        <v>1.6055487686109906E-8</v>
      </c>
    </row>
    <row r="418" spans="9:45" ht="15" hidden="1" customHeight="1" x14ac:dyDescent="0.2">
      <c r="I418" s="74">
        <v>777</v>
      </c>
      <c r="J418" s="137">
        <v>1.8452850000000001E-5</v>
      </c>
      <c r="L418" s="74">
        <v>777</v>
      </c>
      <c r="M418" s="137"/>
      <c r="N418" s="137">
        <v>1.7424799999999999E-6</v>
      </c>
      <c r="O418" s="137">
        <v>2.2515999999999999E-5</v>
      </c>
      <c r="P418" s="138">
        <v>1.638E-7</v>
      </c>
      <c r="Q418" s="137">
        <v>2.4165999999999999E-8</v>
      </c>
      <c r="S418" s="74">
        <v>777</v>
      </c>
      <c r="T418" s="137">
        <v>1.2630077050456876E-10</v>
      </c>
      <c r="U418" s="137">
        <v>3.0266067757031734E-6</v>
      </c>
      <c r="V418" s="137">
        <v>3.2304944555231293E-5</v>
      </c>
      <c r="W418" s="138">
        <v>1.5244984951340867E-7</v>
      </c>
      <c r="X418" s="137">
        <v>2.4121093937736201E-8</v>
      </c>
      <c r="Z418" s="74">
        <v>777</v>
      </c>
      <c r="AA418" s="137">
        <f t="shared" ca="1" si="90"/>
        <v>0</v>
      </c>
      <c r="AB418" s="137">
        <f t="shared" ca="1" si="91"/>
        <v>1.7424799999999999E-6</v>
      </c>
      <c r="AC418" s="137">
        <f t="shared" ca="1" si="92"/>
        <v>2.2515999999999999E-5</v>
      </c>
      <c r="AD418" s="137">
        <f t="shared" ca="1" si="93"/>
        <v>1.638E-7</v>
      </c>
      <c r="AE418" s="137">
        <f t="shared" ca="1" si="94"/>
        <v>2.4165999999999999E-8</v>
      </c>
      <c r="AG418" s="74">
        <v>777</v>
      </c>
      <c r="AH418" s="136">
        <f t="shared" ca="1" si="95"/>
        <v>0</v>
      </c>
      <c r="AI418" s="136">
        <f t="shared" ca="1" si="96"/>
        <v>2.2425740025740025E-9</v>
      </c>
      <c r="AJ418" s="136">
        <f t="shared" ca="1" si="97"/>
        <v>2.8978120978120976E-8</v>
      </c>
      <c r="AK418" s="136">
        <f t="shared" ca="1" si="98"/>
        <v>2.1081081081081082E-10</v>
      </c>
      <c r="AL418" s="136">
        <f t="shared" ca="1" si="99"/>
        <v>3.1101673101673103E-11</v>
      </c>
      <c r="AN418" s="74">
        <v>777</v>
      </c>
      <c r="AO418" s="136" t="str">
        <f t="shared" ca="1" si="100"/>
        <v/>
      </c>
      <c r="AP418" s="136">
        <f t="shared" ca="1" si="101"/>
        <v>1.2122858950117289E-6</v>
      </c>
      <c r="AQ418" s="136">
        <f t="shared" ca="1" si="102"/>
        <v>1.6422249969797109E-5</v>
      </c>
      <c r="AR418" s="136">
        <f t="shared" ca="1" si="103"/>
        <v>1.0656835370977798E-7</v>
      </c>
      <c r="AS418" s="136">
        <f t="shared" ca="1" si="104"/>
        <v>1.5207910631594608E-8</v>
      </c>
    </row>
    <row r="419" spans="9:45" ht="15" hidden="1" customHeight="1" x14ac:dyDescent="0.2">
      <c r="I419" s="74">
        <v>778</v>
      </c>
      <c r="J419" s="137">
        <v>1.7216869999999999E-5</v>
      </c>
      <c r="L419" s="74">
        <v>778</v>
      </c>
      <c r="M419" s="137"/>
      <c r="N419" s="137">
        <v>1.6406E-6</v>
      </c>
      <c r="O419" s="137">
        <v>2.1114499999999999E-5</v>
      </c>
      <c r="P419" s="138">
        <v>1.5510000000000001E-7</v>
      </c>
      <c r="Q419" s="137">
        <v>2.29167E-8</v>
      </c>
      <c r="S419" s="74">
        <v>778</v>
      </c>
      <c r="T419" s="137">
        <v>1.2051247339724016E-10</v>
      </c>
      <c r="U419" s="137">
        <v>2.8510051381098128E-6</v>
      </c>
      <c r="V419" s="137">
        <v>3.0337654425330076E-5</v>
      </c>
      <c r="W419" s="138">
        <v>1.4417368535664632E-7</v>
      </c>
      <c r="X419" s="137">
        <v>2.2854461876846749E-8</v>
      </c>
      <c r="Z419" s="74">
        <v>778</v>
      </c>
      <c r="AA419" s="137">
        <f t="shared" ca="1" si="90"/>
        <v>0</v>
      </c>
      <c r="AB419" s="137">
        <f t="shared" ca="1" si="91"/>
        <v>1.6406E-6</v>
      </c>
      <c r="AC419" s="137">
        <f t="shared" ca="1" si="92"/>
        <v>2.1114499999999999E-5</v>
      </c>
      <c r="AD419" s="137">
        <f t="shared" ca="1" si="93"/>
        <v>1.5510000000000001E-7</v>
      </c>
      <c r="AE419" s="137">
        <f t="shared" ca="1" si="94"/>
        <v>2.29167E-8</v>
      </c>
      <c r="AG419" s="74">
        <v>778</v>
      </c>
      <c r="AH419" s="136">
        <f t="shared" ca="1" si="95"/>
        <v>0</v>
      </c>
      <c r="AI419" s="136">
        <f t="shared" ca="1" si="96"/>
        <v>2.1087403598971722E-9</v>
      </c>
      <c r="AJ419" s="136">
        <f t="shared" ca="1" si="97"/>
        <v>2.7139460154241646E-8</v>
      </c>
      <c r="AK419" s="136">
        <f t="shared" ca="1" si="98"/>
        <v>1.9935732647814911E-10</v>
      </c>
      <c r="AL419" s="136">
        <f t="shared" ca="1" si="99"/>
        <v>2.9455912596401028E-11</v>
      </c>
      <c r="AN419" s="74">
        <v>778</v>
      </c>
      <c r="AO419" s="136" t="str">
        <f t="shared" ca="1" si="100"/>
        <v/>
      </c>
      <c r="AP419" s="136">
        <f t="shared" ca="1" si="101"/>
        <v>1.1399383884817599E-6</v>
      </c>
      <c r="AQ419" s="136">
        <f t="shared" ca="1" si="102"/>
        <v>1.5380258748826735E-5</v>
      </c>
      <c r="AR419" s="136">
        <f t="shared" ca="1" si="103"/>
        <v>1.0077842782847257E-7</v>
      </c>
      <c r="AS419" s="136">
        <f t="shared" ca="1" si="104"/>
        <v>1.4403176474581066E-8</v>
      </c>
    </row>
    <row r="420" spans="9:45" ht="15" hidden="1" customHeight="1" x14ac:dyDescent="0.2">
      <c r="I420" s="74">
        <v>779</v>
      </c>
      <c r="J420" s="137">
        <v>1.6064590000000001E-5</v>
      </c>
      <c r="L420" s="74">
        <v>779</v>
      </c>
      <c r="M420" s="137"/>
      <c r="N420" s="137">
        <v>1.5450700000000001E-6</v>
      </c>
      <c r="O420" s="137">
        <v>1.98046E-5</v>
      </c>
      <c r="P420" s="138">
        <v>1.4679999999999999E-7</v>
      </c>
      <c r="Q420" s="137">
        <v>2.1710500000000001E-8</v>
      </c>
      <c r="S420" s="74">
        <v>779</v>
      </c>
      <c r="T420" s="137">
        <v>1.1500321988643426E-10</v>
      </c>
      <c r="U420" s="137">
        <v>2.6860123179797722E-6</v>
      </c>
      <c r="V420" s="137">
        <v>2.849456294040933E-5</v>
      </c>
      <c r="W420" s="138">
        <v>1.3636628209177142E-7</v>
      </c>
      <c r="X420" s="137">
        <v>2.1657334284940802E-8</v>
      </c>
      <c r="Z420" s="74">
        <v>779</v>
      </c>
      <c r="AA420" s="137">
        <f t="shared" ca="1" si="90"/>
        <v>0</v>
      </c>
      <c r="AB420" s="137">
        <f t="shared" ca="1" si="91"/>
        <v>1.5450700000000001E-6</v>
      </c>
      <c r="AC420" s="137">
        <f t="shared" ca="1" si="92"/>
        <v>1.98046E-5</v>
      </c>
      <c r="AD420" s="137">
        <f t="shared" ca="1" si="93"/>
        <v>1.4679999999999999E-7</v>
      </c>
      <c r="AE420" s="137">
        <f t="shared" ca="1" si="94"/>
        <v>2.1710500000000001E-8</v>
      </c>
      <c r="AG420" s="74">
        <v>779</v>
      </c>
      <c r="AH420" s="136">
        <f t="shared" ca="1" si="95"/>
        <v>0</v>
      </c>
      <c r="AI420" s="136">
        <f t="shared" ca="1" si="96"/>
        <v>1.9834017971758666E-9</v>
      </c>
      <c r="AJ420" s="136">
        <f t="shared" ca="1" si="97"/>
        <v>2.5423106546854942E-8</v>
      </c>
      <c r="AK420" s="136">
        <f t="shared" ca="1" si="98"/>
        <v>1.8844672657252886E-10</v>
      </c>
      <c r="AL420" s="136">
        <f t="shared" ca="1" si="99"/>
        <v>2.7869704749679076E-11</v>
      </c>
      <c r="AN420" s="74">
        <v>779</v>
      </c>
      <c r="AO420" s="136" t="str">
        <f t="shared" ca="1" si="100"/>
        <v/>
      </c>
      <c r="AP420" s="136">
        <f t="shared" ca="1" si="101"/>
        <v>1.0721831342454764E-6</v>
      </c>
      <c r="AQ420" s="136">
        <f t="shared" ca="1" si="102"/>
        <v>1.4407580499662524E-5</v>
      </c>
      <c r="AR420" s="136">
        <f t="shared" ca="1" si="103"/>
        <v>9.5262939009583292E-8</v>
      </c>
      <c r="AS420" s="136">
        <f t="shared" ca="1" si="104"/>
        <v>1.3627562021389996E-8</v>
      </c>
    </row>
    <row r="421" spans="9:45" ht="15" hidden="1" customHeight="1" x14ac:dyDescent="0.2">
      <c r="I421" s="74">
        <v>780</v>
      </c>
      <c r="J421" s="137">
        <v>1.499E-5</v>
      </c>
      <c r="L421" s="74">
        <v>780</v>
      </c>
      <c r="M421" s="137"/>
      <c r="N421" s="137">
        <v>1.4551799999999999E-6</v>
      </c>
      <c r="O421" s="137">
        <v>1.8576600000000001E-5</v>
      </c>
      <c r="P421" s="138">
        <v>1.3899999999999999E-7</v>
      </c>
      <c r="Q421" s="137">
        <v>2.05258E-8</v>
      </c>
      <c r="S421" s="74">
        <v>780</v>
      </c>
      <c r="T421" s="137">
        <v>1.0976149154120262E-10</v>
      </c>
      <c r="U421" s="137">
        <v>2.5309583594829539E-6</v>
      </c>
      <c r="V421" s="137">
        <v>2.6767696531561889E-5</v>
      </c>
      <c r="W421" s="138">
        <v>1.2900068011956803E-7</v>
      </c>
      <c r="X421" s="137">
        <v>2.0525795609525282E-8</v>
      </c>
      <c r="Z421" s="74">
        <v>780</v>
      </c>
      <c r="AA421" s="137">
        <f t="shared" ca="1" si="90"/>
        <v>0</v>
      </c>
      <c r="AB421" s="137">
        <f t="shared" ca="1" si="91"/>
        <v>1.4551799999999999E-6</v>
      </c>
      <c r="AC421" s="137">
        <f t="shared" ca="1" si="92"/>
        <v>1.8576600000000001E-5</v>
      </c>
      <c r="AD421" s="137">
        <f t="shared" ca="1" si="93"/>
        <v>1.3899999999999999E-7</v>
      </c>
      <c r="AE421" s="137">
        <f t="shared" ca="1" si="94"/>
        <v>2.05258E-8</v>
      </c>
      <c r="AG421" s="74">
        <v>780</v>
      </c>
      <c r="AH421" s="136">
        <f t="shared" ca="1" si="95"/>
        <v>0</v>
      </c>
      <c r="AI421" s="136">
        <f t="shared" ca="1" si="96"/>
        <v>1.8656153846153846E-9</v>
      </c>
      <c r="AJ421" s="136">
        <f t="shared" ca="1" si="97"/>
        <v>2.3816153846153848E-8</v>
      </c>
      <c r="AK421" s="136">
        <f t="shared" ca="1" si="98"/>
        <v>1.7820512820512818E-10</v>
      </c>
      <c r="AL421" s="136">
        <f t="shared" ca="1" si="99"/>
        <v>2.6315128205128205E-11</v>
      </c>
      <c r="AN421" s="74">
        <v>780</v>
      </c>
      <c r="AO421" s="136" t="str">
        <f t="shared" ca="1" si="100"/>
        <v/>
      </c>
      <c r="AP421" s="136">
        <f t="shared" ca="1" si="101"/>
        <v>1.00851040531559E-6</v>
      </c>
      <c r="AQ421" s="136">
        <f t="shared" ca="1" si="102"/>
        <v>1.3496901061182759E-5</v>
      </c>
      <c r="AR421" s="136">
        <f t="shared" ca="1" si="103"/>
        <v>9.0085641540004612E-8</v>
      </c>
      <c r="AS421" s="136">
        <f t="shared" ca="1" si="104"/>
        <v>1.2867414453694322E-8</v>
      </c>
    </row>
  </sheetData>
  <sheetProtection password="CAB0" sheet="1" objects="1" scenario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7" tint="-0.249977111117893"/>
  </sheetPr>
  <dimension ref="A1:BE427"/>
  <sheetViews>
    <sheetView workbookViewId="0">
      <selection activeCell="B3" sqref="B3"/>
    </sheetView>
  </sheetViews>
  <sheetFormatPr baseColWidth="10" defaultColWidth="0" defaultRowHeight="15" zeroHeight="1" x14ac:dyDescent="0.2"/>
  <cols>
    <col min="1" max="1" width="5.6640625" style="183" customWidth="1"/>
    <col min="2" max="5" width="15.6640625" style="183" customWidth="1"/>
    <col min="6" max="6" width="9.1640625" style="183" customWidth="1"/>
    <col min="7" max="56" width="0.1640625" style="147" customWidth="1"/>
    <col min="57" max="57" width="9.1640625" style="183" hidden="1" customWidth="1"/>
    <col min="58" max="16384" width="9.1640625" style="183" hidden="1"/>
  </cols>
  <sheetData>
    <row r="1" spans="1:57" s="73" customFormat="1" ht="25" customHeight="1" x14ac:dyDescent="0.3">
      <c r="B1" s="140" t="str">
        <f>LEFT(Disclaimer!B1,Maintenance!I3)</f>
        <v>CIE S 026 α-opic Toolbox - v1.049a - 2020/11</v>
      </c>
      <c r="G1" s="135" t="s">
        <v>318</v>
      </c>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73" t="s">
        <v>322</v>
      </c>
    </row>
    <row r="2" spans="1:57" x14ac:dyDescent="0.2">
      <c r="A2" s="73"/>
      <c r="B2" s="73"/>
      <c r="C2" s="73"/>
      <c r="D2" s="73"/>
      <c r="BE2" s="183" t="s">
        <v>314</v>
      </c>
    </row>
    <row r="3" spans="1:57" x14ac:dyDescent="0.2">
      <c r="A3" s="73"/>
      <c r="B3" s="145" t="s">
        <v>294</v>
      </c>
      <c r="C3" s="146" t="s">
        <v>234</v>
      </c>
      <c r="D3" s="73"/>
      <c r="M3" s="147" t="s">
        <v>250</v>
      </c>
      <c r="N3" s="148" t="s">
        <v>244</v>
      </c>
      <c r="O3" s="148"/>
      <c r="P3" s="148" t="s">
        <v>240</v>
      </c>
      <c r="Q3" s="148" t="s">
        <v>243</v>
      </c>
      <c r="R3" s="148" t="s">
        <v>242</v>
      </c>
      <c r="AM3" s="147" t="s">
        <v>251</v>
      </c>
      <c r="AN3" s="148" t="s">
        <v>244</v>
      </c>
      <c r="AO3" s="148"/>
      <c r="AP3" s="148" t="s">
        <v>240</v>
      </c>
      <c r="AQ3" s="148" t="s">
        <v>243</v>
      </c>
      <c r="AR3" s="148" t="s">
        <v>242</v>
      </c>
      <c r="BE3" s="183" t="s">
        <v>315</v>
      </c>
    </row>
    <row r="4" spans="1:57" x14ac:dyDescent="0.2">
      <c r="A4" s="73"/>
      <c r="B4" s="73"/>
      <c r="C4" s="146" t="s">
        <v>235</v>
      </c>
      <c r="D4" s="73"/>
      <c r="M4" s="148" t="s">
        <v>247</v>
      </c>
      <c r="N4" s="147">
        <f ca="1">'Advanced Outputs'!$C$12</f>
        <v>1</v>
      </c>
      <c r="O4" s="148" t="s">
        <v>249</v>
      </c>
      <c r="P4" s="147">
        <f ca="1">'Advanced Outputs'!$F$12*$J$14</f>
        <v>100.00000000000001</v>
      </c>
      <c r="Q4" s="147">
        <f ca="1">'Advanced Outputs'!$H$12*$J$14</f>
        <v>1E-3</v>
      </c>
      <c r="R4" s="147">
        <f ca="1">'Advanced Outputs'!$J$12*$J$14</f>
        <v>1E-4</v>
      </c>
      <c r="AM4" s="148" t="s">
        <v>247</v>
      </c>
      <c r="AN4" s="147">
        <f ca="1">'Advanced Outputs'!$C$12</f>
        <v>1</v>
      </c>
      <c r="AO4" s="148" t="s">
        <v>249</v>
      </c>
      <c r="AP4" s="147">
        <f ca="1">'Advanced Outputs'!$F$12*$AJ$14</f>
        <v>100.00000000000001</v>
      </c>
      <c r="AQ4" s="147">
        <f ca="1">'Advanced Outputs'!$H$12*$AJ$14</f>
        <v>1E-3</v>
      </c>
      <c r="AR4" s="147">
        <f ca="1">'Advanced Outputs'!$J$12*$AJ$14</f>
        <v>1E-4</v>
      </c>
    </row>
    <row r="5" spans="1:57" ht="15" customHeight="1" x14ac:dyDescent="0.2">
      <c r="A5" s="73"/>
      <c r="B5" s="73"/>
      <c r="C5" s="73"/>
      <c r="D5" s="73"/>
      <c r="M5" s="148" t="s">
        <v>224</v>
      </c>
      <c r="N5" s="149">
        <f>Inputs!C17</f>
        <v>0</v>
      </c>
      <c r="O5" s="148" t="s">
        <v>248</v>
      </c>
      <c r="P5" s="149">
        <f ca="1">SUMPRODUCT($M$21:$M$421,$K$21:$K$421)*P4</f>
        <v>52.845411822802035</v>
      </c>
      <c r="Q5" s="149">
        <f ca="1">Physics!$F$12*SUMPRODUCT($M$21:$M$421,$K$21:$K$421,$L$21:$L$421)*Q4</f>
        <v>0.10000022779377528</v>
      </c>
      <c r="R5" s="150">
        <f ca="1">LOG(SUMPRODUCT($S$21:$S$421,$K$21:$K$421)*R4)</f>
        <v>14.164106439317639</v>
      </c>
      <c r="AM5" s="148" t="s">
        <v>224</v>
      </c>
      <c r="AN5" s="149">
        <f>Inputs!AC17</f>
        <v>0</v>
      </c>
      <c r="AO5" s="148" t="s">
        <v>248</v>
      </c>
      <c r="AP5" s="149">
        <f ca="1">SUMPRODUCT($AM$21:$AM$421,$AK$21:$AK$421)*AP4</f>
        <v>48.822857135057937</v>
      </c>
      <c r="AQ5" s="149">
        <f ca="1">Physics!$F$12*SUMPRODUCT($AM$21:$AM$421,$AK$21:$AK$421,$AL$21:$AL$421)*AQ4</f>
        <v>0.10000022779377528</v>
      </c>
      <c r="AR5" s="150">
        <f ca="1">LOG(SUMPRODUCT($AS$21:$AS$421,$AK$21:$AK$421)*AR4)</f>
        <v>14.143474547981475</v>
      </c>
    </row>
    <row r="6" spans="1:57" s="147" customFormat="1" ht="0.25" customHeight="1" x14ac:dyDescent="0.2">
      <c r="A6" s="147" t="s">
        <v>319</v>
      </c>
      <c r="M6" s="148"/>
      <c r="AM6" s="148"/>
    </row>
    <row r="7" spans="1:57" s="147" customFormat="1" ht="0.25" customHeight="1" x14ac:dyDescent="0.2">
      <c r="M7" s="148" t="s">
        <v>245</v>
      </c>
      <c r="N7" s="149">
        <f ca="1">SUMPRODUCT($M$21:$M$421,$K$21:$K$421,N$21:N$421)*$P$4</f>
        <v>10.805424485590022</v>
      </c>
      <c r="O7" s="149">
        <f t="shared" ref="O7:R7" ca="1" si="0">SUMPRODUCT($M$21:$M$421,$K$21:$K$421,O$21:O$421)*$P$4</f>
        <v>15.332889011859232</v>
      </c>
      <c r="P7" s="149">
        <f t="shared" ca="1" si="0"/>
        <v>16.358942951191867</v>
      </c>
      <c r="Q7" s="149">
        <f t="shared" ca="1" si="0"/>
        <v>16.652147889902913</v>
      </c>
      <c r="R7" s="149">
        <f t="shared" ca="1" si="0"/>
        <v>15.75558207326039</v>
      </c>
      <c r="AM7" s="148" t="s">
        <v>245</v>
      </c>
      <c r="AN7" s="149">
        <f ca="1">SUMPRODUCT($AM$21:$AM$421,$AK$21:$AK$421,AN$21:AN$421)*$AP$4</f>
        <v>8.1729170115389156</v>
      </c>
      <c r="AO7" s="149">
        <f t="shared" ref="AO7:AR7" ca="1" si="1">SUMPRODUCT($AM$21:$AM$421,$AK$21:$AK$421,AO$21:AO$421)*$AP$4</f>
        <v>14.558298242869736</v>
      </c>
      <c r="AP7" s="149">
        <f t="shared" ca="1" si="1"/>
        <v>16.289114395773801</v>
      </c>
      <c r="AQ7" s="149">
        <f t="shared" ca="1" si="1"/>
        <v>14.497072267681787</v>
      </c>
      <c r="AR7" s="149">
        <f t="shared" ca="1" si="1"/>
        <v>13.262165481304111</v>
      </c>
    </row>
    <row r="8" spans="1:57" s="147" customFormat="1" ht="0.25" customHeight="1" x14ac:dyDescent="0.2">
      <c r="M8" s="148" t="s">
        <v>238</v>
      </c>
      <c r="N8" s="151">
        <f ca="1">1000*N7/$Q$5*$Q$4/$P$4</f>
        <v>1.0805399871561718</v>
      </c>
      <c r="O8" s="151">
        <f t="shared" ref="O8:R8" ca="1" si="2">1000*O7/$Q$5*$Q$4/$P$4</f>
        <v>1.5332854084572052</v>
      </c>
      <c r="P8" s="151">
        <f t="shared" ca="1" si="2"/>
        <v>1.6358905686623006</v>
      </c>
      <c r="Q8" s="151">
        <f t="shared" ca="1" si="2"/>
        <v>1.6652109957432977</v>
      </c>
      <c r="R8" s="151">
        <f t="shared" ca="1" si="2"/>
        <v>1.5755546183106921</v>
      </c>
      <c r="AM8" s="148" t="s">
        <v>238</v>
      </c>
      <c r="AN8" s="151">
        <f ca="1">1000*AN7/$AQ$5*$AQ$4/$AP$4</f>
        <v>0.8172898394185113</v>
      </c>
      <c r="AO8" s="151">
        <f t="shared" ref="AO8:AR8" ca="1" si="3">1000*AO7/$AQ$5*$AQ$4/$AP$4</f>
        <v>1.4558265080048092</v>
      </c>
      <c r="AP8" s="151">
        <f t="shared" ca="1" si="3"/>
        <v>1.628907729026968</v>
      </c>
      <c r="AQ8" s="151">
        <f t="shared" ca="1" si="3"/>
        <v>1.4497039244328787</v>
      </c>
      <c r="AR8" s="151">
        <f t="shared" ca="1" si="3"/>
        <v>1.3262135270985493</v>
      </c>
    </row>
    <row r="9" spans="1:57" s="147" customFormat="1" ht="0.25" customHeight="1" x14ac:dyDescent="0.2">
      <c r="M9" s="148" t="s">
        <v>239</v>
      </c>
      <c r="N9" s="151">
        <f ca="1">N8/AN8</f>
        <v>1.322101334240199</v>
      </c>
      <c r="O9" s="151">
        <f t="shared" ref="O9:R9" ca="1" si="4">O8/AO8</f>
        <v>1.0532061341282708</v>
      </c>
      <c r="P9" s="151">
        <f t="shared" ca="1" si="4"/>
        <v>1.0042868233177971</v>
      </c>
      <c r="Q9" s="151">
        <f t="shared" ca="1" si="4"/>
        <v>1.1486559204802629</v>
      </c>
      <c r="R9" s="151">
        <f t="shared" ca="1" si="4"/>
        <v>1.1880097632224005</v>
      </c>
      <c r="AM9" s="148" t="s">
        <v>239</v>
      </c>
      <c r="AN9" s="151">
        <f ca="1">AN8/AN8</f>
        <v>1</v>
      </c>
      <c r="AO9" s="151">
        <f t="shared" ref="AO9:AR9" ca="1" si="5">AO8/AO8</f>
        <v>1</v>
      </c>
      <c r="AP9" s="151">
        <f t="shared" ca="1" si="5"/>
        <v>1</v>
      </c>
      <c r="AQ9" s="151">
        <f t="shared" ca="1" si="5"/>
        <v>1</v>
      </c>
      <c r="AR9" s="151">
        <f t="shared" ca="1" si="5"/>
        <v>1</v>
      </c>
    </row>
    <row r="10" spans="1:57" s="147" customFormat="1" ht="0.25" customHeight="1" x14ac:dyDescent="0.2">
      <c r="M10" s="148" t="s">
        <v>241</v>
      </c>
      <c r="N10" s="149">
        <f ca="1">1000*N7/AN8*$Q$4/$P$4</f>
        <v>0.13221043459047416</v>
      </c>
      <c r="O10" s="149">
        <f t="shared" ref="O10:R10" ca="1" si="6">1000*O7/AO8*$Q$4/$P$4</f>
        <v>0.10532085332662855</v>
      </c>
      <c r="P10" s="149">
        <f t="shared" ca="1" si="6"/>
        <v>0.10042891110206667</v>
      </c>
      <c r="Q10" s="149">
        <f t="shared" ca="1" si="6"/>
        <v>0.1148658537046949</v>
      </c>
      <c r="R10" s="149">
        <f t="shared" ca="1" si="6"/>
        <v>0.11880124694346908</v>
      </c>
      <c r="AM10" s="148" t="s">
        <v>241</v>
      </c>
      <c r="AN10" s="149">
        <f ca="1">1000*AN7/AN8*$AQ$4/$AP$4</f>
        <v>0.10000022779377528</v>
      </c>
      <c r="AO10" s="149">
        <f t="shared" ref="AO10:AR10" ca="1" si="7">1000*AO7/AO8*$AQ$4/$AP$4</f>
        <v>0.10000022779377529</v>
      </c>
      <c r="AP10" s="149">
        <f t="shared" ca="1" si="7"/>
        <v>0.10000022779377529</v>
      </c>
      <c r="AQ10" s="149">
        <f t="shared" ca="1" si="7"/>
        <v>0.10000022779377529</v>
      </c>
      <c r="AR10" s="149">
        <f t="shared" ca="1" si="7"/>
        <v>0.10000022779377528</v>
      </c>
    </row>
    <row r="11" spans="1:57" s="147" customFormat="1" ht="0.25" customHeight="1" x14ac:dyDescent="0.2">
      <c r="M11" s="148" t="s">
        <v>246</v>
      </c>
      <c r="N11" s="150">
        <f ca="1">LOG(SUMPRODUCT($S$21:$S$421,$K$21:$K$421,T$21:T$421)*$R$4)</f>
        <v>13.386412201175018</v>
      </c>
      <c r="O11" s="150">
        <f t="shared" ref="O11:R11" ca="1" si="8">LOG(SUMPRODUCT($S$21:$S$421,$K$21:$K$421,U$21:U$421)*$R$4)</f>
        <v>13.620527114038479</v>
      </c>
      <c r="P11" s="150">
        <f t="shared" ca="1" si="8"/>
        <v>13.669162528191324</v>
      </c>
      <c r="Q11" s="150">
        <f t="shared" ca="1" si="8"/>
        <v>13.627250490465116</v>
      </c>
      <c r="R11" s="150">
        <f t="shared" ca="1" si="8"/>
        <v>13.588765104839268</v>
      </c>
      <c r="AM11" s="148" t="s">
        <v>246</v>
      </c>
      <c r="AN11" s="150">
        <f ca="1">LOG(SUMPRODUCT($AS$21:$AS$421,$AK$21:$AK$421,AT$21:AT$421)*$AR$4)</f>
        <v>13.265147457663263</v>
      </c>
      <c r="AO11" s="150">
        <f t="shared" ref="AO11:AR11" ca="1" si="9">LOG(SUMPRODUCT($AS$21:$AS$421,$AK$21:$AK$421,AU$21:AU$421)*$AR$4)</f>
        <v>13.598013734160562</v>
      </c>
      <c r="AP11" s="150">
        <f t="shared" ca="1" si="9"/>
        <v>13.667304763594899</v>
      </c>
      <c r="AQ11" s="150">
        <f t="shared" ca="1" si="9"/>
        <v>13.567060535071567</v>
      </c>
      <c r="AR11" s="150">
        <f t="shared" ca="1" si="9"/>
        <v>13.513945095089557</v>
      </c>
    </row>
    <row r="12" spans="1:57" s="147" customFormat="1" ht="0.25" customHeight="1" x14ac:dyDescent="0.2"/>
    <row r="13" spans="1:57" s="147" customFormat="1" ht="0.25" customHeight="1" x14ac:dyDescent="0.2"/>
    <row r="14" spans="1:57" s="147" customFormat="1" ht="0.25" customHeight="1" x14ac:dyDescent="0.2">
      <c r="I14" s="147" t="s">
        <v>223</v>
      </c>
      <c r="J14" s="147">
        <f>INDEX(Spectra!15:15,1,MATCH($I$20,Spectra!20:20,0))</f>
        <v>1</v>
      </c>
      <c r="K14" s="148" t="s">
        <v>225</v>
      </c>
      <c r="L14" s="148" t="s">
        <v>224</v>
      </c>
      <c r="M14" s="148" t="s">
        <v>227</v>
      </c>
      <c r="N14" s="148">
        <v>27</v>
      </c>
      <c r="O14" s="148">
        <v>28</v>
      </c>
      <c r="P14" s="148">
        <v>29</v>
      </c>
      <c r="Q14" s="148">
        <v>30</v>
      </c>
      <c r="R14" s="148">
        <v>31</v>
      </c>
      <c r="S14" s="148" t="s">
        <v>227</v>
      </c>
      <c r="T14" s="152">
        <v>41</v>
      </c>
      <c r="U14" s="152">
        <v>42</v>
      </c>
      <c r="V14" s="152">
        <v>43</v>
      </c>
      <c r="W14" s="152">
        <v>44</v>
      </c>
      <c r="X14" s="152">
        <v>45</v>
      </c>
      <c r="Y14" s="147" t="s">
        <v>78</v>
      </c>
      <c r="AI14" s="147" t="s">
        <v>223</v>
      </c>
      <c r="AJ14" s="147">
        <f>INDEX(Spectra!15:15,1,MATCH($AI$20,Spectra!20:20,0))</f>
        <v>1</v>
      </c>
      <c r="AK14" s="148" t="s">
        <v>225</v>
      </c>
      <c r="AL14" s="148" t="s">
        <v>224</v>
      </c>
      <c r="AM14" s="148" t="s">
        <v>227</v>
      </c>
      <c r="AN14" s="148">
        <v>27</v>
      </c>
      <c r="AO14" s="148">
        <v>28</v>
      </c>
      <c r="AP14" s="148">
        <v>29</v>
      </c>
      <c r="AQ14" s="148">
        <v>30</v>
      </c>
      <c r="AR14" s="148">
        <v>31</v>
      </c>
      <c r="AS14" s="148" t="s">
        <v>227</v>
      </c>
      <c r="AT14" s="152">
        <v>41</v>
      </c>
      <c r="AU14" s="152">
        <v>42</v>
      </c>
      <c r="AV14" s="152">
        <v>43</v>
      </c>
      <c r="AW14" s="152">
        <v>44</v>
      </c>
      <c r="AX14" s="152">
        <v>45</v>
      </c>
      <c r="AY14" s="147" t="s">
        <v>78</v>
      </c>
    </row>
    <row r="15" spans="1:57" s="147" customFormat="1" ht="0.25" customHeight="1" x14ac:dyDescent="0.2">
      <c r="I15" s="147" t="s">
        <v>237</v>
      </c>
      <c r="J15" s="147">
        <f>IF(Inputs!$C$8="User",1,L15/K15)</f>
        <v>1</v>
      </c>
      <c r="K15" s="147">
        <f>INDEX(K$16:K$18,MATCH(TRUE,$J$16:$J$18,0),1)</f>
        <v>0.52845411822802024</v>
      </c>
      <c r="L15" s="147">
        <f>INDEX(L$16:L$18,MATCH(TRUE,$J$16:$J$18,0),1)</f>
        <v>0</v>
      </c>
      <c r="Y15" s="135" t="str">
        <f ca="1">IF(OR(Inputs!B5="",Inputs!C8=""),"Please input a test source and name",IF(Inputs!C8="User",Inputs!B5,"Illuminant "&amp;Inputs!C8)&amp;", Test source")&amp;": "&amp;Physics!F48&amp;" = "&amp;TEXT(AQ5,"0.0")&amp;" "&amp;Physics!G48</f>
        <v>Enter a title for your data, Test source: illuminance = 00 klx</v>
      </c>
      <c r="AI15" s="147" t="s">
        <v>237</v>
      </c>
      <c r="AJ15" s="147">
        <f>IF(Inputs!$C$8="User",K16/AK16,AL15/AK15)</f>
        <v>1.3855600381514122E-5</v>
      </c>
      <c r="AK15" s="147">
        <f>INDEX(AK$16:AK$18,MATCH(TRUE,$J$16:$J$18,0),1)</f>
        <v>35236.912000000018</v>
      </c>
      <c r="AL15" s="147">
        <f>INDEX(AL$16:AL$18,MATCH(TRUE,$J$16:$J$18,0),1)</f>
        <v>0</v>
      </c>
      <c r="AY15" s="135" t="str">
        <f>IF(OR(Inputs!B5="",Inputs!C8=""),"Please input a test source and name",IF('Advanced Inputs'!$J$11="CIE S 026","","IWCNP ")&amp;"α-opic weighted spectra for "&amp;IF(Inputs!C8="User",Inputs!B5,"Illuminant "&amp;Inputs!C8)&amp;", Test")</f>
        <v>α-opic weighted spectra for Enter a title for your data, Test</v>
      </c>
    </row>
    <row r="16" spans="1:57" s="147" customFormat="1" ht="0.25" customHeight="1" x14ac:dyDescent="0.2">
      <c r="I16" s="147" t="s">
        <v>171</v>
      </c>
      <c r="J16" s="147" t="b">
        <f>Physics!$C$64=$I$16</f>
        <v>0</v>
      </c>
      <c r="K16" s="147">
        <f>$J$14*Physics!$F$12*SUMPRODUCT($I$21:$I$421,IF($J18,$K$21:$K$421,$J$21:$J$421),$K$21:$K$421,$L$21:$L$421)</f>
        <v>100.00022779377528</v>
      </c>
      <c r="L16" s="147">
        <f>IF($J16,Inputs!$C$17,0)</f>
        <v>0</v>
      </c>
      <c r="Y16" s="135" t="str">
        <f ca="1">IF('Advanced Inputs'!J15="","",'Advanced Inputs'!J15)&amp;", Reference source: "&amp;Physics!F48&amp;" = "&amp;TEXT(AQ5,"0.0")&amp;" "&amp;Physics!G48</f>
        <v>D65, Reference source: illuminance = 00 klx</v>
      </c>
      <c r="AI16" s="147" t="s">
        <v>171</v>
      </c>
      <c r="AJ16" s="153" t="s">
        <v>226</v>
      </c>
      <c r="AK16" s="147">
        <f>$AJ$14*Physics!$F$12*SUMPRODUCT($AI$21:$AI$421,IF($AJ18,$AK$21:$AK$421,$AJ$21:$AJ$421),$AK$21:$AK$421,$AL$21:$AL$421)</f>
        <v>7217314.6626828006</v>
      </c>
      <c r="AL16" s="147">
        <f>IF($J16,Inputs!$C$17,0)</f>
        <v>0</v>
      </c>
      <c r="AY16" s="135" t="str">
        <f>IF('Advanced Inputs'!$J$11="CIE S 026","","IWCNP ")&amp;"α-opic weighted spectra for "&amp;IF('Advanced Inputs'!J15="","",'Advanced Inputs'!J15)&amp;", Reference"</f>
        <v>α-opic weighted spectra for D65, Reference</v>
      </c>
    </row>
    <row r="17" spans="8:56" s="147" customFormat="1" ht="0.25" customHeight="1" x14ac:dyDescent="0.2">
      <c r="I17" s="154" t="s">
        <v>167</v>
      </c>
      <c r="J17" s="147" t="b">
        <f>LEFT(Physics!$C$60,6)="photon"</f>
        <v>0</v>
      </c>
      <c r="K17" s="147">
        <f>$J$14*SUMPRODUCT($I$21:$I$421,IF($J17,$K$21:$K$421,$J$21:$J$421),$K$21:$K$421)</f>
        <v>1.4591718384401784E+18</v>
      </c>
      <c r="L17" s="147">
        <f>IF($J17,10^Inputs!$C$17,0)</f>
        <v>0</v>
      </c>
      <c r="AI17" s="154" t="s">
        <v>167</v>
      </c>
      <c r="AJ17" s="153" t="b">
        <f>'Advanced Inputs'!$J$19=AI17</f>
        <v>0</v>
      </c>
      <c r="AK17" s="147">
        <f>$AJ$14*SUMPRODUCT($AI$21:$AI$421,IF($AJ17,$AK$21:$AK$421,$AJ$21:$AJ$421),$AK$21:$AK$421)</f>
        <v>1.0042670157191821E+23</v>
      </c>
      <c r="AL17" s="147">
        <f>IF($J17,10^Inputs!$C$17,0)</f>
        <v>0</v>
      </c>
      <c r="AY17" s="147" t="str">
        <f>IF('Advanced Inputs'!$J$11="CIE S 026","","IWCNP ")&amp;"α-opic action spectra"</f>
        <v>α-opic action spectra</v>
      </c>
    </row>
    <row r="18" spans="8:56" s="147" customFormat="1" ht="0.25" customHeight="1" x14ac:dyDescent="0.2">
      <c r="I18" s="147" t="s">
        <v>165</v>
      </c>
      <c r="J18" s="147" t="b">
        <f>NOT(J17)</f>
        <v>1</v>
      </c>
      <c r="K18" s="147">
        <f>$J$14*SUMPRODUCT($I$21:$I$421,IF($J18,$K$21:$K$421,$J$21:$J$421),$K$21:$K$421)</f>
        <v>0.52845411822802024</v>
      </c>
      <c r="L18" s="147">
        <f>IF(NOT(OR($J$16,$J$17)),Inputs!$C$17,0)</f>
        <v>0</v>
      </c>
      <c r="M18" s="147" t="str">
        <f>Physics!$F$61</f>
        <v>W.m-2.nm-1</v>
      </c>
      <c r="S18" s="147" t="str">
        <f>Physics!$F$60</f>
        <v>s-1.m-2.nm-1</v>
      </c>
      <c r="Y18" s="147" t="str">
        <f>IF(TRUE,M18,S18)</f>
        <v>W.m-2.nm-1</v>
      </c>
      <c r="AI18" s="147" t="s">
        <v>165</v>
      </c>
      <c r="AJ18" s="153" t="b">
        <f>NOT(AJ17)</f>
        <v>1</v>
      </c>
      <c r="AK18" s="147">
        <f>$AJ$14*SUMPRODUCT($AI$21:$AI$421,IF($AJ18,$AK$21:$AK$421,$AJ$21:$AJ$421),$AK$21:$AK$421)</f>
        <v>35236.912000000018</v>
      </c>
      <c r="AL18" s="147">
        <f>IF(NOT(OR($J$16,$J$17)),Inputs!$C$17,0)</f>
        <v>0</v>
      </c>
      <c r="AM18" s="147" t="str">
        <f>Physics!$F$61</f>
        <v>W.m-2.nm-1</v>
      </c>
      <c r="AS18" s="147" t="str">
        <f>Physics!$F$60</f>
        <v>s-1.m-2.nm-1</v>
      </c>
      <c r="AY18" s="147" t="str">
        <f>IF(TRUE,AM18,AS18)</f>
        <v>W.m-2.nm-1</v>
      </c>
    </row>
    <row r="19" spans="8:56" s="147" customFormat="1" ht="0.25" customHeight="1" x14ac:dyDescent="0.2"/>
    <row r="20" spans="8:56" s="147" customFormat="1" ht="0.25" customHeight="1" x14ac:dyDescent="0.2">
      <c r="H20" s="122" t="s">
        <v>12</v>
      </c>
      <c r="I20" s="147" t="str">
        <f>Inputs!$C$8</f>
        <v>User</v>
      </c>
      <c r="J20" s="147" t="s">
        <v>222</v>
      </c>
      <c r="K20" s="147" t="s">
        <v>221</v>
      </c>
      <c r="L20" s="147" t="s">
        <v>220</v>
      </c>
      <c r="M20" s="147" t="s">
        <v>165</v>
      </c>
      <c r="N20" s="147" t="str">
        <f ca="1">INDEX(Photobiology!$20:$20,1,N$14)</f>
        <v>sc</v>
      </c>
      <c r="O20" s="147" t="str">
        <f ca="1">INDEX(Photobiology!$20:$20,1,O$14)</f>
        <v>mc</v>
      </c>
      <c r="P20" s="147" t="str">
        <f ca="1">INDEX(Photobiology!$20:$20,1,P$14)</f>
        <v>lc</v>
      </c>
      <c r="Q20" s="147" t="str">
        <f ca="1">INDEX(Photobiology!$20:$20,1,Q$14)</f>
        <v>rh</v>
      </c>
      <c r="R20" s="147" t="str">
        <f ca="1">INDEX(Photobiology!$20:$20,1,R$14)</f>
        <v>mel</v>
      </c>
      <c r="S20" s="147" t="s">
        <v>167</v>
      </c>
      <c r="T20" s="147" t="str">
        <f ca="1">N20</f>
        <v>sc</v>
      </c>
      <c r="U20" s="147" t="str">
        <f t="shared" ref="U20:X20" ca="1" si="10">O20</f>
        <v>mc</v>
      </c>
      <c r="V20" s="147" t="str">
        <f t="shared" ca="1" si="10"/>
        <v>lc</v>
      </c>
      <c r="W20" s="147" t="str">
        <f t="shared" ca="1" si="10"/>
        <v>rh</v>
      </c>
      <c r="X20" s="147" t="str">
        <f t="shared" ca="1" si="10"/>
        <v>mel</v>
      </c>
      <c r="Y20" s="147" t="str">
        <f>IF(TRUE,M20,S20)</f>
        <v>Radiometric</v>
      </c>
      <c r="Z20" s="147" t="str">
        <f ca="1">N20</f>
        <v>sc</v>
      </c>
      <c r="AA20" s="147" t="str">
        <f t="shared" ref="AA20:AD20" ca="1" si="11">O20</f>
        <v>mc</v>
      </c>
      <c r="AB20" s="147" t="str">
        <f t="shared" ca="1" si="11"/>
        <v>lc</v>
      </c>
      <c r="AC20" s="147" t="str">
        <f t="shared" ca="1" si="11"/>
        <v>rh</v>
      </c>
      <c r="AD20" s="147" t="str">
        <f t="shared" ca="1" si="11"/>
        <v>mel</v>
      </c>
      <c r="AH20" s="122" t="s">
        <v>12</v>
      </c>
      <c r="AI20" s="147" t="str">
        <f>'Advanced Inputs'!$J$15</f>
        <v>D65</v>
      </c>
      <c r="AJ20" s="147" t="s">
        <v>222</v>
      </c>
      <c r="AK20" s="147" t="s">
        <v>221</v>
      </c>
      <c r="AL20" s="147" t="s">
        <v>220</v>
      </c>
      <c r="AM20" s="147" t="s">
        <v>165</v>
      </c>
      <c r="AN20" s="147" t="str">
        <f ca="1">INDEX(Photobiology!$20:$20,1,AN$14)</f>
        <v>sc</v>
      </c>
      <c r="AO20" s="147" t="str">
        <f ca="1">INDEX(Photobiology!$20:$20,1,AO$14)</f>
        <v>mc</v>
      </c>
      <c r="AP20" s="147" t="str">
        <f ca="1">INDEX(Photobiology!$20:$20,1,AP$14)</f>
        <v>lc</v>
      </c>
      <c r="AQ20" s="147" t="str">
        <f ca="1">INDEX(Photobiology!$20:$20,1,AQ$14)</f>
        <v>rh</v>
      </c>
      <c r="AR20" s="147" t="str">
        <f ca="1">INDEX(Photobiology!$20:$20,1,AR$14)</f>
        <v>mel</v>
      </c>
      <c r="AS20" s="147" t="s">
        <v>167</v>
      </c>
      <c r="AT20" s="147" t="str">
        <f ca="1">AN20</f>
        <v>sc</v>
      </c>
      <c r="AU20" s="147" t="str">
        <f t="shared" ref="AU20:AX20" ca="1" si="12">AO20</f>
        <v>mc</v>
      </c>
      <c r="AV20" s="147" t="str">
        <f t="shared" ca="1" si="12"/>
        <v>lc</v>
      </c>
      <c r="AW20" s="147" t="str">
        <f t="shared" ca="1" si="12"/>
        <v>rh</v>
      </c>
      <c r="AX20" s="147" t="str">
        <f t="shared" ca="1" si="12"/>
        <v>mel</v>
      </c>
      <c r="AY20" s="147" t="str">
        <f>IF(TRUE,AM20,AS20)</f>
        <v>Radiometric</v>
      </c>
      <c r="AZ20" s="147" t="str">
        <f ca="1">AN20</f>
        <v>sc</v>
      </c>
      <c r="BA20" s="147" t="str">
        <f t="shared" ref="BA20:BD20" ca="1" si="13">AO20</f>
        <v>mc</v>
      </c>
      <c r="BB20" s="147" t="str">
        <f t="shared" ca="1" si="13"/>
        <v>lc</v>
      </c>
      <c r="BC20" s="147" t="str">
        <f t="shared" ca="1" si="13"/>
        <v>rh</v>
      </c>
      <c r="BD20" s="147" t="str">
        <f t="shared" ca="1" si="13"/>
        <v>mel</v>
      </c>
    </row>
    <row r="21" spans="8:56" s="147" customFormat="1" ht="0.25" customHeight="1" x14ac:dyDescent="0.2">
      <c r="H21" s="147">
        <v>380</v>
      </c>
      <c r="I21" s="147">
        <f>INDEX(Spectra!21:21,1,MATCH($I$20,Spectra!$20:$20,0))</f>
        <v>1.19488495148103E-3</v>
      </c>
      <c r="J21" s="147">
        <f>((Physics!$C$9*Physics!$C$10)/(Physics!$C$11*Physics!$C$12*$H21))^($J$17-$J$18)</f>
        <v>1.9134999256690163E+18</v>
      </c>
      <c r="K21" s="147">
        <f>(H21&lt;&gt;H20)*1</f>
        <v>1</v>
      </c>
      <c r="L21" s="147">
        <f>INDEX(Photobiology!$21:$421,1+$H21-380,10)</f>
        <v>3.8999999999999999E-5</v>
      </c>
      <c r="M21" s="147">
        <f>$I21*$J$15*IF($J$18,1,$J21)</f>
        <v>1.19488495148103E-3</v>
      </c>
      <c r="N21" s="147">
        <f ca="1">INDEX(Photobiology!$21:$421,1+$H21-380,N$14)</f>
        <v>0</v>
      </c>
      <c r="O21" s="147">
        <f ca="1">INDEX(Photobiology!$21:$421,1+$H21-380,O$14)</f>
        <v>0</v>
      </c>
      <c r="P21" s="147">
        <f ca="1">INDEX(Photobiology!$21:$421,1+$H21-380,P$14)</f>
        <v>0</v>
      </c>
      <c r="Q21" s="147">
        <f ca="1">INDEX(Photobiology!$21:$421,1+$H21-380,Q$14)</f>
        <v>5.8900000000000001E-4</v>
      </c>
      <c r="R21" s="147">
        <f ca="1">INDEX(Photobiology!$21:$421,1+$H21-380,R$14)</f>
        <v>9.1816499999999998E-4</v>
      </c>
      <c r="S21" s="147">
        <f>$I21*$J$15*IF($J$17,1,$J21)</f>
        <v>2286412265841977</v>
      </c>
      <c r="T21" s="147" t="str">
        <f ca="1">INDEX(Photobiology!$21:$421,1+$H21-380,T$14)</f>
        <v/>
      </c>
      <c r="U21" s="147" t="str">
        <f ca="1">INDEX(Photobiology!$21:$421,1+$H21-380,U$14)</f>
        <v/>
      </c>
      <c r="V21" s="147" t="str">
        <f ca="1">INDEX(Photobiology!$21:$421,1+$H21-380,V$14)</f>
        <v/>
      </c>
      <c r="W21" s="147">
        <f ca="1">INDEX(Photobiology!$21:$421,1+$H21-380,W$14)</f>
        <v>7.8355065195586759E-4</v>
      </c>
      <c r="X21" s="147">
        <f ca="1">INDEX(Photobiology!$21:$421,1+$H21-380,X$14)</f>
        <v>1.1814706474244062E-3</v>
      </c>
      <c r="Y21" s="147">
        <f t="shared" ref="Y21:Y84" si="14">IF(TRUE,M21,S21)</f>
        <v>1.19488495148103E-3</v>
      </c>
      <c r="Z21" s="147">
        <f ca="1">$Y21*N21</f>
        <v>0</v>
      </c>
      <c r="AA21" s="147">
        <f t="shared" ref="AA21:AA84" ca="1" si="15">$Y21*O21</f>
        <v>0</v>
      </c>
      <c r="AB21" s="147">
        <f t="shared" ref="AB21:AB84" ca="1" si="16">$Y21*P21</f>
        <v>0</v>
      </c>
      <c r="AC21" s="147">
        <f t="shared" ref="AC21:AC84" ca="1" si="17">$Y21*Q21</f>
        <v>7.0378723642232672E-7</v>
      </c>
      <c r="AD21" s="147">
        <f t="shared" ref="AD21:AD84" ca="1" si="18">$Y21*R21</f>
        <v>1.0971015414765799E-6</v>
      </c>
      <c r="AH21" s="147">
        <v>380</v>
      </c>
      <c r="AI21" s="147">
        <f>INDEX(Spectra!21:21,1,MATCH($AI$20,Spectra!$20:$20,0))</f>
        <v>49.975499999999997</v>
      </c>
      <c r="AJ21" s="147">
        <f>((Physics!$C$9*Physics!$C$10)/(Physics!$C$11*Physics!$C$12*$AH21))^($AJ$17-$AJ$18)</f>
        <v>1.9134999256690163E+18</v>
      </c>
      <c r="AK21" s="147">
        <f>(AH21&lt;&gt;AH20)*1</f>
        <v>1</v>
      </c>
      <c r="AL21" s="147">
        <f>INDEX(Photobiology!$21:$421,1+$AH21-380,10)</f>
        <v>3.8999999999999999E-5</v>
      </c>
      <c r="AM21" s="147">
        <f>$AI21*$AJ$15*IF($AJ$18,1,$AJ21)</f>
        <v>6.9244055686635902E-4</v>
      </c>
      <c r="AN21" s="147">
        <f ca="1">INDEX(Photobiology!$21:$421,1+$AH21-380,AN$14)</f>
        <v>0</v>
      </c>
      <c r="AO21" s="147">
        <f ca="1">INDEX(Photobiology!$21:$421,1+$AH21-380,AO$14)</f>
        <v>0</v>
      </c>
      <c r="AP21" s="147">
        <f ca="1">INDEX(Photobiology!$21:$421,1+$AH21-380,AP$14)</f>
        <v>0</v>
      </c>
      <c r="AQ21" s="147">
        <f ca="1">INDEX(Photobiology!$21:$421,1+$AH21-380,AQ$14)</f>
        <v>5.8900000000000001E-4</v>
      </c>
      <c r="AR21" s="147">
        <f ca="1">INDEX(Photobiology!$21:$421,1+$AH21-380,AR$14)</f>
        <v>9.1816499999999998E-4</v>
      </c>
      <c r="AS21" s="147">
        <f>$AI21*$AJ$15*IF($AJ$17,1,$AJ21)</f>
        <v>1324984954093990.2</v>
      </c>
      <c r="AT21" s="147" t="str">
        <f ca="1">INDEX(Photobiology!$21:$421,1+$AH21-380,AT$14)</f>
        <v/>
      </c>
      <c r="AU21" s="147" t="str">
        <f ca="1">INDEX(Photobiology!$21:$421,1+$AH21-380,AU$14)</f>
        <v/>
      </c>
      <c r="AV21" s="147" t="str">
        <f ca="1">INDEX(Photobiology!$21:$421,1+$AH21-380,AV$14)</f>
        <v/>
      </c>
      <c r="AW21" s="147">
        <f ca="1">INDEX(Photobiology!$21:$421,1+$AH21-380,AW$14)</f>
        <v>7.8355065195586759E-4</v>
      </c>
      <c r="AX21" s="147">
        <f ca="1">INDEX(Photobiology!$21:$421,1+$AH21-380,AX$14)</f>
        <v>1.1814706474244062E-3</v>
      </c>
      <c r="AY21" s="147">
        <f t="shared" ref="AY21:AY84" si="19">IF(TRUE,AM21,AS21)</f>
        <v>6.9244055686635902E-4</v>
      </c>
      <c r="AZ21" s="147">
        <f ca="1">$AY21*AN21</f>
        <v>0</v>
      </c>
      <c r="BA21" s="147">
        <f t="shared" ref="BA21:BA84" ca="1" si="20">$AY21*AO21</f>
        <v>0</v>
      </c>
      <c r="BB21" s="147">
        <f t="shared" ref="BB21:BB84" ca="1" si="21">$AY21*AP21</f>
        <v>0</v>
      </c>
      <c r="BC21" s="147">
        <f t="shared" ref="BC21:BC84" ca="1" si="22">$AY21*AQ21</f>
        <v>4.0784748799428547E-7</v>
      </c>
      <c r="BD21" s="147">
        <f t="shared" ref="BD21:BD84" ca="1" si="23">$AY21*AR21</f>
        <v>6.3577468389520051E-7</v>
      </c>
    </row>
    <row r="22" spans="8:56" s="147" customFormat="1" ht="0.25" customHeight="1" x14ac:dyDescent="0.2">
      <c r="H22" s="147">
        <f t="shared" ref="H22:H85" si="24">MIN(780,H21+$J$14)</f>
        <v>381</v>
      </c>
      <c r="I22" s="147">
        <f>IF($H22&gt;$H21,INDEX(Spectra!22:22,1,MATCH($I$20,Spectra!$20:$20,0)),I21)</f>
        <v>1.0998940975976001E-3</v>
      </c>
      <c r="J22" s="147">
        <f>((Physics!$C$9*Physics!$C$10)/(Physics!$C$11*Physics!$C$12*$H22))^($J$17-$J$18)</f>
        <v>1.9185354517891983E+18</v>
      </c>
      <c r="K22" s="147">
        <f t="shared" ref="K22:K85" si="25">(H22&lt;&gt;H21)*1</f>
        <v>1</v>
      </c>
      <c r="L22" s="147">
        <f>INDEX(Photobiology!$21:$421,1+$H22-380,10)</f>
        <v>4.28264E-5</v>
      </c>
      <c r="M22" s="147">
        <f t="shared" ref="M22:M85" si="26">$I22*$J$15*IF($J$18,1,$J22)</f>
        <v>1.0998940975976001E-3</v>
      </c>
      <c r="N22" s="147">
        <f ca="1">INDEX(Photobiology!$21:$421,1+$H22-380,N$14)</f>
        <v>0</v>
      </c>
      <c r="O22" s="147">
        <f ca="1">INDEX(Photobiology!$21:$421,1+$H22-380,O$14)</f>
        <v>0</v>
      </c>
      <c r="P22" s="147">
        <f ca="1">INDEX(Photobiology!$21:$421,1+$H22-380,P$14)</f>
        <v>0</v>
      </c>
      <c r="Q22" s="147">
        <f ca="1">INDEX(Photobiology!$21:$421,1+$H22-380,Q$14)</f>
        <v>6.6500000000000001E-4</v>
      </c>
      <c r="R22" s="147">
        <f ca="1">INDEX(Photobiology!$21:$421,1+$H22-380,R$14)</f>
        <v>1.04557E-3</v>
      </c>
      <c r="S22" s="147">
        <f t="shared" ref="S22:S85" si="27">$I22*$J$15*IF($J$17,1,$J22)</f>
        <v>2110185819454684.2</v>
      </c>
      <c r="T22" s="147" t="str">
        <f ca="1">INDEX(Photobiology!$21:$421,1+$H22-380,T$14)</f>
        <v/>
      </c>
      <c r="U22" s="147" t="str">
        <f ca="1">INDEX(Photobiology!$21:$421,1+$H22-380,U$14)</f>
        <v/>
      </c>
      <c r="V22" s="147" t="str">
        <f ca="1">INDEX(Photobiology!$21:$421,1+$H22-380,V$14)</f>
        <v/>
      </c>
      <c r="W22" s="147">
        <f ca="1">INDEX(Photobiology!$21:$421,1+$H22-380,W$14)</f>
        <v>8.8233203547650823E-4</v>
      </c>
      <c r="X22" s="147">
        <f ca="1">INDEX(Photobiology!$21:$421,1+$H22-380,X$14)</f>
        <v>1.341880795573654E-3</v>
      </c>
      <c r="Y22" s="147">
        <f t="shared" si="14"/>
        <v>1.0998940975976001E-3</v>
      </c>
      <c r="Z22" s="147">
        <f t="shared" ref="Z22:Z85" ca="1" si="28">$Y22*N22</f>
        <v>0</v>
      </c>
      <c r="AA22" s="147">
        <f t="shared" ca="1" si="15"/>
        <v>0</v>
      </c>
      <c r="AB22" s="147">
        <f t="shared" ca="1" si="16"/>
        <v>0</v>
      </c>
      <c r="AC22" s="147">
        <f t="shared" ca="1" si="17"/>
        <v>7.3142957490240404E-7</v>
      </c>
      <c r="AD22" s="147">
        <f t="shared" ca="1" si="18"/>
        <v>1.1500162716251226E-6</v>
      </c>
      <c r="AH22" s="147">
        <f t="shared" ref="AH22:AH85" si="29">MIN(780,AH21+$AJ$14)</f>
        <v>381</v>
      </c>
      <c r="AI22" s="147">
        <f>IF($AH22&gt;$AH21,INDEX(Spectra!22:22,1,MATCH($AI$20,Spectra!$20:$20,0)),AI21)</f>
        <v>50.442799999999998</v>
      </c>
      <c r="AJ22" s="147">
        <f>((Physics!$C$9*Physics!$C$10)/(Physics!$C$11*Physics!$C$12*$AH22))^($AJ$17-$AJ$18)</f>
        <v>1.9185354517891983E+18</v>
      </c>
      <c r="AK22" s="147">
        <f t="shared" ref="AK22:AK85" si="30">(AH22&lt;&gt;AH21)*1</f>
        <v>1</v>
      </c>
      <c r="AL22" s="147">
        <f>INDEX(Photobiology!$21:$421,1+$AH22-380,10)</f>
        <v>4.28264E-5</v>
      </c>
      <c r="AM22" s="147">
        <f t="shared" ref="AM22:AM85" si="31">$AI22*$AJ$15*IF($AJ$18,1,$AJ22)</f>
        <v>6.9891527892464059E-4</v>
      </c>
      <c r="AN22" s="147">
        <f ca="1">INDEX(Photobiology!$21:$421,1+$AH22-380,AN$14)</f>
        <v>0</v>
      </c>
      <c r="AO22" s="147">
        <f ca="1">INDEX(Photobiology!$21:$421,1+$AH22-380,AO$14)</f>
        <v>0</v>
      </c>
      <c r="AP22" s="147">
        <f ca="1">INDEX(Photobiology!$21:$421,1+$AH22-380,AP$14)</f>
        <v>0</v>
      </c>
      <c r="AQ22" s="147">
        <f ca="1">INDEX(Photobiology!$21:$421,1+$AH22-380,AQ$14)</f>
        <v>6.6500000000000001E-4</v>
      </c>
      <c r="AR22" s="147">
        <f ca="1">INDEX(Photobiology!$21:$421,1+$AH22-380,AR$14)</f>
        <v>1.04557E-3</v>
      </c>
      <c r="AS22" s="147">
        <f t="shared" ref="AS22:AS85" si="32">$AI22*$AJ$15*IF($AJ$17,1,$AJ22)</f>
        <v>1340893740414059</v>
      </c>
      <c r="AT22" s="147" t="str">
        <f ca="1">INDEX(Photobiology!$21:$421,1+$AH22-380,AT$14)</f>
        <v/>
      </c>
      <c r="AU22" s="147" t="str">
        <f ca="1">INDEX(Photobiology!$21:$421,1+$AH22-380,AU$14)</f>
        <v/>
      </c>
      <c r="AV22" s="147" t="str">
        <f ca="1">INDEX(Photobiology!$21:$421,1+$AH22-380,AV$14)</f>
        <v/>
      </c>
      <c r="AW22" s="147">
        <f ca="1">INDEX(Photobiology!$21:$421,1+$AH22-380,AW$14)</f>
        <v>8.8233203547650823E-4</v>
      </c>
      <c r="AX22" s="147">
        <f ca="1">INDEX(Photobiology!$21:$421,1+$AH22-380,AX$14)</f>
        <v>1.341880795573654E-3</v>
      </c>
      <c r="AY22" s="147">
        <f t="shared" si="19"/>
        <v>6.9891527892464059E-4</v>
      </c>
      <c r="AZ22" s="147">
        <f t="shared" ref="AZ22:AZ85" ca="1" si="33">$AY22*AN22</f>
        <v>0</v>
      </c>
      <c r="BA22" s="147">
        <f t="shared" ca="1" si="20"/>
        <v>0</v>
      </c>
      <c r="BB22" s="147">
        <f t="shared" ca="1" si="21"/>
        <v>0</v>
      </c>
      <c r="BC22" s="147">
        <f t="shared" ca="1" si="22"/>
        <v>4.6477866048488599E-7</v>
      </c>
      <c r="BD22" s="147">
        <f t="shared" ca="1" si="23"/>
        <v>7.3076484818523649E-7</v>
      </c>
    </row>
    <row r="23" spans="8:56" s="147" customFormat="1" ht="0.25" customHeight="1" x14ac:dyDescent="0.2">
      <c r="H23" s="147">
        <f t="shared" si="24"/>
        <v>382</v>
      </c>
      <c r="I23" s="147">
        <f>IF($H23&gt;$H22,INDEX(Spectra!23:23,1,MATCH($I$20,Spectra!$20:$20,0)),I22)</f>
        <v>1.0099027623396201E-3</v>
      </c>
      <c r="J23" s="147">
        <f>((Physics!$C$9*Physics!$C$10)/(Physics!$C$11*Physics!$C$12*$H23))^($J$17-$J$18)</f>
        <v>1.9235709779093798E+18</v>
      </c>
      <c r="K23" s="147">
        <f t="shared" si="25"/>
        <v>1</v>
      </c>
      <c r="L23" s="147">
        <f>INDEX(Photobiology!$21:$421,1+$H23-380,10)</f>
        <v>4.69146E-5</v>
      </c>
      <c r="M23" s="147">
        <f t="shared" si="26"/>
        <v>1.0099027623396201E-3</v>
      </c>
      <c r="N23" s="147">
        <f ca="1">INDEX(Photobiology!$21:$421,1+$H23-380,N$14)</f>
        <v>0</v>
      </c>
      <c r="O23" s="147">
        <f ca="1">INDEX(Photobiology!$21:$421,1+$H23-380,O$14)</f>
        <v>0</v>
      </c>
      <c r="P23" s="147">
        <f ca="1">INDEX(Photobiology!$21:$421,1+$H23-380,P$14)</f>
        <v>0</v>
      </c>
      <c r="Q23" s="147">
        <f ca="1">INDEX(Photobiology!$21:$421,1+$H23-380,Q$14)</f>
        <v>7.5199999999999996E-4</v>
      </c>
      <c r="R23" s="147">
        <f ca="1">INDEX(Photobiology!$21:$421,1+$H23-380,R$14)</f>
        <v>1.17858E-3</v>
      </c>
      <c r="S23" s="147">
        <f t="shared" si="27"/>
        <v>1942619644147007</v>
      </c>
      <c r="T23" s="147" t="str">
        <f ca="1">INDEX(Photobiology!$21:$421,1+$H23-380,T$14)</f>
        <v/>
      </c>
      <c r="U23" s="147" t="str">
        <f ca="1">INDEX(Photobiology!$21:$421,1+$H23-380,U$14)</f>
        <v/>
      </c>
      <c r="V23" s="147" t="str">
        <f ca="1">INDEX(Photobiology!$21:$421,1+$H23-380,V$14)</f>
        <v/>
      </c>
      <c r="W23" s="147">
        <f ca="1">INDEX(Photobiology!$21:$421,1+$H23-380,W$14)</f>
        <v>9.9515299826180115E-4</v>
      </c>
      <c r="X23" s="147">
        <f ca="1">INDEX(Photobiology!$21:$421,1+$H23-380,X$14)</f>
        <v>1.5086257059664947E-3</v>
      </c>
      <c r="Y23" s="147">
        <f t="shared" si="14"/>
        <v>1.0099027623396201E-3</v>
      </c>
      <c r="Z23" s="147">
        <f t="shared" ca="1" si="28"/>
        <v>0</v>
      </c>
      <c r="AA23" s="147">
        <f t="shared" ca="1" si="15"/>
        <v>0</v>
      </c>
      <c r="AB23" s="147">
        <f t="shared" ca="1" si="16"/>
        <v>0</v>
      </c>
      <c r="AC23" s="147">
        <f t="shared" ca="1" si="17"/>
        <v>7.5944687727939423E-7</v>
      </c>
      <c r="AD23" s="147">
        <f t="shared" ca="1" si="18"/>
        <v>1.1902511976382295E-6</v>
      </c>
      <c r="AH23" s="147">
        <f t="shared" si="29"/>
        <v>382</v>
      </c>
      <c r="AI23" s="147">
        <f>IF($AH23&gt;$AH22,INDEX(Spectra!23:23,1,MATCH($AI$20,Spectra!$20:$20,0)),AI22)</f>
        <v>50.91</v>
      </c>
      <c r="AJ23" s="147">
        <f>((Physics!$C$9*Physics!$C$10)/(Physics!$C$11*Physics!$C$12*$AH23))^($AJ$17-$AJ$18)</f>
        <v>1.9235709779093798E+18</v>
      </c>
      <c r="AK23" s="147">
        <f t="shared" si="30"/>
        <v>1</v>
      </c>
      <c r="AL23" s="147">
        <f>INDEX(Photobiology!$21:$421,1+$AH23-380,10)</f>
        <v>4.69146E-5</v>
      </c>
      <c r="AM23" s="147">
        <f t="shared" si="31"/>
        <v>7.0538861542288392E-4</v>
      </c>
      <c r="AN23" s="147">
        <f ca="1">INDEX(Photobiology!$21:$421,1+$AH23-380,AN$14)</f>
        <v>0</v>
      </c>
      <c r="AO23" s="147">
        <f ca="1">INDEX(Photobiology!$21:$421,1+$AH23-380,AO$14)</f>
        <v>0</v>
      </c>
      <c r="AP23" s="147">
        <f ca="1">INDEX(Photobiology!$21:$421,1+$AH23-380,AP$14)</f>
        <v>0</v>
      </c>
      <c r="AQ23" s="147">
        <f ca="1">INDEX(Photobiology!$21:$421,1+$AH23-380,AQ$14)</f>
        <v>7.5199999999999996E-4</v>
      </c>
      <c r="AR23" s="147">
        <f ca="1">INDEX(Photobiology!$21:$421,1+$AH23-380,AR$14)</f>
        <v>1.17858E-3</v>
      </c>
      <c r="AS23" s="147">
        <f t="shared" si="32"/>
        <v>1356865068775140.2</v>
      </c>
      <c r="AT23" s="147" t="str">
        <f ca="1">INDEX(Photobiology!$21:$421,1+$AH23-380,AT$14)</f>
        <v/>
      </c>
      <c r="AU23" s="147" t="str">
        <f ca="1">INDEX(Photobiology!$21:$421,1+$AH23-380,AU$14)</f>
        <v/>
      </c>
      <c r="AV23" s="147" t="str">
        <f ca="1">INDEX(Photobiology!$21:$421,1+$AH23-380,AV$14)</f>
        <v/>
      </c>
      <c r="AW23" s="147">
        <f ca="1">INDEX(Photobiology!$21:$421,1+$AH23-380,AW$14)</f>
        <v>9.9515299826180115E-4</v>
      </c>
      <c r="AX23" s="147">
        <f ca="1">INDEX(Photobiology!$21:$421,1+$AH23-380,AX$14)</f>
        <v>1.5086257059664947E-3</v>
      </c>
      <c r="AY23" s="147">
        <f t="shared" si="19"/>
        <v>7.0538861542288392E-4</v>
      </c>
      <c r="AZ23" s="147">
        <f t="shared" ca="1" si="33"/>
        <v>0</v>
      </c>
      <c r="BA23" s="147">
        <f t="shared" ca="1" si="20"/>
        <v>0</v>
      </c>
      <c r="BB23" s="147">
        <f t="shared" ca="1" si="21"/>
        <v>0</v>
      </c>
      <c r="BC23" s="147">
        <f t="shared" ca="1" si="22"/>
        <v>5.304522387980087E-7</v>
      </c>
      <c r="BD23" s="147">
        <f t="shared" ca="1" si="23"/>
        <v>8.3135691436510252E-7</v>
      </c>
    </row>
    <row r="24" spans="8:56" s="147" customFormat="1" ht="0.25" customHeight="1" x14ac:dyDescent="0.2">
      <c r="H24" s="147">
        <f t="shared" si="24"/>
        <v>383</v>
      </c>
      <c r="I24" s="147">
        <f>IF($H24&gt;$H23,INDEX(Spectra!24:24,1,MATCH($I$20,Spectra!$20:$20,0)),I23)</f>
        <v>9.6990661333607104E-4</v>
      </c>
      <c r="J24" s="147">
        <f>((Physics!$C$9*Physics!$C$10)/(Physics!$C$11*Physics!$C$12*$H24))^($J$17-$J$18)</f>
        <v>1.9286065040295616E+18</v>
      </c>
      <c r="K24" s="147">
        <f t="shared" si="25"/>
        <v>1</v>
      </c>
      <c r="L24" s="147">
        <f>INDEX(Photobiology!$21:$421,1+$H24-380,10)</f>
        <v>5.1589599999999998E-5</v>
      </c>
      <c r="M24" s="147">
        <f t="shared" si="26"/>
        <v>9.6990661333607104E-4</v>
      </c>
      <c r="N24" s="147">
        <f ca="1">INDEX(Photobiology!$21:$421,1+$H24-380,N$14)</f>
        <v>0</v>
      </c>
      <c r="O24" s="147">
        <f ca="1">INDEX(Photobiology!$21:$421,1+$H24-380,O$14)</f>
        <v>0</v>
      </c>
      <c r="P24" s="147">
        <f ca="1">INDEX(Photobiology!$21:$421,1+$H24-380,P$14)</f>
        <v>0</v>
      </c>
      <c r="Q24" s="147">
        <f ca="1">INDEX(Photobiology!$21:$421,1+$H24-380,Q$14)</f>
        <v>8.5400000000000005E-4</v>
      </c>
      <c r="R24" s="147">
        <f ca="1">INDEX(Photobiology!$21:$421,1+$H24-380,R$14)</f>
        <v>1.3227899999999999E-3</v>
      </c>
      <c r="S24" s="147">
        <f t="shared" si="27"/>
        <v>1870568202781231.8</v>
      </c>
      <c r="T24" s="147" t="str">
        <f ca="1">INDEX(Photobiology!$21:$421,1+$H24-380,T$14)</f>
        <v/>
      </c>
      <c r="U24" s="147" t="str">
        <f ca="1">INDEX(Photobiology!$21:$421,1+$H24-380,U$14)</f>
        <v/>
      </c>
      <c r="V24" s="147" t="str">
        <f ca="1">INDEX(Photobiology!$21:$421,1+$H24-380,V$14)</f>
        <v/>
      </c>
      <c r="W24" s="147">
        <f ca="1">INDEX(Photobiology!$21:$421,1+$H24-380,W$14)</f>
        <v>1.1271831159274167E-3</v>
      </c>
      <c r="X24" s="147">
        <f ca="1">INDEX(Photobiology!$21:$421,1+$H24-380,X$14)</f>
        <v>1.6887988654077772E-3</v>
      </c>
      <c r="Y24" s="147">
        <f t="shared" si="14"/>
        <v>9.6990661333607104E-4</v>
      </c>
      <c r="Z24" s="147">
        <f t="shared" ca="1" si="28"/>
        <v>0</v>
      </c>
      <c r="AA24" s="147">
        <f t="shared" ca="1" si="15"/>
        <v>0</v>
      </c>
      <c r="AB24" s="147">
        <f t="shared" ca="1" si="16"/>
        <v>0</v>
      </c>
      <c r="AC24" s="147">
        <f t="shared" ca="1" si="17"/>
        <v>8.2830024778900475E-7</v>
      </c>
      <c r="AD24" s="147">
        <f t="shared" ca="1" si="18"/>
        <v>1.2829827690548214E-6</v>
      </c>
      <c r="AH24" s="147">
        <f t="shared" si="29"/>
        <v>383</v>
      </c>
      <c r="AI24" s="147">
        <f>IF($AH24&gt;$AH23,INDEX(Spectra!24:24,1,MATCH($AI$20,Spectra!$20:$20,0)),AI23)</f>
        <v>51.377299999999998</v>
      </c>
      <c r="AJ24" s="147">
        <f>((Physics!$C$9*Physics!$C$10)/(Physics!$C$11*Physics!$C$12*$AH24))^($AJ$17-$AJ$18)</f>
        <v>1.9286065040295616E+18</v>
      </c>
      <c r="AK24" s="147">
        <f t="shared" si="30"/>
        <v>1</v>
      </c>
      <c r="AL24" s="147">
        <f>INDEX(Photobiology!$21:$421,1+$AH24-380,10)</f>
        <v>5.1589599999999998E-5</v>
      </c>
      <c r="AM24" s="147">
        <f t="shared" si="31"/>
        <v>7.1186333748116549E-4</v>
      </c>
      <c r="AN24" s="147">
        <f ca="1">INDEX(Photobiology!$21:$421,1+$AH24-380,AN$14)</f>
        <v>0</v>
      </c>
      <c r="AO24" s="147">
        <f ca="1">INDEX(Photobiology!$21:$421,1+$AH24-380,AO$14)</f>
        <v>0</v>
      </c>
      <c r="AP24" s="147">
        <f ca="1">INDEX(Photobiology!$21:$421,1+$AH24-380,AP$14)</f>
        <v>0</v>
      </c>
      <c r="AQ24" s="147">
        <f ca="1">INDEX(Photobiology!$21:$421,1+$AH24-380,AQ$14)</f>
        <v>8.5400000000000005E-4</v>
      </c>
      <c r="AR24" s="147">
        <f ca="1">INDEX(Photobiology!$21:$421,1+$AH24-380,AR$14)</f>
        <v>1.3227899999999999E-3</v>
      </c>
      <c r="AS24" s="147">
        <f t="shared" si="32"/>
        <v>1372904262646366.5</v>
      </c>
      <c r="AT24" s="147" t="str">
        <f ca="1">INDEX(Photobiology!$21:$421,1+$AH24-380,AT$14)</f>
        <v/>
      </c>
      <c r="AU24" s="147" t="str">
        <f ca="1">INDEX(Photobiology!$21:$421,1+$AH24-380,AU$14)</f>
        <v/>
      </c>
      <c r="AV24" s="147" t="str">
        <f ca="1">INDEX(Photobiology!$21:$421,1+$AH24-380,AV$14)</f>
        <v/>
      </c>
      <c r="AW24" s="147">
        <f ca="1">INDEX(Photobiology!$21:$421,1+$AH24-380,AW$14)</f>
        <v>1.1271831159274167E-3</v>
      </c>
      <c r="AX24" s="147">
        <f ca="1">INDEX(Photobiology!$21:$421,1+$AH24-380,AX$14)</f>
        <v>1.6887988654077772E-3</v>
      </c>
      <c r="AY24" s="147">
        <f t="shared" si="19"/>
        <v>7.1186333748116549E-4</v>
      </c>
      <c r="AZ24" s="147">
        <f t="shared" ca="1" si="33"/>
        <v>0</v>
      </c>
      <c r="BA24" s="147">
        <f t="shared" ca="1" si="20"/>
        <v>0</v>
      </c>
      <c r="BB24" s="147">
        <f t="shared" ca="1" si="21"/>
        <v>0</v>
      </c>
      <c r="BC24" s="147">
        <f t="shared" ca="1" si="22"/>
        <v>6.0793129020891532E-7</v>
      </c>
      <c r="BD24" s="147">
        <f t="shared" ca="1" si="23"/>
        <v>9.4164570418671084E-7</v>
      </c>
    </row>
    <row r="25" spans="8:56" s="147" customFormat="1" ht="0.25" customHeight="1" x14ac:dyDescent="0.2">
      <c r="H25" s="147">
        <f t="shared" si="24"/>
        <v>384</v>
      </c>
      <c r="I25" s="147">
        <f>IF($H25&gt;$H24,INDEX(Spectra!25:25,1,MATCH($I$20,Spectra!$20:$20,0)),I24)</f>
        <v>9.7990565058695897E-4</v>
      </c>
      <c r="J25" s="147">
        <f>((Physics!$C$9*Physics!$C$10)/(Physics!$C$11*Physics!$C$12*$H25))^($J$17-$J$18)</f>
        <v>1.9336420301497428E+18</v>
      </c>
      <c r="K25" s="147">
        <f t="shared" si="25"/>
        <v>1</v>
      </c>
      <c r="L25" s="147">
        <f>INDEX(Photobiology!$21:$421,1+$H25-380,10)</f>
        <v>5.7176399999999997E-5</v>
      </c>
      <c r="M25" s="147">
        <f>$I25*$J$15*IF($J$18,1,$J25)</f>
        <v>9.7990565058695897E-4</v>
      </c>
      <c r="N25" s="147">
        <f ca="1">INDEX(Photobiology!$21:$421,1+$H25-380,N$14)</f>
        <v>0</v>
      </c>
      <c r="O25" s="147">
        <f ca="1">INDEX(Photobiology!$21:$421,1+$H25-380,O$14)</f>
        <v>0</v>
      </c>
      <c r="P25" s="147">
        <f ca="1">INDEX(Photobiology!$21:$421,1+$H25-380,P$14)</f>
        <v>0</v>
      </c>
      <c r="Q25" s="147">
        <f ca="1">INDEX(Photobiology!$21:$421,1+$H25-380,Q$14)</f>
        <v>9.7199999999999999E-4</v>
      </c>
      <c r="R25" s="147">
        <f ca="1">INDEX(Photobiology!$21:$421,1+$H25-380,R$14)</f>
        <v>1.4838099999999999E-3</v>
      </c>
      <c r="S25" s="147">
        <f t="shared" si="27"/>
        <v>1894786751556172</v>
      </c>
      <c r="T25" s="147" t="str">
        <f ca="1">INDEX(Photobiology!$21:$421,1+$H25-380,T$14)</f>
        <v/>
      </c>
      <c r="U25" s="147" t="str">
        <f ca="1">INDEX(Photobiology!$21:$421,1+$H25-380,U$14)</f>
        <v/>
      </c>
      <c r="V25" s="147" t="str">
        <f ca="1">INDEX(Photobiology!$21:$421,1+$H25-380,V$14)</f>
        <v/>
      </c>
      <c r="W25" s="147">
        <f ca="1">INDEX(Photobiology!$21:$421,1+$H25-380,W$14)</f>
        <v>1.2795887662988966E-3</v>
      </c>
      <c r="X25" s="147">
        <f ca="1">INDEX(Photobiology!$21:$421,1+$H25-380,X$14)</f>
        <v>1.8894389707630932E-3</v>
      </c>
      <c r="Y25" s="147">
        <f t="shared" si="14"/>
        <v>9.7990565058695897E-4</v>
      </c>
      <c r="Z25" s="147">
        <f t="shared" ca="1" si="28"/>
        <v>0</v>
      </c>
      <c r="AA25" s="147">
        <f t="shared" ca="1" si="15"/>
        <v>0</v>
      </c>
      <c r="AB25" s="147">
        <f t="shared" ca="1" si="16"/>
        <v>0</v>
      </c>
      <c r="AC25" s="147">
        <f t="shared" ca="1" si="17"/>
        <v>9.5246829237052414E-7</v>
      </c>
      <c r="AD25" s="147">
        <f t="shared" ca="1" si="18"/>
        <v>1.4539938033974355E-6</v>
      </c>
      <c r="AH25" s="147">
        <f t="shared" si="29"/>
        <v>384</v>
      </c>
      <c r="AI25" s="147">
        <f>IF($AH25&gt;$AH24,INDEX(Spectra!25:25,1,MATCH($AI$20,Spectra!$20:$20,0)),AI24)</f>
        <v>51.8446</v>
      </c>
      <c r="AJ25" s="147">
        <f>((Physics!$C$9*Physics!$C$10)/(Physics!$C$11*Physics!$C$12*$AH25))^($AJ$17-$AJ$18)</f>
        <v>1.9336420301497428E+18</v>
      </c>
      <c r="AK25" s="147">
        <f t="shared" si="30"/>
        <v>1</v>
      </c>
      <c r="AL25" s="147">
        <f>INDEX(Photobiology!$21:$421,1+$AH25-380,10)</f>
        <v>5.7176399999999997E-5</v>
      </c>
      <c r="AM25" s="147">
        <f t="shared" si="31"/>
        <v>7.1833805953944705E-4</v>
      </c>
      <c r="AN25" s="147">
        <f ca="1">INDEX(Photobiology!$21:$421,1+$AH25-380,AN$14)</f>
        <v>0</v>
      </c>
      <c r="AO25" s="147">
        <f ca="1">INDEX(Photobiology!$21:$421,1+$AH25-380,AO$14)</f>
        <v>0</v>
      </c>
      <c r="AP25" s="147">
        <f ca="1">INDEX(Photobiology!$21:$421,1+$AH25-380,AP$14)</f>
        <v>0</v>
      </c>
      <c r="AQ25" s="147">
        <f ca="1">INDEX(Photobiology!$21:$421,1+$AH25-380,AQ$14)</f>
        <v>9.7199999999999999E-4</v>
      </c>
      <c r="AR25" s="147">
        <f ca="1">INDEX(Photobiology!$21:$421,1+$AH25-380,AR$14)</f>
        <v>1.4838099999999999E-3</v>
      </c>
      <c r="AS25" s="147">
        <f t="shared" si="32"/>
        <v>1389008663781683.2</v>
      </c>
      <c r="AT25" s="147" t="str">
        <f ca="1">INDEX(Photobiology!$21:$421,1+$AH25-380,AT$14)</f>
        <v/>
      </c>
      <c r="AU25" s="147" t="str">
        <f ca="1">INDEX(Photobiology!$21:$421,1+$AH25-380,AU$14)</f>
        <v/>
      </c>
      <c r="AV25" s="147" t="str">
        <f ca="1">INDEX(Photobiology!$21:$421,1+$AH25-380,AV$14)</f>
        <v/>
      </c>
      <c r="AW25" s="147">
        <f ca="1">INDEX(Photobiology!$21:$421,1+$AH25-380,AW$14)</f>
        <v>1.2795887662988966E-3</v>
      </c>
      <c r="AX25" s="147">
        <f ca="1">INDEX(Photobiology!$21:$421,1+$AH25-380,AX$14)</f>
        <v>1.8894389707630932E-3</v>
      </c>
      <c r="AY25" s="147">
        <f t="shared" si="19"/>
        <v>7.1833805953944705E-4</v>
      </c>
      <c r="AZ25" s="147">
        <f t="shared" ca="1" si="33"/>
        <v>0</v>
      </c>
      <c r="BA25" s="147">
        <f t="shared" ca="1" si="20"/>
        <v>0</v>
      </c>
      <c r="BB25" s="147">
        <f t="shared" ca="1" si="21"/>
        <v>0</v>
      </c>
      <c r="BC25" s="147">
        <f t="shared" ca="1" si="22"/>
        <v>6.982245938723425E-7</v>
      </c>
      <c r="BD25" s="147">
        <f t="shared" ca="1" si="23"/>
        <v>1.0658771961252269E-6</v>
      </c>
    </row>
    <row r="26" spans="8:56" s="147" customFormat="1" ht="0.25" customHeight="1" x14ac:dyDescent="0.2">
      <c r="H26" s="147">
        <f t="shared" si="24"/>
        <v>385</v>
      </c>
      <c r="I26" s="147">
        <f>IF($H26&gt;$H25,INDEX(Spectra!26:26,1,MATCH($I$20,Spectra!$20:$20,0)),I25)</f>
        <v>1.0149022809650601E-3</v>
      </c>
      <c r="J26" s="147">
        <f>((Physics!$C$9*Physics!$C$10)/(Physics!$C$11*Physics!$C$12*$H26))^($J$17-$J$18)</f>
        <v>1.9386775562699246E+18</v>
      </c>
      <c r="K26" s="147">
        <f t="shared" si="25"/>
        <v>1</v>
      </c>
      <c r="L26" s="147">
        <f>INDEX(Photobiology!$21:$421,1+$H26-380,10)</f>
        <v>6.3999999999999997E-5</v>
      </c>
      <c r="M26" s="147">
        <f t="shared" si="26"/>
        <v>1.0149022809650601E-3</v>
      </c>
      <c r="N26" s="147">
        <f ca="1">INDEX(Photobiology!$21:$421,1+$H26-380,N$14)</f>
        <v>0</v>
      </c>
      <c r="O26" s="147">
        <f ca="1">INDEX(Photobiology!$21:$421,1+$H26-380,O$14)</f>
        <v>0</v>
      </c>
      <c r="P26" s="147">
        <f ca="1">INDEX(Photobiology!$21:$421,1+$H26-380,P$14)</f>
        <v>0</v>
      </c>
      <c r="Q26" s="147">
        <f ca="1">INDEX(Photobiology!$21:$421,1+$H26-380,Q$14)</f>
        <v>1.108E-3</v>
      </c>
      <c r="R26" s="147">
        <f ca="1">INDEX(Photobiology!$21:$421,1+$H26-380,R$14)</f>
        <v>1.66724E-3</v>
      </c>
      <c r="S26" s="147">
        <f t="shared" si="27"/>
        <v>1967568273914115</v>
      </c>
      <c r="T26" s="147" t="str">
        <f ca="1">INDEX(Photobiology!$21:$421,1+$H26-380,T$14)</f>
        <v/>
      </c>
      <c r="U26" s="147" t="str">
        <f ca="1">INDEX(Photobiology!$21:$421,1+$H26-380,U$14)</f>
        <v/>
      </c>
      <c r="V26" s="147" t="str">
        <f ca="1">INDEX(Photobiology!$21:$421,1+$H26-380,V$14)</f>
        <v/>
      </c>
      <c r="W26" s="147">
        <f ca="1">INDEX(Photobiology!$21:$421,1+$H26-380,W$14)</f>
        <v>1.4548372389896964E-3</v>
      </c>
      <c r="X26" s="147">
        <f ca="1">INDEX(Photobiology!$21:$421,1+$H26-380,X$14)</f>
        <v>2.1174988889556307E-3</v>
      </c>
      <c r="Y26" s="147">
        <f t="shared" si="14"/>
        <v>1.0149022809650601E-3</v>
      </c>
      <c r="Z26" s="147">
        <f t="shared" ca="1" si="28"/>
        <v>0</v>
      </c>
      <c r="AA26" s="147">
        <f t="shared" ca="1" si="15"/>
        <v>0</v>
      </c>
      <c r="AB26" s="147">
        <f t="shared" ca="1" si="16"/>
        <v>0</v>
      </c>
      <c r="AC26" s="147">
        <f t="shared" ca="1" si="17"/>
        <v>1.1245117273092865E-6</v>
      </c>
      <c r="AD26" s="147">
        <f t="shared" ca="1" si="18"/>
        <v>1.6920856789161866E-6</v>
      </c>
      <c r="AH26" s="147">
        <f t="shared" si="29"/>
        <v>385</v>
      </c>
      <c r="AI26" s="147">
        <f>IF($AH26&gt;$AH25,INDEX(Spectra!26:26,1,MATCH($AI$20,Spectra!$20:$20,0)),AI25)</f>
        <v>52.311799999999998</v>
      </c>
      <c r="AJ26" s="147">
        <f>((Physics!$C$9*Physics!$C$10)/(Physics!$C$11*Physics!$C$12*$AH26))^($AJ$17-$AJ$18)</f>
        <v>1.9386775562699246E+18</v>
      </c>
      <c r="AK26" s="147">
        <f t="shared" si="30"/>
        <v>1</v>
      </c>
      <c r="AL26" s="147">
        <f>INDEX(Photobiology!$21:$421,1+$AH26-380,10)</f>
        <v>6.3999999999999997E-5</v>
      </c>
      <c r="AM26" s="147">
        <f t="shared" si="31"/>
        <v>7.2481139603769039E-4</v>
      </c>
      <c r="AN26" s="147">
        <f ca="1">INDEX(Photobiology!$21:$421,1+$AH26-380,AN$14)</f>
        <v>0</v>
      </c>
      <c r="AO26" s="147">
        <f ca="1">INDEX(Photobiology!$21:$421,1+$AH26-380,AO$14)</f>
        <v>0</v>
      </c>
      <c r="AP26" s="147">
        <f ca="1">INDEX(Photobiology!$21:$421,1+$AH26-380,AP$14)</f>
        <v>0</v>
      </c>
      <c r="AQ26" s="147">
        <f ca="1">INDEX(Photobiology!$21:$421,1+$AH26-380,AQ$14)</f>
        <v>1.108E-3</v>
      </c>
      <c r="AR26" s="147">
        <f ca="1">INDEX(Photobiology!$21:$421,1+$AH26-380,AR$14)</f>
        <v>1.66724E-3</v>
      </c>
      <c r="AS26" s="147">
        <f t="shared" si="32"/>
        <v>1405175586026942</v>
      </c>
      <c r="AT26" s="147" t="str">
        <f ca="1">INDEX(Photobiology!$21:$421,1+$AH26-380,AT$14)</f>
        <v/>
      </c>
      <c r="AU26" s="147" t="str">
        <f ca="1">INDEX(Photobiology!$21:$421,1+$AH26-380,AU$14)</f>
        <v/>
      </c>
      <c r="AV26" s="147" t="str">
        <f ca="1">INDEX(Photobiology!$21:$421,1+$AH26-380,AV$14)</f>
        <v/>
      </c>
      <c r="AW26" s="147">
        <f ca="1">INDEX(Photobiology!$21:$421,1+$AH26-380,AW$14)</f>
        <v>1.4548372389896964E-3</v>
      </c>
      <c r="AX26" s="147">
        <f ca="1">INDEX(Photobiology!$21:$421,1+$AH26-380,AX$14)</f>
        <v>2.1174988889556307E-3</v>
      </c>
      <c r="AY26" s="147">
        <f t="shared" si="19"/>
        <v>7.2481139603769039E-4</v>
      </c>
      <c r="AZ26" s="147">
        <f t="shared" ca="1" si="33"/>
        <v>0</v>
      </c>
      <c r="BA26" s="147">
        <f t="shared" ca="1" si="20"/>
        <v>0</v>
      </c>
      <c r="BB26" s="147">
        <f t="shared" ca="1" si="21"/>
        <v>0</v>
      </c>
      <c r="BC26" s="147">
        <f t="shared" ca="1" si="22"/>
        <v>8.03091026809761E-7</v>
      </c>
      <c r="BD26" s="147">
        <f t="shared" ca="1" si="23"/>
        <v>1.2084345519298789E-6</v>
      </c>
    </row>
    <row r="27" spans="8:56" s="147" customFormat="1" ht="0.25" customHeight="1" x14ac:dyDescent="0.2">
      <c r="H27" s="147">
        <f t="shared" si="24"/>
        <v>386</v>
      </c>
      <c r="I27" s="147">
        <f>IF($H27&gt;$H26,INDEX(Spectra!27:27,1,MATCH($I$20,Spectra!$20:$20,0)),I26)</f>
        <v>1.0598979485940501E-3</v>
      </c>
      <c r="J27" s="147">
        <f>((Physics!$C$9*Physics!$C$10)/(Physics!$C$11*Physics!$C$12*$H27))^($J$17-$J$18)</f>
        <v>1.9437130823901064E+18</v>
      </c>
      <c r="K27" s="147">
        <f t="shared" si="25"/>
        <v>1</v>
      </c>
      <c r="L27" s="147">
        <f>INDEX(Photobiology!$21:$421,1+$H27-380,10)</f>
        <v>7.2344209999999998E-5</v>
      </c>
      <c r="M27" s="147">
        <f t="shared" si="26"/>
        <v>1.0598979485940501E-3</v>
      </c>
      <c r="N27" s="147">
        <f ca="1">INDEX(Photobiology!$21:$421,1+$H27-380,N$14)</f>
        <v>0</v>
      </c>
      <c r="O27" s="147">
        <f ca="1">INDEX(Photobiology!$21:$421,1+$H27-380,O$14)</f>
        <v>0</v>
      </c>
      <c r="P27" s="147">
        <f ca="1">INDEX(Photobiology!$21:$421,1+$H27-380,P$14)</f>
        <v>0</v>
      </c>
      <c r="Q27" s="147">
        <f ca="1">INDEX(Photobiology!$21:$421,1+$H27-380,Q$14)</f>
        <v>1.268E-3</v>
      </c>
      <c r="R27" s="147">
        <f ca="1">INDEX(Photobiology!$21:$421,1+$H27-380,R$14)</f>
        <v>1.88102E-3</v>
      </c>
      <c r="S27" s="147">
        <f t="shared" si="27"/>
        <v>2060137508680691.5</v>
      </c>
      <c r="T27" s="147" t="str">
        <f ca="1">INDEX(Photobiology!$21:$421,1+$H27-380,T$14)</f>
        <v/>
      </c>
      <c r="U27" s="147" t="str">
        <f ca="1">INDEX(Photobiology!$21:$421,1+$H27-380,U$14)</f>
        <v/>
      </c>
      <c r="V27" s="147" t="str">
        <f ca="1">INDEX(Photobiology!$21:$421,1+$H27-380,V$14)</f>
        <v/>
      </c>
      <c r="W27" s="147">
        <f ca="1">INDEX(Photobiology!$21:$421,1+$H27-380,W$14)</f>
        <v>1.6606087693131206E-3</v>
      </c>
      <c r="X27" s="147">
        <f ca="1">INDEX(Photobiology!$21:$421,1+$H27-380,X$14)</f>
        <v>2.3828236832225749E-3</v>
      </c>
      <c r="Y27" s="147">
        <f t="shared" si="14"/>
        <v>1.0598979485940501E-3</v>
      </c>
      <c r="Z27" s="147">
        <f t="shared" ca="1" si="28"/>
        <v>0</v>
      </c>
      <c r="AA27" s="147">
        <f t="shared" ca="1" si="15"/>
        <v>0</v>
      </c>
      <c r="AB27" s="147">
        <f t="shared" ca="1" si="16"/>
        <v>0</v>
      </c>
      <c r="AC27" s="147">
        <f t="shared" ca="1" si="17"/>
        <v>1.3439505988172554E-6</v>
      </c>
      <c r="AD27" s="147">
        <f t="shared" ca="1" si="18"/>
        <v>1.9936892392643798E-6</v>
      </c>
      <c r="AH27" s="147">
        <f t="shared" si="29"/>
        <v>386</v>
      </c>
      <c r="AI27" s="147">
        <f>IF($AH27&gt;$AH26,INDEX(Spectra!27:27,1,MATCH($AI$20,Spectra!$20:$20,0)),AI26)</f>
        <v>52.7791</v>
      </c>
      <c r="AJ27" s="147">
        <f>((Physics!$C$9*Physics!$C$10)/(Physics!$C$11*Physics!$C$12*$AH27))^($AJ$17-$AJ$18)</f>
        <v>1.9437130823901064E+18</v>
      </c>
      <c r="AK27" s="147">
        <f t="shared" si="30"/>
        <v>1</v>
      </c>
      <c r="AL27" s="147">
        <f>INDEX(Photobiology!$21:$421,1+$AH27-380,10)</f>
        <v>7.2344209999999998E-5</v>
      </c>
      <c r="AM27" s="147">
        <f t="shared" si="31"/>
        <v>7.3128611809597196E-4</v>
      </c>
      <c r="AN27" s="147">
        <f ca="1">INDEX(Photobiology!$21:$421,1+$AH27-380,AN$14)</f>
        <v>0</v>
      </c>
      <c r="AO27" s="147">
        <f ca="1">INDEX(Photobiology!$21:$421,1+$AH27-380,AO$14)</f>
        <v>0</v>
      </c>
      <c r="AP27" s="147">
        <f ca="1">INDEX(Photobiology!$21:$421,1+$AH27-380,AP$14)</f>
        <v>0</v>
      </c>
      <c r="AQ27" s="147">
        <f ca="1">INDEX(Photobiology!$21:$421,1+$AH27-380,AQ$14)</f>
        <v>1.268E-3</v>
      </c>
      <c r="AR27" s="147">
        <f ca="1">INDEX(Photobiology!$21:$421,1+$AH27-380,AR$14)</f>
        <v>1.88102E-3</v>
      </c>
      <c r="AS27" s="147">
        <f t="shared" si="32"/>
        <v>1421410394713417</v>
      </c>
      <c r="AT27" s="147" t="str">
        <f ca="1">INDEX(Photobiology!$21:$421,1+$AH27-380,AT$14)</f>
        <v/>
      </c>
      <c r="AU27" s="147" t="str">
        <f ca="1">INDEX(Photobiology!$21:$421,1+$AH27-380,AU$14)</f>
        <v/>
      </c>
      <c r="AV27" s="147" t="str">
        <f ca="1">INDEX(Photobiology!$21:$421,1+$AH27-380,AV$14)</f>
        <v/>
      </c>
      <c r="AW27" s="147">
        <f ca="1">INDEX(Photobiology!$21:$421,1+$AH27-380,AW$14)</f>
        <v>1.6606087693131206E-3</v>
      </c>
      <c r="AX27" s="147">
        <f ca="1">INDEX(Photobiology!$21:$421,1+$AH27-380,AX$14)</f>
        <v>2.3828236832225749E-3</v>
      </c>
      <c r="AY27" s="147">
        <f t="shared" si="19"/>
        <v>7.3128611809597196E-4</v>
      </c>
      <c r="AZ27" s="147">
        <f t="shared" ca="1" si="33"/>
        <v>0</v>
      </c>
      <c r="BA27" s="147">
        <f t="shared" ca="1" si="20"/>
        <v>0</v>
      </c>
      <c r="BB27" s="147">
        <f t="shared" ca="1" si="21"/>
        <v>0</v>
      </c>
      <c r="BC27" s="147">
        <f t="shared" ca="1" si="22"/>
        <v>9.2727079774569249E-7</v>
      </c>
      <c r="BD27" s="147">
        <f t="shared" ca="1" si="23"/>
        <v>1.375563813860885E-6</v>
      </c>
    </row>
    <row r="28" spans="8:56" s="147" customFormat="1" ht="0.25" customHeight="1" x14ac:dyDescent="0.2">
      <c r="H28" s="147">
        <f t="shared" si="24"/>
        <v>387</v>
      </c>
      <c r="I28" s="147">
        <f>IF($H28&gt;$H27,INDEX(Spectra!28:28,1,MATCH($I$20,Spectra!$20:$20,0)),I27)</f>
        <v>1.1148926534739301E-3</v>
      </c>
      <c r="J28" s="147">
        <f>((Physics!$C$9*Physics!$C$10)/(Physics!$C$11*Physics!$C$12*$H28))^($J$17-$J$18)</f>
        <v>1.9487486085102879E+18</v>
      </c>
      <c r="K28" s="147">
        <f t="shared" si="25"/>
        <v>1</v>
      </c>
      <c r="L28" s="147">
        <f>INDEX(Photobiology!$21:$421,1+$H28-380,10)</f>
        <v>8.2212239999999995E-5</v>
      </c>
      <c r="M28" s="147">
        <f t="shared" si="26"/>
        <v>1.1148926534739301E-3</v>
      </c>
      <c r="N28" s="147">
        <f ca="1">INDEX(Photobiology!$21:$421,1+$H28-380,N$14)</f>
        <v>0</v>
      </c>
      <c r="O28" s="147">
        <f ca="1">INDEX(Photobiology!$21:$421,1+$H28-380,O$14)</f>
        <v>0</v>
      </c>
      <c r="P28" s="147">
        <f ca="1">INDEX(Photobiology!$21:$421,1+$H28-380,P$14)</f>
        <v>0</v>
      </c>
      <c r="Q28" s="147">
        <f ca="1">INDEX(Photobiology!$21:$421,1+$H28-380,Q$14)</f>
        <v>1.4530000000000001E-3</v>
      </c>
      <c r="R28" s="147">
        <f ca="1">INDEX(Photobiology!$21:$421,1+$H28-380,R$14)</f>
        <v>2.1298900000000002E-3</v>
      </c>
      <c r="S28" s="147">
        <f t="shared" si="27"/>
        <v>2172645507095663.8</v>
      </c>
      <c r="T28" s="147" t="str">
        <f ca="1">INDEX(Photobiology!$21:$421,1+$H28-380,T$14)</f>
        <v/>
      </c>
      <c r="U28" s="147" t="str">
        <f ca="1">INDEX(Photobiology!$21:$421,1+$H28-380,U$14)</f>
        <v/>
      </c>
      <c r="V28" s="147" t="str">
        <f ca="1">INDEX(Photobiology!$21:$421,1+$H28-380,V$14)</f>
        <v/>
      </c>
      <c r="W28" s="147">
        <f ca="1">INDEX(Photobiology!$21:$421,1+$H28-380,W$14)</f>
        <v>1.8979729887336429E-3</v>
      </c>
      <c r="X28" s="147">
        <f ca="1">INDEX(Photobiology!$21:$421,1+$H28-380,X$14)</f>
        <v>2.69111346287593E-3</v>
      </c>
      <c r="Y28" s="147">
        <f t="shared" si="14"/>
        <v>1.1148926534739301E-3</v>
      </c>
      <c r="Z28" s="147">
        <f t="shared" ca="1" si="28"/>
        <v>0</v>
      </c>
      <c r="AA28" s="147">
        <f t="shared" ca="1" si="15"/>
        <v>0</v>
      </c>
      <c r="AB28" s="147">
        <f t="shared" ca="1" si="16"/>
        <v>0</v>
      </c>
      <c r="AC28" s="147">
        <f t="shared" ca="1" si="17"/>
        <v>1.6199390254976204E-6</v>
      </c>
      <c r="AD28" s="147">
        <f t="shared" ca="1" si="18"/>
        <v>2.3745987137075889E-6</v>
      </c>
      <c r="AH28" s="147">
        <f t="shared" si="29"/>
        <v>387</v>
      </c>
      <c r="AI28" s="147">
        <f>IF($AH28&gt;$AH27,INDEX(Spectra!28:28,1,MATCH($AI$20,Spectra!$20:$20,0)),AI27)</f>
        <v>53.246400000000001</v>
      </c>
      <c r="AJ28" s="147">
        <f>((Physics!$C$9*Physics!$C$10)/(Physics!$C$11*Physics!$C$12*$AH28))^($AJ$17-$AJ$18)</f>
        <v>1.9487486085102879E+18</v>
      </c>
      <c r="AK28" s="147">
        <f t="shared" si="30"/>
        <v>1</v>
      </c>
      <c r="AL28" s="147">
        <f>INDEX(Photobiology!$21:$421,1+$AH28-380,10)</f>
        <v>8.2212239999999995E-5</v>
      </c>
      <c r="AM28" s="147">
        <f t="shared" si="31"/>
        <v>7.3776084015425352E-4</v>
      </c>
      <c r="AN28" s="147">
        <f ca="1">INDEX(Photobiology!$21:$421,1+$AH28-380,AN$14)</f>
        <v>0</v>
      </c>
      <c r="AO28" s="147">
        <f ca="1">INDEX(Photobiology!$21:$421,1+$AH28-380,AO$14)</f>
        <v>0</v>
      </c>
      <c r="AP28" s="147">
        <f ca="1">INDEX(Photobiology!$21:$421,1+$AH28-380,AP$14)</f>
        <v>0</v>
      </c>
      <c r="AQ28" s="147">
        <f ca="1">INDEX(Photobiology!$21:$421,1+$AH28-380,AQ$14)</f>
        <v>1.4530000000000001E-3</v>
      </c>
      <c r="AR28" s="147">
        <f ca="1">INDEX(Photobiology!$21:$421,1+$AH28-380,AR$14)</f>
        <v>2.1298900000000002E-3</v>
      </c>
      <c r="AS28" s="147">
        <f t="shared" si="32"/>
        <v>1437710410663982.5</v>
      </c>
      <c r="AT28" s="147" t="str">
        <f ca="1">INDEX(Photobiology!$21:$421,1+$AH28-380,AT$14)</f>
        <v/>
      </c>
      <c r="AU28" s="147" t="str">
        <f ca="1">INDEX(Photobiology!$21:$421,1+$AH28-380,AU$14)</f>
        <v/>
      </c>
      <c r="AV28" s="147" t="str">
        <f ca="1">INDEX(Photobiology!$21:$421,1+$AH28-380,AV$14)</f>
        <v/>
      </c>
      <c r="AW28" s="147">
        <f ca="1">INDEX(Photobiology!$21:$421,1+$AH28-380,AW$14)</f>
        <v>1.8979729887336429E-3</v>
      </c>
      <c r="AX28" s="147">
        <f ca="1">INDEX(Photobiology!$21:$421,1+$AH28-380,AX$14)</f>
        <v>2.69111346287593E-3</v>
      </c>
      <c r="AY28" s="147">
        <f t="shared" si="19"/>
        <v>7.3776084015425352E-4</v>
      </c>
      <c r="AZ28" s="147">
        <f t="shared" ca="1" si="33"/>
        <v>0</v>
      </c>
      <c r="BA28" s="147">
        <f t="shared" ca="1" si="20"/>
        <v>0</v>
      </c>
      <c r="BB28" s="147">
        <f t="shared" ca="1" si="21"/>
        <v>0</v>
      </c>
      <c r="BC28" s="147">
        <f t="shared" ca="1" si="22"/>
        <v>1.0719665007441304E-6</v>
      </c>
      <c r="BD28" s="147">
        <f t="shared" ca="1" si="23"/>
        <v>1.5713494358361432E-6</v>
      </c>
    </row>
    <row r="29" spans="8:56" s="147" customFormat="1" ht="0.25" customHeight="1" x14ac:dyDescent="0.2">
      <c r="H29" s="147">
        <f t="shared" si="24"/>
        <v>388</v>
      </c>
      <c r="I29" s="147">
        <f>IF($H29&gt;$H28,INDEX(Spectra!29:29,1,MATCH($I$20,Spectra!$20:$20,0)),I28)</f>
        <v>1.15988832110293E-3</v>
      </c>
      <c r="J29" s="147">
        <f>((Physics!$C$9*Physics!$C$10)/(Physics!$C$11*Physics!$C$12*$H29))^($J$17-$J$18)</f>
        <v>1.9537841346304696E+18</v>
      </c>
      <c r="K29" s="147">
        <f t="shared" si="25"/>
        <v>1</v>
      </c>
      <c r="L29" s="147">
        <f>INDEX(Photobiology!$21:$421,1+$H29-380,10)</f>
        <v>9.3508159999999998E-5</v>
      </c>
      <c r="M29" s="147">
        <f t="shared" si="26"/>
        <v>1.15988832110293E-3</v>
      </c>
      <c r="N29" s="147">
        <f ca="1">INDEX(Photobiology!$21:$421,1+$H29-380,N$14)</f>
        <v>0</v>
      </c>
      <c r="O29" s="147">
        <f ca="1">INDEX(Photobiology!$21:$421,1+$H29-380,O$14)</f>
        <v>0</v>
      </c>
      <c r="P29" s="147">
        <f ca="1">INDEX(Photobiology!$21:$421,1+$H29-380,P$14)</f>
        <v>0</v>
      </c>
      <c r="Q29" s="147">
        <f ca="1">INDEX(Photobiology!$21:$421,1+$H29-380,Q$14)</f>
        <v>1.668E-3</v>
      </c>
      <c r="R29" s="147">
        <f ca="1">INDEX(Photobiology!$21:$421,1+$H29-380,R$14)</f>
        <v>2.41457E-3</v>
      </c>
      <c r="S29" s="147">
        <f t="shared" si="27"/>
        <v>2266171399714076.5</v>
      </c>
      <c r="T29" s="147" t="str">
        <f ca="1">INDEX(Photobiology!$21:$421,1+$H29-380,T$14)</f>
        <v/>
      </c>
      <c r="U29" s="147" t="str">
        <f ca="1">INDEX(Photobiology!$21:$421,1+$H29-380,U$14)</f>
        <v/>
      </c>
      <c r="V29" s="147" t="str">
        <f ca="1">INDEX(Photobiology!$21:$421,1+$H29-380,V$14)</f>
        <v/>
      </c>
      <c r="W29" s="147">
        <f ca="1">INDEX(Photobiology!$21:$421,1+$H29-380,W$14)</f>
        <v>2.1732000124083588E-3</v>
      </c>
      <c r="X29" s="147">
        <f ca="1">INDEX(Photobiology!$21:$421,1+$H29-380,X$14)</f>
        <v>3.042943398920753E-3</v>
      </c>
      <c r="Y29" s="147">
        <f t="shared" si="14"/>
        <v>1.15988832110293E-3</v>
      </c>
      <c r="Z29" s="147">
        <f t="shared" ca="1" si="28"/>
        <v>0</v>
      </c>
      <c r="AA29" s="147">
        <f t="shared" ca="1" si="15"/>
        <v>0</v>
      </c>
      <c r="AB29" s="147">
        <f t="shared" ca="1" si="16"/>
        <v>0</v>
      </c>
      <c r="AC29" s="147">
        <f t="shared" ca="1" si="17"/>
        <v>1.9346937195996871E-6</v>
      </c>
      <c r="AD29" s="147">
        <f t="shared" ca="1" si="18"/>
        <v>2.8006315434855016E-6</v>
      </c>
      <c r="AH29" s="147">
        <f t="shared" si="29"/>
        <v>388</v>
      </c>
      <c r="AI29" s="147">
        <f>IF($AH29&gt;$AH28,INDEX(Spectra!29:29,1,MATCH($AI$20,Spectra!$20:$20,0)),AI28)</f>
        <v>53.713700000000003</v>
      </c>
      <c r="AJ29" s="147">
        <f>((Physics!$C$9*Physics!$C$10)/(Physics!$C$11*Physics!$C$12*$AH29))^($AJ$17-$AJ$18)</f>
        <v>1.9537841346304696E+18</v>
      </c>
      <c r="AK29" s="147">
        <f t="shared" si="30"/>
        <v>1</v>
      </c>
      <c r="AL29" s="147">
        <f>INDEX(Photobiology!$21:$421,1+$AH29-380,10)</f>
        <v>9.3508159999999998E-5</v>
      </c>
      <c r="AM29" s="147">
        <f t="shared" si="31"/>
        <v>7.442355622125352E-4</v>
      </c>
      <c r="AN29" s="147">
        <f ca="1">INDEX(Photobiology!$21:$421,1+$AH29-380,AN$14)</f>
        <v>0</v>
      </c>
      <c r="AO29" s="147">
        <f ca="1">INDEX(Photobiology!$21:$421,1+$AH29-380,AO$14)</f>
        <v>0</v>
      </c>
      <c r="AP29" s="147">
        <f ca="1">INDEX(Photobiology!$21:$421,1+$AH29-380,AP$14)</f>
        <v>0</v>
      </c>
      <c r="AQ29" s="147">
        <f ca="1">INDEX(Photobiology!$21:$421,1+$AH29-380,AQ$14)</f>
        <v>1.668E-3</v>
      </c>
      <c r="AR29" s="147">
        <f ca="1">INDEX(Photobiology!$21:$421,1+$AH29-380,AR$14)</f>
        <v>2.41457E-3</v>
      </c>
      <c r="AS29" s="147">
        <f t="shared" si="32"/>
        <v>1454075633878639.2</v>
      </c>
      <c r="AT29" s="147" t="str">
        <f ca="1">INDEX(Photobiology!$21:$421,1+$AH29-380,AT$14)</f>
        <v/>
      </c>
      <c r="AU29" s="147" t="str">
        <f ca="1">INDEX(Photobiology!$21:$421,1+$AH29-380,AU$14)</f>
        <v/>
      </c>
      <c r="AV29" s="147" t="str">
        <f ca="1">INDEX(Photobiology!$21:$421,1+$AH29-380,AV$14)</f>
        <v/>
      </c>
      <c r="AW29" s="147">
        <f ca="1">INDEX(Photobiology!$21:$421,1+$AH29-380,AW$14)</f>
        <v>2.1732000124083588E-3</v>
      </c>
      <c r="AX29" s="147">
        <f ca="1">INDEX(Photobiology!$21:$421,1+$AH29-380,AX$14)</f>
        <v>3.042943398920753E-3</v>
      </c>
      <c r="AY29" s="147">
        <f t="shared" si="19"/>
        <v>7.442355622125352E-4</v>
      </c>
      <c r="AZ29" s="147">
        <f t="shared" ca="1" si="33"/>
        <v>0</v>
      </c>
      <c r="BA29" s="147">
        <f t="shared" ca="1" si="20"/>
        <v>0</v>
      </c>
      <c r="BB29" s="147">
        <f t="shared" ca="1" si="21"/>
        <v>0</v>
      </c>
      <c r="BC29" s="147">
        <f t="shared" ca="1" si="22"/>
        <v>1.2413849177705087E-6</v>
      </c>
      <c r="BD29" s="147">
        <f t="shared" ca="1" si="23"/>
        <v>1.797008861451521E-6</v>
      </c>
    </row>
    <row r="30" spans="8:56" s="147" customFormat="1" ht="0.25" customHeight="1" x14ac:dyDescent="0.2">
      <c r="H30" s="147">
        <f t="shared" si="24"/>
        <v>389</v>
      </c>
      <c r="I30" s="147">
        <f>IF($H30&gt;$H29,INDEX(Spectra!30:30,1,MATCH($I$20,Spectra!$20:$20,0)),I29)</f>
        <v>1.19988447010648E-3</v>
      </c>
      <c r="J30" s="147">
        <f>((Physics!$C$9*Physics!$C$10)/(Physics!$C$11*Physics!$C$12*$H30))^($J$17-$J$18)</f>
        <v>1.9588196607506509E+18</v>
      </c>
      <c r="K30" s="147">
        <f t="shared" si="25"/>
        <v>1</v>
      </c>
      <c r="L30" s="147">
        <f>INDEX(Photobiology!$21:$421,1+$H30-380,10)</f>
        <v>1.061361E-4</v>
      </c>
      <c r="M30" s="147">
        <f t="shared" si="26"/>
        <v>1.19988447010648E-3</v>
      </c>
      <c r="N30" s="147">
        <f ca="1">INDEX(Photobiology!$21:$421,1+$H30-380,N$14)</f>
        <v>0</v>
      </c>
      <c r="O30" s="147">
        <f ca="1">INDEX(Photobiology!$21:$421,1+$H30-380,O$14)</f>
        <v>0</v>
      </c>
      <c r="P30" s="147">
        <f ca="1">INDEX(Photobiology!$21:$421,1+$H30-380,P$14)</f>
        <v>0</v>
      </c>
      <c r="Q30" s="147">
        <f ca="1">INDEX(Photobiology!$21:$421,1+$H30-380,Q$14)</f>
        <v>1.918E-3</v>
      </c>
      <c r="R30" s="147">
        <f ca="1">INDEX(Photobiology!$21:$421,1+$H30-380,R$14)</f>
        <v>2.7358299999999999E-3</v>
      </c>
      <c r="S30" s="147">
        <f t="shared" si="27"/>
        <v>2350357290673949.5</v>
      </c>
      <c r="T30" s="147" t="str">
        <f ca="1">INDEX(Photobiology!$21:$421,1+$H30-380,T$14)</f>
        <v/>
      </c>
      <c r="U30" s="147" t="str">
        <f ca="1">INDEX(Photobiology!$21:$421,1+$H30-380,U$14)</f>
        <v/>
      </c>
      <c r="V30" s="147" t="str">
        <f ca="1">INDEX(Photobiology!$21:$421,1+$H30-380,V$14)</f>
        <v/>
      </c>
      <c r="W30" s="147">
        <f ca="1">INDEX(Photobiology!$21:$421,1+$H30-380,W$14)</f>
        <v>2.4924954813025195E-3</v>
      </c>
      <c r="X30" s="147">
        <f ca="1">INDEX(Photobiology!$21:$421,1+$H30-380,X$14)</f>
        <v>3.4389455981404925E-3</v>
      </c>
      <c r="Y30" s="147">
        <f t="shared" si="14"/>
        <v>1.19988447010648E-3</v>
      </c>
      <c r="Z30" s="147">
        <f t="shared" ca="1" si="28"/>
        <v>0</v>
      </c>
      <c r="AA30" s="147">
        <f t="shared" ca="1" si="15"/>
        <v>0</v>
      </c>
      <c r="AB30" s="147">
        <f t="shared" ca="1" si="16"/>
        <v>0</v>
      </c>
      <c r="AC30" s="147">
        <f t="shared" ca="1" si="17"/>
        <v>2.3013784136642289E-6</v>
      </c>
      <c r="AD30" s="147">
        <f t="shared" ca="1" si="18"/>
        <v>3.2826799298514111E-6</v>
      </c>
      <c r="AH30" s="147">
        <f t="shared" si="29"/>
        <v>389</v>
      </c>
      <c r="AI30" s="147">
        <f>IF($AH30&gt;$AH29,INDEX(Spectra!30:30,1,MATCH($AI$20,Spectra!$20:$20,0)),AI29)</f>
        <v>54.180900000000001</v>
      </c>
      <c r="AJ30" s="147">
        <f>((Physics!$C$9*Physics!$C$10)/(Physics!$C$11*Physics!$C$12*$AH30))^($AJ$17-$AJ$18)</f>
        <v>1.9588196607506509E+18</v>
      </c>
      <c r="AK30" s="147">
        <f t="shared" si="30"/>
        <v>1</v>
      </c>
      <c r="AL30" s="147">
        <f>INDEX(Photobiology!$21:$421,1+$AH30-380,10)</f>
        <v>1.061361E-4</v>
      </c>
      <c r="AM30" s="147">
        <f t="shared" si="31"/>
        <v>7.5070889871077854E-4</v>
      </c>
      <c r="AN30" s="147">
        <f ca="1">INDEX(Photobiology!$21:$421,1+$AH30-380,AN$14)</f>
        <v>0</v>
      </c>
      <c r="AO30" s="147">
        <f ca="1">INDEX(Photobiology!$21:$421,1+$AH30-380,AO$14)</f>
        <v>0</v>
      </c>
      <c r="AP30" s="147">
        <f ca="1">INDEX(Photobiology!$21:$421,1+$AH30-380,AP$14)</f>
        <v>0</v>
      </c>
      <c r="AQ30" s="147">
        <f ca="1">INDEX(Photobiology!$21:$421,1+$AH30-380,AQ$14)</f>
        <v>1.918E-3</v>
      </c>
      <c r="AR30" s="147">
        <f ca="1">INDEX(Photobiology!$21:$421,1+$AH30-380,AR$14)</f>
        <v>2.7358299999999999E-3</v>
      </c>
      <c r="AS30" s="147">
        <f t="shared" si="32"/>
        <v>1470503350295142</v>
      </c>
      <c r="AT30" s="147" t="str">
        <f ca="1">INDEX(Photobiology!$21:$421,1+$AH30-380,AT$14)</f>
        <v/>
      </c>
      <c r="AU30" s="147" t="str">
        <f ca="1">INDEX(Photobiology!$21:$421,1+$AH30-380,AU$14)</f>
        <v/>
      </c>
      <c r="AV30" s="147" t="str">
        <f ca="1">INDEX(Photobiology!$21:$421,1+$AH30-380,AV$14)</f>
        <v/>
      </c>
      <c r="AW30" s="147">
        <f ca="1">INDEX(Photobiology!$21:$421,1+$AH30-380,AW$14)</f>
        <v>2.4924954813025195E-3</v>
      </c>
      <c r="AX30" s="147">
        <f ca="1">INDEX(Photobiology!$21:$421,1+$AH30-380,AX$14)</f>
        <v>3.4389455981404925E-3</v>
      </c>
      <c r="AY30" s="147">
        <f t="shared" si="19"/>
        <v>7.5070889871077854E-4</v>
      </c>
      <c r="AZ30" s="147">
        <f t="shared" ca="1" si="33"/>
        <v>0</v>
      </c>
      <c r="BA30" s="147">
        <f t="shared" ca="1" si="20"/>
        <v>0</v>
      </c>
      <c r="BB30" s="147">
        <f t="shared" ca="1" si="21"/>
        <v>0</v>
      </c>
      <c r="BC30" s="147">
        <f t="shared" ca="1" si="22"/>
        <v>1.4398596677272732E-6</v>
      </c>
      <c r="BD30" s="147">
        <f t="shared" ca="1" si="23"/>
        <v>2.0538119263599089E-6</v>
      </c>
    </row>
    <row r="31" spans="8:56" s="147" customFormat="1" ht="0.25" customHeight="1" x14ac:dyDescent="0.2">
      <c r="H31" s="147">
        <f t="shared" si="24"/>
        <v>390</v>
      </c>
      <c r="I31" s="147">
        <f>IF($H31&gt;$H30,INDEX(Spectra!31:31,1,MATCH($I$20,Spectra!$20:$20,0)),I30)</f>
        <v>1.21488302598281E-3</v>
      </c>
      <c r="J31" s="147">
        <f>((Physics!$C$9*Physics!$C$10)/(Physics!$C$11*Physics!$C$12*$H31))^($J$17-$J$18)</f>
        <v>1.9638551868708326E+18</v>
      </c>
      <c r="K31" s="147">
        <f t="shared" si="25"/>
        <v>1</v>
      </c>
      <c r="L31" s="147">
        <f>INDEX(Photobiology!$21:$421,1+$H31-380,10)</f>
        <v>1.2E-4</v>
      </c>
      <c r="M31" s="147">
        <f t="shared" si="26"/>
        <v>1.21488302598281E-3</v>
      </c>
      <c r="N31" s="147">
        <f ca="1">INDEX(Photobiology!$21:$421,1+$H31-380,N$14)</f>
        <v>6.1426500000000004E-3</v>
      </c>
      <c r="O31" s="147">
        <f ca="1">INDEX(Photobiology!$21:$421,1+$H31-380,O$14)</f>
        <v>3.5822700000000002E-4</v>
      </c>
      <c r="P31" s="147">
        <f ca="1">INDEX(Photobiology!$21:$421,1+$H31-380,P$14)</f>
        <v>4.0761900000000002E-4</v>
      </c>
      <c r="Q31" s="147">
        <f ca="1">INDEX(Photobiology!$21:$421,1+$H31-380,Q$14)</f>
        <v>2.209E-3</v>
      </c>
      <c r="R31" s="147">
        <f ca="1">INDEX(Photobiology!$21:$421,1+$H31-380,R$14)</f>
        <v>3.0944200000000001E-3</v>
      </c>
      <c r="S31" s="147">
        <f t="shared" si="27"/>
        <v>2385854332017674</v>
      </c>
      <c r="T31" s="147">
        <f ca="1">INDEX(Photobiology!$21:$421,1+$H31-380,T$14)</f>
        <v>7.0472013307571121E-3</v>
      </c>
      <c r="U31" s="147">
        <f ca="1">INDEX(Photobiology!$21:$421,1+$H31-380,U$14)</f>
        <v>4.9653741388005319E-4</v>
      </c>
      <c r="V31" s="147">
        <f ca="1">INDEX(Photobiology!$21:$421,1+$H31-380,V$14)</f>
        <v>5.9231434316917562E-4</v>
      </c>
      <c r="W31" s="147">
        <f ca="1">INDEX(Photobiology!$21:$421,1+$H31-380,W$14)</f>
        <v>2.8632975850628808E-3</v>
      </c>
      <c r="X31" s="147">
        <f ca="1">INDEX(Photobiology!$21:$421,1+$H31-380,X$14)</f>
        <v>3.8797206085804973E-3</v>
      </c>
      <c r="Y31" s="147">
        <f t="shared" si="14"/>
        <v>1.21488302598281E-3</v>
      </c>
      <c r="Z31" s="147">
        <f t="shared" ca="1" si="28"/>
        <v>7.4626012195533088E-6</v>
      </c>
      <c r="AA31" s="147">
        <f t="shared" ca="1" si="15"/>
        <v>4.3520390174874414E-7</v>
      </c>
      <c r="AB31" s="147">
        <f t="shared" ca="1" si="16"/>
        <v>4.9520940416808708E-7</v>
      </c>
      <c r="AC31" s="147">
        <f t="shared" ca="1" si="17"/>
        <v>2.6836766043960274E-6</v>
      </c>
      <c r="AD31" s="147">
        <f t="shared" ca="1" si="18"/>
        <v>3.7593583332617271E-6</v>
      </c>
      <c r="AH31" s="147">
        <f t="shared" si="29"/>
        <v>390</v>
      </c>
      <c r="AI31" s="147">
        <f>IF($AH31&gt;$AH30,INDEX(Spectra!31:31,1,MATCH($AI$20,Spectra!$20:$20,0)),AI30)</f>
        <v>54.648200000000003</v>
      </c>
      <c r="AJ31" s="147">
        <f>((Physics!$C$9*Physics!$C$10)/(Physics!$C$11*Physics!$C$12*$AH31))^($AJ$17-$AJ$18)</f>
        <v>1.9638551868708326E+18</v>
      </c>
      <c r="AK31" s="147">
        <f t="shared" si="30"/>
        <v>1</v>
      </c>
      <c r="AL31" s="147">
        <f>INDEX(Photobiology!$21:$421,1+$AH31-380,10)</f>
        <v>1.2E-4</v>
      </c>
      <c r="AM31" s="147">
        <f t="shared" si="31"/>
        <v>7.571836207690601E-4</v>
      </c>
      <c r="AN31" s="147">
        <f ca="1">INDEX(Photobiology!$21:$421,1+$AH31-380,AN$14)</f>
        <v>6.1426500000000004E-3</v>
      </c>
      <c r="AO31" s="147">
        <f ca="1">INDEX(Photobiology!$21:$421,1+$AH31-380,AO$14)</f>
        <v>3.5822700000000002E-4</v>
      </c>
      <c r="AP31" s="147">
        <f ca="1">INDEX(Photobiology!$21:$421,1+$AH31-380,AP$14)</f>
        <v>4.0761900000000002E-4</v>
      </c>
      <c r="AQ31" s="147">
        <f ca="1">INDEX(Photobiology!$21:$421,1+$AH31-380,AQ$14)</f>
        <v>2.209E-3</v>
      </c>
      <c r="AR31" s="147">
        <f ca="1">INDEX(Photobiology!$21:$421,1+$AH31-380,AR$14)</f>
        <v>3.0944200000000001E-3</v>
      </c>
      <c r="AS31" s="147">
        <f t="shared" si="32"/>
        <v>1486998981060956.2</v>
      </c>
      <c r="AT31" s="147">
        <f ca="1">INDEX(Photobiology!$21:$421,1+$AH31-380,AT$14)</f>
        <v>7.0472013307571121E-3</v>
      </c>
      <c r="AU31" s="147">
        <f ca="1">INDEX(Photobiology!$21:$421,1+$AH31-380,AU$14)</f>
        <v>4.9653741388005319E-4</v>
      </c>
      <c r="AV31" s="147">
        <f ca="1">INDEX(Photobiology!$21:$421,1+$AH31-380,AV$14)</f>
        <v>5.9231434316917562E-4</v>
      </c>
      <c r="AW31" s="147">
        <f ca="1">INDEX(Photobiology!$21:$421,1+$AH31-380,AW$14)</f>
        <v>2.8632975850628808E-3</v>
      </c>
      <c r="AX31" s="147">
        <f ca="1">INDEX(Photobiology!$21:$421,1+$AH31-380,AX$14)</f>
        <v>3.8797206085804973E-3</v>
      </c>
      <c r="AY31" s="147">
        <f t="shared" si="19"/>
        <v>7.571836207690601E-4</v>
      </c>
      <c r="AZ31" s="147">
        <f t="shared" ca="1" si="33"/>
        <v>4.6511139681170677E-6</v>
      </c>
      <c r="BA31" s="147">
        <f t="shared" ca="1" si="20"/>
        <v>2.7124361691723814E-7</v>
      </c>
      <c r="BB31" s="147">
        <f t="shared" ca="1" si="21"/>
        <v>3.0864243031426353E-7</v>
      </c>
      <c r="BC31" s="147">
        <f t="shared" ca="1" si="22"/>
        <v>1.6726186182788537E-6</v>
      </c>
      <c r="BD31" s="147">
        <f t="shared" ca="1" si="23"/>
        <v>2.3430441397801948E-6</v>
      </c>
    </row>
    <row r="32" spans="8:56" s="147" customFormat="1" ht="0.25" customHeight="1" x14ac:dyDescent="0.2">
      <c r="H32" s="147">
        <f t="shared" si="24"/>
        <v>391</v>
      </c>
      <c r="I32" s="147">
        <f>IF($H32&gt;$H31,INDEX(Spectra!32:32,1,MATCH($I$20,Spectra!$20:$20,0)),I31)</f>
        <v>1.19988447010648E-3</v>
      </c>
      <c r="J32" s="147">
        <f>((Physics!$C$9*Physics!$C$10)/(Physics!$C$11*Physics!$C$12*$H32))^($J$17-$J$18)</f>
        <v>1.9688907129910144E+18</v>
      </c>
      <c r="K32" s="147">
        <f t="shared" si="25"/>
        <v>1</v>
      </c>
      <c r="L32" s="147">
        <f>INDEX(Photobiology!$21:$421,1+$H32-380,10)</f>
        <v>1.3498399999999999E-4</v>
      </c>
      <c r="M32" s="147">
        <f t="shared" si="26"/>
        <v>1.19988447010648E-3</v>
      </c>
      <c r="N32" s="147">
        <f ca="1">INDEX(Photobiology!$21:$421,1+$H32-380,N$14)</f>
        <v>7.4428000000000003E-3</v>
      </c>
      <c r="O32" s="147">
        <f ca="1">INDEX(Photobiology!$21:$421,1+$H32-380,O$14)</f>
        <v>4.3866E-4</v>
      </c>
      <c r="P32" s="147">
        <f ca="1">INDEX(Photobiology!$21:$421,1+$H32-380,P$14)</f>
        <v>4.9706800000000003E-4</v>
      </c>
      <c r="Q32" s="147">
        <f ca="1">INDEX(Photobiology!$21:$421,1+$H32-380,Q$14)</f>
        <v>2.5469999999999998E-3</v>
      </c>
      <c r="R32" s="147">
        <f ca="1">INDEX(Photobiology!$21:$421,1+$H32-380,R$14)</f>
        <v>3.5070600000000002E-3</v>
      </c>
      <c r="S32" s="147">
        <f t="shared" si="27"/>
        <v>2362441389854793</v>
      </c>
      <c r="T32" s="147">
        <f ca="1">INDEX(Photobiology!$21:$421,1+$H32-380,T$14)</f>
        <v>8.5169697955315374E-3</v>
      </c>
      <c r="U32" s="147">
        <f ca="1">INDEX(Photobiology!$21:$421,1+$H32-380,U$14)</f>
        <v>6.064703116480623E-4</v>
      </c>
      <c r="V32" s="147">
        <f ca="1">INDEX(Photobiology!$21:$421,1+$H32-380,V$14)</f>
        <v>7.2044608398801426E-4</v>
      </c>
      <c r="W32" s="147">
        <f ca="1">INDEX(Photobiology!$21:$421,1+$H32-380,W$14)</f>
        <v>3.2929684193244691E-3</v>
      </c>
      <c r="X32" s="147">
        <f ca="1">INDEX(Photobiology!$21:$421,1+$H32-380,X$14)</f>
        <v>4.3858344851076337E-3</v>
      </c>
      <c r="Y32" s="147">
        <f t="shared" si="14"/>
        <v>1.19988447010648E-3</v>
      </c>
      <c r="Z32" s="147">
        <f t="shared" ca="1" si="28"/>
        <v>8.9305001341085093E-6</v>
      </c>
      <c r="AA32" s="147">
        <f t="shared" ca="1" si="15"/>
        <v>5.2634132165690858E-7</v>
      </c>
      <c r="AB32" s="147">
        <f t="shared" ca="1" si="16"/>
        <v>5.9642417378688782E-7</v>
      </c>
      <c r="AC32" s="147">
        <f t="shared" ca="1" si="17"/>
        <v>3.0561057453612043E-6</v>
      </c>
      <c r="AD32" s="147">
        <f t="shared" ca="1" si="18"/>
        <v>4.2080668297316317E-6</v>
      </c>
      <c r="AH32" s="147">
        <f t="shared" si="29"/>
        <v>391</v>
      </c>
      <c r="AI32" s="147">
        <f>IF($AH32&gt;$AH31,INDEX(Spectra!32:32,1,MATCH($AI$20,Spectra!$20:$20,0)),AI31)</f>
        <v>57.4589</v>
      </c>
      <c r="AJ32" s="147">
        <f>((Physics!$C$9*Physics!$C$10)/(Physics!$C$11*Physics!$C$12*$AH32))^($AJ$17-$AJ$18)</f>
        <v>1.9688907129910144E+18</v>
      </c>
      <c r="AK32" s="147">
        <f t="shared" si="30"/>
        <v>1</v>
      </c>
      <c r="AL32" s="147">
        <f>INDEX(Photobiology!$21:$421,1+$AH32-380,10)</f>
        <v>1.3498399999999999E-4</v>
      </c>
      <c r="AM32" s="147">
        <f t="shared" si="31"/>
        <v>7.9612755676138178E-4</v>
      </c>
      <c r="AN32" s="147">
        <f ca="1">INDEX(Photobiology!$21:$421,1+$AH32-380,AN$14)</f>
        <v>7.4428000000000003E-3</v>
      </c>
      <c r="AO32" s="147">
        <f ca="1">INDEX(Photobiology!$21:$421,1+$AH32-380,AO$14)</f>
        <v>4.3866E-4</v>
      </c>
      <c r="AP32" s="147">
        <f ca="1">INDEX(Photobiology!$21:$421,1+$AH32-380,AP$14)</f>
        <v>4.9706800000000003E-4</v>
      </c>
      <c r="AQ32" s="147">
        <f ca="1">INDEX(Photobiology!$21:$421,1+$AH32-380,AQ$14)</f>
        <v>2.5469999999999998E-3</v>
      </c>
      <c r="AR32" s="147">
        <f ca="1">INDEX(Photobiology!$21:$421,1+$AH32-380,AR$14)</f>
        <v>3.5070600000000002E-3</v>
      </c>
      <c r="AS32" s="147">
        <f t="shared" si="32"/>
        <v>1567488152863711.2</v>
      </c>
      <c r="AT32" s="147">
        <f ca="1">INDEX(Photobiology!$21:$421,1+$AH32-380,AT$14)</f>
        <v>8.5169697955315374E-3</v>
      </c>
      <c r="AU32" s="147">
        <f ca="1">INDEX(Photobiology!$21:$421,1+$AH32-380,AU$14)</f>
        <v>6.064703116480623E-4</v>
      </c>
      <c r="AV32" s="147">
        <f ca="1">INDEX(Photobiology!$21:$421,1+$AH32-380,AV$14)</f>
        <v>7.2044608398801426E-4</v>
      </c>
      <c r="AW32" s="147">
        <f ca="1">INDEX(Photobiology!$21:$421,1+$AH32-380,AW$14)</f>
        <v>3.2929684193244691E-3</v>
      </c>
      <c r="AX32" s="147">
        <f ca="1">INDEX(Photobiology!$21:$421,1+$AH32-380,AX$14)</f>
        <v>4.3858344851076337E-3</v>
      </c>
      <c r="AY32" s="147">
        <f t="shared" si="19"/>
        <v>7.9612755676138178E-4</v>
      </c>
      <c r="AZ32" s="147">
        <f t="shared" ca="1" si="33"/>
        <v>5.9254181794636125E-6</v>
      </c>
      <c r="BA32" s="147">
        <f t="shared" ca="1" si="20"/>
        <v>3.4922931404894772E-7</v>
      </c>
      <c r="BB32" s="147">
        <f t="shared" ca="1" si="21"/>
        <v>3.9572953238426656E-7</v>
      </c>
      <c r="BC32" s="147">
        <f t="shared" ca="1" si="22"/>
        <v>2.027736887071239E-6</v>
      </c>
      <c r="BD32" s="147">
        <f t="shared" ca="1" si="23"/>
        <v>2.7920671092155719E-6</v>
      </c>
    </row>
    <row r="33" spans="8:56" s="147" customFormat="1" ht="0.25" customHeight="1" x14ac:dyDescent="0.2">
      <c r="H33" s="147">
        <f t="shared" si="24"/>
        <v>392</v>
      </c>
      <c r="I33" s="147">
        <f>IF($H33&gt;$H32,INDEX(Spectra!33:33,1,MATCH($I$20,Spectra!$20:$20,0)),I32)</f>
        <v>1.14988928385204E-3</v>
      </c>
      <c r="J33" s="147">
        <f>((Physics!$C$9*Physics!$C$10)/(Physics!$C$11*Physics!$C$12*$H33))^($J$17-$J$18)</f>
        <v>1.9739262391111962E+18</v>
      </c>
      <c r="K33" s="147">
        <f t="shared" si="25"/>
        <v>1</v>
      </c>
      <c r="L33" s="147">
        <f>INDEX(Photobiology!$21:$421,1+$H33-380,10)</f>
        <v>1.5149200000000001E-4</v>
      </c>
      <c r="M33" s="147">
        <f t="shared" si="26"/>
        <v>1.14988928385204E-3</v>
      </c>
      <c r="N33" s="147">
        <f ca="1">INDEX(Photobiology!$21:$421,1+$H33-380,N$14)</f>
        <v>9.0166099999999996E-3</v>
      </c>
      <c r="O33" s="147">
        <f ca="1">INDEX(Photobiology!$21:$421,1+$H33-380,O$14)</f>
        <v>5.3622999999999995E-4</v>
      </c>
      <c r="P33" s="147">
        <f ca="1">INDEX(Photobiology!$21:$421,1+$H33-380,P$14)</f>
        <v>6.04713E-4</v>
      </c>
      <c r="Q33" s="147">
        <f ca="1">INDEX(Photobiology!$21:$421,1+$H33-380,Q$14)</f>
        <v>2.9390000000000002E-3</v>
      </c>
      <c r="R33" s="147">
        <f ca="1">INDEX(Photobiology!$21:$421,1+$H33-380,R$14)</f>
        <v>3.9907800000000002E-3</v>
      </c>
      <c r="S33" s="147">
        <f t="shared" si="27"/>
        <v>2269796629468324</v>
      </c>
      <c r="T33" s="147">
        <f ca="1">INDEX(Photobiology!$21:$421,1+$H33-380,T$14)</f>
        <v>1.0291596102184997E-2</v>
      </c>
      <c r="U33" s="147">
        <f ca="1">INDEX(Photobiology!$21:$421,1+$H33-380,U$14)</f>
        <v>7.394746821086435E-4</v>
      </c>
      <c r="V33" s="147">
        <f ca="1">INDEX(Photobiology!$21:$421,1+$H33-380,V$14)</f>
        <v>8.742299389516956E-4</v>
      </c>
      <c r="W33" s="147">
        <f ca="1">INDEX(Photobiology!$21:$421,1+$H33-380,W$14)</f>
        <v>3.7900845393322828E-3</v>
      </c>
      <c r="X33" s="147">
        <f ca="1">INDEX(Photobiology!$21:$421,1+$H33-380,X$14)</f>
        <v>4.9780301135371862E-3</v>
      </c>
      <c r="Y33" s="147">
        <f t="shared" si="14"/>
        <v>1.14988928385204E-3</v>
      </c>
      <c r="Z33" s="147">
        <f t="shared" ca="1" si="28"/>
        <v>1.0368103215673142E-5</v>
      </c>
      <c r="AA33" s="147">
        <f t="shared" ca="1" si="15"/>
        <v>6.1660513067997934E-7</v>
      </c>
      <c r="AB33" s="147">
        <f t="shared" ca="1" si="16"/>
        <v>6.9535299850601866E-7</v>
      </c>
      <c r="AC33" s="147">
        <f t="shared" ca="1" si="17"/>
        <v>3.3795246052411458E-6</v>
      </c>
      <c r="AD33" s="147">
        <f t="shared" ca="1" si="18"/>
        <v>4.5889551562110442E-6</v>
      </c>
      <c r="AH33" s="147">
        <f t="shared" si="29"/>
        <v>392</v>
      </c>
      <c r="AI33" s="147">
        <f>IF($AH33&gt;$AH32,INDEX(Spectra!33:33,1,MATCH($AI$20,Spectra!$20:$20,0)),AI32)</f>
        <v>60.269500000000001</v>
      </c>
      <c r="AJ33" s="147">
        <f>((Physics!$C$9*Physics!$C$10)/(Physics!$C$11*Physics!$C$12*$AH33))^($AJ$17-$AJ$18)</f>
        <v>1.9739262391111962E+18</v>
      </c>
      <c r="AK33" s="147">
        <f t="shared" si="30"/>
        <v>1</v>
      </c>
      <c r="AL33" s="147">
        <f>INDEX(Photobiology!$21:$421,1+$AH33-380,10)</f>
        <v>1.5149200000000001E-4</v>
      </c>
      <c r="AM33" s="147">
        <f t="shared" si="31"/>
        <v>8.3507010719366544E-4</v>
      </c>
      <c r="AN33" s="147">
        <f ca="1">INDEX(Photobiology!$21:$421,1+$AH33-380,AN$14)</f>
        <v>9.0166099999999996E-3</v>
      </c>
      <c r="AO33" s="147">
        <f ca="1">INDEX(Photobiology!$21:$421,1+$AH33-380,AO$14)</f>
        <v>5.3622999999999995E-4</v>
      </c>
      <c r="AP33" s="147">
        <f ca="1">INDEX(Photobiology!$21:$421,1+$AH33-380,AP$14)</f>
        <v>6.04713E-4</v>
      </c>
      <c r="AQ33" s="147">
        <f ca="1">INDEX(Photobiology!$21:$421,1+$AH33-380,AQ$14)</f>
        <v>2.9390000000000002E-3</v>
      </c>
      <c r="AR33" s="147">
        <f ca="1">INDEX(Photobiology!$21:$421,1+$AH33-380,AR$14)</f>
        <v>3.9907800000000002E-3</v>
      </c>
      <c r="AS33" s="147">
        <f t="shared" si="32"/>
        <v>1648366796086975.5</v>
      </c>
      <c r="AT33" s="147">
        <f ca="1">INDEX(Photobiology!$21:$421,1+$AH33-380,AT$14)</f>
        <v>1.0291596102184997E-2</v>
      </c>
      <c r="AU33" s="147">
        <f ca="1">INDEX(Photobiology!$21:$421,1+$AH33-380,AU$14)</f>
        <v>7.394746821086435E-4</v>
      </c>
      <c r="AV33" s="147">
        <f ca="1">INDEX(Photobiology!$21:$421,1+$AH33-380,AV$14)</f>
        <v>8.742299389516956E-4</v>
      </c>
      <c r="AW33" s="147">
        <f ca="1">INDEX(Photobiology!$21:$421,1+$AH33-380,AW$14)</f>
        <v>3.7900845393322828E-3</v>
      </c>
      <c r="AX33" s="147">
        <f ca="1">INDEX(Photobiology!$21:$421,1+$AH33-380,AX$14)</f>
        <v>4.9780301135371862E-3</v>
      </c>
      <c r="AY33" s="147">
        <f t="shared" si="19"/>
        <v>8.3507010719366544E-4</v>
      </c>
      <c r="AZ33" s="147">
        <f t="shared" ca="1" si="33"/>
        <v>7.5295014792234757E-6</v>
      </c>
      <c r="BA33" s="147">
        <f t="shared" ca="1" si="20"/>
        <v>4.4778964358045918E-7</v>
      </c>
      <c r="BB33" s="147">
        <f t="shared" ca="1" si="21"/>
        <v>5.04977749731403E-7</v>
      </c>
      <c r="BC33" s="147">
        <f t="shared" ca="1" si="22"/>
        <v>2.4542710450421829E-6</v>
      </c>
      <c r="BD33" s="147">
        <f t="shared" ca="1" si="23"/>
        <v>3.3325810823863362E-6</v>
      </c>
    </row>
    <row r="34" spans="8:56" s="147" customFormat="1" ht="0.25" customHeight="1" x14ac:dyDescent="0.2">
      <c r="H34" s="147">
        <f t="shared" si="24"/>
        <v>393</v>
      </c>
      <c r="I34" s="147">
        <f>IF($H34&gt;$H33,INDEX(Spectra!34:34,1,MATCH($I$20,Spectra!$20:$20,0)),I33)</f>
        <v>1.0998940975976001E-3</v>
      </c>
      <c r="J34" s="147">
        <f>((Physics!$C$9*Physics!$C$10)/(Physics!$C$11*Physics!$C$12*$H34))^($J$17-$J$18)</f>
        <v>1.9789617652313777E+18</v>
      </c>
      <c r="K34" s="147">
        <f t="shared" si="25"/>
        <v>1</v>
      </c>
      <c r="L34" s="147">
        <f>INDEX(Photobiology!$21:$421,1+$H34-380,10)</f>
        <v>1.7020800000000001E-4</v>
      </c>
      <c r="M34" s="147">
        <f t="shared" si="26"/>
        <v>1.0998940975976001E-3</v>
      </c>
      <c r="N34" s="147">
        <f ca="1">INDEX(Photobiology!$21:$421,1+$H34-380,N$14)</f>
        <v>1.0917E-2</v>
      </c>
      <c r="O34" s="147">
        <f ca="1">INDEX(Photobiology!$21:$421,1+$H34-380,O$14)</f>
        <v>6.5406100000000005E-4</v>
      </c>
      <c r="P34" s="147">
        <f ca="1">INDEX(Photobiology!$21:$421,1+$H34-380,P$14)</f>
        <v>7.3364000000000003E-4</v>
      </c>
      <c r="Q34" s="147">
        <f ca="1">INDEX(Photobiology!$21:$421,1+$H34-380,Q$14)</f>
        <v>3.3939999999999999E-3</v>
      </c>
      <c r="R34" s="147">
        <f ca="1">INDEX(Photobiology!$21:$421,1+$H34-380,R$14)</f>
        <v>4.5467900000000002E-3</v>
      </c>
      <c r="S34" s="147">
        <f t="shared" si="27"/>
        <v>2176648364949319.8</v>
      </c>
      <c r="T34" s="147">
        <f ca="1">INDEX(Photobiology!$21:$421,1+$H34-380,T$14)</f>
        <v>1.2429002501933578E-2</v>
      </c>
      <c r="U34" s="147">
        <f ca="1">INDEX(Photobiology!$21:$421,1+$H34-380,U$14)</f>
        <v>8.9967151984708302E-4</v>
      </c>
      <c r="V34" s="147">
        <f ca="1">INDEX(Photobiology!$21:$421,1+$H34-380,V$14)</f>
        <v>1.0579201498005374E-3</v>
      </c>
      <c r="W34" s="147">
        <f ca="1">INDEX(Photobiology!$21:$421,1+$H34-380,W$14)</f>
        <v>4.3657078104542635E-3</v>
      </c>
      <c r="X34" s="147">
        <f ca="1">INDEX(Photobiology!$21:$421,1+$H34-380,X$14)</f>
        <v>5.6571558738391101E-3</v>
      </c>
      <c r="Y34" s="147">
        <f t="shared" si="14"/>
        <v>1.0998940975976001E-3</v>
      </c>
      <c r="Z34" s="147">
        <f t="shared" ca="1" si="28"/>
        <v>1.2007543863472999E-5</v>
      </c>
      <c r="AA34" s="147">
        <f t="shared" ca="1" si="15"/>
        <v>7.1939783336878398E-7</v>
      </c>
      <c r="AB34" s="147">
        <f t="shared" ca="1" si="16"/>
        <v>8.0692630576150335E-7</v>
      </c>
      <c r="AC34" s="147">
        <f t="shared" ca="1" si="17"/>
        <v>3.7330405672462545E-6</v>
      </c>
      <c r="AD34" s="147">
        <f t="shared" ca="1" si="18"/>
        <v>5.0009874840157921E-6</v>
      </c>
      <c r="AH34" s="147">
        <f t="shared" si="29"/>
        <v>393</v>
      </c>
      <c r="AI34" s="147">
        <f>IF($AH34&gt;$AH33,INDEX(Spectra!34:34,1,MATCH($AI$20,Spectra!$20:$20,0)),AI33)</f>
        <v>63.080199999999998</v>
      </c>
      <c r="AJ34" s="147">
        <f>((Physics!$C$9*Physics!$C$10)/(Physics!$C$11*Physics!$C$12*$AH34))^($AJ$17-$AJ$18)</f>
        <v>1.9789617652313777E+18</v>
      </c>
      <c r="AK34" s="147">
        <f t="shared" si="30"/>
        <v>1</v>
      </c>
      <c r="AL34" s="147">
        <f>INDEX(Photobiology!$21:$421,1+$AH34-380,10)</f>
        <v>1.7020800000000001E-4</v>
      </c>
      <c r="AM34" s="147">
        <f t="shared" si="31"/>
        <v>8.7401404318598712E-4</v>
      </c>
      <c r="AN34" s="147">
        <f ca="1">INDEX(Photobiology!$21:$421,1+$AH34-380,AN$14)</f>
        <v>1.0917E-2</v>
      </c>
      <c r="AO34" s="147">
        <f ca="1">INDEX(Photobiology!$21:$421,1+$AH34-380,AO$14)</f>
        <v>6.5406100000000005E-4</v>
      </c>
      <c r="AP34" s="147">
        <f ca="1">INDEX(Photobiology!$21:$421,1+$AH34-380,AP$14)</f>
        <v>7.3364000000000003E-4</v>
      </c>
      <c r="AQ34" s="147">
        <f ca="1">INDEX(Photobiology!$21:$421,1+$AH34-380,AQ$14)</f>
        <v>3.3939999999999999E-3</v>
      </c>
      <c r="AR34" s="147">
        <f ca="1">INDEX(Photobiology!$21:$421,1+$AH34-380,AR$14)</f>
        <v>4.5467900000000002E-3</v>
      </c>
      <c r="AS34" s="147">
        <f t="shared" si="32"/>
        <v>1729640373740354.5</v>
      </c>
      <c r="AT34" s="147">
        <f ca="1">INDEX(Photobiology!$21:$421,1+$AH34-380,AT$14)</f>
        <v>1.2429002501933578E-2</v>
      </c>
      <c r="AU34" s="147">
        <f ca="1">INDEX(Photobiology!$21:$421,1+$AH34-380,AU$14)</f>
        <v>8.9967151984708302E-4</v>
      </c>
      <c r="AV34" s="147">
        <f ca="1">INDEX(Photobiology!$21:$421,1+$AH34-380,AV$14)</f>
        <v>1.0579201498005374E-3</v>
      </c>
      <c r="AW34" s="147">
        <f ca="1">INDEX(Photobiology!$21:$421,1+$AH34-380,AW$14)</f>
        <v>4.3657078104542635E-3</v>
      </c>
      <c r="AX34" s="147">
        <f ca="1">INDEX(Photobiology!$21:$421,1+$AH34-380,AX$14)</f>
        <v>5.6571558738391101E-3</v>
      </c>
      <c r="AY34" s="147">
        <f t="shared" si="19"/>
        <v>8.7401404318598712E-4</v>
      </c>
      <c r="AZ34" s="147">
        <f t="shared" ca="1" si="33"/>
        <v>9.5416113094614209E-6</v>
      </c>
      <c r="BA34" s="147">
        <f t="shared" ca="1" si="20"/>
        <v>5.7165849910026994E-7</v>
      </c>
      <c r="BB34" s="147">
        <f t="shared" ca="1" si="21"/>
        <v>6.4121166264296763E-7</v>
      </c>
      <c r="BC34" s="147">
        <f t="shared" ca="1" si="22"/>
        <v>2.9664036625732402E-6</v>
      </c>
      <c r="BD34" s="147">
        <f t="shared" ca="1" si="23"/>
        <v>3.9739583114176148E-6</v>
      </c>
    </row>
    <row r="35" spans="8:56" s="147" customFormat="1" ht="0.25" customHeight="1" x14ac:dyDescent="0.2">
      <c r="H35" s="147">
        <f t="shared" si="24"/>
        <v>394</v>
      </c>
      <c r="I35" s="147">
        <f>IF($H35&gt;$H34,INDEX(Spectra!35:35,1,MATCH($I$20,Spectra!$20:$20,0)),I34)</f>
        <v>1.0848955417212701E-3</v>
      </c>
      <c r="J35" s="147">
        <f>((Physics!$C$9*Physics!$C$10)/(Physics!$C$11*Physics!$C$12*$H35))^($J$17-$J$18)</f>
        <v>1.9839972913515592E+18</v>
      </c>
      <c r="K35" s="147">
        <f t="shared" si="25"/>
        <v>1</v>
      </c>
      <c r="L35" s="147">
        <f>INDEX(Photobiology!$21:$421,1+$H35-380,10)</f>
        <v>1.9181600000000001E-4</v>
      </c>
      <c r="M35" s="147">
        <f t="shared" si="26"/>
        <v>1.0848955417212701E-3</v>
      </c>
      <c r="N35" s="147">
        <f ca="1">INDEX(Photobiology!$21:$421,1+$H35-380,N$14)</f>
        <v>1.32053E-2</v>
      </c>
      <c r="O35" s="147">
        <f ca="1">INDEX(Photobiology!$21:$421,1+$H35-380,O$14)</f>
        <v>7.9564900000000005E-4</v>
      </c>
      <c r="P35" s="147">
        <f ca="1">INDEX(Photobiology!$21:$421,1+$H35-380,P$14)</f>
        <v>8.8724699999999997E-4</v>
      </c>
      <c r="Q35" s="147">
        <f ca="1">INDEX(Photobiology!$21:$421,1+$H35-380,Q$14)</f>
        <v>3.921E-3</v>
      </c>
      <c r="R35" s="147">
        <f ca="1">INDEX(Photobiology!$21:$421,1+$H35-380,R$14)</f>
        <v>5.1762500000000003E-3</v>
      </c>
      <c r="S35" s="147">
        <f t="shared" si="27"/>
        <v>2152429816174382.2</v>
      </c>
      <c r="T35" s="147">
        <f ca="1">INDEX(Photobiology!$21:$421,1+$H35-380,T$14)</f>
        <v>1.4996073684813725E-2</v>
      </c>
      <c r="U35" s="147">
        <f ca="1">INDEX(Photobiology!$21:$421,1+$H35-380,U$14)</f>
        <v>1.0916503752663883E-3</v>
      </c>
      <c r="V35" s="147">
        <f ca="1">INDEX(Photobiology!$21:$421,1+$H35-380,V$14)</f>
        <v>1.2761765348956761E-3</v>
      </c>
      <c r="W35" s="147">
        <f ca="1">INDEX(Photobiology!$21:$421,1+$H35-380,W$14)</f>
        <v>5.0307877948566511E-3</v>
      </c>
      <c r="X35" s="147">
        <f ca="1">INDEX(Photobiology!$21:$421,1+$H35-380,X$14)</f>
        <v>6.4239894804460629E-3</v>
      </c>
      <c r="Y35" s="147">
        <f t="shared" si="14"/>
        <v>1.0848955417212701E-3</v>
      </c>
      <c r="Z35" s="147">
        <f t="shared" ca="1" si="28"/>
        <v>1.4326371097091886E-5</v>
      </c>
      <c r="AA35" s="147">
        <f t="shared" ca="1" si="15"/>
        <v>8.6319605287498686E-7</v>
      </c>
      <c r="AB35" s="147">
        <f t="shared" ca="1" si="16"/>
        <v>9.6257031470557167E-7</v>
      </c>
      <c r="AC35" s="147">
        <f t="shared" ca="1" si="17"/>
        <v>4.2538754190891002E-6</v>
      </c>
      <c r="AD35" s="147">
        <f t="shared" ca="1" si="18"/>
        <v>5.6156905478347247E-6</v>
      </c>
      <c r="AH35" s="147">
        <f t="shared" si="29"/>
        <v>394</v>
      </c>
      <c r="AI35" s="147">
        <f>IF($AH35&gt;$AH34,INDEX(Spectra!35:35,1,MATCH($AI$20,Spectra!$20:$20,0)),AI34)</f>
        <v>65.890900000000002</v>
      </c>
      <c r="AJ35" s="147">
        <f>((Physics!$C$9*Physics!$C$10)/(Physics!$C$11*Physics!$C$12*$AH35))^($AJ$17-$AJ$18)</f>
        <v>1.9839972913515592E+18</v>
      </c>
      <c r="AK35" s="147">
        <f t="shared" si="30"/>
        <v>1</v>
      </c>
      <c r="AL35" s="147">
        <f>INDEX(Photobiology!$21:$421,1+$AH35-380,10)</f>
        <v>1.9181600000000001E-4</v>
      </c>
      <c r="AM35" s="147">
        <f t="shared" si="31"/>
        <v>9.129579791783089E-4</v>
      </c>
      <c r="AN35" s="147">
        <f ca="1">INDEX(Photobiology!$21:$421,1+$AH35-380,AN$14)</f>
        <v>1.32053E-2</v>
      </c>
      <c r="AO35" s="147">
        <f ca="1">INDEX(Photobiology!$21:$421,1+$AH35-380,AO$14)</f>
        <v>7.9564900000000005E-4</v>
      </c>
      <c r="AP35" s="147">
        <f ca="1">INDEX(Photobiology!$21:$421,1+$AH35-380,AP$14)</f>
        <v>8.8724699999999997E-4</v>
      </c>
      <c r="AQ35" s="147">
        <f ca="1">INDEX(Photobiology!$21:$421,1+$AH35-380,AQ$14)</f>
        <v>3.921E-3</v>
      </c>
      <c r="AR35" s="147">
        <f ca="1">INDEX(Photobiology!$21:$421,1+$AH35-380,AR$14)</f>
        <v>5.1762500000000003E-3</v>
      </c>
      <c r="AS35" s="147">
        <f t="shared" si="32"/>
        <v>1811306157807558</v>
      </c>
      <c r="AT35" s="147">
        <f ca="1">INDEX(Photobiology!$21:$421,1+$AH35-380,AT$14)</f>
        <v>1.4996073684813725E-2</v>
      </c>
      <c r="AU35" s="147">
        <f ca="1">INDEX(Photobiology!$21:$421,1+$AH35-380,AU$14)</f>
        <v>1.0916503752663883E-3</v>
      </c>
      <c r="AV35" s="147">
        <f ca="1">INDEX(Photobiology!$21:$421,1+$AH35-380,AV$14)</f>
        <v>1.2761765348956761E-3</v>
      </c>
      <c r="AW35" s="147">
        <f ca="1">INDEX(Photobiology!$21:$421,1+$AH35-380,AW$14)</f>
        <v>5.0307877948566511E-3</v>
      </c>
      <c r="AX35" s="147">
        <f ca="1">INDEX(Photobiology!$21:$421,1+$AH35-380,AX$14)</f>
        <v>6.4239894804460629E-3</v>
      </c>
      <c r="AY35" s="147">
        <f t="shared" si="19"/>
        <v>9.129579791783089E-4</v>
      </c>
      <c r="AZ35" s="147">
        <f t="shared" ca="1" si="33"/>
        <v>1.2055884002443323E-5</v>
      </c>
      <c r="BA35" s="147">
        <f t="shared" ca="1" si="20"/>
        <v>7.2639410317524237E-7</v>
      </c>
      <c r="BB35" s="147">
        <f t="shared" ca="1" si="21"/>
        <v>8.1001922815201706E-7</v>
      </c>
      <c r="BC35" s="147">
        <f t="shared" ca="1" si="22"/>
        <v>3.5797082363581493E-6</v>
      </c>
      <c r="BD35" s="147">
        <f t="shared" ca="1" si="23"/>
        <v>4.7256987397217222E-6</v>
      </c>
    </row>
    <row r="36" spans="8:56" s="147" customFormat="1" ht="0.25" customHeight="1" x14ac:dyDescent="0.2">
      <c r="H36" s="147">
        <f t="shared" si="24"/>
        <v>395</v>
      </c>
      <c r="I36" s="147">
        <f>IF($H36&gt;$H35,INDEX(Spectra!36:36,1,MATCH($I$20,Spectra!$20:$20,0)),I35)</f>
        <v>1.11989217209938E-3</v>
      </c>
      <c r="J36" s="147">
        <f>((Physics!$C$9*Physics!$C$10)/(Physics!$C$11*Physics!$C$12*$H36))^($J$17-$J$18)</f>
        <v>1.9890328174717409E+18</v>
      </c>
      <c r="K36" s="147">
        <f t="shared" si="25"/>
        <v>1</v>
      </c>
      <c r="L36" s="147">
        <f>INDEX(Photobiology!$21:$421,1+$H36-380,10)</f>
        <v>2.1699999999999999E-4</v>
      </c>
      <c r="M36" s="147">
        <f t="shared" si="26"/>
        <v>1.11989217209938E-3</v>
      </c>
      <c r="N36" s="147">
        <f ca="1">INDEX(Photobiology!$21:$421,1+$H36-380,N$14)</f>
        <v>1.59515E-2</v>
      </c>
      <c r="O36" s="147">
        <f ca="1">INDEX(Photobiology!$21:$421,1+$H36-380,O$14)</f>
        <v>9.6482800000000004E-4</v>
      </c>
      <c r="P36" s="147">
        <f ca="1">INDEX(Photobiology!$21:$421,1+$H36-380,P$14)</f>
        <v>1.0692099999999999E-3</v>
      </c>
      <c r="Q36" s="147">
        <f ca="1">INDEX(Photobiology!$21:$421,1+$H36-380,Q$14)</f>
        <v>4.5300000000000002E-3</v>
      </c>
      <c r="R36" s="147">
        <f ca="1">INDEX(Photobiology!$21:$421,1+$H36-380,R$14)</f>
        <v>5.8803500000000003E-3</v>
      </c>
      <c r="S36" s="147">
        <f t="shared" si="27"/>
        <v>2227502282335377.8</v>
      </c>
      <c r="T36" s="147">
        <f ca="1">INDEX(Photobiology!$21:$421,1+$H36-380,T$14)</f>
        <v>1.8068826514904809E-2</v>
      </c>
      <c r="U36" s="147">
        <f ca="1">INDEX(Photobiology!$21:$421,1+$H36-380,U$14)</f>
        <v>1.3204168927469541E-3</v>
      </c>
      <c r="V36" s="147">
        <f ca="1">INDEX(Photobiology!$21:$421,1+$H36-380,V$14)</f>
        <v>1.5340105750611839E-3</v>
      </c>
      <c r="W36" s="147">
        <f ca="1">INDEX(Photobiology!$21:$421,1+$H36-380,W$14)</f>
        <v>5.7974429617967827E-3</v>
      </c>
      <c r="X36" s="147">
        <f ca="1">INDEX(Photobiology!$21:$421,1+$H36-380,X$14)</f>
        <v>7.279337909470095E-3</v>
      </c>
      <c r="Y36" s="147">
        <f t="shared" si="14"/>
        <v>1.11989217209938E-3</v>
      </c>
      <c r="Z36" s="147">
        <f t="shared" ca="1" si="28"/>
        <v>1.786395998324326E-5</v>
      </c>
      <c r="AA36" s="147">
        <f t="shared" ca="1" si="15"/>
        <v>1.0805033246223008E-6</v>
      </c>
      <c r="AB36" s="147">
        <f t="shared" ca="1" si="16"/>
        <v>1.197399909330378E-6</v>
      </c>
      <c r="AC36" s="147">
        <f t="shared" ca="1" si="17"/>
        <v>5.0731115396101917E-6</v>
      </c>
      <c r="AD36" s="147">
        <f t="shared" ca="1" si="18"/>
        <v>6.5853579342045895E-6</v>
      </c>
      <c r="AH36" s="147">
        <f t="shared" si="29"/>
        <v>395</v>
      </c>
      <c r="AI36" s="147">
        <f>IF($AH36&gt;$AH35,INDEX(Spectra!36:36,1,MATCH($AI$20,Spectra!$20:$20,0)),AI35)</f>
        <v>68.701499999999996</v>
      </c>
      <c r="AJ36" s="147">
        <f>((Physics!$C$9*Physics!$C$10)/(Physics!$C$11*Physics!$C$12*$AH36))^($AJ$17-$AJ$18)</f>
        <v>1.9890328174717409E+18</v>
      </c>
      <c r="AK36" s="147">
        <f t="shared" si="30"/>
        <v>1</v>
      </c>
      <c r="AL36" s="147">
        <f>INDEX(Photobiology!$21:$421,1+$AH36-380,10)</f>
        <v>2.1699999999999999E-4</v>
      </c>
      <c r="AM36" s="147">
        <f t="shared" si="31"/>
        <v>9.5190052961059246E-4</v>
      </c>
      <c r="AN36" s="147">
        <f ca="1">INDEX(Photobiology!$21:$421,1+$AH36-380,AN$14)</f>
        <v>1.59515E-2</v>
      </c>
      <c r="AO36" s="147">
        <f ca="1">INDEX(Photobiology!$21:$421,1+$AH36-380,AO$14)</f>
        <v>9.6482800000000004E-4</v>
      </c>
      <c r="AP36" s="147">
        <f ca="1">INDEX(Photobiology!$21:$421,1+$AH36-380,AP$14)</f>
        <v>1.0692099999999999E-3</v>
      </c>
      <c r="AQ36" s="147">
        <f ca="1">INDEX(Photobiology!$21:$421,1+$AH36-380,AQ$14)</f>
        <v>4.5300000000000002E-3</v>
      </c>
      <c r="AR36" s="147">
        <f ca="1">INDEX(Photobiology!$21:$421,1+$AH36-380,AR$14)</f>
        <v>5.8803500000000003E-3</v>
      </c>
      <c r="AS36" s="147">
        <f t="shared" si="32"/>
        <v>1893361392364199</v>
      </c>
      <c r="AT36" s="147">
        <f ca="1">INDEX(Photobiology!$21:$421,1+$AH36-380,AT$14)</f>
        <v>1.8068826514904809E-2</v>
      </c>
      <c r="AU36" s="147">
        <f ca="1">INDEX(Photobiology!$21:$421,1+$AH36-380,AU$14)</f>
        <v>1.3204168927469541E-3</v>
      </c>
      <c r="AV36" s="147">
        <f ca="1">INDEX(Photobiology!$21:$421,1+$AH36-380,AV$14)</f>
        <v>1.5340105750611839E-3</v>
      </c>
      <c r="AW36" s="147">
        <f ca="1">INDEX(Photobiology!$21:$421,1+$AH36-380,AW$14)</f>
        <v>5.7974429617967827E-3</v>
      </c>
      <c r="AX36" s="147">
        <f ca="1">INDEX(Photobiology!$21:$421,1+$AH36-380,AX$14)</f>
        <v>7.279337909470095E-3</v>
      </c>
      <c r="AY36" s="147">
        <f t="shared" si="19"/>
        <v>9.5190052961059246E-4</v>
      </c>
      <c r="AZ36" s="147">
        <f t="shared" ca="1" si="33"/>
        <v>1.5184241298083366E-5</v>
      </c>
      <c r="BA36" s="147">
        <f t="shared" ca="1" si="20"/>
        <v>9.1842028418312869E-7</v>
      </c>
      <c r="BB36" s="147">
        <f t="shared" ca="1" si="21"/>
        <v>1.0177815652649415E-6</v>
      </c>
      <c r="BC36" s="147">
        <f t="shared" ca="1" si="22"/>
        <v>4.312109399135984E-6</v>
      </c>
      <c r="BD36" s="147">
        <f t="shared" ca="1" si="23"/>
        <v>5.5975082792956478E-6</v>
      </c>
    </row>
    <row r="37" spans="8:56" s="147" customFormat="1" ht="0.25" customHeight="1" x14ac:dyDescent="0.2">
      <c r="H37" s="147">
        <f t="shared" si="24"/>
        <v>396</v>
      </c>
      <c r="I37" s="147">
        <f>IF($H37&gt;$H36,INDEX(Spectra!37:37,1,MATCH($I$20,Spectra!$20:$20,0)),I36)</f>
        <v>1.20988350735736E-3</v>
      </c>
      <c r="J37" s="147">
        <f>((Physics!$C$9*Physics!$C$10)/(Physics!$C$11*Physics!$C$12*$H37))^($J$17-$J$18)</f>
        <v>1.9940683435919224E+18</v>
      </c>
      <c r="K37" s="147">
        <f t="shared" si="25"/>
        <v>1</v>
      </c>
      <c r="L37" s="147">
        <f>INDEX(Photobiology!$21:$421,1+$H37-380,10)</f>
        <v>2.4690669999999999E-4</v>
      </c>
      <c r="M37" s="147">
        <f t="shared" si="26"/>
        <v>1.20988350735736E-3</v>
      </c>
      <c r="N37" s="147">
        <f ca="1">INDEX(Photobiology!$21:$421,1+$H37-380,N$14)</f>
        <v>1.92347E-2</v>
      </c>
      <c r="O37" s="147">
        <f ca="1">INDEX(Photobiology!$21:$421,1+$H37-380,O$14)</f>
        <v>1.1657200000000001E-3</v>
      </c>
      <c r="P37" s="147">
        <f ca="1">INDEX(Photobiology!$21:$421,1+$H37-380,P$14)</f>
        <v>1.2834000000000001E-3</v>
      </c>
      <c r="Q37" s="147">
        <f ca="1">INDEX(Photobiology!$21:$421,1+$H37-380,Q$14)</f>
        <v>5.2399999999999999E-3</v>
      </c>
      <c r="R37" s="147">
        <f ca="1">INDEX(Photobiology!$21:$421,1+$H37-380,R$14)</f>
        <v>6.6933399999999999E-3</v>
      </c>
      <c r="S37" s="147">
        <f t="shared" si="27"/>
        <v>2412590401455276.5</v>
      </c>
      <c r="T37" s="147">
        <f ca="1">INDEX(Photobiology!$21:$421,1+$H37-380,T$14)</f>
        <v>2.173280316876957E-2</v>
      </c>
      <c r="U37" s="147">
        <f ca="1">INDEX(Photobiology!$21:$421,1+$H37-380,U$14)</f>
        <v>1.5913193021521825E-3</v>
      </c>
      <c r="V37" s="147">
        <f ca="1">INDEX(Photobiology!$21:$421,1+$H37-380,V$14)</f>
        <v>1.8366621928482311E-3</v>
      </c>
      <c r="W37" s="147">
        <f ca="1">INDEX(Photobiology!$21:$421,1+$H37-380,W$14)</f>
        <v>6.6891583842436401E-3</v>
      </c>
      <c r="X37" s="147">
        <f ca="1">INDEX(Photobiology!$21:$421,1+$H37-380,X$14)</f>
        <v>8.2648219090812724E-3</v>
      </c>
      <c r="Y37" s="147">
        <f t="shared" si="14"/>
        <v>1.20988350735736E-3</v>
      </c>
      <c r="Z37" s="147">
        <f t="shared" ca="1" si="28"/>
        <v>2.3271746298966613E-5</v>
      </c>
      <c r="AA37" s="147">
        <f t="shared" ca="1" si="15"/>
        <v>1.4103854021966218E-6</v>
      </c>
      <c r="AB37" s="147">
        <f t="shared" ca="1" si="16"/>
        <v>1.552764493342436E-6</v>
      </c>
      <c r="AC37" s="147">
        <f t="shared" ca="1" si="17"/>
        <v>6.3397895785525661E-6</v>
      </c>
      <c r="AD37" s="147">
        <f t="shared" ca="1" si="18"/>
        <v>8.0981616751353116E-6</v>
      </c>
      <c r="AH37" s="147">
        <f t="shared" si="29"/>
        <v>396</v>
      </c>
      <c r="AI37" s="147">
        <f>IF($AH37&gt;$AH36,INDEX(Spectra!37:37,1,MATCH($AI$20,Spectra!$20:$20,0)),AI36)</f>
        <v>71.512200000000007</v>
      </c>
      <c r="AJ37" s="147">
        <f>((Physics!$C$9*Physics!$C$10)/(Physics!$C$11*Physics!$C$12*$AH37))^($AJ$17-$AJ$18)</f>
        <v>1.9940683435919224E+18</v>
      </c>
      <c r="AK37" s="147">
        <f t="shared" si="30"/>
        <v>1</v>
      </c>
      <c r="AL37" s="147">
        <f>INDEX(Photobiology!$21:$421,1+$AH37-380,10)</f>
        <v>2.4690669999999999E-4</v>
      </c>
      <c r="AM37" s="147">
        <f t="shared" si="31"/>
        <v>9.9084446560291435E-4</v>
      </c>
      <c r="AN37" s="147">
        <f ca="1">INDEX(Photobiology!$21:$421,1+$AH37-380,AN$14)</f>
        <v>1.92347E-2</v>
      </c>
      <c r="AO37" s="147">
        <f ca="1">INDEX(Photobiology!$21:$421,1+$AH37-380,AO$14)</f>
        <v>1.1657200000000001E-3</v>
      </c>
      <c r="AP37" s="147">
        <f ca="1">INDEX(Photobiology!$21:$421,1+$AH37-380,AP$14)</f>
        <v>1.2834000000000001E-3</v>
      </c>
      <c r="AQ37" s="147">
        <f ca="1">INDEX(Photobiology!$21:$421,1+$AH37-380,AQ$14)</f>
        <v>5.2399999999999999E-3</v>
      </c>
      <c r="AR37" s="147">
        <f ca="1">INDEX(Photobiology!$21:$421,1+$AH37-380,AR$14)</f>
        <v>6.6933399999999999E-3</v>
      </c>
      <c r="AS37" s="147">
        <f t="shared" si="32"/>
        <v>1975811582282027</v>
      </c>
      <c r="AT37" s="147">
        <f ca="1">INDEX(Photobiology!$21:$421,1+$AH37-380,AT$14)</f>
        <v>2.173280316876957E-2</v>
      </c>
      <c r="AU37" s="147">
        <f ca="1">INDEX(Photobiology!$21:$421,1+$AH37-380,AU$14)</f>
        <v>1.5913193021521825E-3</v>
      </c>
      <c r="AV37" s="147">
        <f ca="1">INDEX(Photobiology!$21:$421,1+$AH37-380,AV$14)</f>
        <v>1.8366621928482311E-3</v>
      </c>
      <c r="AW37" s="147">
        <f ca="1">INDEX(Photobiology!$21:$421,1+$AH37-380,AW$14)</f>
        <v>6.6891583842436401E-3</v>
      </c>
      <c r="AX37" s="147">
        <f ca="1">INDEX(Photobiology!$21:$421,1+$AH37-380,AX$14)</f>
        <v>8.2648219090812724E-3</v>
      </c>
      <c r="AY37" s="147">
        <f t="shared" si="19"/>
        <v>9.9084446560291435E-4</v>
      </c>
      <c r="AZ37" s="147">
        <f t="shared" ca="1" si="33"/>
        <v>1.9058596042532377E-5</v>
      </c>
      <c r="BA37" s="147">
        <f t="shared" ca="1" si="20"/>
        <v>1.1550472104426295E-6</v>
      </c>
      <c r="BB37" s="147">
        <f t="shared" ca="1" si="21"/>
        <v>1.2716497871547803E-6</v>
      </c>
      <c r="BC37" s="147">
        <f t="shared" ca="1" si="22"/>
        <v>5.1920249997592712E-6</v>
      </c>
      <c r="BD37" s="147">
        <f t="shared" ca="1" si="23"/>
        <v>6.6320588953986104E-6</v>
      </c>
    </row>
    <row r="38" spans="8:56" s="147" customFormat="1" ht="0.25" customHeight="1" x14ac:dyDescent="0.2">
      <c r="H38" s="147">
        <f t="shared" si="24"/>
        <v>397</v>
      </c>
      <c r="I38" s="147">
        <f>IF($H38&gt;$H37,INDEX(Spectra!38:38,1,MATCH($I$20,Spectra!$20:$20,0)),I37)</f>
        <v>1.34987002886979E-3</v>
      </c>
      <c r="J38" s="147">
        <f>((Physics!$C$9*Physics!$C$10)/(Physics!$C$11*Physics!$C$12*$H38))^($J$17-$J$18)</f>
        <v>1.9991038697121039E+18</v>
      </c>
      <c r="K38" s="147">
        <f t="shared" si="25"/>
        <v>1</v>
      </c>
      <c r="L38" s="147">
        <f>INDEX(Photobiology!$21:$421,1+$H38-380,10)</f>
        <v>2.8123999999999998E-4</v>
      </c>
      <c r="M38" s="147">
        <f t="shared" si="26"/>
        <v>1.34987002886979E-3</v>
      </c>
      <c r="N38" s="147">
        <f ca="1">INDEX(Photobiology!$21:$421,1+$H38-380,N$14)</f>
        <v>2.31436E-2</v>
      </c>
      <c r="O38" s="147">
        <f ca="1">INDEX(Photobiology!$21:$421,1+$H38-380,O$14)</f>
        <v>1.40263E-3</v>
      </c>
      <c r="P38" s="147">
        <f ca="1">INDEX(Photobiology!$21:$421,1+$H38-380,P$14)</f>
        <v>1.53382E-3</v>
      </c>
      <c r="Q38" s="147">
        <f ca="1">INDEX(Photobiology!$21:$421,1+$H38-380,Q$14)</f>
        <v>6.0499999999999998E-3</v>
      </c>
      <c r="R38" s="147">
        <f ca="1">INDEX(Photobiology!$21:$421,1+$H38-380,R$14)</f>
        <v>7.6510199999999997E-3</v>
      </c>
      <c r="S38" s="147">
        <f t="shared" si="27"/>
        <v>2698530398321986.5</v>
      </c>
      <c r="T38" s="147">
        <f ca="1">INDEX(Photobiology!$21:$421,1+$H38-380,T$14)</f>
        <v>2.6083503413407125E-2</v>
      </c>
      <c r="U38" s="147">
        <f ca="1">INDEX(Photobiology!$21:$421,1+$H38-380,U$14)</f>
        <v>1.9099011301519611E-3</v>
      </c>
      <c r="V38" s="147">
        <f ca="1">INDEX(Photobiology!$21:$421,1+$H38-380,V$14)</f>
        <v>2.1895069438021635E-3</v>
      </c>
      <c r="W38" s="147">
        <f ca="1">INDEX(Photobiology!$21:$421,1+$H38-380,W$14)</f>
        <v>7.7037156810481821E-3</v>
      </c>
      <c r="X38" s="147">
        <f ca="1">INDEX(Photobiology!$21:$421,1+$H38-380,X$14)</f>
        <v>9.4235519674082443E-3</v>
      </c>
      <c r="Y38" s="147">
        <f t="shared" si="14"/>
        <v>1.34987002886979E-3</v>
      </c>
      <c r="Z38" s="147">
        <f t="shared" ca="1" si="28"/>
        <v>3.124085200015087E-5</v>
      </c>
      <c r="AA38" s="147">
        <f t="shared" ca="1" si="15"/>
        <v>1.8933681985936335E-6</v>
      </c>
      <c r="AB38" s="147">
        <f t="shared" ca="1" si="16"/>
        <v>2.0704576476810612E-6</v>
      </c>
      <c r="AC38" s="147">
        <f t="shared" ca="1" si="17"/>
        <v>8.1667136746622285E-6</v>
      </c>
      <c r="AD38" s="147">
        <f t="shared" ca="1" si="18"/>
        <v>1.0327882588283341E-5</v>
      </c>
      <c r="AH38" s="147">
        <f t="shared" si="29"/>
        <v>397</v>
      </c>
      <c r="AI38" s="147">
        <f>IF($AH38&gt;$AH37,INDEX(Spectra!38:38,1,MATCH($AI$20,Spectra!$20:$20,0)),AI37)</f>
        <v>74.322900000000004</v>
      </c>
      <c r="AJ38" s="147">
        <f>((Physics!$C$9*Physics!$C$10)/(Physics!$C$11*Physics!$C$12*$AH38))^($AJ$17-$AJ$18)</f>
        <v>1.9991038697121039E+18</v>
      </c>
      <c r="AK38" s="147">
        <f t="shared" si="30"/>
        <v>1</v>
      </c>
      <c r="AL38" s="147">
        <f>INDEX(Photobiology!$21:$421,1+$AH38-380,10)</f>
        <v>2.8123999999999998E-4</v>
      </c>
      <c r="AM38" s="147">
        <f t="shared" si="31"/>
        <v>1.029788401595236E-3</v>
      </c>
      <c r="AN38" s="147">
        <f ca="1">INDEX(Photobiology!$21:$421,1+$AH38-380,AN$14)</f>
        <v>2.31436E-2</v>
      </c>
      <c r="AO38" s="147">
        <f ca="1">INDEX(Photobiology!$21:$421,1+$AH38-380,AO$14)</f>
        <v>1.40263E-3</v>
      </c>
      <c r="AP38" s="147">
        <f ca="1">INDEX(Photobiology!$21:$421,1+$AH38-380,AP$14)</f>
        <v>1.53382E-3</v>
      </c>
      <c r="AQ38" s="147">
        <f ca="1">INDEX(Photobiology!$21:$421,1+$AH38-380,AQ$14)</f>
        <v>6.0499999999999998E-3</v>
      </c>
      <c r="AR38" s="147">
        <f ca="1">INDEX(Photobiology!$21:$421,1+$AH38-380,AR$14)</f>
        <v>7.6510199999999997E-3</v>
      </c>
      <c r="AS38" s="147">
        <f t="shared" si="32"/>
        <v>2058653978613678.5</v>
      </c>
      <c r="AT38" s="147">
        <f ca="1">INDEX(Photobiology!$21:$421,1+$AH38-380,AT$14)</f>
        <v>2.6083503413407125E-2</v>
      </c>
      <c r="AU38" s="147">
        <f ca="1">INDEX(Photobiology!$21:$421,1+$AH38-380,AU$14)</f>
        <v>1.9099011301519611E-3</v>
      </c>
      <c r="AV38" s="147">
        <f ca="1">INDEX(Photobiology!$21:$421,1+$AH38-380,AV$14)</f>
        <v>2.1895069438021635E-3</v>
      </c>
      <c r="AW38" s="147">
        <f ca="1">INDEX(Photobiology!$21:$421,1+$AH38-380,AW$14)</f>
        <v>7.7037156810481821E-3</v>
      </c>
      <c r="AX38" s="147">
        <f ca="1">INDEX(Photobiology!$21:$421,1+$AH38-380,AX$14)</f>
        <v>9.4235519674082443E-3</v>
      </c>
      <c r="AY38" s="147">
        <f t="shared" si="19"/>
        <v>1.029788401595236E-3</v>
      </c>
      <c r="AZ38" s="147">
        <f t="shared" ca="1" si="33"/>
        <v>2.3833010851159506E-5</v>
      </c>
      <c r="BA38" s="147">
        <f t="shared" ca="1" si="20"/>
        <v>1.4444121057295258E-6</v>
      </c>
      <c r="BB38" s="147">
        <f t="shared" ca="1" si="21"/>
        <v>1.579510046134805E-6</v>
      </c>
      <c r="BC38" s="147">
        <f t="shared" ca="1" si="22"/>
        <v>6.2302198296511777E-6</v>
      </c>
      <c r="BD38" s="147">
        <f t="shared" ca="1" si="23"/>
        <v>7.8789316563731829E-6</v>
      </c>
    </row>
    <row r="39" spans="8:56" s="147" customFormat="1" ht="0.25" customHeight="1" x14ac:dyDescent="0.2">
      <c r="H39" s="147">
        <f t="shared" si="24"/>
        <v>398</v>
      </c>
      <c r="I39" s="147">
        <f>IF($H39&gt;$H38,INDEX(Spectra!39:39,1,MATCH($I$20,Spectra!$20:$20,0)),I38)</f>
        <v>1.4998555876331E-3</v>
      </c>
      <c r="J39" s="147">
        <f>((Physics!$C$9*Physics!$C$10)/(Physics!$C$11*Physics!$C$12*$H39))^($J$17-$J$18)</f>
        <v>2.004139395832286E+18</v>
      </c>
      <c r="K39" s="147">
        <f t="shared" si="25"/>
        <v>1</v>
      </c>
      <c r="L39" s="147">
        <f>INDEX(Photobiology!$21:$421,1+$H39-380,10)</f>
        <v>3.1851999999999998E-4</v>
      </c>
      <c r="M39" s="147">
        <f t="shared" si="26"/>
        <v>1.4998555876331E-3</v>
      </c>
      <c r="N39" s="147">
        <f ca="1">INDEX(Photobiology!$21:$421,1+$H39-380,N$14)</f>
        <v>2.7775000000000001E-2</v>
      </c>
      <c r="O39" s="147">
        <f ca="1">INDEX(Photobiology!$21:$421,1+$H39-380,O$14)</f>
        <v>1.6799199999999999E-3</v>
      </c>
      <c r="P39" s="147">
        <f ca="1">INDEX(Photobiology!$21:$421,1+$H39-380,P$14)</f>
        <v>1.8244299999999999E-3</v>
      </c>
      <c r="Q39" s="147">
        <f ca="1">INDEX(Photobiology!$21:$421,1+$H39-380,Q$14)</f>
        <v>6.9800000000000001E-3</v>
      </c>
      <c r="R39" s="147">
        <f ca="1">INDEX(Photobiology!$21:$421,1+$H39-380,R$14)</f>
        <v>8.7569399999999995E-3</v>
      </c>
      <c r="S39" s="147">
        <f t="shared" si="27"/>
        <v>3005919671234679</v>
      </c>
      <c r="T39" s="147">
        <f ca="1">INDEX(Photobiology!$21:$421,1+$H39-380,T$14)</f>
        <v>3.122457321531253E-2</v>
      </c>
      <c r="U39" s="147">
        <f ca="1">INDEX(Photobiology!$21:$421,1+$H39-380,U$14)</f>
        <v>2.2817276090251032E-3</v>
      </c>
      <c r="V39" s="147">
        <f ca="1">INDEX(Photobiology!$21:$421,1+$H39-380,V$14)</f>
        <v>2.5978051301020588E-3</v>
      </c>
      <c r="W39" s="147">
        <f ca="1">INDEX(Photobiology!$21:$421,1+$H39-380,W$14)</f>
        <v>8.8655917501247461E-3</v>
      </c>
      <c r="X39" s="147">
        <f ca="1">INDEX(Photobiology!$21:$421,1+$H39-380,X$14)</f>
        <v>1.0758583661467713E-2</v>
      </c>
      <c r="Y39" s="147">
        <f t="shared" si="14"/>
        <v>1.4998555876331E-3</v>
      </c>
      <c r="Z39" s="147">
        <f t="shared" ca="1" si="28"/>
        <v>4.1658488946509352E-5</v>
      </c>
      <c r="AA39" s="147">
        <f t="shared" ca="1" si="15"/>
        <v>2.519637398776597E-6</v>
      </c>
      <c r="AB39" s="147">
        <f t="shared" ca="1" si="16"/>
        <v>2.7363815297454563E-6</v>
      </c>
      <c r="AC39" s="147">
        <f t="shared" ca="1" si="17"/>
        <v>1.0468992001679039E-5</v>
      </c>
      <c r="AD39" s="147">
        <f t="shared" ca="1" si="18"/>
        <v>1.3134145389567798E-5</v>
      </c>
      <c r="AH39" s="147">
        <f t="shared" si="29"/>
        <v>398</v>
      </c>
      <c r="AI39" s="147">
        <f>IF($AH39&gt;$AH38,INDEX(Spectra!39:39,1,MATCH($AI$20,Spectra!$20:$20,0)),AI38)</f>
        <v>77.133600000000001</v>
      </c>
      <c r="AJ39" s="147">
        <f>((Physics!$C$9*Physics!$C$10)/(Physics!$C$11*Physics!$C$12*$AH39))^($AJ$17-$AJ$18)</f>
        <v>2.004139395832286E+18</v>
      </c>
      <c r="AK39" s="147">
        <f t="shared" si="30"/>
        <v>1</v>
      </c>
      <c r="AL39" s="147">
        <f>INDEX(Photobiology!$21:$421,1+$AH39-380,10)</f>
        <v>3.1851999999999998E-4</v>
      </c>
      <c r="AM39" s="147">
        <f t="shared" si="31"/>
        <v>1.0687323375875577E-3</v>
      </c>
      <c r="AN39" s="147">
        <f ca="1">INDEX(Photobiology!$21:$421,1+$AH39-380,AN$14)</f>
        <v>2.7775000000000001E-2</v>
      </c>
      <c r="AO39" s="147">
        <f ca="1">INDEX(Photobiology!$21:$421,1+$AH39-380,AO$14)</f>
        <v>1.6799199999999999E-3</v>
      </c>
      <c r="AP39" s="147">
        <f ca="1">INDEX(Photobiology!$21:$421,1+$AH39-380,AP$14)</f>
        <v>1.8244299999999999E-3</v>
      </c>
      <c r="AQ39" s="147">
        <f ca="1">INDEX(Photobiology!$21:$421,1+$AH39-380,AQ$14)</f>
        <v>6.9800000000000001E-3</v>
      </c>
      <c r="AR39" s="147">
        <f ca="1">INDEX(Photobiology!$21:$421,1+$AH39-380,AR$14)</f>
        <v>8.7569399999999995E-3</v>
      </c>
      <c r="AS39" s="147">
        <f t="shared" si="32"/>
        <v>2141888581359154.5</v>
      </c>
      <c r="AT39" s="147">
        <f ca="1">INDEX(Photobiology!$21:$421,1+$AH39-380,AT$14)</f>
        <v>3.122457321531253E-2</v>
      </c>
      <c r="AU39" s="147">
        <f ca="1">INDEX(Photobiology!$21:$421,1+$AH39-380,AU$14)</f>
        <v>2.2817276090251032E-3</v>
      </c>
      <c r="AV39" s="147">
        <f ca="1">INDEX(Photobiology!$21:$421,1+$AH39-380,AV$14)</f>
        <v>2.5978051301020588E-3</v>
      </c>
      <c r="AW39" s="147">
        <f ca="1">INDEX(Photobiology!$21:$421,1+$AH39-380,AW$14)</f>
        <v>8.8655917501247461E-3</v>
      </c>
      <c r="AX39" s="147">
        <f ca="1">INDEX(Photobiology!$21:$421,1+$AH39-380,AX$14)</f>
        <v>1.0758583661467713E-2</v>
      </c>
      <c r="AY39" s="147">
        <f t="shared" si="19"/>
        <v>1.0687323375875577E-3</v>
      </c>
      <c r="AZ39" s="147">
        <f t="shared" ca="1" si="33"/>
        <v>2.9684040676494415E-5</v>
      </c>
      <c r="BA39" s="147">
        <f t="shared" ca="1" si="20"/>
        <v>1.7953848285600898E-6</v>
      </c>
      <c r="BB39" s="147">
        <f t="shared" ca="1" si="21"/>
        <v>1.9498273386648677E-6</v>
      </c>
      <c r="BC39" s="147">
        <f t="shared" ca="1" si="22"/>
        <v>7.4597517163611527E-6</v>
      </c>
      <c r="BD39" s="147">
        <f t="shared" ca="1" si="23"/>
        <v>9.358824956313987E-6</v>
      </c>
    </row>
    <row r="40" spans="8:56" s="147" customFormat="1" ht="0.25" customHeight="1" x14ac:dyDescent="0.2">
      <c r="H40" s="147">
        <f t="shared" si="24"/>
        <v>399</v>
      </c>
      <c r="I40" s="147">
        <f>IF($H40&gt;$H39,INDEX(Spectra!40:40,1,MATCH($I$20,Spectra!$20:$20,0)),I39)</f>
        <v>1.6498411463964099E-3</v>
      </c>
      <c r="J40" s="147">
        <f>((Physics!$C$9*Physics!$C$10)/(Physics!$C$11*Physics!$C$12*$H40))^($J$17-$J$18)</f>
        <v>2.0091749219524672E+18</v>
      </c>
      <c r="K40" s="147">
        <f t="shared" si="25"/>
        <v>1</v>
      </c>
      <c r="L40" s="147">
        <f>INDEX(Photobiology!$21:$421,1+$H40-380,10)</f>
        <v>3.5726669999999999E-4</v>
      </c>
      <c r="M40" s="147">
        <f t="shared" si="26"/>
        <v>1.6498411463964099E-3</v>
      </c>
      <c r="N40" s="147">
        <f ca="1">INDEX(Photobiology!$21:$421,1+$H40-380,N$14)</f>
        <v>3.3233899999999997E-2</v>
      </c>
      <c r="O40" s="147">
        <f ca="1">INDEX(Photobiology!$21:$421,1+$H40-380,O$14)</f>
        <v>2.0018000000000002E-3</v>
      </c>
      <c r="P40" s="147">
        <f ca="1">INDEX(Photobiology!$21:$421,1+$H40-380,P$14)</f>
        <v>2.1589600000000001E-3</v>
      </c>
      <c r="Q40" s="147">
        <f ca="1">INDEX(Photobiology!$21:$421,1+$H40-380,Q$14)</f>
        <v>8.0599999999999995E-3</v>
      </c>
      <c r="R40" s="147">
        <f ca="1">INDEX(Photobiology!$21:$421,1+$H40-380,R$14)</f>
        <v>1.00146E-2</v>
      </c>
      <c r="S40" s="147">
        <f t="shared" si="27"/>
        <v>3314819456544976</v>
      </c>
      <c r="T40" s="147">
        <f ca="1">INDEX(Photobiology!$21:$421,1+$H40-380,T$14)</f>
        <v>3.726781479572823E-2</v>
      </c>
      <c r="U40" s="147">
        <f ca="1">INDEX(Photobiology!$21:$421,1+$H40-380,U$14)</f>
        <v>2.7121022448185084E-3</v>
      </c>
      <c r="V40" s="147">
        <f ca="1">INDEX(Photobiology!$21:$421,1+$H40-380,V$14)</f>
        <v>3.0664376429564645E-3</v>
      </c>
      <c r="W40" s="147">
        <f ca="1">INDEX(Photobiology!$21:$421,1+$H40-380,W$14)</f>
        <v>1.0211687694662935E-2</v>
      </c>
      <c r="X40" s="147">
        <f ca="1">INDEX(Photobiology!$21:$421,1+$H40-380,X$14)</f>
        <v>1.2272880660983445E-2</v>
      </c>
      <c r="Y40" s="147">
        <f t="shared" si="14"/>
        <v>1.6498411463964099E-3</v>
      </c>
      <c r="Z40" s="147">
        <f t="shared" ca="1" si="28"/>
        <v>5.4830655675223644E-5</v>
      </c>
      <c r="AA40" s="147">
        <f t="shared" ca="1" si="15"/>
        <v>3.3026520068563337E-6</v>
      </c>
      <c r="AB40" s="147">
        <f t="shared" ca="1" si="16"/>
        <v>3.5619410414239936E-6</v>
      </c>
      <c r="AC40" s="147">
        <f t="shared" ca="1" si="17"/>
        <v>1.3297719639955064E-5</v>
      </c>
      <c r="AD40" s="147">
        <f t="shared" ca="1" si="18"/>
        <v>1.6522499144701488E-5</v>
      </c>
      <c r="AH40" s="147">
        <f t="shared" si="29"/>
        <v>399</v>
      </c>
      <c r="AI40" s="147">
        <f>IF($AH40&gt;$AH39,INDEX(Spectra!40:40,1,MATCH($AI$20,Spectra!$20:$20,0)),AI39)</f>
        <v>79.944199999999995</v>
      </c>
      <c r="AJ40" s="147">
        <f>((Physics!$C$9*Physics!$C$10)/(Physics!$C$11*Physics!$C$12*$AH40))^($AJ$17-$AJ$18)</f>
        <v>2.0091749219524672E+18</v>
      </c>
      <c r="AK40" s="147">
        <f t="shared" si="30"/>
        <v>1</v>
      </c>
      <c r="AL40" s="147">
        <f>INDEX(Photobiology!$21:$421,1+$AH40-380,10)</f>
        <v>3.5726669999999999E-4</v>
      </c>
      <c r="AM40" s="147">
        <f t="shared" si="31"/>
        <v>1.1076748880198412E-3</v>
      </c>
      <c r="AN40" s="147">
        <f ca="1">INDEX(Photobiology!$21:$421,1+$AH40-380,AN$14)</f>
        <v>3.3233899999999997E-2</v>
      </c>
      <c r="AO40" s="147">
        <f ca="1">INDEX(Photobiology!$21:$421,1+$AH40-380,AO$14)</f>
        <v>2.0018000000000002E-3</v>
      </c>
      <c r="AP40" s="147">
        <f ca="1">INDEX(Photobiology!$21:$421,1+$AH40-380,AP$14)</f>
        <v>2.1589600000000001E-3</v>
      </c>
      <c r="AQ40" s="147">
        <f ca="1">INDEX(Photobiology!$21:$421,1+$AH40-380,AQ$14)</f>
        <v>8.0599999999999995E-3</v>
      </c>
      <c r="AR40" s="147">
        <f ca="1">INDEX(Photobiology!$21:$421,1+$AH40-380,AR$14)</f>
        <v>1.00146E-2</v>
      </c>
      <c r="AS40" s="147">
        <f t="shared" si="32"/>
        <v>2225512606685972.2</v>
      </c>
      <c r="AT40" s="147">
        <f ca="1">INDEX(Photobiology!$21:$421,1+$AH40-380,AT$14)</f>
        <v>3.726781479572823E-2</v>
      </c>
      <c r="AU40" s="147">
        <f ca="1">INDEX(Photobiology!$21:$421,1+$AH40-380,AU$14)</f>
        <v>2.7121022448185084E-3</v>
      </c>
      <c r="AV40" s="147">
        <f ca="1">INDEX(Photobiology!$21:$421,1+$AH40-380,AV$14)</f>
        <v>3.0664376429564645E-3</v>
      </c>
      <c r="AW40" s="147">
        <f ca="1">INDEX(Photobiology!$21:$421,1+$AH40-380,AW$14)</f>
        <v>1.0211687694662935E-2</v>
      </c>
      <c r="AX40" s="147">
        <f ca="1">INDEX(Photobiology!$21:$421,1+$AH40-380,AX$14)</f>
        <v>1.2272880660983445E-2</v>
      </c>
      <c r="AY40" s="147">
        <f t="shared" si="19"/>
        <v>1.1076748880198412E-3</v>
      </c>
      <c r="AZ40" s="147">
        <f t="shared" ca="1" si="33"/>
        <v>3.6812356460962594E-5</v>
      </c>
      <c r="BA40" s="147">
        <f t="shared" ca="1" si="20"/>
        <v>2.2173435908381182E-6</v>
      </c>
      <c r="BB40" s="147">
        <f t="shared" ca="1" si="21"/>
        <v>2.3914257762393165E-6</v>
      </c>
      <c r="BC40" s="147">
        <f t="shared" ca="1" si="22"/>
        <v>8.9278595974399197E-6</v>
      </c>
      <c r="BD40" s="147">
        <f t="shared" ca="1" si="23"/>
        <v>1.1092920933563502E-5</v>
      </c>
    </row>
    <row r="41" spans="8:56" s="147" customFormat="1" ht="0.25" customHeight="1" x14ac:dyDescent="0.2">
      <c r="H41" s="147">
        <f t="shared" si="24"/>
        <v>400</v>
      </c>
      <c r="I41" s="147">
        <f>IF($H41&gt;$H40,INDEX(Spectra!41:41,1,MATCH($I$20,Spectra!$20:$20,0)),I40)</f>
        <v>1.7948271865342699E-3</v>
      </c>
      <c r="J41" s="147">
        <f>((Physics!$C$9*Physics!$C$10)/(Physics!$C$11*Physics!$C$12*$H41))^($J$17-$J$18)</f>
        <v>2.014210448072649E+18</v>
      </c>
      <c r="K41" s="147">
        <f t="shared" si="25"/>
        <v>1</v>
      </c>
      <c r="L41" s="147">
        <f>INDEX(Photobiology!$21:$421,1+$H41-380,10)</f>
        <v>3.9599999999999998E-4</v>
      </c>
      <c r="M41" s="147">
        <f t="shared" si="26"/>
        <v>1.7948271865342699E-3</v>
      </c>
      <c r="N41" s="147">
        <f ca="1">INDEX(Photobiology!$21:$421,1+$H41-380,N$14)</f>
        <v>3.9630800000000001E-2</v>
      </c>
      <c r="O41" s="147">
        <f ca="1">INDEX(Photobiology!$21:$421,1+$H41-380,O$14)</f>
        <v>2.3720799999999999E-3</v>
      </c>
      <c r="P41" s="147">
        <f ca="1">INDEX(Photobiology!$21:$421,1+$H41-380,P$14)</f>
        <v>2.5407300000000002E-3</v>
      </c>
      <c r="Q41" s="147">
        <f ca="1">INDEX(Photobiology!$21:$421,1+$H41-380,Q$14)</f>
        <v>9.2899999999999996E-3</v>
      </c>
      <c r="R41" s="147">
        <f ca="1">INDEX(Photobiology!$21:$421,1+$H41-380,R$14)</f>
        <v>1.1427700000000001E-2</v>
      </c>
      <c r="S41" s="147">
        <f t="shared" si="27"/>
        <v>3615159671602164</v>
      </c>
      <c r="T41" s="147">
        <f ca="1">INDEX(Photobiology!$21:$421,1+$H41-380,T$14)</f>
        <v>4.4330064522070237E-2</v>
      </c>
      <c r="U41" s="147">
        <f ca="1">INDEX(Photobiology!$21:$421,1+$H41-380,U$14)</f>
        <v>3.2057349306408548E-3</v>
      </c>
      <c r="V41" s="147">
        <f ca="1">INDEX(Photobiology!$21:$421,1+$H41-380,V$14)</f>
        <v>3.5996556848238537E-3</v>
      </c>
      <c r="W41" s="147">
        <f ca="1">INDEX(Photobiology!$21:$421,1+$H41-380,W$14)</f>
        <v>1.174062186559679E-2</v>
      </c>
      <c r="X41" s="147">
        <f ca="1">INDEX(Photobiology!$21:$421,1+$H41-380,X$14)</f>
        <v>1.3969621486000111E-2</v>
      </c>
      <c r="Y41" s="147">
        <f t="shared" si="14"/>
        <v>1.7948271865342699E-3</v>
      </c>
      <c r="Z41" s="147">
        <f t="shared" ca="1" si="28"/>
        <v>7.1130437264102346E-5</v>
      </c>
      <c r="AA41" s="147">
        <f t="shared" ca="1" si="15"/>
        <v>4.2574736726342105E-6</v>
      </c>
      <c r="AB41" s="147">
        <f t="shared" ca="1" si="16"/>
        <v>4.5601712776432164E-6</v>
      </c>
      <c r="AC41" s="147">
        <f t="shared" ca="1" si="17"/>
        <v>1.6673944562903368E-5</v>
      </c>
      <c r="AD41" s="147">
        <f t="shared" ca="1" si="18"/>
        <v>2.0510746639557677E-5</v>
      </c>
      <c r="AH41" s="147">
        <f t="shared" si="29"/>
        <v>400</v>
      </c>
      <c r="AI41" s="147">
        <f>IF($AH41&gt;$AH40,INDEX(Spectra!41:41,1,MATCH($AI$20,Spectra!$20:$20,0)),AI40)</f>
        <v>82.754900000000006</v>
      </c>
      <c r="AJ41" s="147">
        <f>((Physics!$C$9*Physics!$C$10)/(Physics!$C$11*Physics!$C$12*$AH41))^($AJ$17-$AJ$18)</f>
        <v>2.014210448072649E+18</v>
      </c>
      <c r="AK41" s="147">
        <f t="shared" si="30"/>
        <v>1</v>
      </c>
      <c r="AL41" s="147">
        <f>INDEX(Photobiology!$21:$421,1+$AH41-380,10)</f>
        <v>3.9599999999999998E-4</v>
      </c>
      <c r="AM41" s="147">
        <f t="shared" si="31"/>
        <v>1.146618824012163E-3</v>
      </c>
      <c r="AN41" s="147">
        <f ca="1">INDEX(Photobiology!$21:$421,1+$AH41-380,AN$14)</f>
        <v>3.9630800000000001E-2</v>
      </c>
      <c r="AO41" s="147">
        <f ca="1">INDEX(Photobiology!$21:$421,1+$AH41-380,AO$14)</f>
        <v>2.3720799999999999E-3</v>
      </c>
      <c r="AP41" s="147">
        <f ca="1">INDEX(Photobiology!$21:$421,1+$AH41-380,AP$14)</f>
        <v>2.5407300000000002E-3</v>
      </c>
      <c r="AQ41" s="147">
        <f ca="1">INDEX(Photobiology!$21:$421,1+$AH41-380,AQ$14)</f>
        <v>9.2899999999999996E-3</v>
      </c>
      <c r="AR41" s="147">
        <f ca="1">INDEX(Photobiology!$21:$421,1+$AH41-380,AR$14)</f>
        <v>1.1427700000000001E-2</v>
      </c>
      <c r="AS41" s="147">
        <f t="shared" si="32"/>
        <v>2309531615282073</v>
      </c>
      <c r="AT41" s="147">
        <f ca="1">INDEX(Photobiology!$21:$421,1+$AH41-380,AT$14)</f>
        <v>4.4330064522070237E-2</v>
      </c>
      <c r="AU41" s="147">
        <f ca="1">INDEX(Photobiology!$21:$421,1+$AH41-380,AU$14)</f>
        <v>3.2057349306408548E-3</v>
      </c>
      <c r="AV41" s="147">
        <f ca="1">INDEX(Photobiology!$21:$421,1+$AH41-380,AV$14)</f>
        <v>3.5996556848238537E-3</v>
      </c>
      <c r="AW41" s="147">
        <f ca="1">INDEX(Photobiology!$21:$421,1+$AH41-380,AW$14)</f>
        <v>1.174062186559679E-2</v>
      </c>
      <c r="AX41" s="147">
        <f ca="1">INDEX(Photobiology!$21:$421,1+$AH41-380,AX$14)</f>
        <v>1.3969621486000111E-2</v>
      </c>
      <c r="AY41" s="147">
        <f t="shared" si="19"/>
        <v>1.146618824012163E-3</v>
      </c>
      <c r="AZ41" s="147">
        <f t="shared" ca="1" si="33"/>
        <v>4.5441421290661232E-5</v>
      </c>
      <c r="BA41" s="147">
        <f t="shared" ca="1" si="20"/>
        <v>2.7198715800627717E-6</v>
      </c>
      <c r="BB41" s="147">
        <f t="shared" ca="1" si="21"/>
        <v>2.9132488447324231E-6</v>
      </c>
      <c r="BC41" s="147">
        <f t="shared" ca="1" si="22"/>
        <v>1.0652088875072994E-5</v>
      </c>
      <c r="BD41" s="147">
        <f t="shared" ca="1" si="23"/>
        <v>1.3103215935163796E-5</v>
      </c>
    </row>
    <row r="42" spans="8:56" s="147" customFormat="1" ht="0.25" customHeight="1" x14ac:dyDescent="0.2">
      <c r="H42" s="147">
        <f t="shared" si="24"/>
        <v>401</v>
      </c>
      <c r="I42" s="147">
        <f>IF($H42&gt;$H41,INDEX(Spectra!42:42,1,MATCH($I$20,Spectra!$20:$20,0)),I41)</f>
        <v>1.9048165962940299E-3</v>
      </c>
      <c r="J42" s="147">
        <f>((Physics!$C$9*Physics!$C$10)/(Physics!$C$11*Physics!$C$12*$H42))^($J$17-$J$18)</f>
        <v>2.0192459741928307E+18</v>
      </c>
      <c r="K42" s="147">
        <f t="shared" si="25"/>
        <v>1</v>
      </c>
      <c r="L42" s="147">
        <f>INDEX(Photobiology!$21:$421,1+$H42-380,10)</f>
        <v>4.337147E-4</v>
      </c>
      <c r="M42" s="147">
        <f t="shared" si="26"/>
        <v>1.9048165962940299E-3</v>
      </c>
      <c r="N42" s="147">
        <f ca="1">INDEX(Photobiology!$21:$421,1+$H42-380,N$14)</f>
        <v>4.70801E-2</v>
      </c>
      <c r="O42" s="147">
        <f ca="1">INDEX(Photobiology!$21:$421,1+$H42-380,O$14)</f>
        <v>2.7943299999999998E-3</v>
      </c>
      <c r="P42" s="147">
        <f ca="1">INDEX(Photobiology!$21:$421,1+$H42-380,P$14)</f>
        <v>2.9728200000000001E-3</v>
      </c>
      <c r="Q42" s="147">
        <f ca="1">INDEX(Photobiology!$21:$421,1+$H42-380,Q$14)</f>
        <v>1.0699999999999999E-2</v>
      </c>
      <c r="R42" s="147">
        <f ca="1">INDEX(Photobiology!$21:$421,1+$H42-380,R$14)</f>
        <v>1.30767E-2</v>
      </c>
      <c r="S42" s="147">
        <f t="shared" si="27"/>
        <v>3846293243642410.5</v>
      </c>
      <c r="T42" s="147">
        <f ca="1">INDEX(Photobiology!$21:$421,1+$H42-380,T$14)</f>
        <v>5.2531344879459832E-2</v>
      </c>
      <c r="U42" s="147">
        <f ca="1">INDEX(Photobiology!$21:$421,1+$H42-380,U$14)</f>
        <v>3.7669650402414843E-3</v>
      </c>
      <c r="V42" s="147">
        <f ca="1">INDEX(Photobiology!$21:$421,1+$H42-380,V$14)</f>
        <v>4.2013288728790831E-3</v>
      </c>
      <c r="W42" s="147">
        <f ca="1">INDEX(Photobiology!$21:$421,1+$H42-380,W$14)</f>
        <v>1.3488845589136485E-2</v>
      </c>
      <c r="X42" s="147">
        <f ca="1">INDEX(Photobiology!$21:$421,1+$H42-380,X$14)</f>
        <v>1.5945553067895787E-2</v>
      </c>
      <c r="Y42" s="147">
        <f t="shared" si="14"/>
        <v>1.9048165962940299E-3</v>
      </c>
      <c r="Z42" s="147">
        <f t="shared" ca="1" si="28"/>
        <v>8.967895583518256E-5</v>
      </c>
      <c r="AA42" s="147">
        <f t="shared" ca="1" si="15"/>
        <v>5.3226861595222959E-6</v>
      </c>
      <c r="AB42" s="147">
        <f t="shared" ca="1" si="16"/>
        <v>5.6626768737948187E-6</v>
      </c>
      <c r="AC42" s="147">
        <f t="shared" ca="1" si="17"/>
        <v>2.038153758034612E-5</v>
      </c>
      <c r="AD42" s="147">
        <f t="shared" ca="1" si="18"/>
        <v>2.4908715184758142E-5</v>
      </c>
      <c r="AH42" s="147">
        <f t="shared" si="29"/>
        <v>401</v>
      </c>
      <c r="AI42" s="147">
        <f>IF($AH42&gt;$AH41,INDEX(Spectra!42:42,1,MATCH($AI$20,Spectra!$20:$20,0)),AI41)</f>
        <v>83.628</v>
      </c>
      <c r="AJ42" s="147">
        <f>((Physics!$C$9*Physics!$C$10)/(Physics!$C$11*Physics!$C$12*$AH42))^($AJ$17-$AJ$18)</f>
        <v>2.0192459741928307E+18</v>
      </c>
      <c r="AK42" s="147">
        <f t="shared" si="30"/>
        <v>1</v>
      </c>
      <c r="AL42" s="147">
        <f>INDEX(Photobiology!$21:$421,1+$AH42-380,10)</f>
        <v>4.337147E-4</v>
      </c>
      <c r="AM42" s="147">
        <f t="shared" si="31"/>
        <v>1.1587161487052631E-3</v>
      </c>
      <c r="AN42" s="147">
        <f ca="1">INDEX(Photobiology!$21:$421,1+$AH42-380,AN$14)</f>
        <v>4.70801E-2</v>
      </c>
      <c r="AO42" s="147">
        <f ca="1">INDEX(Photobiology!$21:$421,1+$AH42-380,AO$14)</f>
        <v>2.7943299999999998E-3</v>
      </c>
      <c r="AP42" s="147">
        <f ca="1">INDEX(Photobiology!$21:$421,1+$AH42-380,AP$14)</f>
        <v>2.9728200000000001E-3</v>
      </c>
      <c r="AQ42" s="147">
        <f ca="1">INDEX(Photobiology!$21:$421,1+$AH42-380,AQ$14)</f>
        <v>1.0699999999999999E-2</v>
      </c>
      <c r="AR42" s="147">
        <f ca="1">INDEX(Photobiology!$21:$421,1+$AH42-380,AR$14)</f>
        <v>1.30767E-2</v>
      </c>
      <c r="AS42" s="147">
        <f t="shared" si="32"/>
        <v>2339732918505324</v>
      </c>
      <c r="AT42" s="147">
        <f ca="1">INDEX(Photobiology!$21:$421,1+$AH42-380,AT$14)</f>
        <v>5.2531344879459832E-2</v>
      </c>
      <c r="AU42" s="147">
        <f ca="1">INDEX(Photobiology!$21:$421,1+$AH42-380,AU$14)</f>
        <v>3.7669650402414843E-3</v>
      </c>
      <c r="AV42" s="147">
        <f ca="1">INDEX(Photobiology!$21:$421,1+$AH42-380,AV$14)</f>
        <v>4.2013288728790831E-3</v>
      </c>
      <c r="AW42" s="147">
        <f ca="1">INDEX(Photobiology!$21:$421,1+$AH42-380,AW$14)</f>
        <v>1.3488845589136485E-2</v>
      </c>
      <c r="AX42" s="147">
        <f ca="1">INDEX(Photobiology!$21:$421,1+$AH42-380,AX$14)</f>
        <v>1.5945553067895787E-2</v>
      </c>
      <c r="AY42" s="147">
        <f t="shared" si="19"/>
        <v>1.1587161487052631E-3</v>
      </c>
      <c r="AZ42" s="147">
        <f t="shared" ca="1" si="33"/>
        <v>5.4552472152658661E-5</v>
      </c>
      <c r="BA42" s="147">
        <f t="shared" ca="1" si="20"/>
        <v>3.2378352958115778E-6</v>
      </c>
      <c r="BB42" s="147">
        <f t="shared" ca="1" si="21"/>
        <v>3.4446545411939807E-6</v>
      </c>
      <c r="BC42" s="147">
        <f t="shared" ca="1" si="22"/>
        <v>1.2398262791146315E-5</v>
      </c>
      <c r="BD42" s="147">
        <f t="shared" ca="1" si="23"/>
        <v>1.5152183461774115E-5</v>
      </c>
    </row>
    <row r="43" spans="8:56" s="147" customFormat="1" ht="0.25" customHeight="1" x14ac:dyDescent="0.2">
      <c r="H43" s="147">
        <f t="shared" si="24"/>
        <v>402</v>
      </c>
      <c r="I43" s="147">
        <f>IF($H43&gt;$H42,INDEX(Spectra!43:43,1,MATCH($I$20,Spectra!$20:$20,0)),I42)</f>
        <v>1.9498122639230299E-3</v>
      </c>
      <c r="J43" s="147">
        <f>((Physics!$C$9*Physics!$C$10)/(Physics!$C$11*Physics!$C$12*$H43))^($J$17-$J$18)</f>
        <v>2.0242815003130122E+18</v>
      </c>
      <c r="K43" s="147">
        <f t="shared" si="25"/>
        <v>1</v>
      </c>
      <c r="L43" s="147">
        <f>INDEX(Photobiology!$21:$421,1+$H43-380,10)</f>
        <v>4.73024E-4</v>
      </c>
      <c r="M43" s="147">
        <f t="shared" si="26"/>
        <v>1.9498122639230299E-3</v>
      </c>
      <c r="N43" s="147">
        <f ca="1">INDEX(Photobiology!$21:$421,1+$H43-380,N$14)</f>
        <v>5.5701199999999999E-2</v>
      </c>
      <c r="O43" s="147">
        <f ca="1">INDEX(Photobiology!$21:$421,1+$H43-380,O$14)</f>
        <v>3.2737399999999998E-3</v>
      </c>
      <c r="P43" s="147">
        <f ca="1">INDEX(Photobiology!$21:$421,1+$H43-380,P$14)</f>
        <v>3.4599299999999999E-3</v>
      </c>
      <c r="Q43" s="147">
        <f ca="1">INDEX(Photobiology!$21:$421,1+$H43-380,Q$14)</f>
        <v>1.231E-2</v>
      </c>
      <c r="R43" s="147">
        <f ca="1">INDEX(Photobiology!$21:$421,1+$H43-380,R$14)</f>
        <v>1.50397E-2</v>
      </c>
      <c r="S43" s="147">
        <f t="shared" si="27"/>
        <v>3946968894942822</v>
      </c>
      <c r="T43" s="147">
        <f ca="1">INDEX(Photobiology!$21:$421,1+$H43-380,T$14)</f>
        <v>6.1996049154510527E-2</v>
      </c>
      <c r="U43" s="147">
        <f ca="1">INDEX(Photobiology!$21:$421,1+$H43-380,U$14)</f>
        <v>4.4022672176855567E-3</v>
      </c>
      <c r="V43" s="147">
        <f ca="1">INDEX(Photobiology!$21:$421,1+$H43-380,V$14)</f>
        <v>4.8775720855690112E-3</v>
      </c>
      <c r="W43" s="147">
        <f ca="1">INDEX(Photobiology!$21:$421,1+$H43-380,W$14)</f>
        <v>1.5479872453180436E-2</v>
      </c>
      <c r="X43" s="147">
        <f ca="1">INDEX(Photobiology!$21:$421,1+$H43-380,X$14)</f>
        <v>1.8293589088170102E-2</v>
      </c>
      <c r="Y43" s="147">
        <f t="shared" si="14"/>
        <v>1.9498122639230299E-3</v>
      </c>
      <c r="Z43" s="147">
        <f t="shared" ca="1" si="28"/>
        <v>1.0860688287522948E-4</v>
      </c>
      <c r="AA43" s="147">
        <f t="shared" ca="1" si="15"/>
        <v>6.3831784008953796E-6</v>
      </c>
      <c r="AB43" s="147">
        <f t="shared" ca="1" si="16"/>
        <v>6.7462139463152084E-6</v>
      </c>
      <c r="AC43" s="147">
        <f t="shared" ca="1" si="17"/>
        <v>2.4002188968892497E-5</v>
      </c>
      <c r="AD43" s="147">
        <f t="shared" ca="1" si="18"/>
        <v>2.9324591505723192E-5</v>
      </c>
      <c r="AH43" s="147">
        <f t="shared" si="29"/>
        <v>402</v>
      </c>
      <c r="AI43" s="147">
        <f>IF($AH43&gt;$AH42,INDEX(Spectra!43:43,1,MATCH($AI$20,Spectra!$20:$20,0)),AI42)</f>
        <v>84.501099999999994</v>
      </c>
      <c r="AJ43" s="147">
        <f>((Physics!$C$9*Physics!$C$10)/(Physics!$C$11*Physics!$C$12*$AH43))^($AJ$17-$AJ$18)</f>
        <v>2.0242815003130122E+18</v>
      </c>
      <c r="AK43" s="147">
        <f t="shared" si="30"/>
        <v>1</v>
      </c>
      <c r="AL43" s="147">
        <f>INDEX(Photobiology!$21:$421,1+$AH43-380,10)</f>
        <v>4.73024E-4</v>
      </c>
      <c r="AM43" s="147">
        <f t="shared" si="31"/>
        <v>1.170813473398363E-3</v>
      </c>
      <c r="AN43" s="147">
        <f ca="1">INDEX(Photobiology!$21:$421,1+$AH43-380,AN$14)</f>
        <v>5.5701199999999999E-2</v>
      </c>
      <c r="AO43" s="147">
        <f ca="1">INDEX(Photobiology!$21:$421,1+$AH43-380,AO$14)</f>
        <v>3.2737399999999998E-3</v>
      </c>
      <c r="AP43" s="147">
        <f ca="1">INDEX(Photobiology!$21:$421,1+$AH43-380,AP$14)</f>
        <v>3.4599299999999999E-3</v>
      </c>
      <c r="AQ43" s="147">
        <f ca="1">INDEX(Photobiology!$21:$421,1+$AH43-380,AQ$14)</f>
        <v>1.231E-2</v>
      </c>
      <c r="AR43" s="147">
        <f ca="1">INDEX(Photobiology!$21:$421,1+$AH43-380,AR$14)</f>
        <v>1.50397E-2</v>
      </c>
      <c r="AS43" s="147">
        <f t="shared" si="32"/>
        <v>2370056054517527</v>
      </c>
      <c r="AT43" s="147">
        <f ca="1">INDEX(Photobiology!$21:$421,1+$AH43-380,AT$14)</f>
        <v>6.1996049154510527E-2</v>
      </c>
      <c r="AU43" s="147">
        <f ca="1">INDEX(Photobiology!$21:$421,1+$AH43-380,AU$14)</f>
        <v>4.4022672176855567E-3</v>
      </c>
      <c r="AV43" s="147">
        <f ca="1">INDEX(Photobiology!$21:$421,1+$AH43-380,AV$14)</f>
        <v>4.8775720855690112E-3</v>
      </c>
      <c r="AW43" s="147">
        <f ca="1">INDEX(Photobiology!$21:$421,1+$AH43-380,AW$14)</f>
        <v>1.5479872453180436E-2</v>
      </c>
      <c r="AX43" s="147">
        <f ca="1">INDEX(Photobiology!$21:$421,1+$AH43-380,AX$14)</f>
        <v>1.8293589088170102E-2</v>
      </c>
      <c r="AY43" s="147">
        <f t="shared" si="19"/>
        <v>1.170813473398363E-3</v>
      </c>
      <c r="AZ43" s="147">
        <f t="shared" ca="1" si="33"/>
        <v>6.5215715444456897E-5</v>
      </c>
      <c r="BA43" s="147">
        <f t="shared" ca="1" si="20"/>
        <v>3.8329389004031566E-6</v>
      </c>
      <c r="BB43" s="147">
        <f t="shared" ca="1" si="21"/>
        <v>4.0509326610151977E-6</v>
      </c>
      <c r="BC43" s="147">
        <f t="shared" ca="1" si="22"/>
        <v>1.4412713857533847E-5</v>
      </c>
      <c r="BD43" s="147">
        <f t="shared" ca="1" si="23"/>
        <v>1.7608683395869359E-5</v>
      </c>
    </row>
    <row r="44" spans="8:56" s="147" customFormat="1" ht="0.25" customHeight="1" x14ac:dyDescent="0.2">
      <c r="H44" s="147">
        <f t="shared" si="24"/>
        <v>403</v>
      </c>
      <c r="I44" s="147">
        <f>IF($H44&gt;$H43,INDEX(Spectra!44:44,1,MATCH($I$20,Spectra!$20:$20,0)),I43)</f>
        <v>1.9348137080466999E-3</v>
      </c>
      <c r="J44" s="147">
        <f>((Physics!$C$9*Physics!$C$10)/(Physics!$C$11*Physics!$C$12*$H44))^($J$17-$J$18)</f>
        <v>2.0293170264331942E+18</v>
      </c>
      <c r="K44" s="147">
        <f t="shared" si="25"/>
        <v>1</v>
      </c>
      <c r="L44" s="147">
        <f>INDEX(Photobiology!$21:$421,1+$H44-380,10)</f>
        <v>5.1787600000000001E-4</v>
      </c>
      <c r="M44" s="147">
        <f t="shared" si="26"/>
        <v>1.9348137080466999E-3</v>
      </c>
      <c r="N44" s="147">
        <f ca="1">INDEX(Photobiology!$21:$421,1+$H44-380,N$14)</f>
        <v>6.5613699999999997E-2</v>
      </c>
      <c r="O44" s="147">
        <f ca="1">INDEX(Photobiology!$21:$421,1+$H44-380,O$14)</f>
        <v>3.8165999999999999E-3</v>
      </c>
      <c r="P44" s="147">
        <f ca="1">INDEX(Photobiology!$21:$421,1+$H44-380,P$14)</f>
        <v>4.0079299999999998E-3</v>
      </c>
      <c r="Q44" s="147">
        <f ca="1">INDEX(Photobiology!$21:$421,1+$H44-380,Q$14)</f>
        <v>1.413E-2</v>
      </c>
      <c r="R44" s="147">
        <f ca="1">INDEX(Photobiology!$21:$421,1+$H44-380,R$14)</f>
        <v>1.7316600000000001E-2</v>
      </c>
      <c r="S44" s="147">
        <f t="shared" si="27"/>
        <v>3926350400715511.5</v>
      </c>
      <c r="T44" s="147">
        <f ca="1">INDEX(Photobiology!$21:$421,1+$H44-380,T$14)</f>
        <v>7.2847558010856073E-2</v>
      </c>
      <c r="U44" s="147">
        <f ca="1">INDEX(Photobiology!$21:$421,1+$H44-380,U$14)</f>
        <v>5.1195273653242505E-3</v>
      </c>
      <c r="V44" s="147">
        <f ca="1">INDEX(Photobiology!$21:$421,1+$H44-380,V$14)</f>
        <v>5.6360848007687304E-3</v>
      </c>
      <c r="W44" s="147">
        <f ca="1">INDEX(Photobiology!$21:$421,1+$H44-380,W$14)</f>
        <v>1.7724438825160345E-2</v>
      </c>
      <c r="X44" s="147">
        <f ca="1">INDEX(Photobiology!$21:$421,1+$H44-380,X$14)</f>
        <v>2.1010838205089154E-2</v>
      </c>
      <c r="Y44" s="147">
        <f t="shared" si="14"/>
        <v>1.9348137080466999E-3</v>
      </c>
      <c r="Z44" s="147">
        <f t="shared" ca="1" si="28"/>
        <v>1.2695028619566373E-4</v>
      </c>
      <c r="AA44" s="147">
        <f t="shared" ca="1" si="15"/>
        <v>7.3844099981310343E-6</v>
      </c>
      <c r="AB44" s="147">
        <f t="shared" ca="1" si="16"/>
        <v>7.75459790489161E-6</v>
      </c>
      <c r="AC44" s="147">
        <f t="shared" ca="1" si="17"/>
        <v>2.7338917694699869E-5</v>
      </c>
      <c r="AD44" s="147">
        <f t="shared" ca="1" si="18"/>
        <v>3.3504395056761484E-5</v>
      </c>
      <c r="AH44" s="147">
        <f t="shared" si="29"/>
        <v>403</v>
      </c>
      <c r="AI44" s="147">
        <f>IF($AH44&gt;$AH43,INDEX(Spectra!44:44,1,MATCH($AI$20,Spectra!$20:$20,0)),AI43)</f>
        <v>85.374200000000002</v>
      </c>
      <c r="AJ44" s="147">
        <f>((Physics!$C$9*Physics!$C$10)/(Physics!$C$11*Physics!$C$12*$AH44))^($AJ$17-$AJ$18)</f>
        <v>2.0293170264331942E+18</v>
      </c>
      <c r="AK44" s="147">
        <f t="shared" si="30"/>
        <v>1</v>
      </c>
      <c r="AL44" s="147">
        <f>INDEX(Photobiology!$21:$421,1+$AH44-380,10)</f>
        <v>5.1787600000000001E-4</v>
      </c>
      <c r="AM44" s="147">
        <f t="shared" si="31"/>
        <v>1.1829107980914631E-3</v>
      </c>
      <c r="AN44" s="147">
        <f ca="1">INDEX(Photobiology!$21:$421,1+$AH44-380,AN$14)</f>
        <v>6.5613699999999997E-2</v>
      </c>
      <c r="AO44" s="147">
        <f ca="1">INDEX(Photobiology!$21:$421,1+$AH44-380,AO$14)</f>
        <v>3.8165999999999999E-3</v>
      </c>
      <c r="AP44" s="147">
        <f ca="1">INDEX(Photobiology!$21:$421,1+$AH44-380,AP$14)</f>
        <v>4.0079299999999998E-3</v>
      </c>
      <c r="AQ44" s="147">
        <f ca="1">INDEX(Photobiology!$21:$421,1+$AH44-380,AQ$14)</f>
        <v>1.413E-2</v>
      </c>
      <c r="AR44" s="147">
        <f ca="1">INDEX(Photobiology!$21:$421,1+$AH44-380,AR$14)</f>
        <v>1.7316600000000001E-2</v>
      </c>
      <c r="AS44" s="147">
        <f t="shared" si="32"/>
        <v>2400501023318684.5</v>
      </c>
      <c r="AT44" s="147">
        <f ca="1">INDEX(Photobiology!$21:$421,1+$AH44-380,AT$14)</f>
        <v>7.2847558010856073E-2</v>
      </c>
      <c r="AU44" s="147">
        <f ca="1">INDEX(Photobiology!$21:$421,1+$AH44-380,AU$14)</f>
        <v>5.1195273653242505E-3</v>
      </c>
      <c r="AV44" s="147">
        <f ca="1">INDEX(Photobiology!$21:$421,1+$AH44-380,AV$14)</f>
        <v>5.6360848007687304E-3</v>
      </c>
      <c r="AW44" s="147">
        <f ca="1">INDEX(Photobiology!$21:$421,1+$AH44-380,AW$14)</f>
        <v>1.7724438825160345E-2</v>
      </c>
      <c r="AX44" s="147">
        <f ca="1">INDEX(Photobiology!$21:$421,1+$AH44-380,AX$14)</f>
        <v>2.1010838205089154E-2</v>
      </c>
      <c r="AY44" s="147">
        <f t="shared" si="19"/>
        <v>1.1829107980914631E-3</v>
      </c>
      <c r="AZ44" s="147">
        <f t="shared" ca="1" si="33"/>
        <v>7.7615154232733825E-5</v>
      </c>
      <c r="BA44" s="147">
        <f t="shared" ca="1" si="20"/>
        <v>4.5146973519958774E-6</v>
      </c>
      <c r="BB44" s="147">
        <f t="shared" ca="1" si="21"/>
        <v>4.7410236749947175E-6</v>
      </c>
      <c r="BC44" s="147">
        <f t="shared" ca="1" si="22"/>
        <v>1.6714529577032373E-5</v>
      </c>
      <c r="BD44" s="147">
        <f t="shared" ca="1" si="23"/>
        <v>2.048399312623063E-5</v>
      </c>
    </row>
    <row r="45" spans="8:56" s="147" customFormat="1" ht="0.25" customHeight="1" x14ac:dyDescent="0.2">
      <c r="H45" s="147">
        <f t="shared" si="24"/>
        <v>404</v>
      </c>
      <c r="I45" s="147">
        <f>IF($H45&gt;$H44,INDEX(Spectra!45:45,1,MATCH($I$20,Spectra!$20:$20,0)),I44)</f>
        <v>1.9248146707958099E-3</v>
      </c>
      <c r="J45" s="147">
        <f>((Physics!$C$9*Physics!$C$10)/(Physics!$C$11*Physics!$C$12*$H45))^($J$17-$J$18)</f>
        <v>2.0343525525533752E+18</v>
      </c>
      <c r="K45" s="147">
        <f t="shared" si="25"/>
        <v>1</v>
      </c>
      <c r="L45" s="147">
        <f>INDEX(Photobiology!$21:$421,1+$H45-380,10)</f>
        <v>5.7221870000000001E-4</v>
      </c>
      <c r="M45" s="147">
        <f t="shared" si="26"/>
        <v>1.9248146707958099E-3</v>
      </c>
      <c r="N45" s="147">
        <f ca="1">INDEX(Photobiology!$21:$421,1+$H45-380,N$14)</f>
        <v>7.6932299999999995E-2</v>
      </c>
      <c r="O45" s="147">
        <f ca="1">INDEX(Photobiology!$21:$421,1+$H45-380,O$14)</f>
        <v>4.4302100000000004E-3</v>
      </c>
      <c r="P45" s="147">
        <f ca="1">INDEX(Photobiology!$21:$421,1+$H45-380,P$14)</f>
        <v>4.6236999999999997E-3</v>
      </c>
      <c r="Q45" s="147">
        <f ca="1">INDEX(Photobiology!$21:$421,1+$H45-380,Q$14)</f>
        <v>1.619E-2</v>
      </c>
      <c r="R45" s="147">
        <f ca="1">INDEX(Photobiology!$21:$421,1+$H45-380,R$14)</f>
        <v>1.99071E-2</v>
      </c>
      <c r="S45" s="147">
        <f t="shared" si="27"/>
        <v>3915751638725640.5</v>
      </c>
      <c r="T45" s="147">
        <f ca="1">INDEX(Photobiology!$21:$421,1+$H45-380,T$14)</f>
        <v>8.5202603766209237E-2</v>
      </c>
      <c r="U45" s="147">
        <f ca="1">INDEX(Photobiology!$21:$421,1+$H45-380,U$14)</f>
        <v>5.9279047519620268E-3</v>
      </c>
      <c r="V45" s="147">
        <f ca="1">INDEX(Photobiology!$21:$421,1+$H45-380,V$14)</f>
        <v>6.4859070439917807E-3</v>
      </c>
      <c r="W45" s="147">
        <f ca="1">INDEX(Photobiology!$21:$421,1+$H45-380,W$14)</f>
        <v>2.0258200343605069E-2</v>
      </c>
      <c r="X45" s="147">
        <f ca="1">INDEX(Photobiology!$21:$421,1+$H45-380,X$14)</f>
        <v>2.4094195637710317E-2</v>
      </c>
      <c r="Y45" s="147">
        <f t="shared" si="14"/>
        <v>1.9248146707958099E-3</v>
      </c>
      <c r="Z45" s="147">
        <f t="shared" ca="1" si="28"/>
        <v>1.4808041969806447E-4</v>
      </c>
      <c r="AA45" s="147">
        <f t="shared" ca="1" si="15"/>
        <v>8.5273332027063065E-6</v>
      </c>
      <c r="AB45" s="147">
        <f t="shared" ca="1" si="16"/>
        <v>8.8997655933585854E-6</v>
      </c>
      <c r="AC45" s="147">
        <f t="shared" ca="1" si="17"/>
        <v>3.1162749520184163E-5</v>
      </c>
      <c r="AD45" s="147">
        <f t="shared" ca="1" si="18"/>
        <v>3.831747813299927E-5</v>
      </c>
      <c r="AH45" s="147">
        <f t="shared" si="29"/>
        <v>404</v>
      </c>
      <c r="AI45" s="147">
        <f>IF($AH45&gt;$AH44,INDEX(Spectra!45:45,1,MATCH($AI$20,Spectra!$20:$20,0)),AI44)</f>
        <v>86.247299999999996</v>
      </c>
      <c r="AJ45" s="147">
        <f>((Physics!$C$9*Physics!$C$10)/(Physics!$C$11*Physics!$C$12*$AH45))^($AJ$17-$AJ$18)</f>
        <v>2.0343525525533752E+18</v>
      </c>
      <c r="AK45" s="147">
        <f t="shared" si="30"/>
        <v>1</v>
      </c>
      <c r="AL45" s="147">
        <f>INDEX(Photobiology!$21:$421,1+$AH45-380,10)</f>
        <v>5.7221870000000001E-4</v>
      </c>
      <c r="AM45" s="147">
        <f t="shared" si="31"/>
        <v>1.1950081227845629E-3</v>
      </c>
      <c r="AN45" s="147">
        <f ca="1">INDEX(Photobiology!$21:$421,1+$AH45-380,AN$14)</f>
        <v>7.6932299999999995E-2</v>
      </c>
      <c r="AO45" s="147">
        <f ca="1">INDEX(Photobiology!$21:$421,1+$AH45-380,AO$14)</f>
        <v>4.4302100000000004E-3</v>
      </c>
      <c r="AP45" s="147">
        <f ca="1">INDEX(Photobiology!$21:$421,1+$AH45-380,AP$14)</f>
        <v>4.6236999999999997E-3</v>
      </c>
      <c r="AQ45" s="147">
        <f ca="1">INDEX(Photobiology!$21:$421,1+$AH45-380,AQ$14)</f>
        <v>1.619E-2</v>
      </c>
      <c r="AR45" s="147">
        <f ca="1">INDEX(Photobiology!$21:$421,1+$AH45-380,AR$14)</f>
        <v>1.99071E-2</v>
      </c>
      <c r="AS45" s="147">
        <f t="shared" si="32"/>
        <v>2431067824908793</v>
      </c>
      <c r="AT45" s="147">
        <f ca="1">INDEX(Photobiology!$21:$421,1+$AH45-380,AT$14)</f>
        <v>8.5202603766209237E-2</v>
      </c>
      <c r="AU45" s="147">
        <f ca="1">INDEX(Photobiology!$21:$421,1+$AH45-380,AU$14)</f>
        <v>5.9279047519620268E-3</v>
      </c>
      <c r="AV45" s="147">
        <f ca="1">INDEX(Photobiology!$21:$421,1+$AH45-380,AV$14)</f>
        <v>6.4859070439917807E-3</v>
      </c>
      <c r="AW45" s="147">
        <f ca="1">INDEX(Photobiology!$21:$421,1+$AH45-380,AW$14)</f>
        <v>2.0258200343605069E-2</v>
      </c>
      <c r="AX45" s="147">
        <f ca="1">INDEX(Photobiology!$21:$421,1+$AH45-380,AX$14)</f>
        <v>2.4094195637710317E-2</v>
      </c>
      <c r="AY45" s="147">
        <f t="shared" si="19"/>
        <v>1.1950081227845629E-3</v>
      </c>
      <c r="AZ45" s="147">
        <f t="shared" ca="1" si="33"/>
        <v>9.1934723404498824E-5</v>
      </c>
      <c r="BA45" s="147">
        <f t="shared" ca="1" si="20"/>
        <v>5.2941369356413993E-6</v>
      </c>
      <c r="BB45" s="147">
        <f t="shared" ca="1" si="21"/>
        <v>5.525359057318983E-6</v>
      </c>
      <c r="BC45" s="147">
        <f t="shared" ca="1" si="22"/>
        <v>1.9347181507882071E-5</v>
      </c>
      <c r="BD45" s="147">
        <f t="shared" ca="1" si="23"/>
        <v>2.3789146201084573E-5</v>
      </c>
    </row>
    <row r="46" spans="8:56" s="147" customFormat="1" ht="0.25" customHeight="1" x14ac:dyDescent="0.2">
      <c r="H46" s="147">
        <f t="shared" si="24"/>
        <v>405</v>
      </c>
      <c r="I46" s="147">
        <f>IF($H46&gt;$H45,INDEX(Spectra!46:46,1,MATCH($I$20,Spectra!$20:$20,0)),I45)</f>
        <v>1.8798190031668099E-3</v>
      </c>
      <c r="J46" s="147">
        <f>((Physics!$C$9*Physics!$C$10)/(Physics!$C$11*Physics!$C$12*$H46))^($J$17-$J$18)</f>
        <v>2.039388078673557E+18</v>
      </c>
      <c r="K46" s="147">
        <f t="shared" si="25"/>
        <v>1</v>
      </c>
      <c r="L46" s="147">
        <f>INDEX(Photobiology!$21:$421,1+$H46-380,10)</f>
        <v>6.4000000000000005E-4</v>
      </c>
      <c r="M46" s="147">
        <f t="shared" si="26"/>
        <v>1.8798190031668099E-3</v>
      </c>
      <c r="N46" s="147">
        <f ca="1">INDEX(Photobiology!$21:$421,1+$H46-380,N$14)</f>
        <v>8.9761199999999999E-2</v>
      </c>
      <c r="O46" s="147">
        <f ca="1">INDEX(Photobiology!$21:$421,1+$H46-380,O$14)</f>
        <v>5.1231599999999999E-3</v>
      </c>
      <c r="P46" s="147">
        <f ca="1">INDEX(Photobiology!$21:$421,1+$H46-380,P$14)</f>
        <v>5.3154600000000002E-3</v>
      </c>
      <c r="Q46" s="147">
        <f ca="1">INDEX(Photobiology!$21:$421,1+$H46-380,Q$14)</f>
        <v>1.8519999999999998E-2</v>
      </c>
      <c r="R46" s="147">
        <f ca="1">INDEX(Photobiology!$21:$421,1+$H46-380,R$14)</f>
        <v>2.28112E-2</v>
      </c>
      <c r="S46" s="147">
        <f t="shared" si="27"/>
        <v>3833680465122401.5</v>
      </c>
      <c r="T46" s="147">
        <f ca="1">INDEX(Photobiology!$21:$421,1+$H46-380,T$14)</f>
        <v>9.9165165778367689E-2</v>
      </c>
      <c r="U46" s="147">
        <f ca="1">INDEX(Photobiology!$21:$421,1+$H46-380,U$14)</f>
        <v>6.838190025136871E-3</v>
      </c>
      <c r="V46" s="147">
        <f ca="1">INDEX(Photobiology!$21:$421,1+$H46-380,V$14)</f>
        <v>7.4378646037828429E-3</v>
      </c>
      <c r="W46" s="147">
        <f ca="1">INDEX(Photobiology!$21:$421,1+$H46-380,W$14)</f>
        <v>2.3116460492588878E-2</v>
      </c>
      <c r="X46" s="147">
        <f ca="1">INDEX(Photobiology!$21:$421,1+$H46-380,X$14)</f>
        <v>2.7540949472583953E-2</v>
      </c>
      <c r="Y46" s="147">
        <f t="shared" si="14"/>
        <v>1.8798190031668099E-3</v>
      </c>
      <c r="Z46" s="147">
        <f t="shared" ca="1" si="28"/>
        <v>1.6873480950705666E-4</v>
      </c>
      <c r="AA46" s="147">
        <f t="shared" ca="1" si="15"/>
        <v>9.6306135242640745E-6</v>
      </c>
      <c r="AB46" s="147">
        <f t="shared" ca="1" si="16"/>
        <v>9.9921027185730512E-6</v>
      </c>
      <c r="AC46" s="147">
        <f t="shared" ca="1" si="17"/>
        <v>3.4814247938649316E-5</v>
      </c>
      <c r="AD46" s="147">
        <f t="shared" ca="1" si="18"/>
        <v>4.2880927245038736E-5</v>
      </c>
      <c r="AH46" s="147">
        <f t="shared" si="29"/>
        <v>405</v>
      </c>
      <c r="AI46" s="147">
        <f>IF($AH46&gt;$AH45,INDEX(Spectra!46:46,1,MATCH($AI$20,Spectra!$20:$20,0)),AI45)</f>
        <v>87.120400000000004</v>
      </c>
      <c r="AJ46" s="147">
        <f>((Physics!$C$9*Physics!$C$10)/(Physics!$C$11*Physics!$C$12*$AH46))^($AJ$17-$AJ$18)</f>
        <v>2.039388078673557E+18</v>
      </c>
      <c r="AK46" s="147">
        <f t="shared" si="30"/>
        <v>1</v>
      </c>
      <c r="AL46" s="147">
        <f>INDEX(Photobiology!$21:$421,1+$AH46-380,10)</f>
        <v>6.4000000000000005E-4</v>
      </c>
      <c r="AM46" s="147">
        <f t="shared" si="31"/>
        <v>1.207105447477663E-3</v>
      </c>
      <c r="AN46" s="147">
        <f ca="1">INDEX(Photobiology!$21:$421,1+$AH46-380,AN$14)</f>
        <v>8.9761199999999999E-2</v>
      </c>
      <c r="AO46" s="147">
        <f ca="1">INDEX(Photobiology!$21:$421,1+$AH46-380,AO$14)</f>
        <v>5.1231599999999999E-3</v>
      </c>
      <c r="AP46" s="147">
        <f ca="1">INDEX(Photobiology!$21:$421,1+$AH46-380,AP$14)</f>
        <v>5.3154600000000002E-3</v>
      </c>
      <c r="AQ46" s="147">
        <f ca="1">INDEX(Photobiology!$21:$421,1+$AH46-380,AQ$14)</f>
        <v>1.8519999999999998E-2</v>
      </c>
      <c r="AR46" s="147">
        <f ca="1">INDEX(Photobiology!$21:$421,1+$AH46-380,AR$14)</f>
        <v>2.28112E-2</v>
      </c>
      <c r="AS46" s="147">
        <f t="shared" si="32"/>
        <v>2461756459287855.5</v>
      </c>
      <c r="AT46" s="147">
        <f ca="1">INDEX(Photobiology!$21:$421,1+$AH46-380,AT$14)</f>
        <v>9.9165165778367689E-2</v>
      </c>
      <c r="AU46" s="147">
        <f ca="1">INDEX(Photobiology!$21:$421,1+$AH46-380,AU$14)</f>
        <v>6.838190025136871E-3</v>
      </c>
      <c r="AV46" s="147">
        <f ca="1">INDEX(Photobiology!$21:$421,1+$AH46-380,AV$14)</f>
        <v>7.4378646037828429E-3</v>
      </c>
      <c r="AW46" s="147">
        <f ca="1">INDEX(Photobiology!$21:$421,1+$AH46-380,AW$14)</f>
        <v>2.3116460492588878E-2</v>
      </c>
      <c r="AX46" s="147">
        <f ca="1">INDEX(Photobiology!$21:$421,1+$AH46-380,AX$14)</f>
        <v>2.7540949472583953E-2</v>
      </c>
      <c r="AY46" s="147">
        <f t="shared" si="19"/>
        <v>1.207105447477663E-3</v>
      </c>
      <c r="AZ46" s="147">
        <f t="shared" ca="1" si="33"/>
        <v>1.0835123349213201E-4</v>
      </c>
      <c r="BA46" s="147">
        <f t="shared" ca="1" si="20"/>
        <v>6.184194344299664E-6</v>
      </c>
      <c r="BB46" s="147">
        <f t="shared" ca="1" si="21"/>
        <v>6.4163207218496189E-6</v>
      </c>
      <c r="BC46" s="147">
        <f t="shared" ca="1" si="22"/>
        <v>2.2355592887286316E-5</v>
      </c>
      <c r="BD46" s="147">
        <f t="shared" ca="1" si="23"/>
        <v>2.7535523783502465E-5</v>
      </c>
    </row>
    <row r="47" spans="8:56" s="147" customFormat="1" ht="0.25" customHeight="1" x14ac:dyDescent="0.2">
      <c r="H47" s="147">
        <f t="shared" si="24"/>
        <v>406</v>
      </c>
      <c r="I47" s="147">
        <f>IF($H47&gt;$H46,INDEX(Spectra!47:47,1,MATCH($I$20,Spectra!$20:$20,0)),I46)</f>
        <v>1.8398228541632699E-3</v>
      </c>
      <c r="J47" s="147">
        <f>((Physics!$C$9*Physics!$C$10)/(Physics!$C$11*Physics!$C$12*$H47))^($J$17-$J$18)</f>
        <v>2.0444236047937385E+18</v>
      </c>
      <c r="K47" s="147">
        <f t="shared" si="25"/>
        <v>1</v>
      </c>
      <c r="L47" s="147">
        <f>INDEX(Photobiology!$21:$421,1+$H47-380,10)</f>
        <v>7.2455999999999996E-4</v>
      </c>
      <c r="M47" s="147">
        <f t="shared" si="26"/>
        <v>1.8398228541632699E-3</v>
      </c>
      <c r="N47" s="147">
        <f ca="1">INDEX(Photobiology!$21:$421,1+$H47-380,N$14)</f>
        <v>0.104188</v>
      </c>
      <c r="O47" s="147">
        <f ca="1">INDEX(Photobiology!$21:$421,1+$H47-380,O$14)</f>
        <v>5.9045800000000004E-3</v>
      </c>
      <c r="P47" s="147">
        <f ca="1">INDEX(Photobiology!$21:$421,1+$H47-380,P$14)</f>
        <v>6.0913800000000004E-3</v>
      </c>
      <c r="Q47" s="147">
        <f ca="1">INDEX(Photobiology!$21:$421,1+$H47-380,Q$14)</f>
        <v>2.1129999999999999E-2</v>
      </c>
      <c r="R47" s="147">
        <f ca="1">INDEX(Photobiology!$21:$421,1+$H47-380,R$14)</f>
        <v>2.63194E-2</v>
      </c>
      <c r="S47" s="147">
        <f t="shared" si="27"/>
        <v>3761377271690377</v>
      </c>
      <c r="T47" s="147">
        <f ca="1">INDEX(Photobiology!$21:$421,1+$H47-380,T$14)</f>
        <v>0.11481990502449566</v>
      </c>
      <c r="U47" s="147">
        <f ca="1">INDEX(Photobiology!$21:$421,1+$H47-380,U$14)</f>
        <v>7.8617865157952372E-3</v>
      </c>
      <c r="V47" s="147">
        <f ca="1">INDEX(Photobiology!$21:$421,1+$H47-380,V$14)</f>
        <v>8.5026068185485894E-3</v>
      </c>
      <c r="W47" s="147">
        <f ca="1">INDEX(Photobiology!$21:$421,1+$H47-380,W$14)</f>
        <v>2.6309272645522772E-2</v>
      </c>
      <c r="X47" s="147">
        <f ca="1">INDEX(Photobiology!$21:$421,1+$H47-380,X$14)</f>
        <v>3.1698283868164888E-2</v>
      </c>
      <c r="Y47" s="147">
        <f t="shared" si="14"/>
        <v>1.8398228541632699E-3</v>
      </c>
      <c r="Z47" s="147">
        <f t="shared" ca="1" si="28"/>
        <v>1.9168746352956278E-4</v>
      </c>
      <c r="AA47" s="147">
        <f t="shared" ca="1" si="15"/>
        <v>1.0863381228235362E-5</v>
      </c>
      <c r="AB47" s="147">
        <f t="shared" ca="1" si="16"/>
        <v>1.1207060137393059E-5</v>
      </c>
      <c r="AC47" s="147">
        <f t="shared" ca="1" si="17"/>
        <v>3.8875456908469891E-5</v>
      </c>
      <c r="AD47" s="147">
        <f t="shared" ca="1" si="18"/>
        <v>4.8423033627864769E-5</v>
      </c>
      <c r="AH47" s="147">
        <f t="shared" si="29"/>
        <v>406</v>
      </c>
      <c r="AI47" s="147">
        <f>IF($AH47&gt;$AH46,INDEX(Spectra!47:47,1,MATCH($AI$20,Spectra!$20:$20,0)),AI46)</f>
        <v>87.993600000000001</v>
      </c>
      <c r="AJ47" s="147">
        <f>((Physics!$C$9*Physics!$C$10)/(Physics!$C$11*Physics!$C$12*$AH47))^($AJ$17-$AJ$18)</f>
        <v>2.0444236047937385E+18</v>
      </c>
      <c r="AK47" s="147">
        <f t="shared" si="30"/>
        <v>1</v>
      </c>
      <c r="AL47" s="147">
        <f>INDEX(Photobiology!$21:$421,1+$AH47-380,10)</f>
        <v>7.2455999999999996E-4</v>
      </c>
      <c r="AM47" s="147">
        <f t="shared" si="31"/>
        <v>1.2192041577308011E-3</v>
      </c>
      <c r="AN47" s="147">
        <f ca="1">INDEX(Photobiology!$21:$421,1+$AH47-380,AN$14)</f>
        <v>0.104188</v>
      </c>
      <c r="AO47" s="147">
        <f ca="1">INDEX(Photobiology!$21:$421,1+$AH47-380,AO$14)</f>
        <v>5.9045800000000004E-3</v>
      </c>
      <c r="AP47" s="147">
        <f ca="1">INDEX(Photobiology!$21:$421,1+$AH47-380,AP$14)</f>
        <v>6.0913800000000004E-3</v>
      </c>
      <c r="AQ47" s="147">
        <f ca="1">INDEX(Photobiology!$21:$421,1+$AH47-380,AQ$14)</f>
        <v>2.1129999999999999E-2</v>
      </c>
      <c r="AR47" s="147">
        <f ca="1">INDEX(Photobiology!$21:$421,1+$AH47-380,AR$14)</f>
        <v>2.63194E-2</v>
      </c>
      <c r="AS47" s="147">
        <f t="shared" si="32"/>
        <v>2492569759127518</v>
      </c>
      <c r="AT47" s="147">
        <f ca="1">INDEX(Photobiology!$21:$421,1+$AH47-380,AT$14)</f>
        <v>0.11481990502449566</v>
      </c>
      <c r="AU47" s="147">
        <f ca="1">INDEX(Photobiology!$21:$421,1+$AH47-380,AU$14)</f>
        <v>7.8617865157952372E-3</v>
      </c>
      <c r="AV47" s="147">
        <f ca="1">INDEX(Photobiology!$21:$421,1+$AH47-380,AV$14)</f>
        <v>8.5026068185485894E-3</v>
      </c>
      <c r="AW47" s="147">
        <f ca="1">INDEX(Photobiology!$21:$421,1+$AH47-380,AW$14)</f>
        <v>2.6309272645522772E-2</v>
      </c>
      <c r="AX47" s="147">
        <f ca="1">INDEX(Photobiology!$21:$421,1+$AH47-380,AX$14)</f>
        <v>3.1698283868164888E-2</v>
      </c>
      <c r="AY47" s="147">
        <f t="shared" si="19"/>
        <v>1.2192041577308011E-3</v>
      </c>
      <c r="AZ47" s="147">
        <f t="shared" ca="1" si="33"/>
        <v>1.2702644278565672E-4</v>
      </c>
      <c r="BA47" s="147">
        <f t="shared" ca="1" si="20"/>
        <v>7.1988884856541342E-6</v>
      </c>
      <c r="BB47" s="147">
        <f t="shared" ca="1" si="21"/>
        <v>7.4266358223182471E-6</v>
      </c>
      <c r="BC47" s="147">
        <f t="shared" ca="1" si="22"/>
        <v>2.5761783852851824E-5</v>
      </c>
      <c r="BD47" s="147">
        <f t="shared" ca="1" si="23"/>
        <v>3.2088721908980045E-5</v>
      </c>
    </row>
    <row r="48" spans="8:56" s="147" customFormat="1" ht="0.25" customHeight="1" x14ac:dyDescent="0.2">
      <c r="H48" s="147">
        <f t="shared" si="24"/>
        <v>407</v>
      </c>
      <c r="I48" s="147">
        <f>IF($H48&gt;$H47,INDEX(Spectra!48:48,1,MATCH($I$20,Spectra!$20:$20,0)),I47)</f>
        <v>1.8398228541632699E-3</v>
      </c>
      <c r="J48" s="147">
        <f>((Physics!$C$9*Physics!$C$10)/(Physics!$C$11*Physics!$C$12*$H48))^($J$17-$J$18)</f>
        <v>2.0494591309139205E+18</v>
      </c>
      <c r="K48" s="147">
        <f t="shared" si="25"/>
        <v>1</v>
      </c>
      <c r="L48" s="147">
        <f>INDEX(Photobiology!$21:$421,1+$H48-380,10)</f>
        <v>8.2549999999999995E-4</v>
      </c>
      <c r="M48" s="147">
        <f t="shared" si="26"/>
        <v>1.8398228541632699E-3</v>
      </c>
      <c r="N48" s="147">
        <f ca="1">INDEX(Photobiology!$21:$421,1+$H48-380,N$14)</f>
        <v>0.120273</v>
      </c>
      <c r="O48" s="147">
        <f ca="1">INDEX(Photobiology!$21:$421,1+$H48-380,O$14)</f>
        <v>6.7800500000000001E-3</v>
      </c>
      <c r="P48" s="147">
        <f ca="1">INDEX(Photobiology!$21:$421,1+$H48-380,P$14)</f>
        <v>6.9529099999999996E-3</v>
      </c>
      <c r="Q48" s="147">
        <f ca="1">INDEX(Photobiology!$21:$421,1+$H48-380,Q$14)</f>
        <v>2.4049999999999998E-2</v>
      </c>
      <c r="R48" s="147">
        <f ca="1">INDEX(Photobiology!$21:$421,1+$H48-380,R$14)</f>
        <v>3.0596399999999999E-2</v>
      </c>
      <c r="S48" s="147">
        <f t="shared" si="27"/>
        <v>3770641747729024</v>
      </c>
      <c r="T48" s="147">
        <f ca="1">INDEX(Photobiology!$21:$421,1+$H48-380,T$14)</f>
        <v>0.1322206385146934</v>
      </c>
      <c r="U48" s="147">
        <f ca="1">INDEX(Photobiology!$21:$421,1+$H48-380,U$14)</f>
        <v>9.0052703686678403E-3</v>
      </c>
      <c r="V48" s="147">
        <f ca="1">INDEX(Photobiology!$21:$421,1+$H48-380,V$14)</f>
        <v>9.6813213504237071E-3</v>
      </c>
      <c r="W48" s="147">
        <f ca="1">INDEX(Photobiology!$21:$421,1+$H48-380,W$14)</f>
        <v>2.9871432479255947E-2</v>
      </c>
      <c r="X48" s="147">
        <f ca="1">INDEX(Photobiology!$21:$421,1+$H48-380,X$14)</f>
        <v>3.6758833424190812E-2</v>
      </c>
      <c r="Y48" s="147">
        <f t="shared" si="14"/>
        <v>1.8398228541632699E-3</v>
      </c>
      <c r="Z48" s="147">
        <f t="shared" ca="1" si="28"/>
        <v>2.2128101413877897E-4</v>
      </c>
      <c r="AA48" s="147">
        <f t="shared" ca="1" si="15"/>
        <v>1.2474090942369679E-5</v>
      </c>
      <c r="AB48" s="147">
        <f t="shared" ca="1" si="16"/>
        <v>1.2792122720940341E-5</v>
      </c>
      <c r="AC48" s="147">
        <f t="shared" ca="1" si="17"/>
        <v>4.4247739642626638E-5</v>
      </c>
      <c r="AD48" s="147">
        <f t="shared" ca="1" si="18"/>
        <v>5.6291955975121072E-5</v>
      </c>
      <c r="AH48" s="147">
        <f t="shared" si="29"/>
        <v>407</v>
      </c>
      <c r="AI48" s="147">
        <f>IF($AH48&gt;$AH47,INDEX(Spectra!48:48,1,MATCH($AI$20,Spectra!$20:$20,0)),AI47)</f>
        <v>88.866699999999994</v>
      </c>
      <c r="AJ48" s="147">
        <f>((Physics!$C$9*Physics!$C$10)/(Physics!$C$11*Physics!$C$12*$AH48))^($AJ$17-$AJ$18)</f>
        <v>2.0494591309139205E+18</v>
      </c>
      <c r="AK48" s="147">
        <f t="shared" si="30"/>
        <v>1</v>
      </c>
      <c r="AL48" s="147">
        <f>INDEX(Photobiology!$21:$421,1+$AH48-380,10)</f>
        <v>8.2549999999999995E-4</v>
      </c>
      <c r="AM48" s="147">
        <f t="shared" si="31"/>
        <v>1.2313014824239009E-3</v>
      </c>
      <c r="AN48" s="147">
        <f ca="1">INDEX(Photobiology!$21:$421,1+$AH48-380,AN$14)</f>
        <v>0.120273</v>
      </c>
      <c r="AO48" s="147">
        <f ca="1">INDEX(Photobiology!$21:$421,1+$AH48-380,AO$14)</f>
        <v>6.7800500000000001E-3</v>
      </c>
      <c r="AP48" s="147">
        <f ca="1">INDEX(Photobiology!$21:$421,1+$AH48-380,AP$14)</f>
        <v>6.9529099999999996E-3</v>
      </c>
      <c r="AQ48" s="147">
        <f ca="1">INDEX(Photobiology!$21:$421,1+$AH48-380,AQ$14)</f>
        <v>2.4049999999999998E-2</v>
      </c>
      <c r="AR48" s="147">
        <f ca="1">INDEX(Photobiology!$21:$421,1+$AH48-380,AR$14)</f>
        <v>3.0596399999999999E-2</v>
      </c>
      <c r="AS48" s="147">
        <f t="shared" si="32"/>
        <v>2523502066061510</v>
      </c>
      <c r="AT48" s="147">
        <f ca="1">INDEX(Photobiology!$21:$421,1+$AH48-380,AT$14)</f>
        <v>0.1322206385146934</v>
      </c>
      <c r="AU48" s="147">
        <f ca="1">INDEX(Photobiology!$21:$421,1+$AH48-380,AU$14)</f>
        <v>9.0052703686678403E-3</v>
      </c>
      <c r="AV48" s="147">
        <f ca="1">INDEX(Photobiology!$21:$421,1+$AH48-380,AV$14)</f>
        <v>9.6813213504237071E-3</v>
      </c>
      <c r="AW48" s="147">
        <f ca="1">INDEX(Photobiology!$21:$421,1+$AH48-380,AW$14)</f>
        <v>2.9871432479255947E-2</v>
      </c>
      <c r="AX48" s="147">
        <f ca="1">INDEX(Photobiology!$21:$421,1+$AH48-380,AX$14)</f>
        <v>3.6758833424190812E-2</v>
      </c>
      <c r="AY48" s="147">
        <f t="shared" si="19"/>
        <v>1.2313014824239009E-3</v>
      </c>
      <c r="AZ48" s="147">
        <f t="shared" ca="1" si="33"/>
        <v>1.4809232319556984E-4</v>
      </c>
      <c r="BA48" s="147">
        <f t="shared" ca="1" si="20"/>
        <v>8.3482856159081694E-6</v>
      </c>
      <c r="BB48" s="147">
        <f t="shared" ca="1" si="21"/>
        <v>8.5611283901599638E-6</v>
      </c>
      <c r="BC48" s="147">
        <f t="shared" ca="1" si="22"/>
        <v>2.9612800652294816E-5</v>
      </c>
      <c r="BD48" s="147">
        <f t="shared" ca="1" si="23"/>
        <v>3.7673392676834642E-5</v>
      </c>
    </row>
    <row r="49" spans="8:56" s="147" customFormat="1" ht="0.25" customHeight="1" x14ac:dyDescent="0.2">
      <c r="H49" s="147">
        <f t="shared" si="24"/>
        <v>408</v>
      </c>
      <c r="I49" s="147">
        <f>IF($H49&gt;$H48,INDEX(Spectra!49:49,1,MATCH($I$20,Spectra!$20:$20,0)),I48)</f>
        <v>1.8648204472904799E-3</v>
      </c>
      <c r="J49" s="147">
        <f>((Physics!$C$9*Physics!$C$10)/(Physics!$C$11*Physics!$C$12*$H49))^($J$17-$J$18)</f>
        <v>2.0544946570341023E+18</v>
      </c>
      <c r="K49" s="147">
        <f t="shared" si="25"/>
        <v>1</v>
      </c>
      <c r="L49" s="147">
        <f>INDEX(Photobiology!$21:$421,1+$H49-380,10)</f>
        <v>9.4116000000000002E-4</v>
      </c>
      <c r="M49" s="147">
        <f t="shared" si="26"/>
        <v>1.8648204472904799E-3</v>
      </c>
      <c r="N49" s="147">
        <f ca="1">INDEX(Photobiology!$21:$421,1+$H49-380,N$14)</f>
        <v>0.138044</v>
      </c>
      <c r="O49" s="147">
        <f ca="1">INDEX(Photobiology!$21:$421,1+$H49-380,O$14)</f>
        <v>7.7526000000000001E-3</v>
      </c>
      <c r="P49" s="147">
        <f ca="1">INDEX(Photobiology!$21:$421,1+$H49-380,P$14)</f>
        <v>7.89634E-3</v>
      </c>
      <c r="Q49" s="147">
        <f ca="1">INDEX(Photobiology!$21:$421,1+$H49-380,Q$14)</f>
        <v>2.7300000000000001E-2</v>
      </c>
      <c r="R49" s="147">
        <f ca="1">INDEX(Photobiology!$21:$421,1+$H49-380,R$14)</f>
        <v>3.5453800000000001E-2</v>
      </c>
      <c r="S49" s="147">
        <f t="shared" si="27"/>
        <v>3831263645286236</v>
      </c>
      <c r="T49" s="147">
        <f ca="1">INDEX(Photobiology!$21:$421,1+$H49-380,T$14)</f>
        <v>0.1513850147371183</v>
      </c>
      <c r="U49" s="147">
        <f ca="1">INDEX(Photobiology!$21:$421,1+$H49-380,U$14)</f>
        <v>1.0271774644742288E-2</v>
      </c>
      <c r="V49" s="147">
        <f ca="1">INDEX(Photobiology!$21:$421,1+$H49-380,V$14)</f>
        <v>1.0968016977327725E-2</v>
      </c>
      <c r="W49" s="147">
        <f ca="1">INDEX(Photobiology!$21:$421,1+$H49-380,W$14)</f>
        <v>3.3825004425039822E-2</v>
      </c>
      <c r="X49" s="147">
        <f ca="1">INDEX(Photobiology!$21:$421,1+$H49-380,X$14)</f>
        <v>4.2490165900670208E-2</v>
      </c>
      <c r="Y49" s="147">
        <f t="shared" si="14"/>
        <v>1.8648204472904799E-3</v>
      </c>
      <c r="Z49" s="147">
        <f t="shared" ca="1" si="28"/>
        <v>2.5742727382576703E-4</v>
      </c>
      <c r="AA49" s="147">
        <f t="shared" ca="1" si="15"/>
        <v>1.4457206999664175E-5</v>
      </c>
      <c r="AB49" s="147">
        <f t="shared" ca="1" si="16"/>
        <v>1.4725256290757709E-5</v>
      </c>
      <c r="AC49" s="147">
        <f t="shared" ca="1" si="17"/>
        <v>5.0909598211030106E-5</v>
      </c>
      <c r="AD49" s="147">
        <f t="shared" ca="1" si="18"/>
        <v>6.6114971174147216E-5</v>
      </c>
      <c r="AH49" s="147">
        <f t="shared" si="29"/>
        <v>408</v>
      </c>
      <c r="AI49" s="147">
        <f>IF($AH49&gt;$AH48,INDEX(Spectra!49:49,1,MATCH($AI$20,Spectra!$20:$20,0)),AI48)</f>
        <v>89.739800000000002</v>
      </c>
      <c r="AJ49" s="147">
        <f>((Physics!$C$9*Physics!$C$10)/(Physics!$C$11*Physics!$C$12*$AH49))^($AJ$17-$AJ$18)</f>
        <v>2.0544946570341023E+18</v>
      </c>
      <c r="AK49" s="147">
        <f t="shared" si="30"/>
        <v>1</v>
      </c>
      <c r="AL49" s="147">
        <f>INDEX(Photobiology!$21:$421,1+$AH49-380,10)</f>
        <v>9.4116000000000002E-4</v>
      </c>
      <c r="AM49" s="147">
        <f t="shared" si="31"/>
        <v>1.243398807117001E-3</v>
      </c>
      <c r="AN49" s="147">
        <f ca="1">INDEX(Photobiology!$21:$421,1+$AH49-380,AN$14)</f>
        <v>0.138044</v>
      </c>
      <c r="AO49" s="147">
        <f ca="1">INDEX(Photobiology!$21:$421,1+$AH49-380,AO$14)</f>
        <v>7.7526000000000001E-3</v>
      </c>
      <c r="AP49" s="147">
        <f ca="1">INDEX(Photobiology!$21:$421,1+$AH49-380,AP$14)</f>
        <v>7.89634E-3</v>
      </c>
      <c r="AQ49" s="147">
        <f ca="1">INDEX(Photobiology!$21:$421,1+$AH49-380,AQ$14)</f>
        <v>2.7300000000000001E-2</v>
      </c>
      <c r="AR49" s="147">
        <f ca="1">INDEX(Photobiology!$21:$421,1+$AH49-380,AR$14)</f>
        <v>3.5453800000000001E-2</v>
      </c>
      <c r="AS49" s="147">
        <f t="shared" si="32"/>
        <v>2554556205784455</v>
      </c>
      <c r="AT49" s="147">
        <f ca="1">INDEX(Photobiology!$21:$421,1+$AH49-380,AT$14)</f>
        <v>0.1513850147371183</v>
      </c>
      <c r="AU49" s="147">
        <f ca="1">INDEX(Photobiology!$21:$421,1+$AH49-380,AU$14)</f>
        <v>1.0271774644742288E-2</v>
      </c>
      <c r="AV49" s="147">
        <f ca="1">INDEX(Photobiology!$21:$421,1+$AH49-380,AV$14)</f>
        <v>1.0968016977327725E-2</v>
      </c>
      <c r="AW49" s="147">
        <f ca="1">INDEX(Photobiology!$21:$421,1+$AH49-380,AW$14)</f>
        <v>3.3825004425039822E-2</v>
      </c>
      <c r="AX49" s="147">
        <f ca="1">INDEX(Photobiology!$21:$421,1+$AH49-380,AX$14)</f>
        <v>4.2490165900670208E-2</v>
      </c>
      <c r="AY49" s="147">
        <f t="shared" si="19"/>
        <v>1.243398807117001E-3</v>
      </c>
      <c r="AZ49" s="147">
        <f t="shared" ca="1" si="33"/>
        <v>1.716437449296593E-4</v>
      </c>
      <c r="BA49" s="147">
        <f t="shared" ca="1" si="20"/>
        <v>9.639573592055262E-6</v>
      </c>
      <c r="BB49" s="147">
        <f t="shared" ca="1" si="21"/>
        <v>9.8182997365902604E-6</v>
      </c>
      <c r="BC49" s="147">
        <f t="shared" ca="1" si="22"/>
        <v>3.3944787434294126E-5</v>
      </c>
      <c r="BD49" s="147">
        <f t="shared" ca="1" si="23"/>
        <v>4.4083212627764731E-5</v>
      </c>
    </row>
    <row r="50" spans="8:56" s="147" customFormat="1" ht="0.25" customHeight="1" x14ac:dyDescent="0.2">
      <c r="H50" s="147">
        <f t="shared" si="24"/>
        <v>409</v>
      </c>
      <c r="I50" s="147">
        <f>IF($H50&gt;$H49,INDEX(Spectra!50:50,1,MATCH($I$20,Spectra!$20:$20,0)),I49)</f>
        <v>1.8948175590431499E-3</v>
      </c>
      <c r="J50" s="147">
        <f>((Physics!$C$9*Physics!$C$10)/(Physics!$C$11*Physics!$C$12*$H50))^($J$17-$J$18)</f>
        <v>2.0595301831542835E+18</v>
      </c>
      <c r="K50" s="147">
        <f t="shared" si="25"/>
        <v>1</v>
      </c>
      <c r="L50" s="147">
        <f>INDEX(Photobiology!$21:$421,1+$H50-380,10)</f>
        <v>1.06988E-3</v>
      </c>
      <c r="M50" s="147">
        <f t="shared" si="26"/>
        <v>1.8948175590431499E-3</v>
      </c>
      <c r="N50" s="147">
        <f ca="1">INDEX(Photobiology!$21:$421,1+$H50-380,N$14)</f>
        <v>0.15748500000000001</v>
      </c>
      <c r="O50" s="147">
        <f ca="1">INDEX(Photobiology!$21:$421,1+$H50-380,O$14)</f>
        <v>8.8228600000000001E-3</v>
      </c>
      <c r="P50" s="147">
        <f ca="1">INDEX(Photobiology!$21:$421,1+$H50-380,P$14)</f>
        <v>8.9130000000000008E-3</v>
      </c>
      <c r="Q50" s="147">
        <f ca="1">INDEX(Photobiology!$21:$421,1+$H50-380,Q$14)</f>
        <v>3.0890000000000001E-2</v>
      </c>
      <c r="R50" s="147">
        <f ca="1">INDEX(Photobiology!$21:$421,1+$H50-380,R$14)</f>
        <v>4.0702799999999997E-2</v>
      </c>
      <c r="S50" s="147">
        <f t="shared" si="27"/>
        <v>3902433954420091</v>
      </c>
      <c r="T50" s="147">
        <f ca="1">INDEX(Photobiology!$21:$421,1+$H50-380,T$14)</f>
        <v>0.17228259404618151</v>
      </c>
      <c r="U50" s="147">
        <f ca="1">INDEX(Photobiology!$21:$421,1+$H50-380,U$14)</f>
        <v>1.1661229668696765E-2</v>
      </c>
      <c r="V50" s="147">
        <f ca="1">INDEX(Photobiology!$21:$421,1+$H50-380,V$14)</f>
        <v>1.2349888475186229E-2</v>
      </c>
      <c r="W50" s="147">
        <f ca="1">INDEX(Photobiology!$21:$421,1+$H50-380,W$14)</f>
        <v>3.8179477307227309E-2</v>
      </c>
      <c r="X50" s="147">
        <f ca="1">INDEX(Photobiology!$21:$421,1+$H50-380,X$14)</f>
        <v>4.8661644019336391E-2</v>
      </c>
      <c r="Y50" s="147">
        <f t="shared" si="14"/>
        <v>1.8948175590431499E-3</v>
      </c>
      <c r="Z50" s="147">
        <f t="shared" ca="1" si="28"/>
        <v>2.9840534328591051E-4</v>
      </c>
      <c r="AA50" s="147">
        <f t="shared" ca="1" si="15"/>
        <v>1.6717710048979445E-5</v>
      </c>
      <c r="AB50" s="147">
        <f t="shared" ca="1" si="16"/>
        <v>1.6888508903751596E-5</v>
      </c>
      <c r="AC50" s="147">
        <f t="shared" ca="1" si="17"/>
        <v>5.8530914398842903E-5</v>
      </c>
      <c r="AD50" s="147">
        <f t="shared" ca="1" si="18"/>
        <v>7.7124380142221523E-5</v>
      </c>
      <c r="AH50" s="147">
        <f t="shared" si="29"/>
        <v>409</v>
      </c>
      <c r="AI50" s="147">
        <f>IF($AH50&gt;$AH49,INDEX(Spectra!50:50,1,MATCH($AI$20,Spectra!$20:$20,0)),AI49)</f>
        <v>90.612899999999996</v>
      </c>
      <c r="AJ50" s="147">
        <f>((Physics!$C$9*Physics!$C$10)/(Physics!$C$11*Physics!$C$12*$AH50))^($AJ$17-$AJ$18)</f>
        <v>2.0595301831542835E+18</v>
      </c>
      <c r="AK50" s="147">
        <f t="shared" si="30"/>
        <v>1</v>
      </c>
      <c r="AL50" s="147">
        <f>INDEX(Photobiology!$21:$421,1+$AH50-380,10)</f>
        <v>1.06988E-3</v>
      </c>
      <c r="AM50" s="147">
        <f t="shared" si="31"/>
        <v>1.2554961318101009E-3</v>
      </c>
      <c r="AN50" s="147">
        <f ca="1">INDEX(Photobiology!$21:$421,1+$AH50-380,AN$14)</f>
        <v>0.15748500000000001</v>
      </c>
      <c r="AO50" s="147">
        <f ca="1">INDEX(Photobiology!$21:$421,1+$AH50-380,AO$14)</f>
        <v>8.8228600000000001E-3</v>
      </c>
      <c r="AP50" s="147">
        <f ca="1">INDEX(Photobiology!$21:$421,1+$AH50-380,AP$14)</f>
        <v>8.9130000000000008E-3</v>
      </c>
      <c r="AQ50" s="147">
        <f ca="1">INDEX(Photobiology!$21:$421,1+$AH50-380,AQ$14)</f>
        <v>3.0890000000000001E-2</v>
      </c>
      <c r="AR50" s="147">
        <f ca="1">INDEX(Photobiology!$21:$421,1+$AH50-380,AR$14)</f>
        <v>4.0702799999999997E-2</v>
      </c>
      <c r="AS50" s="147">
        <f t="shared" si="32"/>
        <v>2585732178296351.5</v>
      </c>
      <c r="AT50" s="147">
        <f ca="1">INDEX(Photobiology!$21:$421,1+$AH50-380,AT$14)</f>
        <v>0.17228259404618151</v>
      </c>
      <c r="AU50" s="147">
        <f ca="1">INDEX(Photobiology!$21:$421,1+$AH50-380,AU$14)</f>
        <v>1.1661229668696765E-2</v>
      </c>
      <c r="AV50" s="147">
        <f ca="1">INDEX(Photobiology!$21:$421,1+$AH50-380,AV$14)</f>
        <v>1.2349888475186229E-2</v>
      </c>
      <c r="AW50" s="147">
        <f ca="1">INDEX(Photobiology!$21:$421,1+$AH50-380,AW$14)</f>
        <v>3.8179477307227309E-2</v>
      </c>
      <c r="AX50" s="147">
        <f ca="1">INDEX(Photobiology!$21:$421,1+$AH50-380,AX$14)</f>
        <v>4.8661644019336391E-2</v>
      </c>
      <c r="AY50" s="147">
        <f t="shared" si="19"/>
        <v>1.2554961318101009E-3</v>
      </c>
      <c r="AZ50" s="147">
        <f t="shared" ca="1" si="33"/>
        <v>1.9772180831811376E-4</v>
      </c>
      <c r="BA50" s="147">
        <f t="shared" ca="1" si="20"/>
        <v>1.1077066601502067E-5</v>
      </c>
      <c r="BB50" s="147">
        <f t="shared" ca="1" si="21"/>
        <v>1.1190237022823429E-5</v>
      </c>
      <c r="BC50" s="147">
        <f t="shared" ca="1" si="22"/>
        <v>3.8782275511614014E-5</v>
      </c>
      <c r="BD50" s="147">
        <f t="shared" ca="1" si="23"/>
        <v>5.1102207953840169E-5</v>
      </c>
    </row>
    <row r="51" spans="8:56" s="147" customFormat="1" ht="0.25" customHeight="1" x14ac:dyDescent="0.2">
      <c r="H51" s="147">
        <f t="shared" si="24"/>
        <v>410</v>
      </c>
      <c r="I51" s="147">
        <f>IF($H51&gt;$H50,INDEX(Spectra!51:51,1,MATCH($I$20,Spectra!$20:$20,0)),I50)</f>
        <v>1.9148156335449199E-3</v>
      </c>
      <c r="J51" s="147">
        <f>((Physics!$C$9*Physics!$C$10)/(Physics!$C$11*Physics!$C$12*$H51))^($J$17-$J$18)</f>
        <v>2.0645657092744653E+18</v>
      </c>
      <c r="K51" s="147">
        <f t="shared" si="25"/>
        <v>1</v>
      </c>
      <c r="L51" s="147">
        <f>INDEX(Photobiology!$21:$421,1+$H51-380,10)</f>
        <v>1.2099999999999999E-3</v>
      </c>
      <c r="M51" s="147">
        <f t="shared" si="26"/>
        <v>1.9148156335449199E-3</v>
      </c>
      <c r="N51" s="147">
        <f ca="1">INDEX(Photobiology!$21:$421,1+$H51-380,N$14)</f>
        <v>0.17852999999999999</v>
      </c>
      <c r="O51" s="147">
        <f ca="1">INDEX(Photobiology!$21:$421,1+$H51-380,O$14)</f>
        <v>9.9884099999999996E-3</v>
      </c>
      <c r="P51" s="147">
        <f ca="1">INDEX(Photobiology!$21:$421,1+$H51-380,P$14)</f>
        <v>9.98835E-3</v>
      </c>
      <c r="Q51" s="147">
        <f ca="1">INDEX(Photobiology!$21:$421,1+$H51-380,Q$14)</f>
        <v>3.4840000000000003E-2</v>
      </c>
      <c r="R51" s="147">
        <f ca="1">INDEX(Photobiology!$21:$421,1+$H51-380,R$14)</f>
        <v>4.6155000000000002E-2</v>
      </c>
      <c r="S51" s="147">
        <f t="shared" si="27"/>
        <v>3953262696599502</v>
      </c>
      <c r="T51" s="147">
        <f ca="1">INDEX(Photobiology!$21:$421,1+$H51-380,T$14)</f>
        <v>0.19482866908209601</v>
      </c>
      <c r="U51" s="147">
        <f ca="1">INDEX(Photobiology!$21:$421,1+$H51-380,U$14)</f>
        <v>1.3169545072951278E-2</v>
      </c>
      <c r="V51" s="147">
        <f ca="1">INDEX(Photobiology!$21:$421,1+$H51-380,V$14)</f>
        <v>1.3806141891238799E-2</v>
      </c>
      <c r="W51" s="147">
        <f ca="1">INDEX(Photobiology!$21:$421,1+$H51-380,W$14)</f>
        <v>4.2956577048217821E-2</v>
      </c>
      <c r="X51" s="147">
        <f ca="1">INDEX(Photobiology!$21:$421,1+$H51-380,X$14)</f>
        <v>5.5045357669550911E-2</v>
      </c>
      <c r="Y51" s="147">
        <f t="shared" si="14"/>
        <v>1.9148156335449199E-3</v>
      </c>
      <c r="Z51" s="147">
        <f t="shared" ca="1" si="28"/>
        <v>3.4185203505677456E-4</v>
      </c>
      <c r="AA51" s="147">
        <f t="shared" ca="1" si="15"/>
        <v>1.9125963622256412E-5</v>
      </c>
      <c r="AB51" s="147">
        <f t="shared" ca="1" si="16"/>
        <v>1.9125848733318402E-5</v>
      </c>
      <c r="AC51" s="147">
        <f t="shared" ca="1" si="17"/>
        <v>6.6712176672705011E-5</v>
      </c>
      <c r="AD51" s="147">
        <f t="shared" ca="1" si="18"/>
        <v>8.8378315566265786E-5</v>
      </c>
      <c r="AH51" s="147">
        <f t="shared" si="29"/>
        <v>410</v>
      </c>
      <c r="AI51" s="147">
        <f>IF($AH51&gt;$AH50,INDEX(Spectra!51:51,1,MATCH($AI$20,Spectra!$20:$20,0)),AI50)</f>
        <v>91.486000000000004</v>
      </c>
      <c r="AJ51" s="147">
        <f>((Physics!$C$9*Physics!$C$10)/(Physics!$C$11*Physics!$C$12*$AH51))^($AJ$17-$AJ$18)</f>
        <v>2.0645657092744653E+18</v>
      </c>
      <c r="AK51" s="147">
        <f t="shared" si="30"/>
        <v>1</v>
      </c>
      <c r="AL51" s="147">
        <f>INDEX(Photobiology!$21:$421,1+$AH51-380,10)</f>
        <v>1.2099999999999999E-3</v>
      </c>
      <c r="AM51" s="147">
        <f t="shared" si="31"/>
        <v>1.2675934565032011E-3</v>
      </c>
      <c r="AN51" s="147">
        <f ca="1">INDEX(Photobiology!$21:$421,1+$AH51-380,AN$14)</f>
        <v>0.17852999999999999</v>
      </c>
      <c r="AO51" s="147">
        <f ca="1">INDEX(Photobiology!$21:$421,1+$AH51-380,AO$14)</f>
        <v>9.9884099999999996E-3</v>
      </c>
      <c r="AP51" s="147">
        <f ca="1">INDEX(Photobiology!$21:$421,1+$AH51-380,AP$14)</f>
        <v>9.98835E-3</v>
      </c>
      <c r="AQ51" s="147">
        <f ca="1">INDEX(Photobiology!$21:$421,1+$AH51-380,AQ$14)</f>
        <v>3.4840000000000003E-2</v>
      </c>
      <c r="AR51" s="147">
        <f ca="1">INDEX(Photobiology!$21:$421,1+$AH51-380,AR$14)</f>
        <v>4.6155000000000002E-2</v>
      </c>
      <c r="AS51" s="147">
        <f t="shared" si="32"/>
        <v>2617029983597202.5</v>
      </c>
      <c r="AT51" s="147">
        <f ca="1">INDEX(Photobiology!$21:$421,1+$AH51-380,AT$14)</f>
        <v>0.19482866908209601</v>
      </c>
      <c r="AU51" s="147">
        <f ca="1">INDEX(Photobiology!$21:$421,1+$AH51-380,AU$14)</f>
        <v>1.3169545072951278E-2</v>
      </c>
      <c r="AV51" s="147">
        <f ca="1">INDEX(Photobiology!$21:$421,1+$AH51-380,AV$14)</f>
        <v>1.3806141891238799E-2</v>
      </c>
      <c r="AW51" s="147">
        <f ca="1">INDEX(Photobiology!$21:$421,1+$AH51-380,AW$14)</f>
        <v>4.2956577048217821E-2</v>
      </c>
      <c r="AX51" s="147">
        <f ca="1">INDEX(Photobiology!$21:$421,1+$AH51-380,AX$14)</f>
        <v>5.5045357669550911E-2</v>
      </c>
      <c r="AY51" s="147">
        <f t="shared" si="19"/>
        <v>1.2675934565032011E-3</v>
      </c>
      <c r="AZ51" s="147">
        <f t="shared" ca="1" si="33"/>
        <v>2.2630345978951648E-4</v>
      </c>
      <c r="BA51" s="147">
        <f t="shared" ca="1" si="20"/>
        <v>1.2661243156871138E-5</v>
      </c>
      <c r="BB51" s="147">
        <f t="shared" ca="1" si="21"/>
        <v>1.2661167101263749E-5</v>
      </c>
      <c r="BC51" s="147">
        <f t="shared" ca="1" si="22"/>
        <v>4.4162956024571535E-5</v>
      </c>
      <c r="BD51" s="147">
        <f t="shared" ca="1" si="23"/>
        <v>5.8505775984905249E-5</v>
      </c>
    </row>
    <row r="52" spans="8:56" s="147" customFormat="1" ht="0.25" customHeight="1" x14ac:dyDescent="0.2">
      <c r="H52" s="147">
        <f t="shared" si="24"/>
        <v>411</v>
      </c>
      <c r="I52" s="147">
        <f>IF($H52&gt;$H51,INDEX(Spectra!52:52,1,MATCH($I$20,Spectra!$20:$20,0)),I51)</f>
        <v>1.9348137080466999E-3</v>
      </c>
      <c r="J52" s="147">
        <f>((Physics!$C$9*Physics!$C$10)/(Physics!$C$11*Physics!$C$12*$H52))^($J$17-$J$18)</f>
        <v>2.0696012353946468E+18</v>
      </c>
      <c r="K52" s="147">
        <f t="shared" si="25"/>
        <v>1</v>
      </c>
      <c r="L52" s="147">
        <f>INDEX(Photobiology!$21:$421,1+$H52-380,10)</f>
        <v>1.362091E-3</v>
      </c>
      <c r="M52" s="147">
        <f t="shared" si="26"/>
        <v>1.9348137080466999E-3</v>
      </c>
      <c r="N52" s="147">
        <f ca="1">INDEX(Photobiology!$21:$421,1+$H52-380,N$14)</f>
        <v>0.20107700000000001</v>
      </c>
      <c r="O52" s="147">
        <f ca="1">INDEX(Photobiology!$21:$421,1+$H52-380,O$14)</f>
        <v>1.12452E-2</v>
      </c>
      <c r="P52" s="147">
        <f ca="1">INDEX(Photobiology!$21:$421,1+$H52-380,P$14)</f>
        <v>1.11054E-2</v>
      </c>
      <c r="Q52" s="147">
        <f ca="1">INDEX(Photobiology!$21:$421,1+$H52-380,Q$14)</f>
        <v>3.916E-2</v>
      </c>
      <c r="R52" s="147">
        <f ca="1">INDEX(Photobiology!$21:$421,1+$H52-380,R$14)</f>
        <v>5.17822E-2</v>
      </c>
      <c r="S52" s="147">
        <f t="shared" si="27"/>
        <v>4004292840431947.5</v>
      </c>
      <c r="T52" s="147">
        <f ca="1">INDEX(Photobiology!$21:$421,1+$H52-380,T$14)</f>
        <v>0.21890016590120284</v>
      </c>
      <c r="U52" s="147">
        <f ca="1">INDEX(Photobiology!$21:$421,1+$H52-380,U$14)</f>
        <v>1.4790526401190026E-2</v>
      </c>
      <c r="V52" s="147">
        <f ca="1">INDEX(Photobiology!$21:$421,1+$H52-380,V$14)</f>
        <v>1.5312807436521206E-2</v>
      </c>
      <c r="W52" s="147">
        <f ca="1">INDEX(Photobiology!$21:$421,1+$H52-380,W$14)</f>
        <v>4.8165518453169721E-2</v>
      </c>
      <c r="X52" s="147">
        <f ca="1">INDEX(Photobiology!$21:$421,1+$H52-380,X$14)</f>
        <v>6.1606207643484699E-2</v>
      </c>
      <c r="Y52" s="147">
        <f t="shared" si="14"/>
        <v>1.9348137080466999E-3</v>
      </c>
      <c r="Z52" s="147">
        <f t="shared" ca="1" si="28"/>
        <v>3.8904653597290629E-4</v>
      </c>
      <c r="AA52" s="147">
        <f t="shared" ca="1" si="15"/>
        <v>2.1757367109726751E-5</v>
      </c>
      <c r="AB52" s="147">
        <f t="shared" ca="1" si="16"/>
        <v>2.1486880153341821E-5</v>
      </c>
      <c r="AC52" s="147">
        <f t="shared" ca="1" si="17"/>
        <v>7.5767304807108774E-5</v>
      </c>
      <c r="AD52" s="147">
        <f t="shared" ca="1" si="18"/>
        <v>1.0018891039281582E-4</v>
      </c>
      <c r="AH52" s="147">
        <f t="shared" si="29"/>
        <v>411</v>
      </c>
      <c r="AI52" s="147">
        <f>IF($AH52&gt;$AH51,INDEX(Spectra!52:52,1,MATCH($AI$20,Spectra!$20:$20,0)),AI51)</f>
        <v>91.680599999999998</v>
      </c>
      <c r="AJ52" s="147">
        <f>((Physics!$C$9*Physics!$C$10)/(Physics!$C$11*Physics!$C$12*$AH52))^($AJ$17-$AJ$18)</f>
        <v>2.0696012353946468E+18</v>
      </c>
      <c r="AK52" s="147">
        <f t="shared" si="30"/>
        <v>1</v>
      </c>
      <c r="AL52" s="147">
        <f>INDEX(Photobiology!$21:$421,1+$AH52-380,10)</f>
        <v>1.362091E-3</v>
      </c>
      <c r="AM52" s="147">
        <f t="shared" si="31"/>
        <v>1.2702897563374436E-3</v>
      </c>
      <c r="AN52" s="147">
        <f ca="1">INDEX(Photobiology!$21:$421,1+$AH52-380,AN$14)</f>
        <v>0.20107700000000001</v>
      </c>
      <c r="AO52" s="147">
        <f ca="1">INDEX(Photobiology!$21:$421,1+$AH52-380,AO$14)</f>
        <v>1.12452E-2</v>
      </c>
      <c r="AP52" s="147">
        <f ca="1">INDEX(Photobiology!$21:$421,1+$AH52-380,AP$14)</f>
        <v>1.11054E-2</v>
      </c>
      <c r="AQ52" s="147">
        <f ca="1">INDEX(Photobiology!$21:$421,1+$AH52-380,AQ$14)</f>
        <v>3.916E-2</v>
      </c>
      <c r="AR52" s="147">
        <f ca="1">INDEX(Photobiology!$21:$421,1+$AH52-380,AR$14)</f>
        <v>5.17822E-2</v>
      </c>
      <c r="AS52" s="147">
        <f t="shared" si="32"/>
        <v>2628993249025138</v>
      </c>
      <c r="AT52" s="147">
        <f ca="1">INDEX(Photobiology!$21:$421,1+$AH52-380,AT$14)</f>
        <v>0.21890016590120284</v>
      </c>
      <c r="AU52" s="147">
        <f ca="1">INDEX(Photobiology!$21:$421,1+$AH52-380,AU$14)</f>
        <v>1.4790526401190026E-2</v>
      </c>
      <c r="AV52" s="147">
        <f ca="1">INDEX(Photobiology!$21:$421,1+$AH52-380,AV$14)</f>
        <v>1.5312807436521206E-2</v>
      </c>
      <c r="AW52" s="147">
        <f ca="1">INDEX(Photobiology!$21:$421,1+$AH52-380,AW$14)</f>
        <v>4.8165518453169721E-2</v>
      </c>
      <c r="AX52" s="147">
        <f ca="1">INDEX(Photobiology!$21:$421,1+$AH52-380,AX$14)</f>
        <v>6.1606207643484699E-2</v>
      </c>
      <c r="AY52" s="147">
        <f t="shared" si="19"/>
        <v>1.2702897563374436E-3</v>
      </c>
      <c r="AZ52" s="147">
        <f t="shared" ca="1" si="33"/>
        <v>2.5542605333506418E-4</v>
      </c>
      <c r="BA52" s="147">
        <f t="shared" ca="1" si="20"/>
        <v>1.4284662367965822E-5</v>
      </c>
      <c r="BB52" s="147">
        <f t="shared" ca="1" si="21"/>
        <v>1.4107075860029845E-5</v>
      </c>
      <c r="BC52" s="147">
        <f t="shared" ca="1" si="22"/>
        <v>4.9744546858174294E-5</v>
      </c>
      <c r="BD52" s="147">
        <f t="shared" ca="1" si="23"/>
        <v>6.5778398220616766E-5</v>
      </c>
    </row>
    <row r="53" spans="8:56" s="147" customFormat="1" ht="0.25" customHeight="1" x14ac:dyDescent="0.2">
      <c r="H53" s="147">
        <f t="shared" si="24"/>
        <v>412</v>
      </c>
      <c r="I53" s="147">
        <f>IF($H53&gt;$H52,INDEX(Spectra!53:53,1,MATCH($I$20,Spectra!$20:$20,0)),I52)</f>
        <v>1.9548117825484699E-3</v>
      </c>
      <c r="J53" s="147">
        <f>((Physics!$C$9*Physics!$C$10)/(Physics!$C$11*Physics!$C$12*$H53))^($J$17-$J$18)</f>
        <v>2.0746367615148285E+18</v>
      </c>
      <c r="K53" s="147">
        <f t="shared" si="25"/>
        <v>1</v>
      </c>
      <c r="L53" s="147">
        <f>INDEX(Photobiology!$21:$421,1+$H53-380,10)</f>
        <v>1.530752E-3</v>
      </c>
      <c r="M53" s="147">
        <f t="shared" si="26"/>
        <v>1.9548117825484699E-3</v>
      </c>
      <c r="N53" s="147">
        <f ca="1">INDEX(Photobiology!$21:$421,1+$H53-380,N$14)</f>
        <v>0.22509100000000001</v>
      </c>
      <c r="O53" s="147">
        <f ca="1">INDEX(Photobiology!$21:$421,1+$H53-380,O$14)</f>
        <v>1.2594899999999999E-2</v>
      </c>
      <c r="P53" s="147">
        <f ca="1">INDEX(Photobiology!$21:$421,1+$H53-380,P$14)</f>
        <v>1.2260699999999999E-2</v>
      </c>
      <c r="Q53" s="147">
        <f ca="1">INDEX(Photobiology!$21:$421,1+$H53-380,Q$14)</f>
        <v>4.3900000000000002E-2</v>
      </c>
      <c r="R53" s="147">
        <f ca="1">INDEX(Photobiology!$21:$421,1+$H53-380,R$14)</f>
        <v>5.7780400000000003E-2</v>
      </c>
      <c r="S53" s="147">
        <f t="shared" si="27"/>
        <v>4055524385917387</v>
      </c>
      <c r="T53" s="147">
        <f ca="1">INDEX(Photobiology!$21:$421,1+$H53-380,T$14)</f>
        <v>0.24444796719687062</v>
      </c>
      <c r="U53" s="147">
        <f ca="1">INDEX(Photobiology!$21:$421,1+$H53-380,U$14)</f>
        <v>1.652554444779139E-2</v>
      </c>
      <c r="V53" s="147">
        <f ca="1">INDEX(Photobiology!$21:$421,1+$H53-380,V$14)</f>
        <v>1.6864772506869467E-2</v>
      </c>
      <c r="W53" s="147">
        <f ca="1">INDEX(Photobiology!$21:$421,1+$H53-380,W$14)</f>
        <v>5.3864506139778556E-2</v>
      </c>
      <c r="X53" s="147">
        <f ca="1">INDEX(Photobiology!$21:$421,1+$H53-380,X$14)</f>
        <v>6.8575522829826527E-2</v>
      </c>
      <c r="Y53" s="147">
        <f t="shared" si="14"/>
        <v>1.9548117825484699E-3</v>
      </c>
      <c r="Z53" s="147">
        <f t="shared" ca="1" si="28"/>
        <v>4.4001053894561769E-4</v>
      </c>
      <c r="AA53" s="147">
        <f t="shared" ca="1" si="15"/>
        <v>2.4620658920019721E-5</v>
      </c>
      <c r="AB53" s="147">
        <f t="shared" ca="1" si="16"/>
        <v>2.3967360822292024E-5</v>
      </c>
      <c r="AC53" s="147">
        <f t="shared" ca="1" si="17"/>
        <v>8.5816237253877832E-5</v>
      </c>
      <c r="AD53" s="147">
        <f t="shared" ca="1" si="18"/>
        <v>1.1294980672036361E-4</v>
      </c>
      <c r="AH53" s="147">
        <f t="shared" si="29"/>
        <v>412</v>
      </c>
      <c r="AI53" s="147">
        <f>IF($AH53&gt;$AH52,INDEX(Spectra!53:53,1,MATCH($AI$20,Spectra!$20:$20,0)),AI52)</f>
        <v>91.875200000000007</v>
      </c>
      <c r="AJ53" s="147">
        <f>((Physics!$C$9*Physics!$C$10)/(Physics!$C$11*Physics!$C$12*$AH53))^($AJ$17-$AJ$18)</f>
        <v>2.0746367615148285E+18</v>
      </c>
      <c r="AK53" s="147">
        <f t="shared" si="30"/>
        <v>1</v>
      </c>
      <c r="AL53" s="147">
        <f>INDEX(Photobiology!$21:$421,1+$AH53-380,10)</f>
        <v>1.530752E-3</v>
      </c>
      <c r="AM53" s="147">
        <f t="shared" si="31"/>
        <v>1.2729860561716865E-3</v>
      </c>
      <c r="AN53" s="147">
        <f ca="1">INDEX(Photobiology!$21:$421,1+$AH53-380,AN$14)</f>
        <v>0.22509100000000001</v>
      </c>
      <c r="AO53" s="147">
        <f ca="1">INDEX(Photobiology!$21:$421,1+$AH53-380,AO$14)</f>
        <v>1.2594899999999999E-2</v>
      </c>
      <c r="AP53" s="147">
        <f ca="1">INDEX(Photobiology!$21:$421,1+$AH53-380,AP$14)</f>
        <v>1.2260699999999999E-2</v>
      </c>
      <c r="AQ53" s="147">
        <f ca="1">INDEX(Photobiology!$21:$421,1+$AH53-380,AQ$14)</f>
        <v>4.3900000000000002E-2</v>
      </c>
      <c r="AR53" s="147">
        <f ca="1">INDEX(Photobiology!$21:$421,1+$AH53-380,AR$14)</f>
        <v>5.7780400000000003E-2</v>
      </c>
      <c r="AS53" s="147">
        <f t="shared" si="32"/>
        <v>2640983669029561.5</v>
      </c>
      <c r="AT53" s="147">
        <f ca="1">INDEX(Photobiology!$21:$421,1+$AH53-380,AT$14)</f>
        <v>0.24444796719687062</v>
      </c>
      <c r="AU53" s="147">
        <f ca="1">INDEX(Photobiology!$21:$421,1+$AH53-380,AU$14)</f>
        <v>1.652554444779139E-2</v>
      </c>
      <c r="AV53" s="147">
        <f ca="1">INDEX(Photobiology!$21:$421,1+$AH53-380,AV$14)</f>
        <v>1.6864772506869467E-2</v>
      </c>
      <c r="AW53" s="147">
        <f ca="1">INDEX(Photobiology!$21:$421,1+$AH53-380,AW$14)</f>
        <v>5.3864506139778556E-2</v>
      </c>
      <c r="AX53" s="147">
        <f ca="1">INDEX(Photobiology!$21:$421,1+$AH53-380,AX$14)</f>
        <v>6.8575522829826527E-2</v>
      </c>
      <c r="AY53" s="147">
        <f t="shared" si="19"/>
        <v>1.2729860561716865E-3</v>
      </c>
      <c r="AZ53" s="147">
        <f t="shared" ca="1" si="33"/>
        <v>2.8653770436974109E-4</v>
      </c>
      <c r="BA53" s="147">
        <f t="shared" ca="1" si="20"/>
        <v>1.6033132078876774E-5</v>
      </c>
      <c r="BB53" s="147">
        <f t="shared" ca="1" si="21"/>
        <v>1.5607700138904194E-5</v>
      </c>
      <c r="BC53" s="147">
        <f t="shared" ca="1" si="22"/>
        <v>5.5884087865937036E-5</v>
      </c>
      <c r="BD53" s="147">
        <f t="shared" ca="1" si="23"/>
        <v>7.3553643520022513E-5</v>
      </c>
    </row>
    <row r="54" spans="8:56" s="147" customFormat="1" ht="0.25" customHeight="1" x14ac:dyDescent="0.2">
      <c r="H54" s="147">
        <f t="shared" si="24"/>
        <v>413</v>
      </c>
      <c r="I54" s="147">
        <f>IF($H54&gt;$H53,INDEX(Spectra!54:54,1,MATCH($I$20,Spectra!$20:$20,0)),I53)</f>
        <v>1.9748098570502399E-3</v>
      </c>
      <c r="J54" s="147">
        <f>((Physics!$C$9*Physics!$C$10)/(Physics!$C$11*Physics!$C$12*$H54))^($J$17-$J$18)</f>
        <v>2.07967228763501E+18</v>
      </c>
      <c r="K54" s="147">
        <f t="shared" si="25"/>
        <v>1</v>
      </c>
      <c r="L54" s="147">
        <f>INDEX(Photobiology!$21:$421,1+$H54-380,10)</f>
        <v>1.7203679999999999E-3</v>
      </c>
      <c r="M54" s="147">
        <f t="shared" si="26"/>
        <v>1.9748098570502399E-3</v>
      </c>
      <c r="N54" s="147">
        <f ca="1">INDEX(Photobiology!$21:$421,1+$H54-380,N$14)</f>
        <v>0.25056600000000001</v>
      </c>
      <c r="O54" s="147">
        <f ca="1">INDEX(Photobiology!$21:$421,1+$H54-380,O$14)</f>
        <v>1.4042499999999999E-2</v>
      </c>
      <c r="P54" s="147">
        <f ca="1">INDEX(Photobiology!$21:$421,1+$H54-380,P$14)</f>
        <v>1.3457800000000001E-2</v>
      </c>
      <c r="Q54" s="147">
        <f ca="1">INDEX(Photobiology!$21:$421,1+$H54-380,Q$14)</f>
        <v>4.9000000000000002E-2</v>
      </c>
      <c r="R54" s="147">
        <f ca="1">INDEX(Photobiology!$21:$421,1+$H54-380,R$14)</f>
        <v>6.4297199999999999E-2</v>
      </c>
      <c r="S54" s="147">
        <f t="shared" si="27"/>
        <v>4106957333055839.5</v>
      </c>
      <c r="T54" s="147">
        <f ca="1">INDEX(Photobiology!$21:$421,1+$H54-380,T$14)</f>
        <v>0.27145484900784483</v>
      </c>
      <c r="U54" s="147">
        <f ca="1">INDEX(Photobiology!$21:$421,1+$H54-380,U$14)</f>
        <v>1.8380302296181254E-2</v>
      </c>
      <c r="V54" s="147">
        <f ca="1">INDEX(Photobiology!$21:$421,1+$H54-380,V$14)</f>
        <v>1.8466579303630749E-2</v>
      </c>
      <c r="W54" s="147">
        <f ca="1">INDEX(Photobiology!$21:$421,1+$H54-380,W$14)</f>
        <v>5.9976539788858099E-2</v>
      </c>
      <c r="X54" s="147">
        <f ca="1">INDEX(Photobiology!$21:$421,1+$H54-380,X$14)</f>
        <v>7.6125088148958339E-2</v>
      </c>
      <c r="Y54" s="147">
        <f t="shared" si="14"/>
        <v>1.9748098570502399E-3</v>
      </c>
      <c r="Z54" s="147">
        <f t="shared" ca="1" si="28"/>
        <v>4.9482020664165039E-4</v>
      </c>
      <c r="AA54" s="147">
        <f t="shared" ca="1" si="15"/>
        <v>2.7731267417627992E-5</v>
      </c>
      <c r="AB54" s="147">
        <f t="shared" ca="1" si="16"/>
        <v>2.6576596094210719E-5</v>
      </c>
      <c r="AC54" s="147">
        <f t="shared" ca="1" si="17"/>
        <v>9.6765682995461754E-5</v>
      </c>
      <c r="AD54" s="147">
        <f t="shared" ca="1" si="18"/>
        <v>1.2697474434073067E-4</v>
      </c>
      <c r="AH54" s="147">
        <f t="shared" si="29"/>
        <v>413</v>
      </c>
      <c r="AI54" s="147">
        <f>IF($AH54&gt;$AH53,INDEX(Spectra!54:54,1,MATCH($AI$20,Spectra!$20:$20,0)),AI53)</f>
        <v>92.069699999999997</v>
      </c>
      <c r="AJ54" s="147">
        <f>((Physics!$C$9*Physics!$C$10)/(Physics!$C$11*Physics!$C$12*$AH54))^($AJ$17-$AJ$18)</f>
        <v>2.07967228763501E+18</v>
      </c>
      <c r="AK54" s="147">
        <f t="shared" si="30"/>
        <v>1</v>
      </c>
      <c r="AL54" s="147">
        <f>INDEX(Photobiology!$21:$421,1+$AH54-380,10)</f>
        <v>1.7203679999999999E-3</v>
      </c>
      <c r="AM54" s="147">
        <f t="shared" si="31"/>
        <v>1.2756809704458907E-3</v>
      </c>
      <c r="AN54" s="147">
        <f ca="1">INDEX(Photobiology!$21:$421,1+$AH54-380,AN$14)</f>
        <v>0.25056600000000001</v>
      </c>
      <c r="AO54" s="147">
        <f ca="1">INDEX(Photobiology!$21:$421,1+$AH54-380,AO$14)</f>
        <v>1.4042499999999999E-2</v>
      </c>
      <c r="AP54" s="147">
        <f ca="1">INDEX(Photobiology!$21:$421,1+$AH54-380,AP$14)</f>
        <v>1.3457800000000001E-2</v>
      </c>
      <c r="AQ54" s="147">
        <f ca="1">INDEX(Photobiology!$21:$421,1+$AH54-380,AQ$14)</f>
        <v>4.9000000000000002E-2</v>
      </c>
      <c r="AR54" s="147">
        <f ca="1">INDEX(Photobiology!$21:$421,1+$AH54-380,AR$14)</f>
        <v>6.4297199999999999E-2</v>
      </c>
      <c r="AS54" s="147">
        <f t="shared" si="32"/>
        <v>2652998362099655</v>
      </c>
      <c r="AT54" s="147">
        <f ca="1">INDEX(Photobiology!$21:$421,1+$AH54-380,AT$14)</f>
        <v>0.27145484900784483</v>
      </c>
      <c r="AU54" s="147">
        <f ca="1">INDEX(Photobiology!$21:$421,1+$AH54-380,AU$14)</f>
        <v>1.8380302296181254E-2</v>
      </c>
      <c r="AV54" s="147">
        <f ca="1">INDEX(Photobiology!$21:$421,1+$AH54-380,AV$14)</f>
        <v>1.8466579303630749E-2</v>
      </c>
      <c r="AW54" s="147">
        <f ca="1">INDEX(Photobiology!$21:$421,1+$AH54-380,AW$14)</f>
        <v>5.9976539788858099E-2</v>
      </c>
      <c r="AX54" s="147">
        <f ca="1">INDEX(Photobiology!$21:$421,1+$AH54-380,AX$14)</f>
        <v>7.6125088148958339E-2</v>
      </c>
      <c r="AY54" s="147">
        <f t="shared" si="19"/>
        <v>1.2756809704458907E-3</v>
      </c>
      <c r="AZ54" s="147">
        <f t="shared" ca="1" si="33"/>
        <v>3.1964227804074508E-4</v>
      </c>
      <c r="BA54" s="147">
        <f t="shared" ca="1" si="20"/>
        <v>1.791375002748642E-5</v>
      </c>
      <c r="BB54" s="147">
        <f t="shared" ca="1" si="21"/>
        <v>1.7167859364066707E-5</v>
      </c>
      <c r="BC54" s="147">
        <f t="shared" ca="1" si="22"/>
        <v>6.2508367551848649E-5</v>
      </c>
      <c r="BD54" s="147">
        <f t="shared" ca="1" si="23"/>
        <v>8.2022714492953526E-5</v>
      </c>
    </row>
    <row r="55" spans="8:56" s="147" customFormat="1" ht="0.25" customHeight="1" x14ac:dyDescent="0.2">
      <c r="H55" s="147">
        <f t="shared" si="24"/>
        <v>414</v>
      </c>
      <c r="I55" s="147">
        <f>IF($H55&gt;$H54,INDEX(Spectra!55:55,1,MATCH($I$20,Spectra!$20:$20,0)),I54)</f>
        <v>1.9848088943011299E-3</v>
      </c>
      <c r="J55" s="147">
        <f>((Physics!$C$9*Physics!$C$10)/(Physics!$C$11*Physics!$C$12*$H55))^($J$17-$J$18)</f>
        <v>2.0847078137551916E+18</v>
      </c>
      <c r="K55" s="147">
        <f t="shared" si="25"/>
        <v>1</v>
      </c>
      <c r="L55" s="147">
        <f>INDEX(Photobiology!$21:$421,1+$H55-380,10)</f>
        <v>1.9353230000000001E-3</v>
      </c>
      <c r="M55" s="147">
        <f t="shared" si="26"/>
        <v>1.9848088943011299E-3</v>
      </c>
      <c r="N55" s="147">
        <f ca="1">INDEX(Photobiology!$21:$421,1+$H55-380,N$14)</f>
        <v>0.277507</v>
      </c>
      <c r="O55" s="147">
        <f ca="1">INDEX(Photobiology!$21:$421,1+$H55-380,O$14)</f>
        <v>1.55944E-2</v>
      </c>
      <c r="P55" s="147">
        <f ca="1">INDEX(Photobiology!$21:$421,1+$H55-380,P$14)</f>
        <v>1.4704399999999999E-2</v>
      </c>
      <c r="Q55" s="147">
        <f ca="1">INDEX(Photobiology!$21:$421,1+$H55-380,Q$14)</f>
        <v>5.45E-2</v>
      </c>
      <c r="R55" s="147">
        <f ca="1">INDEX(Photobiology!$21:$421,1+$H55-380,R$14)</f>
        <v>7.1480100000000005E-2</v>
      </c>
      <c r="S55" s="147">
        <f t="shared" si="27"/>
        <v>4137746610760367.5</v>
      </c>
      <c r="T55" s="147">
        <f ca="1">INDEX(Photobiology!$21:$421,1+$H55-380,T$14)</f>
        <v>0.29991564203604448</v>
      </c>
      <c r="U55" s="147">
        <f ca="1">INDEX(Photobiology!$21:$421,1+$H55-380,U$14)</f>
        <v>2.0362289026099337E-2</v>
      </c>
      <c r="V55" s="147">
        <f ca="1">INDEX(Photobiology!$21:$421,1+$H55-380,V$14)</f>
        <v>2.0128406951216048E-2</v>
      </c>
      <c r="W55" s="147">
        <f ca="1">INDEX(Photobiology!$21:$421,1+$H55-380,W$14)</f>
        <v>6.6547468492433828E-2</v>
      </c>
      <c r="X55" s="147">
        <f ca="1">INDEX(Photobiology!$21:$421,1+$H55-380,X$14)</f>
        <v>8.4424910653906643E-2</v>
      </c>
      <c r="Y55" s="147">
        <f t="shared" si="14"/>
        <v>1.9848088943011299E-3</v>
      </c>
      <c r="Z55" s="147">
        <f t="shared" ca="1" si="28"/>
        <v>5.5079836183082368E-4</v>
      </c>
      <c r="AA55" s="147">
        <f t="shared" ca="1" si="15"/>
        <v>3.0951903821289542E-5</v>
      </c>
      <c r="AB55" s="147">
        <f t="shared" ca="1" si="16"/>
        <v>2.9185423905361533E-5</v>
      </c>
      <c r="AC55" s="147">
        <f t="shared" ca="1" si="17"/>
        <v>1.0817208473941158E-4</v>
      </c>
      <c r="AD55" s="147">
        <f t="shared" ca="1" si="18"/>
        <v>1.4187433824553421E-4</v>
      </c>
      <c r="AH55" s="147">
        <f t="shared" si="29"/>
        <v>414</v>
      </c>
      <c r="AI55" s="147">
        <f>IF($AH55&gt;$AH54,INDEX(Spectra!55:55,1,MATCH($AI$20,Spectra!$20:$20,0)),AI54)</f>
        <v>92.264300000000006</v>
      </c>
      <c r="AJ55" s="147">
        <f>((Physics!$C$9*Physics!$C$10)/(Physics!$C$11*Physics!$C$12*$AH55))^($AJ$17-$AJ$18)</f>
        <v>2.0847078137551916E+18</v>
      </c>
      <c r="AK55" s="147">
        <f t="shared" si="30"/>
        <v>1</v>
      </c>
      <c r="AL55" s="147">
        <f>INDEX(Photobiology!$21:$421,1+$AH55-380,10)</f>
        <v>1.9353230000000001E-3</v>
      </c>
      <c r="AM55" s="147">
        <f t="shared" si="31"/>
        <v>1.2783772702801336E-3</v>
      </c>
      <c r="AN55" s="147">
        <f ca="1">INDEX(Photobiology!$21:$421,1+$AH55-380,AN$14)</f>
        <v>0.277507</v>
      </c>
      <c r="AO55" s="147">
        <f ca="1">INDEX(Photobiology!$21:$421,1+$AH55-380,AO$14)</f>
        <v>1.55944E-2</v>
      </c>
      <c r="AP55" s="147">
        <f ca="1">INDEX(Photobiology!$21:$421,1+$AH55-380,AP$14)</f>
        <v>1.4704399999999999E-2</v>
      </c>
      <c r="AQ55" s="147">
        <f ca="1">INDEX(Photobiology!$21:$421,1+$AH55-380,AQ$14)</f>
        <v>5.45E-2</v>
      </c>
      <c r="AR55" s="147">
        <f ca="1">INDEX(Photobiology!$21:$421,1+$AH55-380,AR$14)</f>
        <v>7.1480100000000005E-2</v>
      </c>
      <c r="AS55" s="147">
        <f t="shared" si="32"/>
        <v>2665043084280027</v>
      </c>
      <c r="AT55" s="147">
        <f ca="1">INDEX(Photobiology!$21:$421,1+$AH55-380,AT$14)</f>
        <v>0.29991564203604448</v>
      </c>
      <c r="AU55" s="147">
        <f ca="1">INDEX(Photobiology!$21:$421,1+$AH55-380,AU$14)</f>
        <v>2.0362289026099337E-2</v>
      </c>
      <c r="AV55" s="147">
        <f ca="1">INDEX(Photobiology!$21:$421,1+$AH55-380,AV$14)</f>
        <v>2.0128406951216048E-2</v>
      </c>
      <c r="AW55" s="147">
        <f ca="1">INDEX(Photobiology!$21:$421,1+$AH55-380,AW$14)</f>
        <v>6.6547468492433828E-2</v>
      </c>
      <c r="AX55" s="147">
        <f ca="1">INDEX(Photobiology!$21:$421,1+$AH55-380,AX$14)</f>
        <v>8.4424910653906643E-2</v>
      </c>
      <c r="AY55" s="147">
        <f t="shared" si="19"/>
        <v>1.2783772702801336E-3</v>
      </c>
      <c r="AZ55" s="147">
        <f t="shared" ca="1" si="33"/>
        <v>3.5475864114362901E-4</v>
      </c>
      <c r="BA55" s="147">
        <f t="shared" ca="1" si="20"/>
        <v>1.9935526503656514E-5</v>
      </c>
      <c r="BB55" s="147">
        <f t="shared" ca="1" si="21"/>
        <v>1.8797770733107195E-5</v>
      </c>
      <c r="BC55" s="147">
        <f t="shared" ca="1" si="22"/>
        <v>6.9671561230267274E-5</v>
      </c>
      <c r="BD55" s="147">
        <f t="shared" ca="1" si="23"/>
        <v>9.1378535117350989E-5</v>
      </c>
    </row>
    <row r="56" spans="8:56" s="147" customFormat="1" ht="0.25" customHeight="1" x14ac:dyDescent="0.2">
      <c r="H56" s="147">
        <f t="shared" si="24"/>
        <v>415</v>
      </c>
      <c r="I56" s="147">
        <f>IF($H56&gt;$H55,INDEX(Spectra!56:56,1,MATCH($I$20,Spectra!$20:$20,0)),I55)</f>
        <v>1.9948079315520199E-3</v>
      </c>
      <c r="J56" s="147">
        <f>((Physics!$C$9*Physics!$C$10)/(Physics!$C$11*Physics!$C$12*$H56))^($J$17-$J$18)</f>
        <v>2.0897433398753733E+18</v>
      </c>
      <c r="K56" s="147">
        <f t="shared" si="25"/>
        <v>1</v>
      </c>
      <c r="L56" s="147">
        <f>INDEX(Photobiology!$21:$421,1+$H56-380,10)</f>
        <v>2.1800000000000001E-3</v>
      </c>
      <c r="M56" s="147">
        <f t="shared" si="26"/>
        <v>1.9948079315520199E-3</v>
      </c>
      <c r="N56" s="147">
        <f ca="1">INDEX(Photobiology!$21:$421,1+$H56-380,N$14)</f>
        <v>0.30594100000000002</v>
      </c>
      <c r="O56" s="147">
        <f ca="1">INDEX(Photobiology!$21:$421,1+$H56-380,O$14)</f>
        <v>1.72596E-2</v>
      </c>
      <c r="P56" s="147">
        <f ca="1">INDEX(Photobiology!$21:$421,1+$H56-380,P$14)</f>
        <v>1.6012999999999999E-2</v>
      </c>
      <c r="Q56" s="147">
        <f ca="1">INDEX(Photobiology!$21:$421,1+$H56-380,Q$14)</f>
        <v>6.0400000000000002E-2</v>
      </c>
      <c r="R56" s="147">
        <f ca="1">INDEX(Photobiology!$21:$421,1+$H56-380,R$14)</f>
        <v>7.9476599999999994E-2</v>
      </c>
      <c r="S56" s="147">
        <f t="shared" si="27"/>
        <v>4168636589291403</v>
      </c>
      <c r="T56" s="147">
        <f ca="1">INDEX(Photobiology!$21:$421,1+$H56-380,T$14)</f>
        <v>0.32984894601136422</v>
      </c>
      <c r="U56" s="147">
        <f ca="1">INDEX(Photobiology!$21:$421,1+$H56-380,U$14)</f>
        <v>2.2482308286353291E-2</v>
      </c>
      <c r="V56" s="147">
        <f ca="1">INDEX(Photobiology!$21:$421,1+$H56-380,V$14)</f>
        <v>2.1866891203627364E-2</v>
      </c>
      <c r="W56" s="147">
        <f ca="1">INDEX(Photobiology!$21:$421,1+$H56-380,W$14)</f>
        <v>7.3573974936858771E-2</v>
      </c>
      <c r="X56" s="147">
        <f ca="1">INDEX(Photobiology!$21:$421,1+$H56-380,X$14)</f>
        <v>9.3643358775500063E-2</v>
      </c>
      <c r="Y56" s="147">
        <f t="shared" si="14"/>
        <v>1.9948079315520199E-3</v>
      </c>
      <c r="Z56" s="147">
        <f t="shared" ca="1" si="28"/>
        <v>6.102935333869566E-4</v>
      </c>
      <c r="AA56" s="147">
        <f t="shared" ca="1" si="15"/>
        <v>3.4429586975415246E-5</v>
      </c>
      <c r="AB56" s="147">
        <f t="shared" ca="1" si="16"/>
        <v>3.1942859407942495E-5</v>
      </c>
      <c r="AC56" s="147">
        <f t="shared" ca="1" si="17"/>
        <v>1.2048639906574201E-4</v>
      </c>
      <c r="AD56" s="147">
        <f t="shared" ca="1" si="18"/>
        <v>1.5854055205278726E-4</v>
      </c>
      <c r="AH56" s="147">
        <f t="shared" si="29"/>
        <v>415</v>
      </c>
      <c r="AI56" s="147">
        <f>IF($AH56&gt;$AH55,INDEX(Spectra!56:56,1,MATCH($AI$20,Spectra!$20:$20,0)),AI55)</f>
        <v>92.4589</v>
      </c>
      <c r="AJ56" s="147">
        <f>((Physics!$C$9*Physics!$C$10)/(Physics!$C$11*Physics!$C$12*$AH56))^($AJ$17-$AJ$18)</f>
        <v>2.0897433398753733E+18</v>
      </c>
      <c r="AK56" s="147">
        <f t="shared" si="30"/>
        <v>1</v>
      </c>
      <c r="AL56" s="147">
        <f>INDEX(Photobiology!$21:$421,1+$AH56-380,10)</f>
        <v>2.1800000000000001E-3</v>
      </c>
      <c r="AM56" s="147">
        <f t="shared" si="31"/>
        <v>1.281073570114376E-3</v>
      </c>
      <c r="AN56" s="147">
        <f ca="1">INDEX(Photobiology!$21:$421,1+$AH56-380,AN$14)</f>
        <v>0.30594100000000002</v>
      </c>
      <c r="AO56" s="147">
        <f ca="1">INDEX(Photobiology!$21:$421,1+$AH56-380,AO$14)</f>
        <v>1.72596E-2</v>
      </c>
      <c r="AP56" s="147">
        <f ca="1">INDEX(Photobiology!$21:$421,1+$AH56-380,AP$14)</f>
        <v>1.6012999999999999E-2</v>
      </c>
      <c r="AQ56" s="147">
        <f ca="1">INDEX(Photobiology!$21:$421,1+$AH56-380,AQ$14)</f>
        <v>6.0400000000000002E-2</v>
      </c>
      <c r="AR56" s="147">
        <f ca="1">INDEX(Photobiology!$21:$421,1+$AH56-380,AR$14)</f>
        <v>7.9476599999999994E-2</v>
      </c>
      <c r="AS56" s="147">
        <f t="shared" si="32"/>
        <v>2677114961036884.5</v>
      </c>
      <c r="AT56" s="147">
        <f ca="1">INDEX(Photobiology!$21:$421,1+$AH56-380,AT$14)</f>
        <v>0.32984894601136422</v>
      </c>
      <c r="AU56" s="147">
        <f ca="1">INDEX(Photobiology!$21:$421,1+$AH56-380,AU$14)</f>
        <v>2.2482308286353291E-2</v>
      </c>
      <c r="AV56" s="147">
        <f ca="1">INDEX(Photobiology!$21:$421,1+$AH56-380,AV$14)</f>
        <v>2.1866891203627364E-2</v>
      </c>
      <c r="AW56" s="147">
        <f ca="1">INDEX(Photobiology!$21:$421,1+$AH56-380,AW$14)</f>
        <v>7.3573974936858771E-2</v>
      </c>
      <c r="AX56" s="147">
        <f ca="1">INDEX(Photobiology!$21:$421,1+$AH56-380,AX$14)</f>
        <v>9.3643358775500063E-2</v>
      </c>
      <c r="AY56" s="147">
        <f t="shared" si="19"/>
        <v>1.281073570114376E-3</v>
      </c>
      <c r="AZ56" s="147">
        <f t="shared" ca="1" si="33"/>
        <v>3.9193292911436232E-4</v>
      </c>
      <c r="BA56" s="147">
        <f t="shared" ca="1" si="20"/>
        <v>2.2110817390746085E-5</v>
      </c>
      <c r="BB56" s="147">
        <f t="shared" ca="1" si="21"/>
        <v>2.0513831078241502E-5</v>
      </c>
      <c r="BC56" s="147">
        <f t="shared" ca="1" si="22"/>
        <v>7.737684363490831E-5</v>
      </c>
      <c r="BD56" s="147">
        <f t="shared" ca="1" si="23"/>
        <v>1.0181537170255221E-4</v>
      </c>
    </row>
    <row r="57" spans="8:56" s="147" customFormat="1" ht="0.25" customHeight="1" x14ac:dyDescent="0.2">
      <c r="H57" s="147">
        <f t="shared" si="24"/>
        <v>416</v>
      </c>
      <c r="I57" s="147">
        <f>IF($H57&gt;$H56,INDEX(Spectra!57:57,1,MATCH($I$20,Spectra!$20:$20,0)),I56)</f>
        <v>1.9998074501774601E-3</v>
      </c>
      <c r="J57" s="147">
        <f>((Physics!$C$9*Physics!$C$10)/(Physics!$C$11*Physics!$C$12*$H57))^($J$17-$J$18)</f>
        <v>2.0947788659955548E+18</v>
      </c>
      <c r="K57" s="147">
        <f t="shared" si="25"/>
        <v>1</v>
      </c>
      <c r="L57" s="147">
        <f>INDEX(Photobiology!$21:$421,1+$H57-380,10)</f>
        <v>2.4548E-3</v>
      </c>
      <c r="M57" s="147">
        <f t="shared" si="26"/>
        <v>1.9998074501774601E-3</v>
      </c>
      <c r="N57" s="147">
        <f ca="1">INDEX(Photobiology!$21:$421,1+$H57-380,N$14)</f>
        <v>0.33585799999999999</v>
      </c>
      <c r="O57" s="147">
        <f ca="1">INDEX(Photobiology!$21:$421,1+$H57-380,O$14)</f>
        <v>1.90467E-2</v>
      </c>
      <c r="P57" s="147">
        <f ca="1">INDEX(Photobiology!$21:$421,1+$H57-380,P$14)</f>
        <v>1.7395799999999999E-2</v>
      </c>
      <c r="Q57" s="147">
        <f ca="1">INDEX(Photobiology!$21:$421,1+$H57-380,Q$14)</f>
        <v>6.6799999999999998E-2</v>
      </c>
      <c r="R57" s="147">
        <f ca="1">INDEX(Photobiology!$21:$421,1+$H57-380,R$14)</f>
        <v>8.9180700000000002E-2</v>
      </c>
      <c r="S57" s="147">
        <f t="shared" si="27"/>
        <v>4189154382692202</v>
      </c>
      <c r="T57" s="147">
        <f ca="1">INDEX(Photobiology!$21:$421,1+$H57-380,T$14)</f>
        <v>0.3612333863253373</v>
      </c>
      <c r="U57" s="147">
        <f ca="1">INDEX(Photobiology!$21:$421,1+$H57-380,U$14)</f>
        <v>2.4750540058091328E-2</v>
      </c>
      <c r="V57" s="147">
        <f ca="1">INDEX(Photobiology!$21:$421,1+$H57-380,V$14)</f>
        <v>2.3698099169128399E-2</v>
      </c>
      <c r="W57" s="147">
        <f ca="1">INDEX(Photobiology!$21:$421,1+$H57-380,W$14)</f>
        <v>8.1174292107090498E-2</v>
      </c>
      <c r="X57" s="147">
        <f ca="1">INDEX(Photobiology!$21:$421,1+$H57-380,X$14)</f>
        <v>0.10482463182043245</v>
      </c>
      <c r="Y57" s="147">
        <f t="shared" si="14"/>
        <v>1.9998074501774601E-3</v>
      </c>
      <c r="Z57" s="147">
        <f t="shared" ca="1" si="28"/>
        <v>6.7165133060170139E-4</v>
      </c>
      <c r="AA57" s="147">
        <f t="shared" ca="1" si="15"/>
        <v>3.8089732561295032E-5</v>
      </c>
      <c r="AB57" s="147">
        <f t="shared" ca="1" si="16"/>
        <v>3.4788250441797061E-5</v>
      </c>
      <c r="AC57" s="147">
        <f t="shared" ca="1" si="17"/>
        <v>1.3358713767185434E-4</v>
      </c>
      <c r="AD57" s="147">
        <f t="shared" ca="1" si="18"/>
        <v>1.7834422827204101E-4</v>
      </c>
      <c r="AH57" s="147">
        <f t="shared" si="29"/>
        <v>416</v>
      </c>
      <c r="AI57" s="147">
        <f>IF($AH57&gt;$AH56,INDEX(Spectra!57:57,1,MATCH($AI$20,Spectra!$20:$20,0)),AI56)</f>
        <v>92.653499999999994</v>
      </c>
      <c r="AJ57" s="147">
        <f>((Physics!$C$9*Physics!$C$10)/(Physics!$C$11*Physics!$C$12*$AH57))^($AJ$17-$AJ$18)</f>
        <v>2.0947788659955548E+18</v>
      </c>
      <c r="AK57" s="147">
        <f t="shared" si="30"/>
        <v>1</v>
      </c>
      <c r="AL57" s="147">
        <f>INDEX(Photobiology!$21:$421,1+$AH57-380,10)</f>
        <v>2.4548E-3</v>
      </c>
      <c r="AM57" s="147">
        <f t="shared" si="31"/>
        <v>1.2837698699486187E-3</v>
      </c>
      <c r="AN57" s="147">
        <f ca="1">INDEX(Photobiology!$21:$421,1+$AH57-380,AN$14)</f>
        <v>0.33585799999999999</v>
      </c>
      <c r="AO57" s="147">
        <f ca="1">INDEX(Photobiology!$21:$421,1+$AH57-380,AO$14)</f>
        <v>1.90467E-2</v>
      </c>
      <c r="AP57" s="147">
        <f ca="1">INDEX(Photobiology!$21:$421,1+$AH57-380,AP$14)</f>
        <v>1.7395799999999999E-2</v>
      </c>
      <c r="AQ57" s="147">
        <f ca="1">INDEX(Photobiology!$21:$421,1+$AH57-380,AQ$14)</f>
        <v>6.6799999999999998E-2</v>
      </c>
      <c r="AR57" s="147">
        <f ca="1">INDEX(Photobiology!$21:$421,1+$AH57-380,AR$14)</f>
        <v>8.9180700000000002E-2</v>
      </c>
      <c r="AS57" s="147">
        <f t="shared" si="32"/>
        <v>2689213992370228.5</v>
      </c>
      <c r="AT57" s="147">
        <f ca="1">INDEX(Photobiology!$21:$421,1+$AH57-380,AT$14)</f>
        <v>0.3612333863253373</v>
      </c>
      <c r="AU57" s="147">
        <f ca="1">INDEX(Photobiology!$21:$421,1+$AH57-380,AU$14)</f>
        <v>2.4750540058091328E-2</v>
      </c>
      <c r="AV57" s="147">
        <f ca="1">INDEX(Photobiology!$21:$421,1+$AH57-380,AV$14)</f>
        <v>2.3698099169128399E-2</v>
      </c>
      <c r="AW57" s="147">
        <f ca="1">INDEX(Photobiology!$21:$421,1+$AH57-380,AW$14)</f>
        <v>8.1174292107090498E-2</v>
      </c>
      <c r="AX57" s="147">
        <f ca="1">INDEX(Photobiology!$21:$421,1+$AH57-380,AX$14)</f>
        <v>0.10482463182043245</v>
      </c>
      <c r="AY57" s="147">
        <f t="shared" si="19"/>
        <v>1.2837698699486187E-3</v>
      </c>
      <c r="AZ57" s="147">
        <f t="shared" ca="1" si="33"/>
        <v>4.3116438098120318E-4</v>
      </c>
      <c r="BA57" s="147">
        <f t="shared" ca="1" si="20"/>
        <v>2.4451579581950355E-5</v>
      </c>
      <c r="BB57" s="147">
        <f t="shared" ca="1" si="21"/>
        <v>2.2332203903652181E-5</v>
      </c>
      <c r="BC57" s="147">
        <f t="shared" ca="1" si="22"/>
        <v>8.5755827312567731E-5</v>
      </c>
      <c r="BD57" s="147">
        <f t="shared" ca="1" si="23"/>
        <v>1.1448749564092678E-4</v>
      </c>
    </row>
    <row r="58" spans="8:56" s="147" customFormat="1" ht="0.25" customHeight="1" x14ac:dyDescent="0.2">
      <c r="H58" s="147">
        <f t="shared" si="24"/>
        <v>417</v>
      </c>
      <c r="I58" s="147">
        <f>IF($H58&gt;$H57,INDEX(Spectra!58:58,1,MATCH($I$20,Spectra!$20:$20,0)),I57)</f>
        <v>1.9598113011739101E-3</v>
      </c>
      <c r="J58" s="147">
        <f>((Physics!$C$9*Physics!$C$10)/(Physics!$C$11*Physics!$C$12*$H58))^($J$17-$J$18)</f>
        <v>2.0998143921157366E+18</v>
      </c>
      <c r="K58" s="147">
        <f t="shared" si="25"/>
        <v>1</v>
      </c>
      <c r="L58" s="147">
        <f>INDEX(Photobiology!$21:$421,1+$H58-380,10)</f>
        <v>2.764E-3</v>
      </c>
      <c r="M58" s="147">
        <f t="shared" si="26"/>
        <v>1.9598113011739101E-3</v>
      </c>
      <c r="N58" s="147">
        <f ca="1">INDEX(Photobiology!$21:$421,1+$H58-380,N$14)</f>
        <v>0.366981</v>
      </c>
      <c r="O58" s="147">
        <f ca="1">INDEX(Photobiology!$21:$421,1+$H58-380,O$14)</f>
        <v>2.0954500000000001E-2</v>
      </c>
      <c r="P58" s="147">
        <f ca="1">INDEX(Photobiology!$21:$421,1+$H58-380,P$14)</f>
        <v>1.8845199999999999E-2</v>
      </c>
      <c r="Q58" s="147">
        <f ca="1">INDEX(Photobiology!$21:$421,1+$H58-380,Q$14)</f>
        <v>7.3599999999999999E-2</v>
      </c>
      <c r="R58" s="147">
        <f ca="1">INDEX(Photobiology!$21:$421,1+$H58-380,R$14)</f>
        <v>0.100756</v>
      </c>
      <c r="S58" s="147">
        <f t="shared" si="27"/>
        <v>4115239976036045</v>
      </c>
      <c r="T58" s="147">
        <f ca="1">INDEX(Photobiology!$21:$421,1+$H58-380,T$14)</f>
        <v>0.39376130917078922</v>
      </c>
      <c r="U58" s="147">
        <f ca="1">INDEX(Photobiology!$21:$421,1+$H58-380,U$14)</f>
        <v>2.7164362444460324E-2</v>
      </c>
      <c r="V58" s="147">
        <f ca="1">INDEX(Photobiology!$21:$421,1+$H58-380,V$14)</f>
        <v>2.5611035205942285E-2</v>
      </c>
      <c r="W58" s="147">
        <f ca="1">INDEX(Photobiology!$21:$421,1+$H58-380,W$14)</f>
        <v>8.9223064878087496E-2</v>
      </c>
      <c r="X58" s="147">
        <f ca="1">INDEX(Photobiology!$21:$421,1+$H58-380,X$14)</f>
        <v>0.1181464460418583</v>
      </c>
      <c r="Y58" s="147">
        <f t="shared" si="14"/>
        <v>1.9598113011739101E-3</v>
      </c>
      <c r="Z58" s="147">
        <f t="shared" ca="1" si="28"/>
        <v>7.1921351111610269E-4</v>
      </c>
      <c r="AA58" s="147">
        <f t="shared" ca="1" si="15"/>
        <v>4.10668659104487E-5</v>
      </c>
      <c r="AB58" s="147">
        <f t="shared" ca="1" si="16"/>
        <v>3.6933035932882572E-5</v>
      </c>
      <c r="AC58" s="147">
        <f t="shared" ca="1" si="17"/>
        <v>1.4424211176639978E-4</v>
      </c>
      <c r="AD58" s="147">
        <f t="shared" ca="1" si="18"/>
        <v>1.9746274746107849E-4</v>
      </c>
      <c r="AH58" s="147">
        <f t="shared" si="29"/>
        <v>417</v>
      </c>
      <c r="AI58" s="147">
        <f>IF($AH58&gt;$AH57,INDEX(Spectra!58:58,1,MATCH($AI$20,Spectra!$20:$20,0)),AI57)</f>
        <v>92.848100000000002</v>
      </c>
      <c r="AJ58" s="147">
        <f>((Physics!$C$9*Physics!$C$10)/(Physics!$C$11*Physics!$C$12*$AH58))^($AJ$17-$AJ$18)</f>
        <v>2.0998143921157366E+18</v>
      </c>
      <c r="AK58" s="147">
        <f t="shared" si="30"/>
        <v>1</v>
      </c>
      <c r="AL58" s="147">
        <f>INDEX(Photobiology!$21:$421,1+$AH58-380,10)</f>
        <v>2.764E-3</v>
      </c>
      <c r="AM58" s="147">
        <f t="shared" si="31"/>
        <v>1.2864661697828614E-3</v>
      </c>
      <c r="AN58" s="147">
        <f ca="1">INDEX(Photobiology!$21:$421,1+$AH58-380,AN$14)</f>
        <v>0.366981</v>
      </c>
      <c r="AO58" s="147">
        <f ca="1">INDEX(Photobiology!$21:$421,1+$AH58-380,AO$14)</f>
        <v>2.0954500000000001E-2</v>
      </c>
      <c r="AP58" s="147">
        <f ca="1">INDEX(Photobiology!$21:$421,1+$AH58-380,AP$14)</f>
        <v>1.8845199999999999E-2</v>
      </c>
      <c r="AQ58" s="147">
        <f ca="1">INDEX(Photobiology!$21:$421,1+$AH58-380,AQ$14)</f>
        <v>7.3599999999999999E-2</v>
      </c>
      <c r="AR58" s="147">
        <f ca="1">INDEX(Photobiology!$21:$421,1+$AH58-380,AR$14)</f>
        <v>0.100756</v>
      </c>
      <c r="AS58" s="147">
        <f t="shared" si="32"/>
        <v>2701340178280059</v>
      </c>
      <c r="AT58" s="147">
        <f ca="1">INDEX(Photobiology!$21:$421,1+$AH58-380,AT$14)</f>
        <v>0.39376130917078922</v>
      </c>
      <c r="AU58" s="147">
        <f ca="1">INDEX(Photobiology!$21:$421,1+$AH58-380,AU$14)</f>
        <v>2.7164362444460324E-2</v>
      </c>
      <c r="AV58" s="147">
        <f ca="1">INDEX(Photobiology!$21:$421,1+$AH58-380,AV$14)</f>
        <v>2.5611035205942285E-2</v>
      </c>
      <c r="AW58" s="147">
        <f ca="1">INDEX(Photobiology!$21:$421,1+$AH58-380,AW$14)</f>
        <v>8.9223064878087496E-2</v>
      </c>
      <c r="AX58" s="147">
        <f ca="1">INDEX(Photobiology!$21:$421,1+$AH58-380,AX$14)</f>
        <v>0.1181464460418583</v>
      </c>
      <c r="AY58" s="147">
        <f t="shared" si="19"/>
        <v>1.2864661697828614E-3</v>
      </c>
      <c r="AZ58" s="147">
        <f t="shared" ca="1" si="33"/>
        <v>4.7210864145308428E-4</v>
      </c>
      <c r="BA58" s="147">
        <f t="shared" ca="1" si="20"/>
        <v>2.6957255354714969E-5</v>
      </c>
      <c r="BB58" s="147">
        <f t="shared" ca="1" si="21"/>
        <v>2.4243712262791978E-5</v>
      </c>
      <c r="BC58" s="147">
        <f t="shared" ca="1" si="22"/>
        <v>9.4683910096018595E-5</v>
      </c>
      <c r="BD58" s="147">
        <f t="shared" ca="1" si="23"/>
        <v>1.2961918540264198E-4</v>
      </c>
    </row>
    <row r="59" spans="8:56" s="147" customFormat="1" ht="0.25" customHeight="1" x14ac:dyDescent="0.2">
      <c r="H59" s="147">
        <f t="shared" si="24"/>
        <v>418</v>
      </c>
      <c r="I59" s="147">
        <f>IF($H59&gt;$H58,INDEX(Spectra!59:59,1,MATCH($I$20,Spectra!$20:$20,0)),I58)</f>
        <v>1.9198151521703599E-3</v>
      </c>
      <c r="J59" s="147">
        <f>((Physics!$C$9*Physics!$C$10)/(Physics!$C$11*Physics!$C$12*$H59))^($J$17-$J$18)</f>
        <v>2.1048499182359183E+18</v>
      </c>
      <c r="K59" s="147">
        <f t="shared" si="25"/>
        <v>1</v>
      </c>
      <c r="L59" s="147">
        <f>INDEX(Photobiology!$21:$421,1+$H59-380,10)</f>
        <v>3.1178E-3</v>
      </c>
      <c r="M59" s="147">
        <f t="shared" si="26"/>
        <v>1.9198151521703599E-3</v>
      </c>
      <c r="N59" s="147">
        <f ca="1">INDEX(Photobiology!$21:$421,1+$H59-380,N$14)</f>
        <v>0.39887600000000001</v>
      </c>
      <c r="O59" s="147">
        <f ca="1">INDEX(Photobiology!$21:$421,1+$H59-380,O$14)</f>
        <v>2.2976300000000002E-2</v>
      </c>
      <c r="P59" s="147">
        <f ca="1">INDEX(Photobiology!$21:$421,1+$H59-380,P$14)</f>
        <v>2.0344000000000001E-2</v>
      </c>
      <c r="Q59" s="147">
        <f ca="1">INDEX(Photobiology!$21:$421,1+$H59-380,Q$14)</f>
        <v>8.0799999999999997E-2</v>
      </c>
      <c r="R59" s="147">
        <f ca="1">INDEX(Photobiology!$21:$421,1+$H59-380,R$14)</f>
        <v>0.113256</v>
      </c>
      <c r="S59" s="147">
        <f t="shared" si="27"/>
        <v>4040922766073859</v>
      </c>
      <c r="T59" s="147">
        <f ca="1">INDEX(Photobiology!$21:$421,1+$H59-380,T$14)</f>
        <v>0.42695995078365873</v>
      </c>
      <c r="U59" s="147">
        <f ca="1">INDEX(Photobiology!$21:$421,1+$H59-380,U$14)</f>
        <v>2.9714065771716668E-2</v>
      </c>
      <c r="V59" s="147">
        <f ca="1">INDEX(Photobiology!$21:$421,1+$H59-380,V$14)</f>
        <v>2.7581793497678017E-2</v>
      </c>
      <c r="W59" s="147">
        <f ca="1">INDEX(Photobiology!$21:$421,1+$H59-380,W$14)</f>
        <v>9.7717074668983023E-2</v>
      </c>
      <c r="X59" s="147">
        <f ca="1">INDEX(Photobiology!$21:$421,1+$H59-380,X$14)</f>
        <v>0.13248622835635954</v>
      </c>
      <c r="Y59" s="147">
        <f t="shared" si="14"/>
        <v>1.9198151521703599E-3</v>
      </c>
      <c r="Z59" s="147">
        <f t="shared" ca="1" si="28"/>
        <v>7.6576818863710453E-4</v>
      </c>
      <c r="AA59" s="147">
        <f t="shared" ca="1" si="15"/>
        <v>4.4110248880811843E-5</v>
      </c>
      <c r="AB59" s="147">
        <f t="shared" ca="1" si="16"/>
        <v>3.9056719455753802E-5</v>
      </c>
      <c r="AC59" s="147">
        <f t="shared" ca="1" si="17"/>
        <v>1.5512106429536507E-4</v>
      </c>
      <c r="AD59" s="147">
        <f t="shared" ca="1" si="18"/>
        <v>2.1743058487420629E-4</v>
      </c>
      <c r="AH59" s="147">
        <f t="shared" si="29"/>
        <v>418</v>
      </c>
      <c r="AI59" s="147">
        <f>IF($AH59&gt;$AH58,INDEX(Spectra!59:59,1,MATCH($AI$20,Spectra!$20:$20,0)),AI58)</f>
        <v>93.042599999999993</v>
      </c>
      <c r="AJ59" s="147">
        <f>((Physics!$C$9*Physics!$C$10)/(Physics!$C$11*Physics!$C$12*$AH59))^($AJ$17-$AJ$18)</f>
        <v>2.1048499182359183E+18</v>
      </c>
      <c r="AK59" s="147">
        <f t="shared" si="30"/>
        <v>1</v>
      </c>
      <c r="AL59" s="147">
        <f>INDEX(Photobiology!$21:$421,1+$AH59-380,10)</f>
        <v>3.1178E-3</v>
      </c>
      <c r="AM59" s="147">
        <f t="shared" si="31"/>
        <v>1.2891610840570658E-3</v>
      </c>
      <c r="AN59" s="147">
        <f ca="1">INDEX(Photobiology!$21:$421,1+$AH59-380,AN$14)</f>
        <v>0.39887600000000001</v>
      </c>
      <c r="AO59" s="147">
        <f ca="1">INDEX(Photobiology!$21:$421,1+$AH59-380,AO$14)</f>
        <v>2.2976300000000002E-2</v>
      </c>
      <c r="AP59" s="147">
        <f ca="1">INDEX(Photobiology!$21:$421,1+$AH59-380,AP$14)</f>
        <v>2.0344000000000001E-2</v>
      </c>
      <c r="AQ59" s="147">
        <f ca="1">INDEX(Photobiology!$21:$421,1+$AH59-380,AQ$14)</f>
        <v>8.0799999999999997E-2</v>
      </c>
      <c r="AR59" s="147">
        <f ca="1">INDEX(Photobiology!$21:$421,1+$AH59-380,AR$14)</f>
        <v>0.113256</v>
      </c>
      <c r="AS59" s="147">
        <f t="shared" si="32"/>
        <v>2713490602370443</v>
      </c>
      <c r="AT59" s="147">
        <f ca="1">INDEX(Photobiology!$21:$421,1+$AH59-380,AT$14)</f>
        <v>0.42695995078365873</v>
      </c>
      <c r="AU59" s="147">
        <f ca="1">INDEX(Photobiology!$21:$421,1+$AH59-380,AU$14)</f>
        <v>2.9714065771716668E-2</v>
      </c>
      <c r="AV59" s="147">
        <f ca="1">INDEX(Photobiology!$21:$421,1+$AH59-380,AV$14)</f>
        <v>2.7581793497678017E-2</v>
      </c>
      <c r="AW59" s="147">
        <f ca="1">INDEX(Photobiology!$21:$421,1+$AH59-380,AW$14)</f>
        <v>9.7717074668983023E-2</v>
      </c>
      <c r="AX59" s="147">
        <f ca="1">INDEX(Photobiology!$21:$421,1+$AH59-380,AX$14)</f>
        <v>0.13248622835635954</v>
      </c>
      <c r="AY59" s="147">
        <f t="shared" si="19"/>
        <v>1.2891610840570658E-3</v>
      </c>
      <c r="AZ59" s="147">
        <f t="shared" ca="1" si="33"/>
        <v>5.1421541656434622E-4</v>
      </c>
      <c r="BA59" s="147">
        <f t="shared" ca="1" si="20"/>
        <v>2.9620151815620362E-5</v>
      </c>
      <c r="BB59" s="147">
        <f t="shared" ca="1" si="21"/>
        <v>2.6226693094056949E-5</v>
      </c>
      <c r="BC59" s="147">
        <f t="shared" ca="1" si="22"/>
        <v>1.0416421559181091E-4</v>
      </c>
      <c r="BD59" s="147">
        <f t="shared" ca="1" si="23"/>
        <v>1.4600522773596704E-4</v>
      </c>
    </row>
    <row r="60" spans="8:56" s="147" customFormat="1" ht="0.25" customHeight="1" x14ac:dyDescent="0.2">
      <c r="H60" s="147">
        <f t="shared" si="24"/>
        <v>419</v>
      </c>
      <c r="I60" s="147">
        <f>IF($H60&gt;$H59,INDEX(Spectra!60:60,1,MATCH($I$20,Spectra!$20:$20,0)),I59)</f>
        <v>1.9148156335449199E-3</v>
      </c>
      <c r="J60" s="147">
        <f>((Physics!$C$9*Physics!$C$10)/(Physics!$C$11*Physics!$C$12*$H60))^($J$17-$J$18)</f>
        <v>2.1098854443560998E+18</v>
      </c>
      <c r="K60" s="147">
        <f t="shared" si="25"/>
        <v>1</v>
      </c>
      <c r="L60" s="147">
        <f>INDEX(Photobiology!$21:$421,1+$H60-380,10)</f>
        <v>3.5263999999999998E-3</v>
      </c>
      <c r="M60" s="147">
        <f t="shared" si="26"/>
        <v>1.9148156335449199E-3</v>
      </c>
      <c r="N60" s="147">
        <f ca="1">INDEX(Photobiology!$21:$421,1+$H60-380,N$14)</f>
        <v>0.43099799999999999</v>
      </c>
      <c r="O60" s="147">
        <f ca="1">INDEX(Photobiology!$21:$421,1+$H60-380,O$14)</f>
        <v>2.5101700000000001E-2</v>
      </c>
      <c r="P60" s="147">
        <f ca="1">INDEX(Photobiology!$21:$421,1+$H60-380,P$14)</f>
        <v>2.1870000000000001E-2</v>
      </c>
      <c r="Q60" s="147">
        <f ca="1">INDEX(Photobiology!$21:$421,1+$H60-380,Q$14)</f>
        <v>8.8499999999999995E-2</v>
      </c>
      <c r="R60" s="147">
        <f ca="1">INDEX(Photobiology!$21:$421,1+$H60-380,R$14)</f>
        <v>0.12573200000000001</v>
      </c>
      <c r="S60" s="147">
        <f t="shared" si="27"/>
        <v>4040041633841930</v>
      </c>
      <c r="T60" s="147">
        <f ca="1">INDEX(Photobiology!$21:$421,1+$H60-380,T$14)</f>
        <v>0.46024252896919299</v>
      </c>
      <c r="U60" s="147">
        <f ca="1">INDEX(Photobiology!$21:$421,1+$H60-380,U$14)</f>
        <v>3.2385259460501699E-2</v>
      </c>
      <c r="V60" s="147">
        <f ca="1">INDEX(Photobiology!$21:$421,1+$H60-380,V$14)</f>
        <v>2.9579933772288857E-2</v>
      </c>
      <c r="W60" s="147">
        <f ca="1">INDEX(Photobiology!$21:$421,1+$H60-380,W$14)</f>
        <v>0.10677378196642433</v>
      </c>
      <c r="X60" s="147">
        <f ca="1">INDEX(Photobiology!$21:$421,1+$H60-380,X$14)</f>
        <v>0.14672955496322421</v>
      </c>
      <c r="Y60" s="147">
        <f t="shared" si="14"/>
        <v>1.9148156335449199E-3</v>
      </c>
      <c r="Z60" s="147">
        <f t="shared" ca="1" si="28"/>
        <v>8.252817084265934E-4</v>
      </c>
      <c r="AA60" s="147">
        <f t="shared" ca="1" si="15"/>
        <v>4.8065127588554517E-5</v>
      </c>
      <c r="AB60" s="147">
        <f t="shared" ca="1" si="16"/>
        <v>4.1877017905627399E-5</v>
      </c>
      <c r="AC60" s="147">
        <f t="shared" ca="1" si="17"/>
        <v>1.6946118356872542E-4</v>
      </c>
      <c r="AD60" s="147">
        <f t="shared" ca="1" si="18"/>
        <v>2.4075359923686989E-4</v>
      </c>
      <c r="AH60" s="147">
        <f t="shared" si="29"/>
        <v>419</v>
      </c>
      <c r="AI60" s="147">
        <f>IF($AH60&gt;$AH59,INDEX(Spectra!60:60,1,MATCH($AI$20,Spectra!$20:$20,0)),AI59)</f>
        <v>93.237200000000001</v>
      </c>
      <c r="AJ60" s="147">
        <f>((Physics!$C$9*Physics!$C$10)/(Physics!$C$11*Physics!$C$12*$AH60))^($AJ$17-$AJ$18)</f>
        <v>2.1098854443560998E+18</v>
      </c>
      <c r="AK60" s="147">
        <f t="shared" si="30"/>
        <v>1</v>
      </c>
      <c r="AL60" s="147">
        <f>INDEX(Photobiology!$21:$421,1+$AH60-380,10)</f>
        <v>3.5263999999999998E-3</v>
      </c>
      <c r="AM60" s="147">
        <f t="shared" si="31"/>
        <v>1.2918573838913085E-3</v>
      </c>
      <c r="AN60" s="147">
        <f ca="1">INDEX(Photobiology!$21:$421,1+$AH60-380,AN$14)</f>
        <v>0.43099799999999999</v>
      </c>
      <c r="AO60" s="147">
        <f ca="1">INDEX(Photobiology!$21:$421,1+$AH60-380,AO$14)</f>
        <v>2.5101700000000001E-2</v>
      </c>
      <c r="AP60" s="147">
        <f ca="1">INDEX(Photobiology!$21:$421,1+$AH60-380,AP$14)</f>
        <v>2.1870000000000001E-2</v>
      </c>
      <c r="AQ60" s="147">
        <f ca="1">INDEX(Photobiology!$21:$421,1+$AH60-380,AQ$14)</f>
        <v>8.8499999999999995E-2</v>
      </c>
      <c r="AR60" s="147">
        <f ca="1">INDEX(Photobiology!$21:$421,1+$AH60-380,AR$14)</f>
        <v>0.12573200000000001</v>
      </c>
      <c r="AS60" s="147">
        <f t="shared" si="32"/>
        <v>2725671090456222</v>
      </c>
      <c r="AT60" s="147">
        <f ca="1">INDEX(Photobiology!$21:$421,1+$AH60-380,AT$14)</f>
        <v>0.46024252896919299</v>
      </c>
      <c r="AU60" s="147">
        <f ca="1">INDEX(Photobiology!$21:$421,1+$AH60-380,AU$14)</f>
        <v>3.2385259460501699E-2</v>
      </c>
      <c r="AV60" s="147">
        <f ca="1">INDEX(Photobiology!$21:$421,1+$AH60-380,AV$14)</f>
        <v>2.9579933772288857E-2</v>
      </c>
      <c r="AW60" s="147">
        <f ca="1">INDEX(Photobiology!$21:$421,1+$AH60-380,AW$14)</f>
        <v>0.10677378196642433</v>
      </c>
      <c r="AX60" s="147">
        <f ca="1">INDEX(Photobiology!$21:$421,1+$AH60-380,AX$14)</f>
        <v>0.14672955496322421</v>
      </c>
      <c r="AY60" s="147">
        <f t="shared" si="19"/>
        <v>1.2918573838913085E-3</v>
      </c>
      <c r="AZ60" s="147">
        <f t="shared" ca="1" si="33"/>
        <v>5.5678794874238619E-4</v>
      </c>
      <c r="BA60" s="147">
        <f t="shared" ca="1" si="20"/>
        <v>3.2427816493224458E-5</v>
      </c>
      <c r="BB60" s="147">
        <f t="shared" ca="1" si="21"/>
        <v>2.8252920985702917E-5</v>
      </c>
      <c r="BC60" s="147">
        <f t="shared" ca="1" si="22"/>
        <v>1.1432937847438079E-4</v>
      </c>
      <c r="BD60" s="147">
        <f t="shared" ca="1" si="23"/>
        <v>1.62427812591422E-4</v>
      </c>
    </row>
    <row r="61" spans="8:56" s="147" customFormat="1" ht="0.25" customHeight="1" x14ac:dyDescent="0.2">
      <c r="H61" s="147">
        <f t="shared" si="24"/>
        <v>420</v>
      </c>
      <c r="I61" s="147">
        <f>IF($H61&gt;$H60,INDEX(Spectra!61:61,1,MATCH($I$20,Spectra!$20:$20,0)),I60)</f>
        <v>1.9198151521703599E-3</v>
      </c>
      <c r="J61" s="147">
        <f>((Physics!$C$9*Physics!$C$10)/(Physics!$C$11*Physics!$C$12*$H61))^($J$17-$J$18)</f>
        <v>2.1149209704762813E+18</v>
      </c>
      <c r="K61" s="147">
        <f t="shared" si="25"/>
        <v>1</v>
      </c>
      <c r="L61" s="147">
        <f>INDEX(Photobiology!$21:$421,1+$H61-380,10)</f>
        <v>4.0000000000000001E-3</v>
      </c>
      <c r="M61" s="147">
        <f t="shared" si="26"/>
        <v>1.9198151521703599E-3</v>
      </c>
      <c r="N61" s="147">
        <f ca="1">INDEX(Photobiology!$21:$421,1+$H61-380,N$14)</f>
        <v>0.46269199999999999</v>
      </c>
      <c r="O61" s="147">
        <f ca="1">INDEX(Photobiology!$21:$421,1+$H61-380,O$14)</f>
        <v>2.7316300000000002E-2</v>
      </c>
      <c r="P61" s="147">
        <f ca="1">INDEX(Photobiology!$21:$421,1+$H61-380,P$14)</f>
        <v>2.3395699999999998E-2</v>
      </c>
      <c r="Q61" s="147">
        <f ca="1">INDEX(Photobiology!$21:$421,1+$H61-380,Q$14)</f>
        <v>9.6600000000000005E-2</v>
      </c>
      <c r="R61" s="147">
        <f ca="1">INDEX(Photobiology!$21:$421,1+$H61-380,R$14)</f>
        <v>0.137237</v>
      </c>
      <c r="S61" s="147">
        <f t="shared" si="27"/>
        <v>4060257324763207.5</v>
      </c>
      <c r="T61" s="147">
        <f ca="1">INDEX(Photobiology!$21:$421,1+$H61-380,T$14)</f>
        <v>0.49291066577476106</v>
      </c>
      <c r="U61" s="147">
        <f ca="1">INDEX(Photobiology!$21:$421,1+$H61-380,U$14)</f>
        <v>3.5158541623853047E-2</v>
      </c>
      <c r="V61" s="147">
        <f ca="1">INDEX(Photobiology!$21:$421,1+$H61-380,V$14)</f>
        <v>3.1568154298898879E-2</v>
      </c>
      <c r="W61" s="147">
        <f ca="1">INDEX(Photobiology!$21:$421,1+$H61-380,W$14)</f>
        <v>0.11626880641925777</v>
      </c>
      <c r="X61" s="147">
        <f ca="1">INDEX(Photobiology!$21:$421,1+$H61-380,X$14)</f>
        <v>0.15977459480237011</v>
      </c>
      <c r="Y61" s="147">
        <f t="shared" si="14"/>
        <v>1.9198151521703599E-3</v>
      </c>
      <c r="Z61" s="147">
        <f t="shared" ca="1" si="28"/>
        <v>8.8828311238800821E-4</v>
      </c>
      <c r="AA61" s="147">
        <f t="shared" ca="1" si="15"/>
        <v>5.2442246641231205E-5</v>
      </c>
      <c r="AB61" s="147">
        <f t="shared" ca="1" si="16"/>
        <v>4.4915419355632088E-5</v>
      </c>
      <c r="AC61" s="147">
        <f t="shared" ca="1" si="17"/>
        <v>1.8545414369965679E-4</v>
      </c>
      <c r="AD61" s="147">
        <f t="shared" ca="1" si="18"/>
        <v>2.6346967203840367E-4</v>
      </c>
      <c r="AH61" s="147">
        <f t="shared" si="29"/>
        <v>420</v>
      </c>
      <c r="AI61" s="147">
        <f>IF($AH61&gt;$AH60,INDEX(Spectra!61:61,1,MATCH($AI$20,Spectra!$20:$20,0)),AI60)</f>
        <v>93.431799999999996</v>
      </c>
      <c r="AJ61" s="147">
        <f>((Physics!$C$9*Physics!$C$10)/(Physics!$C$11*Physics!$C$12*$AH61))^($AJ$17-$AJ$18)</f>
        <v>2.1149209704762813E+18</v>
      </c>
      <c r="AK61" s="147">
        <f t="shared" si="30"/>
        <v>1</v>
      </c>
      <c r="AL61" s="147">
        <f>INDEX(Photobiology!$21:$421,1+$AH61-380,10)</f>
        <v>4.0000000000000001E-3</v>
      </c>
      <c r="AM61" s="147">
        <f t="shared" si="31"/>
        <v>1.2945536837255512E-3</v>
      </c>
      <c r="AN61" s="147">
        <f ca="1">INDEX(Photobiology!$21:$421,1+$AH61-380,AN$14)</f>
        <v>0.46269199999999999</v>
      </c>
      <c r="AO61" s="147">
        <f ca="1">INDEX(Photobiology!$21:$421,1+$AH61-380,AO$14)</f>
        <v>2.7316300000000002E-2</v>
      </c>
      <c r="AP61" s="147">
        <f ca="1">INDEX(Photobiology!$21:$421,1+$AH61-380,AP$14)</f>
        <v>2.3395699999999998E-2</v>
      </c>
      <c r="AQ61" s="147">
        <f ca="1">INDEX(Photobiology!$21:$421,1+$AH61-380,AQ$14)</f>
        <v>9.6600000000000005E-2</v>
      </c>
      <c r="AR61" s="147">
        <f ca="1">INDEX(Photobiology!$21:$421,1+$AH61-380,AR$14)</f>
        <v>0.137237</v>
      </c>
      <c r="AS61" s="147">
        <f t="shared" si="32"/>
        <v>2737878733118487.5</v>
      </c>
      <c r="AT61" s="147">
        <f ca="1">INDEX(Photobiology!$21:$421,1+$AH61-380,AT$14)</f>
        <v>0.49291066577476106</v>
      </c>
      <c r="AU61" s="147">
        <f ca="1">INDEX(Photobiology!$21:$421,1+$AH61-380,AU$14)</f>
        <v>3.5158541623853047E-2</v>
      </c>
      <c r="AV61" s="147">
        <f ca="1">INDEX(Photobiology!$21:$421,1+$AH61-380,AV$14)</f>
        <v>3.1568154298898879E-2</v>
      </c>
      <c r="AW61" s="147">
        <f ca="1">INDEX(Photobiology!$21:$421,1+$AH61-380,AW$14)</f>
        <v>0.11626880641925777</v>
      </c>
      <c r="AX61" s="147">
        <f ca="1">INDEX(Photobiology!$21:$421,1+$AH61-380,AX$14)</f>
        <v>0.15977459480237011</v>
      </c>
      <c r="AY61" s="147">
        <f t="shared" si="19"/>
        <v>1.2945536837255512E-3</v>
      </c>
      <c r="AZ61" s="147">
        <f t="shared" ca="1" si="33"/>
        <v>5.9897963303034269E-4</v>
      </c>
      <c r="BA61" s="147">
        <f t="shared" ca="1" si="20"/>
        <v>3.5362416790752273E-5</v>
      </c>
      <c r="BB61" s="147">
        <f t="shared" ca="1" si="21"/>
        <v>3.0286989618337876E-5</v>
      </c>
      <c r="BC61" s="147">
        <f t="shared" ca="1" si="22"/>
        <v>1.2505388584788826E-4</v>
      </c>
      <c r="BD61" s="147">
        <f t="shared" ca="1" si="23"/>
        <v>1.7766066389344345E-4</v>
      </c>
    </row>
    <row r="62" spans="8:56" s="147" customFormat="1" ht="0.25" customHeight="1" x14ac:dyDescent="0.2">
      <c r="H62" s="147">
        <f t="shared" si="24"/>
        <v>421</v>
      </c>
      <c r="I62" s="147">
        <f>IF($H62&gt;$H61,INDEX(Spectra!62:62,1,MATCH($I$20,Spectra!$20:$20,0)),I61)</f>
        <v>1.9198151521703599E-3</v>
      </c>
      <c r="J62" s="147">
        <f>((Physics!$C$9*Physics!$C$10)/(Physics!$C$11*Physics!$C$12*$H62))^($J$17-$J$18)</f>
        <v>2.1199564965964634E+18</v>
      </c>
      <c r="K62" s="147">
        <f t="shared" si="25"/>
        <v>1</v>
      </c>
      <c r="L62" s="147">
        <f>INDEX(Photobiology!$21:$421,1+$H62-380,10)</f>
        <v>4.54624E-3</v>
      </c>
      <c r="M62" s="147">
        <f t="shared" si="26"/>
        <v>1.9198151521703599E-3</v>
      </c>
      <c r="N62" s="147">
        <f ca="1">INDEX(Photobiology!$21:$421,1+$H62-380,N$14)</f>
        <v>0.49335699999999999</v>
      </c>
      <c r="O62" s="147">
        <f ca="1">INDEX(Photobiology!$21:$421,1+$H62-380,O$14)</f>
        <v>2.9606199999999999E-2</v>
      </c>
      <c r="P62" s="147">
        <f ca="1">INDEX(Photobiology!$21:$421,1+$H62-380,P$14)</f>
        <v>2.4896100000000001E-2</v>
      </c>
      <c r="Q62" s="147">
        <f ca="1">INDEX(Photobiology!$21:$421,1+$H62-380,Q$14)</f>
        <v>0.1052</v>
      </c>
      <c r="R62" s="147">
        <f ca="1">INDEX(Photobiology!$21:$421,1+$H62-380,R$14)</f>
        <v>0.14744599999999999</v>
      </c>
      <c r="S62" s="147">
        <f t="shared" si="27"/>
        <v>4069924604107882.5</v>
      </c>
      <c r="T62" s="147">
        <f ca="1">INDEX(Photobiology!$21:$421,1+$H62-380,T$14)</f>
        <v>0.52433000879387537</v>
      </c>
      <c r="U62" s="147">
        <f ca="1">INDEX(Photobiology!$21:$421,1+$H62-380,U$14)</f>
        <v>3.8015336732258952E-2</v>
      </c>
      <c r="V62" s="147">
        <f ca="1">INDEX(Photobiology!$21:$421,1+$H62-380,V$14)</f>
        <v>3.3512873030756084E-2</v>
      </c>
      <c r="W62" s="147">
        <f ca="1">INDEX(Photobiology!$21:$421,1+$H62-380,W$14)</f>
        <v>0.12631909981726652</v>
      </c>
      <c r="X62" s="147">
        <f ca="1">INDEX(Photobiology!$21:$421,1+$H62-380,X$14)</f>
        <v>0.17125241271586869</v>
      </c>
      <c r="Y62" s="147">
        <f t="shared" si="14"/>
        <v>1.9198151521703599E-3</v>
      </c>
      <c r="Z62" s="147">
        <f t="shared" ca="1" si="28"/>
        <v>9.4715424402931224E-4</v>
      </c>
      <c r="AA62" s="147">
        <f t="shared" ca="1" si="15"/>
        <v>5.6838431358186109E-5</v>
      </c>
      <c r="AB62" s="147">
        <f t="shared" ca="1" si="16"/>
        <v>4.7795910009948498E-5</v>
      </c>
      <c r="AC62" s="147">
        <f t="shared" ca="1" si="17"/>
        <v>2.0196455400832186E-4</v>
      </c>
      <c r="AD62" s="147">
        <f t="shared" ca="1" si="18"/>
        <v>2.830690649269109E-4</v>
      </c>
      <c r="AH62" s="147">
        <f t="shared" si="29"/>
        <v>421</v>
      </c>
      <c r="AI62" s="147">
        <f>IF($AH62&gt;$AH61,INDEX(Spectra!62:62,1,MATCH($AI$20,Spectra!$20:$20,0)),AI61)</f>
        <v>92.756799999999998</v>
      </c>
      <c r="AJ62" s="147">
        <f>((Physics!$C$9*Physics!$C$10)/(Physics!$C$11*Physics!$C$12*$AH62))^($AJ$17-$AJ$18)</f>
        <v>2.1199564965964634E+18</v>
      </c>
      <c r="AK62" s="147">
        <f t="shared" si="30"/>
        <v>1</v>
      </c>
      <c r="AL62" s="147">
        <f>INDEX(Photobiology!$21:$421,1+$AH62-380,10)</f>
        <v>4.54624E-3</v>
      </c>
      <c r="AM62" s="147">
        <f t="shared" si="31"/>
        <v>1.2852011534680292E-3</v>
      </c>
      <c r="AN62" s="147">
        <f ca="1">INDEX(Photobiology!$21:$421,1+$AH62-380,AN$14)</f>
        <v>0.49335699999999999</v>
      </c>
      <c r="AO62" s="147">
        <f ca="1">INDEX(Photobiology!$21:$421,1+$AH62-380,AO$14)</f>
        <v>2.9606199999999999E-2</v>
      </c>
      <c r="AP62" s="147">
        <f ca="1">INDEX(Photobiology!$21:$421,1+$AH62-380,AP$14)</f>
        <v>2.4896100000000001E-2</v>
      </c>
      <c r="AQ62" s="147">
        <f ca="1">INDEX(Photobiology!$21:$421,1+$AH62-380,AQ$14)</f>
        <v>0.1052</v>
      </c>
      <c r="AR62" s="147">
        <f ca="1">INDEX(Photobiology!$21:$421,1+$AH62-380,AR$14)</f>
        <v>0.14744599999999999</v>
      </c>
      <c r="AS62" s="147">
        <f t="shared" si="32"/>
        <v>2724570534727817</v>
      </c>
      <c r="AT62" s="147">
        <f ca="1">INDEX(Photobiology!$21:$421,1+$AH62-380,AT$14)</f>
        <v>0.52433000879387537</v>
      </c>
      <c r="AU62" s="147">
        <f ca="1">INDEX(Photobiology!$21:$421,1+$AH62-380,AU$14)</f>
        <v>3.8015336732258952E-2</v>
      </c>
      <c r="AV62" s="147">
        <f ca="1">INDEX(Photobiology!$21:$421,1+$AH62-380,AV$14)</f>
        <v>3.3512873030756084E-2</v>
      </c>
      <c r="AW62" s="147">
        <f ca="1">INDEX(Photobiology!$21:$421,1+$AH62-380,AW$14)</f>
        <v>0.12631909981726652</v>
      </c>
      <c r="AX62" s="147">
        <f ca="1">INDEX(Photobiology!$21:$421,1+$AH62-380,AX$14)</f>
        <v>0.17125241271586869</v>
      </c>
      <c r="AY62" s="147">
        <f t="shared" si="19"/>
        <v>1.2852011534680292E-3</v>
      </c>
      <c r="AZ62" s="147">
        <f t="shared" ca="1" si="33"/>
        <v>6.3406298547152645E-4</v>
      </c>
      <c r="BA62" s="147">
        <f t="shared" ca="1" si="20"/>
        <v>3.8049922389805169E-5</v>
      </c>
      <c r="BB62" s="147">
        <f t="shared" ca="1" si="21"/>
        <v>3.1996496436855406E-5</v>
      </c>
      <c r="BC62" s="147">
        <f t="shared" ca="1" si="22"/>
        <v>1.3520316134483669E-4</v>
      </c>
      <c r="BD62" s="147">
        <f t="shared" ca="1" si="23"/>
        <v>1.8949776927424704E-4</v>
      </c>
    </row>
    <row r="63" spans="8:56" s="147" customFormat="1" ht="0.25" customHeight="1" x14ac:dyDescent="0.2">
      <c r="H63" s="147">
        <f t="shared" si="24"/>
        <v>422</v>
      </c>
      <c r="I63" s="147">
        <f>IF($H63&gt;$H62,INDEX(Spectra!63:63,1,MATCH($I$20,Spectra!$20:$20,0)),I62)</f>
        <v>1.9148156335449199E-3</v>
      </c>
      <c r="J63" s="147">
        <f>((Physics!$C$9*Physics!$C$10)/(Physics!$C$11*Physics!$C$12*$H63))^($J$17-$J$18)</f>
        <v>2.1249920227166446E+18</v>
      </c>
      <c r="K63" s="147">
        <f t="shared" si="25"/>
        <v>1</v>
      </c>
      <c r="L63" s="147">
        <f>INDEX(Photobiology!$21:$421,1+$H63-380,10)</f>
        <v>5.1593200000000002E-3</v>
      </c>
      <c r="M63" s="147">
        <f t="shared" si="26"/>
        <v>1.9148156335449199E-3</v>
      </c>
      <c r="N63" s="147">
        <f ca="1">INDEX(Photobiology!$21:$421,1+$H63-380,N$14)</f>
        <v>0.52300599999999997</v>
      </c>
      <c r="O63" s="147">
        <f ca="1">INDEX(Photobiology!$21:$421,1+$H63-380,O$14)</f>
        <v>3.1974599999999999E-2</v>
      </c>
      <c r="P63" s="147">
        <f ca="1">INDEX(Photobiology!$21:$421,1+$H63-380,P$14)</f>
        <v>2.63761E-2</v>
      </c>
      <c r="Q63" s="147">
        <f ca="1">INDEX(Photobiology!$21:$421,1+$H63-380,Q$14)</f>
        <v>0.11409999999999999</v>
      </c>
      <c r="R63" s="147">
        <f ca="1">INDEX(Photobiology!$21:$421,1+$H63-380,R$14)</f>
        <v>0.15701399999999999</v>
      </c>
      <c r="S63" s="147">
        <f t="shared" si="27"/>
        <v>4068967946256072.5</v>
      </c>
      <c r="T63" s="147">
        <f ca="1">INDEX(Photobiology!$21:$421,1+$H63-380,T$14)</f>
        <v>0.55452321910929503</v>
      </c>
      <c r="U63" s="147">
        <f ca="1">INDEX(Photobiology!$21:$421,1+$H63-380,U$14)</f>
        <v>4.0959150260538466E-2</v>
      </c>
      <c r="V63" s="147">
        <f ca="1">INDEX(Photobiology!$21:$421,1+$H63-380,V$14)</f>
        <v>3.5420979527969167E-2</v>
      </c>
      <c r="W63" s="147">
        <f ca="1">INDEX(Photobiology!$21:$421,1+$H63-380,W$14)</f>
        <v>0.13668113344773658</v>
      </c>
      <c r="X63" s="147">
        <f ca="1">INDEX(Photobiology!$21:$421,1+$H63-380,X$14)</f>
        <v>0.18193310268367383</v>
      </c>
      <c r="Y63" s="147">
        <f t="shared" si="14"/>
        <v>1.9148156335449199E-3</v>
      </c>
      <c r="Z63" s="147">
        <f t="shared" ca="1" si="28"/>
        <v>1.0014600652377944E-3</v>
      </c>
      <c r="AA63" s="147">
        <f t="shared" ca="1" si="15"/>
        <v>6.1225463956345399E-5</v>
      </c>
      <c r="AB63" s="147">
        <f t="shared" ca="1" si="16"/>
        <v>5.0505368631944162E-5</v>
      </c>
      <c r="AC63" s="147">
        <f t="shared" ca="1" si="17"/>
        <v>2.1848046378747534E-4</v>
      </c>
      <c r="AD63" s="147">
        <f t="shared" ca="1" si="18"/>
        <v>3.0065286188542202E-4</v>
      </c>
      <c r="AH63" s="147">
        <f t="shared" si="29"/>
        <v>422</v>
      </c>
      <c r="AI63" s="147">
        <f>IF($AH63&gt;$AH62,INDEX(Spectra!63:63,1,MATCH($AI$20,Spectra!$20:$20,0)),AI62)</f>
        <v>92.081900000000005</v>
      </c>
      <c r="AJ63" s="147">
        <f>((Physics!$C$9*Physics!$C$10)/(Physics!$C$11*Physics!$C$12*$AH63))^($AJ$17-$AJ$18)</f>
        <v>2.1249920227166446E+18</v>
      </c>
      <c r="AK63" s="147">
        <f t="shared" si="30"/>
        <v>1</v>
      </c>
      <c r="AL63" s="147">
        <f>INDEX(Photobiology!$21:$421,1+$AH63-380,10)</f>
        <v>5.1593200000000002E-3</v>
      </c>
      <c r="AM63" s="147">
        <f t="shared" si="31"/>
        <v>1.2758500087705453E-3</v>
      </c>
      <c r="AN63" s="147">
        <f ca="1">INDEX(Photobiology!$21:$421,1+$AH63-380,AN$14)</f>
        <v>0.52300599999999997</v>
      </c>
      <c r="AO63" s="147">
        <f ca="1">INDEX(Photobiology!$21:$421,1+$AH63-380,AO$14)</f>
        <v>3.1974599999999999E-2</v>
      </c>
      <c r="AP63" s="147">
        <f ca="1">INDEX(Photobiology!$21:$421,1+$AH63-380,AP$14)</f>
        <v>2.63761E-2</v>
      </c>
      <c r="AQ63" s="147">
        <f ca="1">INDEX(Photobiology!$21:$421,1+$AH63-380,AQ$14)</f>
        <v>0.11409999999999999</v>
      </c>
      <c r="AR63" s="147">
        <f ca="1">INDEX(Photobiology!$21:$421,1+$AH63-380,AR$14)</f>
        <v>0.15701399999999999</v>
      </c>
      <c r="AS63" s="147">
        <f t="shared" si="32"/>
        <v>2711171090820370</v>
      </c>
      <c r="AT63" s="147">
        <f ca="1">INDEX(Photobiology!$21:$421,1+$AH63-380,AT$14)</f>
        <v>0.55452321910929503</v>
      </c>
      <c r="AU63" s="147">
        <f ca="1">INDEX(Photobiology!$21:$421,1+$AH63-380,AU$14)</f>
        <v>4.0959150260538466E-2</v>
      </c>
      <c r="AV63" s="147">
        <f ca="1">INDEX(Photobiology!$21:$421,1+$AH63-380,AV$14)</f>
        <v>3.5420979527969167E-2</v>
      </c>
      <c r="AW63" s="147">
        <f ca="1">INDEX(Photobiology!$21:$421,1+$AH63-380,AW$14)</f>
        <v>0.13668113344773658</v>
      </c>
      <c r="AX63" s="147">
        <f ca="1">INDEX(Photobiology!$21:$421,1+$AH63-380,AX$14)</f>
        <v>0.18193310268367383</v>
      </c>
      <c r="AY63" s="147">
        <f t="shared" si="19"/>
        <v>1.2758500087705453E-3</v>
      </c>
      <c r="AZ63" s="147">
        <f t="shared" ca="1" si="33"/>
        <v>6.6727720968704776E-4</v>
      </c>
      <c r="BA63" s="147">
        <f t="shared" ca="1" si="20"/>
        <v>4.0794793690434674E-5</v>
      </c>
      <c r="BB63" s="147">
        <f t="shared" ca="1" si="21"/>
        <v>3.3651947416332778E-5</v>
      </c>
      <c r="BC63" s="147">
        <f t="shared" ca="1" si="22"/>
        <v>1.455744860007192E-4</v>
      </c>
      <c r="BD63" s="147">
        <f t="shared" ca="1" si="23"/>
        <v>2.0032631327709837E-4</v>
      </c>
    </row>
    <row r="64" spans="8:56" s="147" customFormat="1" ht="0.25" customHeight="1" x14ac:dyDescent="0.2">
      <c r="H64" s="147">
        <f t="shared" si="24"/>
        <v>423</v>
      </c>
      <c r="I64" s="147">
        <f>IF($H64&gt;$H63,INDEX(Spectra!64:64,1,MATCH($I$20,Spectra!$20:$20,0)),I63)</f>
        <v>1.8998170776685899E-3</v>
      </c>
      <c r="J64" s="147">
        <f>((Physics!$C$9*Physics!$C$10)/(Physics!$C$11*Physics!$C$12*$H64))^($J$17-$J$18)</f>
        <v>2.1300275488368264E+18</v>
      </c>
      <c r="K64" s="147">
        <f t="shared" si="25"/>
        <v>1</v>
      </c>
      <c r="L64" s="147">
        <f>INDEX(Photobiology!$21:$421,1+$H64-380,10)</f>
        <v>5.8292800000000001E-3</v>
      </c>
      <c r="M64" s="147">
        <f t="shared" si="26"/>
        <v>1.8998170776685899E-3</v>
      </c>
      <c r="N64" s="147">
        <f ca="1">INDEX(Photobiology!$21:$421,1+$H64-380,N$14)</f>
        <v>0.55193899999999996</v>
      </c>
      <c r="O64" s="147">
        <f ca="1">INDEX(Photobiology!$21:$421,1+$H64-380,O$14)</f>
        <v>3.4432999999999998E-2</v>
      </c>
      <c r="P64" s="147">
        <f ca="1">INDEX(Photobiology!$21:$421,1+$H64-380,P$14)</f>
        <v>2.78541E-2</v>
      </c>
      <c r="Q64" s="147">
        <f ca="1">INDEX(Photobiology!$21:$421,1+$H64-380,Q$14)</f>
        <v>0.1235</v>
      </c>
      <c r="R64" s="147">
        <f ca="1">INDEX(Photobiology!$21:$421,1+$H64-380,R$14)</f>
        <v>0.166463</v>
      </c>
      <c r="S64" s="147">
        <f t="shared" si="27"/>
        <v>4046662713184769</v>
      </c>
      <c r="T64" s="147">
        <f ca="1">INDEX(Photobiology!$21:$421,1+$H64-380,T$14)</f>
        <v>0.58381631924237365</v>
      </c>
      <c r="U64" s="147">
        <f ca="1">INDEX(Photobiology!$21:$421,1+$H64-380,U$14)</f>
        <v>4.4004061618465887E-2</v>
      </c>
      <c r="V64" s="147">
        <f ca="1">INDEX(Photobiology!$21:$421,1+$H64-380,V$14)</f>
        <v>3.7317384755516624E-2</v>
      </c>
      <c r="W64" s="147">
        <f ca="1">INDEX(Photobiology!$21:$421,1+$H64-380,W$14)</f>
        <v>0.14759171130412513</v>
      </c>
      <c r="X64" s="147">
        <f ca="1">INDEX(Photobiology!$21:$421,1+$H64-380,X$14)</f>
        <v>0.19242573286364686</v>
      </c>
      <c r="Y64" s="147">
        <f t="shared" si="14"/>
        <v>1.8998170776685899E-3</v>
      </c>
      <c r="Z64" s="147">
        <f t="shared" ca="1" si="28"/>
        <v>1.0485831380313239E-3</v>
      </c>
      <c r="AA64" s="147">
        <f t="shared" ca="1" si="15"/>
        <v>6.5416401435362557E-5</v>
      </c>
      <c r="AB64" s="147">
        <f t="shared" ca="1" si="16"/>
        <v>5.2917694863088667E-5</v>
      </c>
      <c r="AC64" s="147">
        <f t="shared" ca="1" si="17"/>
        <v>2.3462740909207085E-4</v>
      </c>
      <c r="AD64" s="147">
        <f t="shared" ca="1" si="18"/>
        <v>3.1624925019994648E-4</v>
      </c>
      <c r="AH64" s="147">
        <f t="shared" si="29"/>
        <v>423</v>
      </c>
      <c r="AI64" s="147">
        <f>IF($AH64&gt;$AH63,INDEX(Spectra!64:64,1,MATCH($AI$20,Spectra!$20:$20,0)),AI63)</f>
        <v>91.406899999999993</v>
      </c>
      <c r="AJ64" s="147">
        <f>((Physics!$C$9*Physics!$C$10)/(Physics!$C$11*Physics!$C$12*$AH64))^($AJ$17-$AJ$18)</f>
        <v>2.1300275488368264E+18</v>
      </c>
      <c r="AK64" s="147">
        <f t="shared" si="30"/>
        <v>1</v>
      </c>
      <c r="AL64" s="147">
        <f>INDEX(Photobiology!$21:$421,1+$AH64-380,10)</f>
        <v>5.8292800000000001E-3</v>
      </c>
      <c r="AM64" s="147">
        <f t="shared" si="31"/>
        <v>1.2664974785130232E-3</v>
      </c>
      <c r="AN64" s="147">
        <f ca="1">INDEX(Photobiology!$21:$421,1+$AH64-380,AN$14)</f>
        <v>0.55193899999999996</v>
      </c>
      <c r="AO64" s="147">
        <f ca="1">INDEX(Photobiology!$21:$421,1+$AH64-380,AO$14)</f>
        <v>3.4432999999999998E-2</v>
      </c>
      <c r="AP64" s="147">
        <f ca="1">INDEX(Photobiology!$21:$421,1+$AH64-380,AP$14)</f>
        <v>2.78541E-2</v>
      </c>
      <c r="AQ64" s="147">
        <f ca="1">INDEX(Photobiology!$21:$421,1+$AH64-380,AQ$14)</f>
        <v>0.1235</v>
      </c>
      <c r="AR64" s="147">
        <f ca="1">INDEX(Photobiology!$21:$421,1+$AH64-380,AR$14)</f>
        <v>0.166463</v>
      </c>
      <c r="AS64" s="147">
        <f t="shared" si="32"/>
        <v>2697674519765116</v>
      </c>
      <c r="AT64" s="147">
        <f ca="1">INDEX(Photobiology!$21:$421,1+$AH64-380,AT$14)</f>
        <v>0.58381631924237365</v>
      </c>
      <c r="AU64" s="147">
        <f ca="1">INDEX(Photobiology!$21:$421,1+$AH64-380,AU$14)</f>
        <v>4.4004061618465887E-2</v>
      </c>
      <c r="AV64" s="147">
        <f ca="1">INDEX(Photobiology!$21:$421,1+$AH64-380,AV$14)</f>
        <v>3.7317384755516624E-2</v>
      </c>
      <c r="AW64" s="147">
        <f ca="1">INDEX(Photobiology!$21:$421,1+$AH64-380,AW$14)</f>
        <v>0.14759171130412513</v>
      </c>
      <c r="AX64" s="147">
        <f ca="1">INDEX(Photobiology!$21:$421,1+$AH64-380,AX$14)</f>
        <v>0.19242573286364686</v>
      </c>
      <c r="AY64" s="147">
        <f t="shared" si="19"/>
        <v>1.2664974785130232E-3</v>
      </c>
      <c r="AZ64" s="147">
        <f t="shared" ca="1" si="33"/>
        <v>6.9902935179299945E-4</v>
      </c>
      <c r="BA64" s="147">
        <f t="shared" ca="1" si="20"/>
        <v>4.3609307677638923E-5</v>
      </c>
      <c r="BB64" s="147">
        <f t="shared" ca="1" si="21"/>
        <v>3.5277147416249598E-5</v>
      </c>
      <c r="BC64" s="147">
        <f t="shared" ca="1" si="22"/>
        <v>1.5641243859635835E-4</v>
      </c>
      <c r="BD64" s="147">
        <f t="shared" ca="1" si="23"/>
        <v>2.1082496976571337E-4</v>
      </c>
    </row>
    <row r="65" spans="8:56" s="147" customFormat="1" ht="0.25" customHeight="1" x14ac:dyDescent="0.2">
      <c r="H65" s="147">
        <f t="shared" si="24"/>
        <v>424</v>
      </c>
      <c r="I65" s="147">
        <f>IF($H65&gt;$H64,INDEX(Spectra!65:65,1,MATCH($I$20,Spectra!$20:$20,0)),I64)</f>
        <v>1.8798190031668099E-3</v>
      </c>
      <c r="J65" s="147">
        <f>((Physics!$C$9*Physics!$C$10)/(Physics!$C$11*Physics!$C$12*$H65))^($J$17-$J$18)</f>
        <v>2.1350630749570079E+18</v>
      </c>
      <c r="K65" s="147">
        <f t="shared" si="25"/>
        <v>1</v>
      </c>
      <c r="L65" s="147">
        <f>INDEX(Photobiology!$21:$421,1+$H65-380,10)</f>
        <v>6.5461599999999997E-3</v>
      </c>
      <c r="M65" s="147">
        <f t="shared" si="26"/>
        <v>1.8798190031668099E-3</v>
      </c>
      <c r="N65" s="147">
        <f ca="1">INDEX(Photobiology!$21:$421,1+$H65-380,N$14)</f>
        <v>0.58059899999999998</v>
      </c>
      <c r="O65" s="147">
        <f ca="1">INDEX(Photobiology!$21:$421,1+$H65-380,O$14)</f>
        <v>3.6998299999999998E-2</v>
      </c>
      <c r="P65" s="147">
        <f ca="1">INDEX(Photobiology!$21:$421,1+$H65-380,P$14)</f>
        <v>2.9355099999999999E-2</v>
      </c>
      <c r="Q65" s="147">
        <f ca="1">INDEX(Photobiology!$21:$421,1+$H65-380,Q$14)</f>
        <v>0.13339999999999999</v>
      </c>
      <c r="R65" s="147">
        <f ca="1">INDEX(Photobiology!$21:$421,1+$H65-380,R$14)</f>
        <v>0.176316</v>
      </c>
      <c r="S65" s="147">
        <f t="shared" si="27"/>
        <v>4013532141263946.5</v>
      </c>
      <c r="T65" s="147">
        <f ca="1">INDEX(Photobiology!$21:$421,1+$H65-380,T$14)</f>
        <v>0.61268315827373099</v>
      </c>
      <c r="U65" s="147">
        <f ca="1">INDEX(Photobiology!$21:$421,1+$H65-380,U$14)</f>
        <v>4.7170902109449339E-2</v>
      </c>
      <c r="V65" s="147">
        <f ca="1">INDEX(Photobiology!$21:$421,1+$H65-380,V$14)</f>
        <v>3.923558613022772E-2</v>
      </c>
      <c r="W65" s="147">
        <f ca="1">INDEX(Photobiology!$21:$421,1+$H65-380,W$14)</f>
        <v>0.15904695217728657</v>
      </c>
      <c r="X65" s="147">
        <f ca="1">INDEX(Photobiology!$21:$421,1+$H65-380,X$14)</f>
        <v>0.20333477872828332</v>
      </c>
      <c r="Y65" s="147">
        <f t="shared" si="14"/>
        <v>1.8798190031668099E-3</v>
      </c>
      <c r="Z65" s="147">
        <f t="shared" ca="1" si="28"/>
        <v>1.0914210334196466E-3</v>
      </c>
      <c r="AA65" s="147">
        <f t="shared" ca="1" si="15"/>
        <v>6.9550107424866579E-5</v>
      </c>
      <c r="AB65" s="147">
        <f t="shared" ca="1" si="16"/>
        <v>5.5182274819862018E-5</v>
      </c>
      <c r="AC65" s="147">
        <f t="shared" ca="1" si="17"/>
        <v>2.5076785502245241E-4</v>
      </c>
      <c r="AD65" s="147">
        <f t="shared" ca="1" si="18"/>
        <v>3.3144216736235926E-4</v>
      </c>
      <c r="AH65" s="147">
        <f t="shared" si="29"/>
        <v>424</v>
      </c>
      <c r="AI65" s="147">
        <f>IF($AH65&gt;$AH64,INDEX(Spectra!65:65,1,MATCH($AI$20,Spectra!$20:$20,0)),AI64)</f>
        <v>90.731999999999999</v>
      </c>
      <c r="AJ65" s="147">
        <f>((Physics!$C$9*Physics!$C$10)/(Physics!$C$11*Physics!$C$12*$AH65))^($AJ$17-$AJ$18)</f>
        <v>2.1350630749570079E+18</v>
      </c>
      <c r="AK65" s="147">
        <f t="shared" si="30"/>
        <v>1</v>
      </c>
      <c r="AL65" s="147">
        <f>INDEX(Photobiology!$21:$421,1+$AH65-380,10)</f>
        <v>6.5461599999999997E-3</v>
      </c>
      <c r="AM65" s="147">
        <f t="shared" si="31"/>
        <v>1.2571463338155392E-3</v>
      </c>
      <c r="AN65" s="147">
        <f ca="1">INDEX(Photobiology!$21:$421,1+$AH65-380,AN$14)</f>
        <v>0.58059899999999998</v>
      </c>
      <c r="AO65" s="147">
        <f ca="1">INDEX(Photobiology!$21:$421,1+$AH65-380,AO$14)</f>
        <v>3.6998299999999998E-2</v>
      </c>
      <c r="AP65" s="147">
        <f ca="1">INDEX(Photobiology!$21:$421,1+$AH65-380,AP$14)</f>
        <v>2.9355099999999999E-2</v>
      </c>
      <c r="AQ65" s="147">
        <f ca="1">INDEX(Photobiology!$21:$421,1+$AH65-380,AQ$14)</f>
        <v>0.13339999999999999</v>
      </c>
      <c r="AR65" s="147">
        <f ca="1">INDEX(Photobiology!$21:$421,1+$AH65-380,AR$14)</f>
        <v>0.176316</v>
      </c>
      <c r="AS65" s="147">
        <f t="shared" si="32"/>
        <v>2684086717147134.5</v>
      </c>
      <c r="AT65" s="147">
        <f ca="1">INDEX(Photobiology!$21:$421,1+$AH65-380,AT$14)</f>
        <v>0.61268315827373099</v>
      </c>
      <c r="AU65" s="147">
        <f ca="1">INDEX(Photobiology!$21:$421,1+$AH65-380,AU$14)</f>
        <v>4.7170902109449339E-2</v>
      </c>
      <c r="AV65" s="147">
        <f ca="1">INDEX(Photobiology!$21:$421,1+$AH65-380,AV$14)</f>
        <v>3.923558613022772E-2</v>
      </c>
      <c r="AW65" s="147">
        <f ca="1">INDEX(Photobiology!$21:$421,1+$AH65-380,AW$14)</f>
        <v>0.15904695217728657</v>
      </c>
      <c r="AX65" s="147">
        <f ca="1">INDEX(Photobiology!$21:$421,1+$AH65-380,AX$14)</f>
        <v>0.20333477872828332</v>
      </c>
      <c r="AY65" s="147">
        <f t="shared" si="19"/>
        <v>1.2571463338155392E-3</v>
      </c>
      <c r="AZ65" s="147">
        <f t="shared" ca="1" si="33"/>
        <v>7.2989790426696824E-4</v>
      </c>
      <c r="BA65" s="147">
        <f t="shared" ca="1" si="20"/>
        <v>4.6512277202407463E-5</v>
      </c>
      <c r="BB65" s="147">
        <f t="shared" ca="1" si="21"/>
        <v>3.6903656343788532E-5</v>
      </c>
      <c r="BC65" s="147">
        <f t="shared" ca="1" si="22"/>
        <v>1.6770332093099291E-4</v>
      </c>
      <c r="BD65" s="147">
        <f t="shared" ca="1" si="23"/>
        <v>2.216550129930206E-4</v>
      </c>
    </row>
    <row r="66" spans="8:56" s="147" customFormat="1" ht="0.25" customHeight="1" x14ac:dyDescent="0.2">
      <c r="H66" s="147">
        <f t="shared" si="24"/>
        <v>425</v>
      </c>
      <c r="I66" s="147">
        <f>IF($H66&gt;$H65,INDEX(Spectra!66:66,1,MATCH($I$20,Spectra!$20:$20,0)),I65)</f>
        <v>1.8598209286650399E-3</v>
      </c>
      <c r="J66" s="147">
        <f>((Physics!$C$9*Physics!$C$10)/(Physics!$C$11*Physics!$C$12*$H66))^($J$17-$J$18)</f>
        <v>2.1400986010771894E+18</v>
      </c>
      <c r="K66" s="147">
        <f t="shared" si="25"/>
        <v>1</v>
      </c>
      <c r="L66" s="147">
        <f>INDEX(Photobiology!$21:$421,1+$H66-380,10)</f>
        <v>7.3000000000000001E-3</v>
      </c>
      <c r="M66" s="147">
        <f t="shared" si="26"/>
        <v>1.8598209286650399E-3</v>
      </c>
      <c r="N66" s="147">
        <f ca="1">INDEX(Photobiology!$21:$421,1+$H66-380,N$14)</f>
        <v>0.60956999999999995</v>
      </c>
      <c r="O66" s="147">
        <f ca="1">INDEX(Photobiology!$21:$421,1+$H66-380,O$14)</f>
        <v>3.96928E-2</v>
      </c>
      <c r="P66" s="147">
        <f ca="1">INDEX(Photobiology!$21:$421,1+$H66-380,P$14)</f>
        <v>3.0910400000000001E-2</v>
      </c>
      <c r="Q66" s="147">
        <f ca="1">INDEX(Photobiology!$21:$421,1+$H66-380,Q$14)</f>
        <v>0.14360000000000001</v>
      </c>
      <c r="R66" s="147">
        <f ca="1">INDEX(Photobiology!$21:$421,1+$H66-380,R$14)</f>
        <v>0.18709600000000001</v>
      </c>
      <c r="S66" s="147">
        <f t="shared" si="27"/>
        <v>3980200167690131</v>
      </c>
      <c r="T66" s="147">
        <f ca="1">INDEX(Photobiology!$21:$421,1+$H66-380,T$14)</f>
        <v>0.64174156715230635</v>
      </c>
      <c r="U66" s="147">
        <f ca="1">INDEX(Photobiology!$21:$421,1+$H66-380,U$14)</f>
        <v>5.0487175496488096E-2</v>
      </c>
      <c r="V66" s="147">
        <f ca="1">INDEX(Photobiology!$21:$421,1+$H66-380,V$14)</f>
        <v>4.1217166471675643E-2</v>
      </c>
      <c r="W66" s="147">
        <f ca="1">INDEX(Photobiology!$21:$421,1+$H66-380,W$14)</f>
        <v>0.17080512124609121</v>
      </c>
      <c r="X66" s="147">
        <f ca="1">INDEX(Photobiology!$21:$421,1+$H66-380,X$14)</f>
        <v>0.21525902656916104</v>
      </c>
      <c r="Y66" s="147">
        <f t="shared" si="14"/>
        <v>1.8598209286650399E-3</v>
      </c>
      <c r="Z66" s="147">
        <f t="shared" ca="1" si="28"/>
        <v>1.1336910434863482E-3</v>
      </c>
      <c r="AA66" s="147">
        <f t="shared" ca="1" si="15"/>
        <v>7.3821500157315693E-5</v>
      </c>
      <c r="AB66" s="147">
        <f t="shared" ca="1" si="16"/>
        <v>5.748780883340785E-5</v>
      </c>
      <c r="AC66" s="147">
        <f t="shared" ca="1" si="17"/>
        <v>2.6707028535629974E-4</v>
      </c>
      <c r="AD66" s="147">
        <f t="shared" ca="1" si="18"/>
        <v>3.4796505646951433E-4</v>
      </c>
      <c r="AH66" s="147">
        <f t="shared" si="29"/>
        <v>425</v>
      </c>
      <c r="AI66" s="147">
        <f>IF($AH66&gt;$AH65,INDEX(Spectra!66:66,1,MATCH($AI$20,Spectra!$20:$20,0)),AI65)</f>
        <v>90.057000000000002</v>
      </c>
      <c r="AJ66" s="147">
        <f>((Physics!$C$9*Physics!$C$10)/(Physics!$C$11*Physics!$C$12*$AH66))^($AJ$17-$AJ$18)</f>
        <v>2.1400986010771894E+18</v>
      </c>
      <c r="AK66" s="147">
        <f t="shared" si="30"/>
        <v>1</v>
      </c>
      <c r="AL66" s="147">
        <f>INDEX(Photobiology!$21:$421,1+$AH66-380,10)</f>
        <v>7.3000000000000001E-3</v>
      </c>
      <c r="AM66" s="147">
        <f t="shared" si="31"/>
        <v>1.2477938035580173E-3</v>
      </c>
      <c r="AN66" s="147">
        <f ca="1">INDEX(Photobiology!$21:$421,1+$AH66-380,AN$14)</f>
        <v>0.60956999999999995</v>
      </c>
      <c r="AO66" s="147">
        <f ca="1">INDEX(Photobiology!$21:$421,1+$AH66-380,AO$14)</f>
        <v>3.96928E-2</v>
      </c>
      <c r="AP66" s="147">
        <f ca="1">INDEX(Photobiology!$21:$421,1+$AH66-380,AP$14)</f>
        <v>3.0910400000000001E-2</v>
      </c>
      <c r="AQ66" s="147">
        <f ca="1">INDEX(Photobiology!$21:$421,1+$AH66-380,AQ$14)</f>
        <v>0.14360000000000001</v>
      </c>
      <c r="AR66" s="147">
        <f ca="1">INDEX(Photobiology!$21:$421,1+$AH66-380,AR$14)</f>
        <v>0.18709600000000001</v>
      </c>
      <c r="AS66" s="147">
        <f t="shared" si="32"/>
        <v>2670401773427298</v>
      </c>
      <c r="AT66" s="147">
        <f ca="1">INDEX(Photobiology!$21:$421,1+$AH66-380,AT$14)</f>
        <v>0.64174156715230635</v>
      </c>
      <c r="AU66" s="147">
        <f ca="1">INDEX(Photobiology!$21:$421,1+$AH66-380,AU$14)</f>
        <v>5.0487175496488096E-2</v>
      </c>
      <c r="AV66" s="147">
        <f ca="1">INDEX(Photobiology!$21:$421,1+$AH66-380,AV$14)</f>
        <v>4.1217166471675643E-2</v>
      </c>
      <c r="AW66" s="147">
        <f ca="1">INDEX(Photobiology!$21:$421,1+$AH66-380,AW$14)</f>
        <v>0.17080512124609121</v>
      </c>
      <c r="AX66" s="147">
        <f ca="1">INDEX(Photobiology!$21:$421,1+$AH66-380,AX$14)</f>
        <v>0.21525902656916104</v>
      </c>
      <c r="AY66" s="147">
        <f t="shared" si="19"/>
        <v>1.2477938035580173E-3</v>
      </c>
      <c r="AZ66" s="147">
        <f t="shared" ca="1" si="33"/>
        <v>7.6061766883486054E-4</v>
      </c>
      <c r="BA66" s="147">
        <f t="shared" ca="1" si="20"/>
        <v>4.9528429885867671E-5</v>
      </c>
      <c r="BB66" s="147">
        <f t="shared" ca="1" si="21"/>
        <v>3.8569805585499739E-5</v>
      </c>
      <c r="BC66" s="147">
        <f t="shared" ca="1" si="22"/>
        <v>1.7918319019093128E-4</v>
      </c>
      <c r="BD66" s="147">
        <f t="shared" ca="1" si="23"/>
        <v>2.3345722947049082E-4</v>
      </c>
    </row>
    <row r="67" spans="8:56" s="147" customFormat="1" ht="0.25" customHeight="1" x14ac:dyDescent="0.2">
      <c r="H67" s="147">
        <f t="shared" si="24"/>
        <v>426</v>
      </c>
      <c r="I67" s="147">
        <f>IF($H67&gt;$H66,INDEX(Spectra!67:67,1,MATCH($I$20,Spectra!$20:$20,0)),I66)</f>
        <v>1.8248242982869299E-3</v>
      </c>
      <c r="J67" s="147">
        <f>((Physics!$C$9*Physics!$C$10)/(Physics!$C$11*Physics!$C$12*$H67))^($J$17-$J$18)</f>
        <v>2.1451341271973714E+18</v>
      </c>
      <c r="K67" s="147">
        <f t="shared" si="25"/>
        <v>1</v>
      </c>
      <c r="L67" s="147">
        <f>INDEX(Photobiology!$21:$421,1+$H67-380,10)</f>
        <v>8.0865069999999997E-3</v>
      </c>
      <c r="M67" s="147">
        <f t="shared" si="26"/>
        <v>1.8248242982869299E-3</v>
      </c>
      <c r="N67" s="147">
        <f ca="1">INDEX(Photobiology!$21:$421,1+$H67-380,N$14)</f>
        <v>0.63935900000000001</v>
      </c>
      <c r="O67" s="147">
        <f ca="1">INDEX(Photobiology!$21:$421,1+$H67-380,O$14)</f>
        <v>4.25402E-2</v>
      </c>
      <c r="P67" s="147">
        <f ca="1">INDEX(Photobiology!$21:$421,1+$H67-380,P$14)</f>
        <v>3.2549799999999997E-2</v>
      </c>
      <c r="Q67" s="147">
        <f ca="1">INDEX(Photobiology!$21:$421,1+$H67-380,Q$14)</f>
        <v>0.15409999999999999</v>
      </c>
      <c r="R67" s="147">
        <f ca="1">INDEX(Photobiology!$21:$421,1+$H67-380,R$14)</f>
        <v>0.19921</v>
      </c>
      <c r="S67" s="147">
        <f t="shared" si="27"/>
        <v>3914492878394289</v>
      </c>
      <c r="T67" s="147">
        <f ca="1">INDEX(Photobiology!$21:$421,1+$H67-380,T$14)</f>
        <v>0.67152270202244424</v>
      </c>
      <c r="U67" s="147">
        <f ca="1">INDEX(Photobiology!$21:$421,1+$H67-380,U$14)</f>
        <v>5.3981903838301738E-2</v>
      </c>
      <c r="V67" s="147">
        <f ca="1">INDEX(Photobiology!$21:$421,1+$H67-380,V$14)</f>
        <v>4.3301322685504268E-2</v>
      </c>
      <c r="W67" s="147">
        <f ca="1">INDEX(Photobiology!$21:$421,1+$H67-380,W$14)</f>
        <v>0.18286408521338662</v>
      </c>
      <c r="X67" s="147">
        <f ca="1">INDEX(Photobiology!$21:$421,1+$H67-380,X$14)</f>
        <v>0.22865849241171982</v>
      </c>
      <c r="Y67" s="147">
        <f t="shared" si="14"/>
        <v>1.8248242982869299E-3</v>
      </c>
      <c r="Z67" s="147">
        <f t="shared" ca="1" si="28"/>
        <v>1.1667178385284332E-3</v>
      </c>
      <c r="AA67" s="147">
        <f t="shared" ca="1" si="15"/>
        <v>7.7628390613985652E-5</v>
      </c>
      <c r="AB67" s="147">
        <f t="shared" ca="1" si="16"/>
        <v>5.9397665944379909E-5</v>
      </c>
      <c r="AC67" s="147">
        <f t="shared" ca="1" si="17"/>
        <v>2.8120542436601588E-4</v>
      </c>
      <c r="AD67" s="147">
        <f t="shared" ca="1" si="18"/>
        <v>3.6352324846173934E-4</v>
      </c>
      <c r="AH67" s="147">
        <f t="shared" si="29"/>
        <v>426</v>
      </c>
      <c r="AI67" s="147">
        <f>IF($AH67&gt;$AH66,INDEX(Spectra!67:67,1,MATCH($AI$20,Spectra!$20:$20,0)),AI66)</f>
        <v>89.382099999999994</v>
      </c>
      <c r="AJ67" s="147">
        <f>((Physics!$C$9*Physics!$C$10)/(Physics!$C$11*Physics!$C$12*$AH67))^($AJ$17-$AJ$18)</f>
        <v>2.1451341271973714E+18</v>
      </c>
      <c r="AK67" s="147">
        <f t="shared" si="30"/>
        <v>1</v>
      </c>
      <c r="AL67" s="147">
        <f>INDEX(Photobiology!$21:$421,1+$AH67-380,10)</f>
        <v>8.0865069999999997E-3</v>
      </c>
      <c r="AM67" s="147">
        <f t="shared" si="31"/>
        <v>1.2384426588605334E-3</v>
      </c>
      <c r="AN67" s="147">
        <f ca="1">INDEX(Photobiology!$21:$421,1+$AH67-380,AN$14)</f>
        <v>0.63935900000000001</v>
      </c>
      <c r="AO67" s="147">
        <f ca="1">INDEX(Photobiology!$21:$421,1+$AH67-380,AO$14)</f>
        <v>4.25402E-2</v>
      </c>
      <c r="AP67" s="147">
        <f ca="1">INDEX(Photobiology!$21:$421,1+$AH67-380,AP$14)</f>
        <v>3.2549799999999997E-2</v>
      </c>
      <c r="AQ67" s="147">
        <f ca="1">INDEX(Photobiology!$21:$421,1+$AH67-380,AQ$14)</f>
        <v>0.15409999999999999</v>
      </c>
      <c r="AR67" s="147">
        <f ca="1">INDEX(Photobiology!$21:$421,1+$AH67-380,AR$14)</f>
        <v>0.19921</v>
      </c>
      <c r="AS67" s="147">
        <f t="shared" si="32"/>
        <v>2656625612098782</v>
      </c>
      <c r="AT67" s="147">
        <f ca="1">INDEX(Photobiology!$21:$421,1+$AH67-380,AT$14)</f>
        <v>0.67152270202244424</v>
      </c>
      <c r="AU67" s="147">
        <f ca="1">INDEX(Photobiology!$21:$421,1+$AH67-380,AU$14)</f>
        <v>5.3981903838301738E-2</v>
      </c>
      <c r="AV67" s="147">
        <f ca="1">INDEX(Photobiology!$21:$421,1+$AH67-380,AV$14)</f>
        <v>4.3301322685504268E-2</v>
      </c>
      <c r="AW67" s="147">
        <f ca="1">INDEX(Photobiology!$21:$421,1+$AH67-380,AW$14)</f>
        <v>0.18286408521338662</v>
      </c>
      <c r="AX67" s="147">
        <f ca="1">INDEX(Photobiology!$21:$421,1+$AH67-380,AX$14)</f>
        <v>0.22865849241171982</v>
      </c>
      <c r="AY67" s="147">
        <f t="shared" si="19"/>
        <v>1.2384426588605334E-3</v>
      </c>
      <c r="AZ67" s="147">
        <f t="shared" ca="1" si="33"/>
        <v>7.9180945992641182E-4</v>
      </c>
      <c r="BA67" s="147">
        <f t="shared" ca="1" si="20"/>
        <v>5.2683598396458859E-5</v>
      </c>
      <c r="BB67" s="147">
        <f t="shared" ca="1" si="21"/>
        <v>4.0311060857378586E-5</v>
      </c>
      <c r="BC67" s="147">
        <f t="shared" ca="1" si="22"/>
        <v>1.9084401373040819E-4</v>
      </c>
      <c r="BD67" s="147">
        <f t="shared" ca="1" si="23"/>
        <v>2.4671016207160687E-4</v>
      </c>
    </row>
    <row r="68" spans="8:56" s="147" customFormat="1" ht="0.25" customHeight="1" x14ac:dyDescent="0.2">
      <c r="H68" s="147">
        <f t="shared" si="24"/>
        <v>427</v>
      </c>
      <c r="I68" s="147">
        <f>IF($H68&gt;$H67,INDEX(Spectra!68:68,1,MATCH($I$20,Spectra!$20:$20,0)),I67)</f>
        <v>1.7798286306579399E-3</v>
      </c>
      <c r="J68" s="147">
        <f>((Physics!$C$9*Physics!$C$10)/(Physics!$C$11*Physics!$C$12*$H68))^($J$17-$J$18)</f>
        <v>2.1501696533175526E+18</v>
      </c>
      <c r="K68" s="147">
        <f t="shared" si="25"/>
        <v>1</v>
      </c>
      <c r="L68" s="147">
        <f>INDEX(Photobiology!$21:$421,1+$H68-380,10)</f>
        <v>8.9087200000000002E-3</v>
      </c>
      <c r="M68" s="147">
        <f t="shared" si="26"/>
        <v>1.7798286306579399E-3</v>
      </c>
      <c r="N68" s="147">
        <f ca="1">INDEX(Photobiology!$21:$421,1+$H68-380,N$14)</f>
        <v>0.669651</v>
      </c>
      <c r="O68" s="147">
        <f ca="1">INDEX(Photobiology!$21:$421,1+$H68-380,O$14)</f>
        <v>4.5547400000000002E-2</v>
      </c>
      <c r="P68" s="147">
        <f ca="1">INDEX(Photobiology!$21:$421,1+$H68-380,P$14)</f>
        <v>3.42714E-2</v>
      </c>
      <c r="Q68" s="147">
        <f ca="1">INDEX(Photobiology!$21:$421,1+$H68-380,Q$14)</f>
        <v>0.1651</v>
      </c>
      <c r="R68" s="147">
        <f ca="1">INDEX(Photobiology!$21:$421,1+$H68-380,R$14)</f>
        <v>0.21240800000000001</v>
      </c>
      <c r="S68" s="147">
        <f t="shared" si="27"/>
        <v>3826933509746437</v>
      </c>
      <c r="T68" s="147">
        <f ca="1">INDEX(Photobiology!$21:$421,1+$H68-380,T$14)</f>
        <v>0.7016914135567035</v>
      </c>
      <c r="U68" s="147">
        <f ca="1">INDEX(Photobiology!$21:$421,1+$H68-380,U$14)</f>
        <v>5.766256868639414E-2</v>
      </c>
      <c r="V68" s="147">
        <f ca="1">INDEX(Photobiology!$21:$421,1+$H68-380,V$14)</f>
        <v>4.5484812428651406E-2</v>
      </c>
      <c r="W68" s="147">
        <f ca="1">INDEX(Photobiology!$21:$421,1+$H68-380,W$14)</f>
        <v>0.19545850666754361</v>
      </c>
      <c r="X68" s="147">
        <f ca="1">INDEX(Photobiology!$21:$421,1+$H68-380,X$14)</f>
        <v>0.24323652716210689</v>
      </c>
      <c r="Y68" s="147">
        <f t="shared" si="14"/>
        <v>1.7798286306579399E-3</v>
      </c>
      <c r="Z68" s="147">
        <f t="shared" ca="1" si="28"/>
        <v>1.19186402234872E-3</v>
      </c>
      <c r="AA68" s="147">
        <f t="shared" ca="1" si="15"/>
        <v>8.1066566572029458E-5</v>
      </c>
      <c r="AB68" s="147">
        <f t="shared" ca="1" si="16"/>
        <v>6.0997218932730525E-5</v>
      </c>
      <c r="AC68" s="147">
        <f t="shared" ca="1" si="17"/>
        <v>2.9384970692162589E-4</v>
      </c>
      <c r="AD68" s="147">
        <f t="shared" ca="1" si="18"/>
        <v>3.7804983978079171E-4</v>
      </c>
      <c r="AH68" s="147">
        <f t="shared" si="29"/>
        <v>427</v>
      </c>
      <c r="AI68" s="147">
        <f>IF($AH68&gt;$AH67,INDEX(Spectra!68:68,1,MATCH($AI$20,Spectra!$20:$20,0)),AI67)</f>
        <v>88.707099999999997</v>
      </c>
      <c r="AJ68" s="147">
        <f>((Physics!$C$9*Physics!$C$10)/(Physics!$C$11*Physics!$C$12*$AH68))^($AJ$17-$AJ$18)</f>
        <v>2.1501696533175526E+18</v>
      </c>
      <c r="AK68" s="147">
        <f t="shared" si="30"/>
        <v>1</v>
      </c>
      <c r="AL68" s="147">
        <f>INDEX(Photobiology!$21:$421,1+$AH68-380,10)</f>
        <v>8.9087200000000002E-3</v>
      </c>
      <c r="AM68" s="147">
        <f t="shared" si="31"/>
        <v>1.2290901286030114E-3</v>
      </c>
      <c r="AN68" s="147">
        <f ca="1">INDEX(Photobiology!$21:$421,1+$AH68-380,AN$14)</f>
        <v>0.669651</v>
      </c>
      <c r="AO68" s="147">
        <f ca="1">INDEX(Photobiology!$21:$421,1+$AH68-380,AO$14)</f>
        <v>4.5547400000000002E-2</v>
      </c>
      <c r="AP68" s="147">
        <f ca="1">INDEX(Photobiology!$21:$421,1+$AH68-380,AP$14)</f>
        <v>3.42714E-2</v>
      </c>
      <c r="AQ68" s="147">
        <f ca="1">INDEX(Photobiology!$21:$421,1+$AH68-380,AQ$14)</f>
        <v>0.1651</v>
      </c>
      <c r="AR68" s="147">
        <f ca="1">INDEX(Photobiology!$21:$421,1+$AH68-380,AR$14)</f>
        <v>0.21240800000000001</v>
      </c>
      <c r="AS68" s="147">
        <f t="shared" si="32"/>
        <v>2642752295714363.5</v>
      </c>
      <c r="AT68" s="147">
        <f ca="1">INDEX(Photobiology!$21:$421,1+$AH68-380,AT$14)</f>
        <v>0.7016914135567035</v>
      </c>
      <c r="AU68" s="147">
        <f ca="1">INDEX(Photobiology!$21:$421,1+$AH68-380,AU$14)</f>
        <v>5.766256868639414E-2</v>
      </c>
      <c r="AV68" s="147">
        <f ca="1">INDEX(Photobiology!$21:$421,1+$AH68-380,AV$14)</f>
        <v>4.5484812428651406E-2</v>
      </c>
      <c r="AW68" s="147">
        <f ca="1">INDEX(Photobiology!$21:$421,1+$AH68-380,AW$14)</f>
        <v>0.19545850666754361</v>
      </c>
      <c r="AX68" s="147">
        <f ca="1">INDEX(Photobiology!$21:$421,1+$AH68-380,AX$14)</f>
        <v>0.24323652716210689</v>
      </c>
      <c r="AY68" s="147">
        <f t="shared" si="19"/>
        <v>1.2290901286030114E-3</v>
      </c>
      <c r="AZ68" s="147">
        <f t="shared" ca="1" si="33"/>
        <v>8.2306143370913516E-4</v>
      </c>
      <c r="BA68" s="147">
        <f t="shared" ca="1" si="20"/>
        <v>5.5981859723532807E-5</v>
      </c>
      <c r="BB68" s="147">
        <f t="shared" ca="1" si="21"/>
        <v>4.2122639433405247E-5</v>
      </c>
      <c r="BC68" s="147">
        <f t="shared" ca="1" si="22"/>
        <v>2.0292278023235718E-4</v>
      </c>
      <c r="BD68" s="147">
        <f t="shared" ca="1" si="23"/>
        <v>2.6106857603630848E-4</v>
      </c>
    </row>
    <row r="69" spans="8:56" s="147" customFormat="1" ht="0.25" customHeight="1" x14ac:dyDescent="0.2">
      <c r="H69" s="147">
        <f t="shared" si="24"/>
        <v>428</v>
      </c>
      <c r="I69" s="147">
        <f>IF($H69&gt;$H68,INDEX(Spectra!69:69,1,MATCH($I$20,Spectra!$20:$20,0)),I68)</f>
        <v>1.7198344071526199E-3</v>
      </c>
      <c r="J69" s="147">
        <f>((Physics!$C$9*Physics!$C$10)/(Physics!$C$11*Physics!$C$12*$H69))^($J$17-$J$18)</f>
        <v>2.1552051794377347E+18</v>
      </c>
      <c r="K69" s="147">
        <f t="shared" si="25"/>
        <v>1</v>
      </c>
      <c r="L69" s="147">
        <f>INDEX(Photobiology!$21:$421,1+$H69-380,10)</f>
        <v>9.7676800000000008E-3</v>
      </c>
      <c r="M69" s="147">
        <f t="shared" si="26"/>
        <v>1.7198344071526199E-3</v>
      </c>
      <c r="N69" s="147">
        <f ca="1">INDEX(Photobiology!$21:$421,1+$H69-380,N$14)</f>
        <v>0.69982900000000003</v>
      </c>
      <c r="O69" s="147">
        <f ca="1">INDEX(Photobiology!$21:$421,1+$H69-380,O$14)</f>
        <v>4.8716099999999998E-2</v>
      </c>
      <c r="P69" s="147">
        <f ca="1">INDEX(Photobiology!$21:$421,1+$H69-380,P$14)</f>
        <v>3.6061999999999997E-2</v>
      </c>
      <c r="Q69" s="147">
        <f ca="1">INDEX(Photobiology!$21:$421,1+$H69-380,Q$14)</f>
        <v>0.1764</v>
      </c>
      <c r="R69" s="147">
        <f ca="1">INDEX(Photobiology!$21:$421,1+$H69-380,R$14)</f>
        <v>0.22622500000000001</v>
      </c>
      <c r="S69" s="147">
        <f t="shared" si="27"/>
        <v>3706596022070552.5</v>
      </c>
      <c r="T69" s="147">
        <f ca="1">INDEX(Photobiology!$21:$421,1+$H69-380,T$14)</f>
        <v>0.73159997440902647</v>
      </c>
      <c r="U69" s="147">
        <f ca="1">INDEX(Photobiology!$21:$421,1+$H69-380,U$14)</f>
        <v>6.1530013902618905E-2</v>
      </c>
      <c r="V69" s="147">
        <f ca="1">INDEX(Photobiology!$21:$421,1+$H69-380,V$14)</f>
        <v>4.7749461403273123E-2</v>
      </c>
      <c r="W69" s="147">
        <f ca="1">INDEX(Photobiology!$21:$421,1+$H69-380,W$14)</f>
        <v>0.20834840971512669</v>
      </c>
      <c r="X69" s="147">
        <f ca="1">INDEX(Photobiology!$21:$421,1+$H69-380,X$14)</f>
        <v>0.25845362466706573</v>
      </c>
      <c r="Y69" s="147">
        <f t="shared" si="14"/>
        <v>1.7198344071526199E-3</v>
      </c>
      <c r="Z69" s="147">
        <f t="shared" ca="1" si="28"/>
        <v>1.2035899933232109E-3</v>
      </c>
      <c r="AA69" s="147">
        <f t="shared" ca="1" si="15"/>
        <v>8.3783624962287739E-5</v>
      </c>
      <c r="AB69" s="147">
        <f t="shared" ca="1" si="16"/>
        <v>6.2020668390737769E-5</v>
      </c>
      <c r="AC69" s="147">
        <f t="shared" ca="1" si="17"/>
        <v>3.0337878942172215E-4</v>
      </c>
      <c r="AD69" s="147">
        <f t="shared" ca="1" si="18"/>
        <v>3.8906953875810147E-4</v>
      </c>
      <c r="AH69" s="147">
        <f t="shared" si="29"/>
        <v>428</v>
      </c>
      <c r="AI69" s="147">
        <f>IF($AH69&gt;$AH68,INDEX(Spectra!69:69,1,MATCH($AI$20,Spectra!$20:$20,0)),AI68)</f>
        <v>88.032200000000003</v>
      </c>
      <c r="AJ69" s="147">
        <f>((Physics!$C$9*Physics!$C$10)/(Physics!$C$11*Physics!$C$12*$AH69))^($AJ$17-$AJ$18)</f>
        <v>2.1552051794377347E+18</v>
      </c>
      <c r="AK69" s="147">
        <f t="shared" si="30"/>
        <v>1</v>
      </c>
      <c r="AL69" s="147">
        <f>INDEX(Photobiology!$21:$421,1+$AH69-380,10)</f>
        <v>9.7676800000000008E-3</v>
      </c>
      <c r="AM69" s="147">
        <f t="shared" si="31"/>
        <v>1.2197389839055275E-3</v>
      </c>
      <c r="AN69" s="147">
        <f ca="1">INDEX(Photobiology!$21:$421,1+$AH69-380,AN$14)</f>
        <v>0.69982900000000003</v>
      </c>
      <c r="AO69" s="147">
        <f ca="1">INDEX(Photobiology!$21:$421,1+$AH69-380,AO$14)</f>
        <v>4.8716099999999998E-2</v>
      </c>
      <c r="AP69" s="147">
        <f ca="1">INDEX(Photobiology!$21:$421,1+$AH69-380,AP$14)</f>
        <v>3.6061999999999997E-2</v>
      </c>
      <c r="AQ69" s="147">
        <f ca="1">INDEX(Photobiology!$21:$421,1+$AH69-380,AQ$14)</f>
        <v>0.1764</v>
      </c>
      <c r="AR69" s="147">
        <f ca="1">INDEX(Photobiology!$21:$421,1+$AH69-380,AR$14)</f>
        <v>0.22622500000000001</v>
      </c>
      <c r="AS69" s="147">
        <f t="shared" si="32"/>
        <v>2628787775675312.5</v>
      </c>
      <c r="AT69" s="147">
        <f ca="1">INDEX(Photobiology!$21:$421,1+$AH69-380,AT$14)</f>
        <v>0.73159997440902647</v>
      </c>
      <c r="AU69" s="147">
        <f ca="1">INDEX(Photobiology!$21:$421,1+$AH69-380,AU$14)</f>
        <v>6.1530013902618905E-2</v>
      </c>
      <c r="AV69" s="147">
        <f ca="1">INDEX(Photobiology!$21:$421,1+$AH69-380,AV$14)</f>
        <v>4.7749461403273123E-2</v>
      </c>
      <c r="AW69" s="147">
        <f ca="1">INDEX(Photobiology!$21:$421,1+$AH69-380,AW$14)</f>
        <v>0.20834840971512669</v>
      </c>
      <c r="AX69" s="147">
        <f ca="1">INDEX(Photobiology!$21:$421,1+$AH69-380,AX$14)</f>
        <v>0.25845362466706573</v>
      </c>
      <c r="AY69" s="147">
        <f t="shared" si="19"/>
        <v>1.2197389839055275E-3</v>
      </c>
      <c r="AZ69" s="147">
        <f t="shared" ca="1" si="33"/>
        <v>8.5360871336762143E-4</v>
      </c>
      <c r="BA69" s="147">
        <f t="shared" ca="1" si="20"/>
        <v>5.9420926313840069E-5</v>
      </c>
      <c r="BB69" s="147">
        <f t="shared" ca="1" si="21"/>
        <v>4.3986227237601127E-5</v>
      </c>
      <c r="BC69" s="147">
        <f t="shared" ca="1" si="22"/>
        <v>2.1516195676093505E-4</v>
      </c>
      <c r="BD69" s="147">
        <f t="shared" ca="1" si="23"/>
        <v>2.7593545163402797E-4</v>
      </c>
    </row>
    <row r="70" spans="8:56" s="147" customFormat="1" ht="0.25" customHeight="1" x14ac:dyDescent="0.2">
      <c r="H70" s="147">
        <f t="shared" si="24"/>
        <v>429</v>
      </c>
      <c r="I70" s="147">
        <f>IF($H70&gt;$H69,INDEX(Spectra!70:70,1,MATCH($I$20,Spectra!$20:$20,0)),I69)</f>
        <v>1.64484162777096E-3</v>
      </c>
      <c r="J70" s="147">
        <f>((Physics!$C$9*Physics!$C$10)/(Physics!$C$11*Physics!$C$12*$H70))^($J$17-$J$18)</f>
        <v>2.1602407055579162E+18</v>
      </c>
      <c r="K70" s="147">
        <f t="shared" si="25"/>
        <v>1</v>
      </c>
      <c r="L70" s="147">
        <f>INDEX(Photobiology!$21:$421,1+$H70-380,10)</f>
        <v>1.0664430000000001E-2</v>
      </c>
      <c r="M70" s="147">
        <f t="shared" si="26"/>
        <v>1.64484162777096E-3</v>
      </c>
      <c r="N70" s="147">
        <f ca="1">INDEX(Photobiology!$21:$421,1+$H70-380,N$14)</f>
        <v>0.72917699999999996</v>
      </c>
      <c r="O70" s="147">
        <f ca="1">INDEX(Photobiology!$21:$421,1+$H70-380,O$14)</f>
        <v>5.2046700000000001E-2</v>
      </c>
      <c r="P70" s="147">
        <f ca="1">INDEX(Photobiology!$21:$421,1+$H70-380,P$14)</f>
        <v>3.79052E-2</v>
      </c>
      <c r="Q70" s="147">
        <f ca="1">INDEX(Photobiology!$21:$421,1+$H70-380,Q$14)</f>
        <v>0.18790000000000001</v>
      </c>
      <c r="R70" s="147">
        <f ca="1">INDEX(Photobiology!$21:$421,1+$H70-380,R$14)</f>
        <v>0.240199</v>
      </c>
      <c r="S70" s="147">
        <f t="shared" si="27"/>
        <v>3553253838506970</v>
      </c>
      <c r="T70" s="147">
        <f ca="1">INDEX(Photobiology!$21:$421,1+$H70-380,T$14)</f>
        <v>0.76050344347346066</v>
      </c>
      <c r="U70" s="147">
        <f ca="1">INDEX(Photobiology!$21:$421,1+$H70-380,U$14)</f>
        <v>6.5583437365872799E-2</v>
      </c>
      <c r="V70" s="147">
        <f ca="1">INDEX(Photobiology!$21:$421,1+$H70-380,V$14)</f>
        <v>5.0073037546193952E-2</v>
      </c>
      <c r="W70" s="147">
        <f ca="1">INDEX(Photobiology!$21:$421,1+$H70-380,W$14)</f>
        <v>0.22141389202572756</v>
      </c>
      <c r="X70" s="147">
        <f ca="1">INDEX(Photobiology!$21:$421,1+$H70-380,X$14)</f>
        <v>0.27377872853259821</v>
      </c>
      <c r="Y70" s="147">
        <f t="shared" si="14"/>
        <v>1.64484162777096E-3</v>
      </c>
      <c r="Z70" s="147">
        <f t="shared" ca="1" si="28"/>
        <v>1.1993806836131451E-3</v>
      </c>
      <c r="AA70" s="147">
        <f t="shared" ca="1" si="15"/>
        <v>8.5608578748106823E-5</v>
      </c>
      <c r="AB70" s="147">
        <f t="shared" ca="1" si="16"/>
        <v>6.2348050868983796E-5</v>
      </c>
      <c r="AC70" s="147">
        <f t="shared" ca="1" si="17"/>
        <v>3.0906574185816341E-4</v>
      </c>
      <c r="AD70" s="147">
        <f t="shared" ca="1" si="18"/>
        <v>3.9508931414895679E-4</v>
      </c>
      <c r="AH70" s="147">
        <f t="shared" si="29"/>
        <v>429</v>
      </c>
      <c r="AI70" s="147">
        <f>IF($AH70&gt;$AH69,INDEX(Spectra!70:70,1,MATCH($AI$20,Spectra!$20:$20,0)),AI69)</f>
        <v>87.357200000000006</v>
      </c>
      <c r="AJ70" s="147">
        <f>((Physics!$C$9*Physics!$C$10)/(Physics!$C$11*Physics!$C$12*$AH70))^($AJ$17-$AJ$18)</f>
        <v>2.1602407055579162E+18</v>
      </c>
      <c r="AK70" s="147">
        <f t="shared" si="30"/>
        <v>1</v>
      </c>
      <c r="AL70" s="147">
        <f>INDEX(Photobiology!$21:$421,1+$AH70-380,10)</f>
        <v>1.0664430000000001E-2</v>
      </c>
      <c r="AM70" s="147">
        <f t="shared" si="31"/>
        <v>1.2103864536480056E-3</v>
      </c>
      <c r="AN70" s="147">
        <f ca="1">INDEX(Photobiology!$21:$421,1+$AH70-380,AN$14)</f>
        <v>0.72917699999999996</v>
      </c>
      <c r="AO70" s="147">
        <f ca="1">INDEX(Photobiology!$21:$421,1+$AH70-380,AO$14)</f>
        <v>5.2046700000000001E-2</v>
      </c>
      <c r="AP70" s="147">
        <f ca="1">INDEX(Photobiology!$21:$421,1+$AH70-380,AP$14)</f>
        <v>3.79052E-2</v>
      </c>
      <c r="AQ70" s="147">
        <f ca="1">INDEX(Photobiology!$21:$421,1+$AH70-380,AQ$14)</f>
        <v>0.18790000000000001</v>
      </c>
      <c r="AR70" s="147">
        <f ca="1">INDEX(Photobiology!$21:$421,1+$AH70-380,AR$14)</f>
        <v>0.240199</v>
      </c>
      <c r="AS70" s="147">
        <f t="shared" si="32"/>
        <v>2614726086626311.5</v>
      </c>
      <c r="AT70" s="147">
        <f ca="1">INDEX(Photobiology!$21:$421,1+$AH70-380,AT$14)</f>
        <v>0.76050344347346066</v>
      </c>
      <c r="AU70" s="147">
        <f ca="1">INDEX(Photobiology!$21:$421,1+$AH70-380,AU$14)</f>
        <v>6.5583437365872799E-2</v>
      </c>
      <c r="AV70" s="147">
        <f ca="1">INDEX(Photobiology!$21:$421,1+$AH70-380,AV$14)</f>
        <v>5.0073037546193952E-2</v>
      </c>
      <c r="AW70" s="147">
        <f ca="1">INDEX(Photobiology!$21:$421,1+$AH70-380,AW$14)</f>
        <v>0.22141389202572756</v>
      </c>
      <c r="AX70" s="147">
        <f ca="1">INDEX(Photobiology!$21:$421,1+$AH70-380,AX$14)</f>
        <v>0.27377872853259821</v>
      </c>
      <c r="AY70" s="147">
        <f t="shared" si="19"/>
        <v>1.2103864536480056E-3</v>
      </c>
      <c r="AZ70" s="147">
        <f t="shared" ca="1" si="33"/>
        <v>8.8258596311169171E-4</v>
      </c>
      <c r="BA70" s="147">
        <f t="shared" ca="1" si="20"/>
        <v>6.2996620637081649E-5</v>
      </c>
      <c r="BB70" s="147">
        <f t="shared" ca="1" si="21"/>
        <v>4.5879940602818384E-5</v>
      </c>
      <c r="BC70" s="147">
        <f t="shared" ca="1" si="22"/>
        <v>2.2743161464046027E-4</v>
      </c>
      <c r="BD70" s="147">
        <f t="shared" ca="1" si="23"/>
        <v>2.9073361577979727E-4</v>
      </c>
    </row>
    <row r="71" spans="8:56" s="147" customFormat="1" ht="0.25" customHeight="1" x14ac:dyDescent="0.2">
      <c r="H71" s="147">
        <f t="shared" si="24"/>
        <v>430</v>
      </c>
      <c r="I71" s="147">
        <f>IF($H71&gt;$H70,INDEX(Spectra!71:71,1,MATCH($I$20,Spectra!$20:$20,0)),I70)</f>
        <v>1.59484644151653E-3</v>
      </c>
      <c r="J71" s="147">
        <f>((Physics!$C$9*Physics!$C$10)/(Physics!$C$11*Physics!$C$12*$H71))^($J$17-$J$18)</f>
        <v>2.1652762316780974E+18</v>
      </c>
      <c r="K71" s="147">
        <f t="shared" si="25"/>
        <v>1</v>
      </c>
      <c r="L71" s="147">
        <f>INDEX(Photobiology!$21:$421,1+$H71-380,10)</f>
        <v>1.1599999999999999E-2</v>
      </c>
      <c r="M71" s="147">
        <f t="shared" si="26"/>
        <v>1.59484644151653E-3</v>
      </c>
      <c r="N71" s="147">
        <f ca="1">INDEX(Photobiology!$21:$421,1+$H71-380,N$14)</f>
        <v>0.75688500000000003</v>
      </c>
      <c r="O71" s="147">
        <f ca="1">INDEX(Photobiology!$21:$421,1+$H71-380,O$14)</f>
        <v>5.5538400000000002E-2</v>
      </c>
      <c r="P71" s="147">
        <f ca="1">INDEX(Photobiology!$21:$421,1+$H71-380,P$14)</f>
        <v>3.9780999999999997E-2</v>
      </c>
      <c r="Q71" s="147">
        <f ca="1">INDEX(Photobiology!$21:$421,1+$H71-380,Q$14)</f>
        <v>0.19980000000000001</v>
      </c>
      <c r="R71" s="147">
        <f ca="1">INDEX(Photobiology!$21:$421,1+$H71-380,R$14)</f>
        <v>0.25386500000000001</v>
      </c>
      <c r="S71" s="147">
        <f t="shared" si="27"/>
        <v>3453283092992135</v>
      </c>
      <c r="T71" s="147">
        <f ca="1">INDEX(Photobiology!$21:$421,1+$H71-380,T$14)</f>
        <v>0.78756599895611212</v>
      </c>
      <c r="U71" s="147">
        <f ca="1">INDEX(Photobiology!$21:$421,1+$H71-380,U$14)</f>
        <v>6.9820535827217894E-2</v>
      </c>
      <c r="V71" s="147">
        <f ca="1">INDEX(Photobiology!$21:$421,1+$H71-380,V$14)</f>
        <v>5.2428771038236739E-2</v>
      </c>
      <c r="W71" s="147">
        <f ca="1">INDEX(Photobiology!$21:$421,1+$H71-380,W$14)</f>
        <v>0.2348888526043246</v>
      </c>
      <c r="X71" s="147">
        <f ca="1">INDEX(Photobiology!$21:$421,1+$H71-380,X$14)</f>
        <v>0.28868231097742053</v>
      </c>
      <c r="Y71" s="147">
        <f t="shared" si="14"/>
        <v>1.59484644151653E-3</v>
      </c>
      <c r="Z71" s="147">
        <f t="shared" ca="1" si="28"/>
        <v>1.2071153488872389E-3</v>
      </c>
      <c r="AA71" s="147">
        <f t="shared" ca="1" si="15"/>
        <v>8.8575219607521646E-5</v>
      </c>
      <c r="AB71" s="147">
        <f t="shared" ca="1" si="16"/>
        <v>6.3444586289969072E-5</v>
      </c>
      <c r="AC71" s="147">
        <f t="shared" ca="1" si="17"/>
        <v>3.1865031901500269E-4</v>
      </c>
      <c r="AD71" s="147">
        <f t="shared" ca="1" si="18"/>
        <v>4.0487569187559389E-4</v>
      </c>
      <c r="AH71" s="147">
        <f t="shared" si="29"/>
        <v>430</v>
      </c>
      <c r="AI71" s="147">
        <f>IF($AH71&gt;$AH70,INDEX(Spectra!71:71,1,MATCH($AI$20,Spectra!$20:$20,0)),AI70)</f>
        <v>86.682299999999998</v>
      </c>
      <c r="AJ71" s="147">
        <f>((Physics!$C$9*Physics!$C$10)/(Physics!$C$11*Physics!$C$12*$AH71))^($AJ$17-$AJ$18)</f>
        <v>2.1652762316780974E+18</v>
      </c>
      <c r="AK71" s="147">
        <f t="shared" si="30"/>
        <v>1</v>
      </c>
      <c r="AL71" s="147">
        <f>INDEX(Photobiology!$21:$421,1+$AH71-380,10)</f>
        <v>1.1599999999999999E-2</v>
      </c>
      <c r="AM71" s="147">
        <f t="shared" si="31"/>
        <v>1.2010353089505217E-3</v>
      </c>
      <c r="AN71" s="147">
        <f ca="1">INDEX(Photobiology!$21:$421,1+$AH71-380,AN$14)</f>
        <v>0.75688500000000003</v>
      </c>
      <c r="AO71" s="147">
        <f ca="1">INDEX(Photobiology!$21:$421,1+$AH71-380,AO$14)</f>
        <v>5.5538400000000002E-2</v>
      </c>
      <c r="AP71" s="147">
        <f ca="1">INDEX(Photobiology!$21:$421,1+$AH71-380,AP$14)</f>
        <v>3.9780999999999997E-2</v>
      </c>
      <c r="AQ71" s="147">
        <f ca="1">INDEX(Photobiology!$21:$421,1+$AH71-380,AQ$14)</f>
        <v>0.19980000000000001</v>
      </c>
      <c r="AR71" s="147">
        <f ca="1">INDEX(Photobiology!$21:$421,1+$AH71-380,AR$14)</f>
        <v>0.25386500000000001</v>
      </c>
      <c r="AS71" s="147">
        <f t="shared" si="32"/>
        <v>2600573207876725</v>
      </c>
      <c r="AT71" s="147">
        <f ca="1">INDEX(Photobiology!$21:$421,1+$AH71-380,AT$14)</f>
        <v>0.78756599895611212</v>
      </c>
      <c r="AU71" s="147">
        <f ca="1">INDEX(Photobiology!$21:$421,1+$AH71-380,AU$14)</f>
        <v>6.9820535827217894E-2</v>
      </c>
      <c r="AV71" s="147">
        <f ca="1">INDEX(Photobiology!$21:$421,1+$AH71-380,AV$14)</f>
        <v>5.2428771038236739E-2</v>
      </c>
      <c r="AW71" s="147">
        <f ca="1">INDEX(Photobiology!$21:$421,1+$AH71-380,AW$14)</f>
        <v>0.2348888526043246</v>
      </c>
      <c r="AX71" s="147">
        <f ca="1">INDEX(Photobiology!$21:$421,1+$AH71-380,AX$14)</f>
        <v>0.28868231097742053</v>
      </c>
      <c r="AY71" s="147">
        <f t="shared" si="19"/>
        <v>1.2010353089505217E-3</v>
      </c>
      <c r="AZ71" s="147">
        <f t="shared" ca="1" si="33"/>
        <v>9.0904560981501558E-4</v>
      </c>
      <c r="BA71" s="147">
        <f t="shared" ca="1" si="20"/>
        <v>6.6703579402617656E-5</v>
      </c>
      <c r="BB71" s="147">
        <f t="shared" ca="1" si="21"/>
        <v>4.77783856253607E-5</v>
      </c>
      <c r="BC71" s="147">
        <f t="shared" ca="1" si="22"/>
        <v>2.3996685472831423E-4</v>
      </c>
      <c r="BD71" s="147">
        <f t="shared" ca="1" si="23"/>
        <v>3.0490082870672421E-4</v>
      </c>
    </row>
    <row r="72" spans="8:56" s="147" customFormat="1" ht="0.25" customHeight="1" x14ac:dyDescent="0.2">
      <c r="H72" s="147">
        <f t="shared" si="24"/>
        <v>431</v>
      </c>
      <c r="I72" s="147">
        <f>IF($H72&gt;$H71,INDEX(Spectra!72:72,1,MATCH($I$20,Spectra!$20:$20,0)),I71)</f>
        <v>1.6148445160183E-3</v>
      </c>
      <c r="J72" s="147">
        <f>((Physics!$C$9*Physics!$C$10)/(Physics!$C$11*Physics!$C$12*$H72))^($J$17-$J$18)</f>
        <v>2.1703117577982794E+18</v>
      </c>
      <c r="K72" s="147">
        <f t="shared" si="25"/>
        <v>1</v>
      </c>
      <c r="L72" s="147">
        <f>INDEX(Photobiology!$21:$421,1+$H72-380,10)</f>
        <v>1.257317E-2</v>
      </c>
      <c r="M72" s="147">
        <f t="shared" si="26"/>
        <v>1.6148445160183E-3</v>
      </c>
      <c r="N72" s="147">
        <f ca="1">INDEX(Photobiology!$21:$421,1+$H72-380,N$14)</f>
        <v>0.78229199999999999</v>
      </c>
      <c r="O72" s="147">
        <f ca="1">INDEX(Photobiology!$21:$421,1+$H72-380,O$14)</f>
        <v>5.91876E-2</v>
      </c>
      <c r="P72" s="147">
        <f ca="1">INDEX(Photobiology!$21:$421,1+$H72-380,P$14)</f>
        <v>4.1670499999999999E-2</v>
      </c>
      <c r="Q72" s="147">
        <f ca="1">INDEX(Photobiology!$21:$421,1+$H72-380,Q$14)</f>
        <v>0.21190000000000001</v>
      </c>
      <c r="R72" s="147">
        <f ca="1">INDEX(Photobiology!$21:$421,1+$H72-380,R$14)</f>
        <v>0.26702100000000001</v>
      </c>
      <c r="S72" s="147">
        <f t="shared" si="27"/>
        <v>3504716040130588.5</v>
      </c>
      <c r="T72" s="147">
        <f ca="1">INDEX(Photobiology!$21:$421,1+$H72-380,T$14)</f>
        <v>0.81211425623468347</v>
      </c>
      <c r="U72" s="147">
        <f ca="1">INDEX(Photobiology!$21:$421,1+$H72-380,U$14)</f>
        <v>7.4235515538732713E-2</v>
      </c>
      <c r="V72" s="147">
        <f ca="1">INDEX(Photobiology!$21:$421,1+$H72-380,V$14)</f>
        <v>5.4791586868849586E-2</v>
      </c>
      <c r="W72" s="147">
        <f ca="1">INDEX(Photobiology!$21:$421,1+$H72-380,W$14)</f>
        <v>0.24853586280884415</v>
      </c>
      <c r="X72" s="147">
        <f ca="1">INDEX(Photobiology!$21:$421,1+$H72-380,X$14)</f>
        <v>0.30293813489929011</v>
      </c>
      <c r="Y72" s="147">
        <f t="shared" si="14"/>
        <v>1.6148445160183E-3</v>
      </c>
      <c r="Z72" s="147">
        <f t="shared" ca="1" si="28"/>
        <v>1.263279946124988E-3</v>
      </c>
      <c r="AA72" s="147">
        <f t="shared" ca="1" si="15"/>
        <v>9.5578771276284727E-5</v>
      </c>
      <c r="AB72" s="147">
        <f t="shared" ca="1" si="16"/>
        <v>6.7291378404740569E-5</v>
      </c>
      <c r="AC72" s="147">
        <f t="shared" ca="1" si="17"/>
        <v>3.4218555294427777E-4</v>
      </c>
      <c r="AD72" s="147">
        <f t="shared" ca="1" si="18"/>
        <v>4.3119739751172251E-4</v>
      </c>
      <c r="AH72" s="147">
        <f t="shared" si="29"/>
        <v>431</v>
      </c>
      <c r="AI72" s="147">
        <f>IF($AH72&gt;$AH71,INDEX(Spectra!72:72,1,MATCH($AI$20,Spectra!$20:$20,0)),AI71)</f>
        <v>88.500600000000006</v>
      </c>
      <c r="AJ72" s="147">
        <f>((Physics!$C$9*Physics!$C$10)/(Physics!$C$11*Physics!$C$12*$AH72))^($AJ$17-$AJ$18)</f>
        <v>2.1703117577982794E+18</v>
      </c>
      <c r="AK72" s="147">
        <f t="shared" si="30"/>
        <v>1</v>
      </c>
      <c r="AL72" s="147">
        <f>INDEX(Photobiology!$21:$421,1+$AH72-380,10)</f>
        <v>1.257317E-2</v>
      </c>
      <c r="AM72" s="147">
        <f t="shared" si="31"/>
        <v>1.2262289471242289E-3</v>
      </c>
      <c r="AN72" s="147">
        <f ca="1">INDEX(Photobiology!$21:$421,1+$AH72-380,AN$14)</f>
        <v>0.78229199999999999</v>
      </c>
      <c r="AO72" s="147">
        <f ca="1">INDEX(Photobiology!$21:$421,1+$AH72-380,AO$14)</f>
        <v>5.91876E-2</v>
      </c>
      <c r="AP72" s="147">
        <f ca="1">INDEX(Photobiology!$21:$421,1+$AH72-380,AP$14)</f>
        <v>4.1670499999999999E-2</v>
      </c>
      <c r="AQ72" s="147">
        <f ca="1">INDEX(Photobiology!$21:$421,1+$AH72-380,AQ$14)</f>
        <v>0.21190000000000001</v>
      </c>
      <c r="AR72" s="147">
        <f ca="1">INDEX(Photobiology!$21:$421,1+$AH72-380,AR$14)</f>
        <v>0.26702100000000001</v>
      </c>
      <c r="AS72" s="147">
        <f t="shared" si="32"/>
        <v>2661299101696318.5</v>
      </c>
      <c r="AT72" s="147">
        <f ca="1">INDEX(Photobiology!$21:$421,1+$AH72-380,AT$14)</f>
        <v>0.81211425623468347</v>
      </c>
      <c r="AU72" s="147">
        <f ca="1">INDEX(Photobiology!$21:$421,1+$AH72-380,AU$14)</f>
        <v>7.4235515538732713E-2</v>
      </c>
      <c r="AV72" s="147">
        <f ca="1">INDEX(Photobiology!$21:$421,1+$AH72-380,AV$14)</f>
        <v>5.4791586868849586E-2</v>
      </c>
      <c r="AW72" s="147">
        <f ca="1">INDEX(Photobiology!$21:$421,1+$AH72-380,AW$14)</f>
        <v>0.24853586280884415</v>
      </c>
      <c r="AX72" s="147">
        <f ca="1">INDEX(Photobiology!$21:$421,1+$AH72-380,AX$14)</f>
        <v>0.30293813489929011</v>
      </c>
      <c r="AY72" s="147">
        <f t="shared" si="19"/>
        <v>1.2262289471242289E-3</v>
      </c>
      <c r="AZ72" s="147">
        <f t="shared" ca="1" si="33"/>
        <v>9.5926909550370727E-4</v>
      </c>
      <c r="BA72" s="147">
        <f t="shared" ca="1" si="20"/>
        <v>7.2577548430810009E-5</v>
      </c>
      <c r="BB72" s="147">
        <f t="shared" ca="1" si="21"/>
        <v>5.1097573341140178E-5</v>
      </c>
      <c r="BC72" s="147">
        <f t="shared" ca="1" si="22"/>
        <v>2.5983791389562412E-4</v>
      </c>
      <c r="BD72" s="147">
        <f t="shared" ca="1" si="23"/>
        <v>3.2742887969005875E-4</v>
      </c>
    </row>
    <row r="73" spans="8:56" s="147" customFormat="1" ht="0.25" customHeight="1" x14ac:dyDescent="0.2">
      <c r="H73" s="147">
        <f t="shared" si="24"/>
        <v>432</v>
      </c>
      <c r="I73" s="147">
        <f>IF($H73&gt;$H72,INDEX(Spectra!73:73,1,MATCH($I$20,Spectra!$20:$20,0)),I72)</f>
        <v>1.68483777677451E-3</v>
      </c>
      <c r="J73" s="147">
        <f>((Physics!$C$9*Physics!$C$10)/(Physics!$C$11*Physics!$C$12*$H73))^($J$17-$J$18)</f>
        <v>2.1753472839184609E+18</v>
      </c>
      <c r="K73" s="147">
        <f t="shared" si="25"/>
        <v>1</v>
      </c>
      <c r="L73" s="147">
        <f>INDEX(Photobiology!$21:$421,1+$H73-380,10)</f>
        <v>1.358272E-2</v>
      </c>
      <c r="M73" s="147">
        <f t="shared" si="26"/>
        <v>1.68483777677451E-3</v>
      </c>
      <c r="N73" s="147">
        <f ca="1">INDEX(Photobiology!$21:$421,1+$H73-380,N$14)</f>
        <v>0.80566599999999999</v>
      </c>
      <c r="O73" s="147">
        <f ca="1">INDEX(Photobiology!$21:$421,1+$H73-380,O$14)</f>
        <v>6.2981899999999993E-2</v>
      </c>
      <c r="P73" s="147">
        <f ca="1">INDEX(Photobiology!$21:$421,1+$H73-380,P$14)</f>
        <v>4.3572800000000002E-2</v>
      </c>
      <c r="Q73" s="147">
        <f ca="1">INDEX(Photobiology!$21:$421,1+$H73-380,Q$14)</f>
        <v>0.2243</v>
      </c>
      <c r="R73" s="147">
        <f ca="1">INDEX(Photobiology!$21:$421,1+$H73-380,R$14)</f>
        <v>0.279976</v>
      </c>
      <c r="S73" s="147">
        <f t="shared" si="27"/>
        <v>3665107281549648.5</v>
      </c>
      <c r="T73" s="147">
        <f ca="1">INDEX(Photobiology!$21:$421,1+$H73-380,T$14)</f>
        <v>0.8344432482937475</v>
      </c>
      <c r="U73" s="147">
        <f ca="1">INDEX(Photobiology!$21:$421,1+$H73-380,U$14)</f>
        <v>7.881162462672596E-2</v>
      </c>
      <c r="V73" s="147">
        <f ca="1">INDEX(Photobiology!$21:$421,1+$H73-380,V$14)</f>
        <v>5.7160255205048527E-2</v>
      </c>
      <c r="W73" s="147">
        <f ca="1">INDEX(Photobiology!$21:$421,1+$H73-380,W$14)</f>
        <v>0.26247074557004346</v>
      </c>
      <c r="X73" s="147">
        <f ca="1">INDEX(Photobiology!$21:$421,1+$H73-380,X$14)</f>
        <v>0.31690045088334479</v>
      </c>
      <c r="Y73" s="147">
        <f t="shared" si="14"/>
        <v>1.68483777677451E-3</v>
      </c>
      <c r="Z73" s="147">
        <f t="shared" ca="1" si="28"/>
        <v>1.3574165122628124E-3</v>
      </c>
      <c r="AA73" s="147">
        <f t="shared" ca="1" si="15"/>
        <v>1.061142843730345E-4</v>
      </c>
      <c r="AB73" s="147">
        <f t="shared" ca="1" si="16"/>
        <v>7.3413099479840364E-5</v>
      </c>
      <c r="AC73" s="147">
        <f t="shared" ca="1" si="17"/>
        <v>3.779091133305226E-4</v>
      </c>
      <c r="AD73" s="147">
        <f t="shared" ca="1" si="18"/>
        <v>4.717141413902202E-4</v>
      </c>
      <c r="AH73" s="147">
        <f t="shared" si="29"/>
        <v>432</v>
      </c>
      <c r="AI73" s="147">
        <f>IF($AH73&gt;$AH72,INDEX(Spectra!73:73,1,MATCH($AI$20,Spectra!$20:$20,0)),AI72)</f>
        <v>90.318799999999996</v>
      </c>
      <c r="AJ73" s="147">
        <f>((Physics!$C$9*Physics!$C$10)/(Physics!$C$11*Physics!$C$12*$AH73))^($AJ$17-$AJ$18)</f>
        <v>2.1753472839184609E+18</v>
      </c>
      <c r="AK73" s="147">
        <f t="shared" si="30"/>
        <v>1</v>
      </c>
      <c r="AL73" s="147">
        <f>INDEX(Photobiology!$21:$421,1+$AH73-380,10)</f>
        <v>1.358272E-2</v>
      </c>
      <c r="AM73" s="147">
        <f t="shared" si="31"/>
        <v>1.2514211997378976E-3</v>
      </c>
      <c r="AN73" s="147">
        <f ca="1">INDEX(Photobiology!$21:$421,1+$AH73-380,AN$14)</f>
        <v>0.80566599999999999</v>
      </c>
      <c r="AO73" s="147">
        <f ca="1">INDEX(Photobiology!$21:$421,1+$AH73-380,AO$14)</f>
        <v>6.2981899999999993E-2</v>
      </c>
      <c r="AP73" s="147">
        <f ca="1">INDEX(Photobiology!$21:$421,1+$AH73-380,AP$14)</f>
        <v>4.3572800000000002E-2</v>
      </c>
      <c r="AQ73" s="147">
        <f ca="1">INDEX(Photobiology!$21:$421,1+$AH73-380,AQ$14)</f>
        <v>0.2243</v>
      </c>
      <c r="AR73" s="147">
        <f ca="1">INDEX(Photobiology!$21:$421,1+$AH73-380,AR$14)</f>
        <v>0.279976</v>
      </c>
      <c r="AS73" s="147">
        <f t="shared" si="32"/>
        <v>2722275707887817.5</v>
      </c>
      <c r="AT73" s="147">
        <f ca="1">INDEX(Photobiology!$21:$421,1+$AH73-380,AT$14)</f>
        <v>0.8344432482937475</v>
      </c>
      <c r="AU73" s="147">
        <f ca="1">INDEX(Photobiology!$21:$421,1+$AH73-380,AU$14)</f>
        <v>7.881162462672596E-2</v>
      </c>
      <c r="AV73" s="147">
        <f ca="1">INDEX(Photobiology!$21:$421,1+$AH73-380,AV$14)</f>
        <v>5.7160255205048527E-2</v>
      </c>
      <c r="AW73" s="147">
        <f ca="1">INDEX(Photobiology!$21:$421,1+$AH73-380,AW$14)</f>
        <v>0.26247074557004346</v>
      </c>
      <c r="AX73" s="147">
        <f ca="1">INDEX(Photobiology!$21:$421,1+$AH73-380,AX$14)</f>
        <v>0.31690045088334479</v>
      </c>
      <c r="AY73" s="147">
        <f t="shared" si="19"/>
        <v>1.2514211997378976E-3</v>
      </c>
      <c r="AZ73" s="147">
        <f t="shared" ca="1" si="33"/>
        <v>1.008227512308033E-3</v>
      </c>
      <c r="BA73" s="147">
        <f t="shared" ca="1" si="20"/>
        <v>7.8816884859772286E-5</v>
      </c>
      <c r="BB73" s="147">
        <f t="shared" ca="1" si="21"/>
        <v>5.4527925651939466E-5</v>
      </c>
      <c r="BC73" s="147">
        <f t="shared" ca="1" si="22"/>
        <v>2.8069377510121042E-4</v>
      </c>
      <c r="BD73" s="147">
        <f t="shared" ca="1" si="23"/>
        <v>3.5036790181781761E-4</v>
      </c>
    </row>
    <row r="74" spans="8:56" s="147" customFormat="1" ht="0.25" customHeight="1" x14ac:dyDescent="0.2">
      <c r="H74" s="147">
        <f t="shared" si="24"/>
        <v>433</v>
      </c>
      <c r="I74" s="147">
        <f>IF($H74&gt;$H73,INDEX(Spectra!74:74,1,MATCH($I$20,Spectra!$20:$20,0)),I73)</f>
        <v>1.7648300747816099E-3</v>
      </c>
      <c r="J74" s="147">
        <f>((Physics!$C$9*Physics!$C$10)/(Physics!$C$11*Physics!$C$12*$H74))^($J$17-$J$18)</f>
        <v>2.1803828100386427E+18</v>
      </c>
      <c r="K74" s="147">
        <f t="shared" si="25"/>
        <v>1</v>
      </c>
      <c r="L74" s="147">
        <f>INDEX(Photobiology!$21:$421,1+$H74-380,10)</f>
        <v>1.4629680000000001E-2</v>
      </c>
      <c r="M74" s="147">
        <f t="shared" si="26"/>
        <v>1.7648300747816099E-3</v>
      </c>
      <c r="N74" s="147">
        <f ca="1">INDEX(Photobiology!$21:$421,1+$H74-380,N$14)</f>
        <v>0.82759899999999997</v>
      </c>
      <c r="O74" s="147">
        <f ca="1">INDEX(Photobiology!$21:$421,1+$H74-380,O$14)</f>
        <v>6.6903099999999993E-2</v>
      </c>
      <c r="P74" s="147">
        <f ca="1">INDEX(Photobiology!$21:$421,1+$H74-380,P$14)</f>
        <v>4.5493199999999998E-2</v>
      </c>
      <c r="Q74" s="147">
        <f ca="1">INDEX(Photobiology!$21:$421,1+$H74-380,Q$14)</f>
        <v>0.2369</v>
      </c>
      <c r="R74" s="147">
        <f ca="1">INDEX(Photobiology!$21:$421,1+$H74-380,R$14)</f>
        <v>0.29303400000000002</v>
      </c>
      <c r="S74" s="147">
        <f t="shared" si="27"/>
        <v>3848005157693034.5</v>
      </c>
      <c r="T74" s="147">
        <f ca="1">INDEX(Photobiology!$21:$421,1+$H74-380,T$14)</f>
        <v>0.85518008046604577</v>
      </c>
      <c r="U74" s="147">
        <f ca="1">INDEX(Photobiology!$21:$421,1+$H74-380,U$14)</f>
        <v>8.3525024972249604E-2</v>
      </c>
      <c r="V74" s="147">
        <f ca="1">INDEX(Photobiology!$21:$421,1+$H74-380,V$14)</f>
        <v>5.9541672158333982E-2</v>
      </c>
      <c r="W74" s="147">
        <f ca="1">INDEX(Photobiology!$21:$421,1+$H74-380,W$14)</f>
        <v>0.27657475891878869</v>
      </c>
      <c r="X74" s="147">
        <f ca="1">INDEX(Photobiology!$21:$421,1+$H74-380,X$14)</f>
        <v>0.33091459064053746</v>
      </c>
      <c r="Y74" s="147">
        <f t="shared" si="14"/>
        <v>1.7648300747816099E-3</v>
      </c>
      <c r="Z74" s="147">
        <f t="shared" ca="1" si="28"/>
        <v>1.4605716050591856E-3</v>
      </c>
      <c r="AA74" s="147">
        <f t="shared" ca="1" si="15"/>
        <v>1.1807260297612151E-4</v>
      </c>
      <c r="AB74" s="147">
        <f t="shared" ca="1" si="16"/>
        <v>8.0287767558054739E-5</v>
      </c>
      <c r="AC74" s="147">
        <f t="shared" ca="1" si="17"/>
        <v>4.1808824471576339E-4</v>
      </c>
      <c r="AD74" s="147">
        <f t="shared" ca="1" si="18"/>
        <v>5.1715521613355435E-4</v>
      </c>
      <c r="AH74" s="147">
        <f t="shared" si="29"/>
        <v>433</v>
      </c>
      <c r="AI74" s="147">
        <f>IF($AH74&gt;$AH73,INDEX(Spectra!74:74,1,MATCH($AI$20,Spectra!$20:$20,0)),AI73)</f>
        <v>92.137100000000004</v>
      </c>
      <c r="AJ74" s="147">
        <f>((Physics!$C$9*Physics!$C$10)/(Physics!$C$11*Physics!$C$12*$AH74))^($AJ$17-$AJ$18)</f>
        <v>2.1803828100386427E+18</v>
      </c>
      <c r="AK74" s="147">
        <f t="shared" si="30"/>
        <v>1</v>
      </c>
      <c r="AL74" s="147">
        <f>INDEX(Photobiology!$21:$421,1+$AH74-380,10)</f>
        <v>1.4629680000000001E-2</v>
      </c>
      <c r="AM74" s="147">
        <f t="shared" si="31"/>
        <v>1.2766148379116048E-3</v>
      </c>
      <c r="AN74" s="147">
        <f ca="1">INDEX(Photobiology!$21:$421,1+$AH74-380,AN$14)</f>
        <v>0.82759899999999997</v>
      </c>
      <c r="AO74" s="147">
        <f ca="1">INDEX(Photobiology!$21:$421,1+$AH74-380,AO$14)</f>
        <v>6.6903099999999993E-2</v>
      </c>
      <c r="AP74" s="147">
        <f ca="1">INDEX(Photobiology!$21:$421,1+$AH74-380,AP$14)</f>
        <v>4.5493199999999998E-2</v>
      </c>
      <c r="AQ74" s="147">
        <f ca="1">INDEX(Photobiology!$21:$421,1+$AH74-380,AQ$14)</f>
        <v>0.2369</v>
      </c>
      <c r="AR74" s="147">
        <f ca="1">INDEX(Photobiology!$21:$421,1+$AH74-380,AR$14)</f>
        <v>0.29303400000000002</v>
      </c>
      <c r="AS74" s="147">
        <f t="shared" si="32"/>
        <v>2783509047622731.5</v>
      </c>
      <c r="AT74" s="147">
        <f ca="1">INDEX(Photobiology!$21:$421,1+$AH74-380,AT$14)</f>
        <v>0.85518008046604577</v>
      </c>
      <c r="AU74" s="147">
        <f ca="1">INDEX(Photobiology!$21:$421,1+$AH74-380,AU$14)</f>
        <v>8.3525024972249604E-2</v>
      </c>
      <c r="AV74" s="147">
        <f ca="1">INDEX(Photobiology!$21:$421,1+$AH74-380,AV$14)</f>
        <v>5.9541672158333982E-2</v>
      </c>
      <c r="AW74" s="147">
        <f ca="1">INDEX(Photobiology!$21:$421,1+$AH74-380,AW$14)</f>
        <v>0.27657475891878869</v>
      </c>
      <c r="AX74" s="147">
        <f ca="1">INDEX(Photobiology!$21:$421,1+$AH74-380,AX$14)</f>
        <v>0.33091459064053746</v>
      </c>
      <c r="AY74" s="147">
        <f t="shared" si="19"/>
        <v>1.2766148379116048E-3</v>
      </c>
      <c r="AZ74" s="147">
        <f t="shared" ca="1" si="33"/>
        <v>1.0565251632408063E-3</v>
      </c>
      <c r="BA74" s="147">
        <f t="shared" ca="1" si="20"/>
        <v>8.5409490162283885E-5</v>
      </c>
      <c r="BB74" s="147">
        <f t="shared" ca="1" si="21"/>
        <v>5.807729414408022E-5</v>
      </c>
      <c r="BC74" s="147">
        <f t="shared" ca="1" si="22"/>
        <v>3.0243005510125918E-4</v>
      </c>
      <c r="BD74" s="147">
        <f t="shared" ca="1" si="23"/>
        <v>3.740915524125892E-4</v>
      </c>
    </row>
    <row r="75" spans="8:56" s="147" customFormat="1" ht="0.25" customHeight="1" x14ac:dyDescent="0.2">
      <c r="H75" s="147">
        <f t="shared" si="24"/>
        <v>434</v>
      </c>
      <c r="I75" s="147">
        <f>IF($H75&gt;$H74,INDEX(Spectra!75:75,1,MATCH($I$20,Spectra!$20:$20,0)),I74)</f>
        <v>1.8298238169123799E-3</v>
      </c>
      <c r="J75" s="147">
        <f>((Physics!$C$9*Physics!$C$10)/(Physics!$C$11*Physics!$C$12*$H75))^($J$17-$J$18)</f>
        <v>2.1854183361588242E+18</v>
      </c>
      <c r="K75" s="147">
        <f t="shared" si="25"/>
        <v>1</v>
      </c>
      <c r="L75" s="147">
        <f>INDEX(Photobiology!$21:$421,1+$H75-380,10)</f>
        <v>1.5715090000000001E-2</v>
      </c>
      <c r="M75" s="147">
        <f t="shared" si="26"/>
        <v>1.8298238169123799E-3</v>
      </c>
      <c r="N75" s="147">
        <f ca="1">INDEX(Photobiology!$21:$421,1+$H75-380,N$14)</f>
        <v>0.84877999999999998</v>
      </c>
      <c r="O75" s="147">
        <f ca="1">INDEX(Photobiology!$21:$421,1+$H75-380,O$14)</f>
        <v>7.0928500000000005E-2</v>
      </c>
      <c r="P75" s="147">
        <f ca="1">INDEX(Photobiology!$21:$421,1+$H75-380,P$14)</f>
        <v>4.7438500000000001E-2</v>
      </c>
      <c r="Q75" s="147">
        <f ca="1">INDEX(Photobiology!$21:$421,1+$H75-380,Q$14)</f>
        <v>0.24959999999999999</v>
      </c>
      <c r="R75" s="147">
        <f ca="1">INDEX(Photobiology!$21:$421,1+$H75-380,R$14)</f>
        <v>0.30649999999999999</v>
      </c>
      <c r="S75" s="147">
        <f t="shared" si="27"/>
        <v>3998930521420442.5</v>
      </c>
      <c r="T75" s="147">
        <f ca="1">INDEX(Photobiology!$21:$421,1+$H75-380,T$14)</f>
        <v>0.87504608004328732</v>
      </c>
      <c r="U75" s="147">
        <f ca="1">INDEX(Photobiology!$21:$421,1+$H75-380,U$14)</f>
        <v>8.8346493092359979E-2</v>
      </c>
      <c r="V75" s="147">
        <f ca="1">INDEX(Photobiology!$21:$421,1+$H75-380,V$14)</f>
        <v>6.194462896373077E-2</v>
      </c>
      <c r="W75" s="147">
        <f ca="1">INDEX(Photobiology!$21:$421,1+$H75-380,W$14)</f>
        <v>0.29073025528197494</v>
      </c>
      <c r="X75" s="147">
        <f ca="1">INDEX(Photobiology!$21:$421,1+$H75-380,X$14)</f>
        <v>0.34532382976936132</v>
      </c>
      <c r="Y75" s="147">
        <f t="shared" si="14"/>
        <v>1.8298238169123799E-3</v>
      </c>
      <c r="Z75" s="147">
        <f t="shared" ca="1" si="28"/>
        <v>1.5531178593188898E-3</v>
      </c>
      <c r="AA75" s="147">
        <f t="shared" ca="1" si="15"/>
        <v>1.2978665859786974E-4</v>
      </c>
      <c r="AB75" s="147">
        <f t="shared" ca="1" si="16"/>
        <v>8.6804097138597937E-5</v>
      </c>
      <c r="AC75" s="147">
        <f t="shared" ca="1" si="17"/>
        <v>4.5672402470133E-4</v>
      </c>
      <c r="AD75" s="147">
        <f t="shared" ca="1" si="18"/>
        <v>5.6084099988364447E-4</v>
      </c>
      <c r="AH75" s="147">
        <f t="shared" si="29"/>
        <v>434</v>
      </c>
      <c r="AI75" s="147">
        <f>IF($AH75&gt;$AH74,INDEX(Spectra!75:75,1,MATCH($AI$20,Spectra!$20:$20,0)),AI74)</f>
        <v>93.955399999999997</v>
      </c>
      <c r="AJ75" s="147">
        <f>((Physics!$C$9*Physics!$C$10)/(Physics!$C$11*Physics!$C$12*$AH75))^($AJ$17-$AJ$18)</f>
        <v>2.1854183361588242E+18</v>
      </c>
      <c r="AK75" s="147">
        <f t="shared" si="30"/>
        <v>1</v>
      </c>
      <c r="AL75" s="147">
        <f>INDEX(Photobiology!$21:$421,1+$AH75-380,10)</f>
        <v>1.5715090000000001E-2</v>
      </c>
      <c r="AM75" s="147">
        <f t="shared" si="31"/>
        <v>1.301808476085312E-3</v>
      </c>
      <c r="AN75" s="147">
        <f ca="1">INDEX(Photobiology!$21:$421,1+$AH75-380,AN$14)</f>
        <v>0.84877999999999998</v>
      </c>
      <c r="AO75" s="147">
        <f ca="1">INDEX(Photobiology!$21:$421,1+$AH75-380,AO$14)</f>
        <v>7.0928500000000005E-2</v>
      </c>
      <c r="AP75" s="147">
        <f ca="1">INDEX(Photobiology!$21:$421,1+$AH75-380,AP$14)</f>
        <v>4.7438500000000001E-2</v>
      </c>
      <c r="AQ75" s="147">
        <f ca="1">INDEX(Photobiology!$21:$421,1+$AH75-380,AQ$14)</f>
        <v>0.24959999999999999</v>
      </c>
      <c r="AR75" s="147">
        <f ca="1">INDEX(Photobiology!$21:$421,1+$AH75-380,AR$14)</f>
        <v>0.30649999999999999</v>
      </c>
      <c r="AS75" s="147">
        <f t="shared" si="32"/>
        <v>2844996113803817</v>
      </c>
      <c r="AT75" s="147">
        <f ca="1">INDEX(Photobiology!$21:$421,1+$AH75-380,AT$14)</f>
        <v>0.87504608004328732</v>
      </c>
      <c r="AU75" s="147">
        <f ca="1">INDEX(Photobiology!$21:$421,1+$AH75-380,AU$14)</f>
        <v>8.8346493092359979E-2</v>
      </c>
      <c r="AV75" s="147">
        <f ca="1">INDEX(Photobiology!$21:$421,1+$AH75-380,AV$14)</f>
        <v>6.194462896373077E-2</v>
      </c>
      <c r="AW75" s="147">
        <f ca="1">INDEX(Photobiology!$21:$421,1+$AH75-380,AW$14)</f>
        <v>0.29073025528197494</v>
      </c>
      <c r="AX75" s="147">
        <f ca="1">INDEX(Photobiology!$21:$421,1+$AH75-380,AX$14)</f>
        <v>0.34532382976936132</v>
      </c>
      <c r="AY75" s="147">
        <f t="shared" si="19"/>
        <v>1.301808476085312E-3</v>
      </c>
      <c r="AZ75" s="147">
        <f t="shared" ca="1" si="33"/>
        <v>1.1049489983316911E-3</v>
      </c>
      <c r="BA75" s="147">
        <f t="shared" ca="1" si="20"/>
        <v>9.2335322496017063E-5</v>
      </c>
      <c r="BB75" s="147">
        <f t="shared" ca="1" si="21"/>
        <v>6.1755841392773075E-5</v>
      </c>
      <c r="BC75" s="147">
        <f t="shared" ca="1" si="22"/>
        <v>3.2493139563089386E-4</v>
      </c>
      <c r="BD75" s="147">
        <f t="shared" ca="1" si="23"/>
        <v>3.9900429792014814E-4</v>
      </c>
    </row>
    <row r="76" spans="8:56" s="147" customFormat="1" ht="0.25" customHeight="1" x14ac:dyDescent="0.2">
      <c r="H76" s="147">
        <f t="shared" si="24"/>
        <v>435</v>
      </c>
      <c r="I76" s="147">
        <f>IF($H76&gt;$H75,INDEX(Spectra!76:76,1,MATCH($I$20,Spectra!$20:$20,0)),I75)</f>
        <v>1.8698199659159299E-3</v>
      </c>
      <c r="J76" s="147">
        <f>((Physics!$C$9*Physics!$C$10)/(Physics!$C$11*Physics!$C$12*$H76))^($J$17-$J$18)</f>
        <v>2.1904538622790054E+18</v>
      </c>
      <c r="K76" s="147">
        <f t="shared" si="25"/>
        <v>1</v>
      </c>
      <c r="L76" s="147">
        <f>INDEX(Photobiology!$21:$421,1+$H76-380,10)</f>
        <v>1.6840000000000001E-2</v>
      </c>
      <c r="M76" s="147">
        <f t="shared" si="26"/>
        <v>1.8698199659159299E-3</v>
      </c>
      <c r="N76" s="147">
        <f ca="1">INDEX(Photobiology!$21:$421,1+$H76-380,N$14)</f>
        <v>0.86998399999999998</v>
      </c>
      <c r="O76" s="147">
        <f ca="1">INDEX(Photobiology!$21:$421,1+$H76-380,O$14)</f>
        <v>7.5029899999999997E-2</v>
      </c>
      <c r="P76" s="147">
        <f ca="1">INDEX(Photobiology!$21:$421,1+$H76-380,P$14)</f>
        <v>4.9417200000000001E-2</v>
      </c>
      <c r="Q76" s="147">
        <f ca="1">INDEX(Photobiology!$21:$421,1+$H76-380,Q$14)</f>
        <v>0.26250000000000001</v>
      </c>
      <c r="R76" s="147">
        <f ca="1">INDEX(Photobiology!$21:$421,1+$H76-380,R$14)</f>
        <v>0.32067899999999999</v>
      </c>
      <c r="S76" s="147">
        <f t="shared" si="27"/>
        <v>4095754366106947</v>
      </c>
      <c r="T76" s="147">
        <f ca="1">INDEX(Photobiology!$21:$421,1+$H76-380,T$14)</f>
        <v>0.8948443989324627</v>
      </c>
      <c r="U76" s="147">
        <f ca="1">INDEX(Photobiology!$21:$421,1+$H76-380,U$14)</f>
        <v>9.3240239333088448E-2</v>
      </c>
      <c r="V76" s="147">
        <f ca="1">INDEX(Photobiology!$21:$421,1+$H76-380,V$14)</f>
        <v>6.4380050754017551E-2</v>
      </c>
      <c r="W76" s="147">
        <f ca="1">INDEX(Photobiology!$21:$421,1+$H76-380,W$14)</f>
        <v>0.30505309030539896</v>
      </c>
      <c r="X76" s="147">
        <f ca="1">INDEX(Photobiology!$21:$421,1+$H76-380,X$14)</f>
        <v>0.36046828731108221</v>
      </c>
      <c r="Y76" s="147">
        <f t="shared" si="14"/>
        <v>1.8698199659159299E-3</v>
      </c>
      <c r="Z76" s="147">
        <f t="shared" ca="1" si="28"/>
        <v>1.6267134532274043E-3</v>
      </c>
      <c r="AA76" s="147">
        <f t="shared" ca="1" si="15"/>
        <v>1.4029240506067563E-4</v>
      </c>
      <c r="AB76" s="147">
        <f t="shared" ca="1" si="16"/>
        <v>9.240126721966069E-5</v>
      </c>
      <c r="AC76" s="147">
        <f t="shared" ca="1" si="17"/>
        <v>4.9082774105293158E-4</v>
      </c>
      <c r="AD76" s="147">
        <f t="shared" ca="1" si="18"/>
        <v>5.9961199684995447E-4</v>
      </c>
      <c r="AH76" s="147">
        <f t="shared" si="29"/>
        <v>435</v>
      </c>
      <c r="AI76" s="147">
        <f>IF($AH76&gt;$AH75,INDEX(Spectra!76:76,1,MATCH($AI$20,Spectra!$20:$20,0)),AI75)</f>
        <v>95.773600000000002</v>
      </c>
      <c r="AJ76" s="147">
        <f>((Physics!$C$9*Physics!$C$10)/(Physics!$C$11*Physics!$C$12*$AH76))^($AJ$17-$AJ$18)</f>
        <v>2.1904538622790054E+18</v>
      </c>
      <c r="AK76" s="147">
        <f t="shared" si="30"/>
        <v>1</v>
      </c>
      <c r="AL76" s="147">
        <f>INDEX(Photobiology!$21:$421,1+$AH76-380,10)</f>
        <v>1.6840000000000001E-2</v>
      </c>
      <c r="AM76" s="147">
        <f t="shared" si="31"/>
        <v>1.327000728698981E-3</v>
      </c>
      <c r="AN76" s="147">
        <f ca="1">INDEX(Photobiology!$21:$421,1+$AH76-380,AN$14)</f>
        <v>0.86998399999999998</v>
      </c>
      <c r="AO76" s="147">
        <f ca="1">INDEX(Photobiology!$21:$421,1+$AH76-380,AO$14)</f>
        <v>7.5029899999999997E-2</v>
      </c>
      <c r="AP76" s="147">
        <f ca="1">INDEX(Photobiology!$21:$421,1+$AH76-380,AP$14)</f>
        <v>4.9417200000000001E-2</v>
      </c>
      <c r="AQ76" s="147">
        <f ca="1">INDEX(Photobiology!$21:$421,1+$AH76-380,AQ$14)</f>
        <v>0.26250000000000001</v>
      </c>
      <c r="AR76" s="147">
        <f ca="1">INDEX(Photobiology!$21:$421,1+$AH76-380,AR$14)</f>
        <v>0.32067899999999999</v>
      </c>
      <c r="AS76" s="147">
        <f t="shared" si="32"/>
        <v>2906733871425737.5</v>
      </c>
      <c r="AT76" s="147">
        <f ca="1">INDEX(Photobiology!$21:$421,1+$AH76-380,AT$14)</f>
        <v>0.8948443989324627</v>
      </c>
      <c r="AU76" s="147">
        <f ca="1">INDEX(Photobiology!$21:$421,1+$AH76-380,AU$14)</f>
        <v>9.3240239333088448E-2</v>
      </c>
      <c r="AV76" s="147">
        <f ca="1">INDEX(Photobiology!$21:$421,1+$AH76-380,AV$14)</f>
        <v>6.4380050754017551E-2</v>
      </c>
      <c r="AW76" s="147">
        <f ca="1">INDEX(Photobiology!$21:$421,1+$AH76-380,AW$14)</f>
        <v>0.30505309030539896</v>
      </c>
      <c r="AX76" s="147">
        <f ca="1">INDEX(Photobiology!$21:$421,1+$AH76-380,AX$14)</f>
        <v>0.36046828731108221</v>
      </c>
      <c r="AY76" s="147">
        <f t="shared" si="19"/>
        <v>1.327000728698981E-3</v>
      </c>
      <c r="AZ76" s="147">
        <f t="shared" ca="1" si="33"/>
        <v>1.1544694019564542E-3</v>
      </c>
      <c r="BA76" s="147">
        <f t="shared" ca="1" si="20"/>
        <v>9.9564731974211668E-5</v>
      </c>
      <c r="BB76" s="147">
        <f t="shared" ca="1" si="21"/>
        <v>6.5576660410263284E-5</v>
      </c>
      <c r="BC76" s="147">
        <f t="shared" ca="1" si="22"/>
        <v>3.4833769128348255E-4</v>
      </c>
      <c r="BD76" s="147">
        <f t="shared" ca="1" si="23"/>
        <v>4.2554126667846049E-4</v>
      </c>
    </row>
    <row r="77" spans="8:56" s="147" customFormat="1" ht="0.25" customHeight="1" x14ac:dyDescent="0.2">
      <c r="H77" s="147">
        <f t="shared" si="24"/>
        <v>436</v>
      </c>
      <c r="I77" s="147">
        <f>IF($H77&gt;$H76,INDEX(Spectra!77:77,1,MATCH($I$20,Spectra!$20:$20,0)),I76)</f>
        <v>1.8748194845413699E-3</v>
      </c>
      <c r="J77" s="147">
        <f>((Physics!$C$9*Physics!$C$10)/(Physics!$C$11*Physics!$C$12*$H77))^($J$17-$J$18)</f>
        <v>2.1954893883991872E+18</v>
      </c>
      <c r="K77" s="147">
        <f t="shared" si="25"/>
        <v>1</v>
      </c>
      <c r="L77" s="147">
        <f>INDEX(Photobiology!$21:$421,1+$H77-380,10)</f>
        <v>1.800736E-2</v>
      </c>
      <c r="M77" s="147">
        <f t="shared" si="26"/>
        <v>1.8748194845413699E-3</v>
      </c>
      <c r="N77" s="147">
        <f ca="1">INDEX(Photobiology!$21:$421,1+$H77-380,N$14)</f>
        <v>0.89176100000000003</v>
      </c>
      <c r="O77" s="147">
        <f ca="1">INDEX(Photobiology!$21:$421,1+$H77-380,O$14)</f>
        <v>7.9176899999999995E-2</v>
      </c>
      <c r="P77" s="147">
        <f ca="1">INDEX(Photobiology!$21:$421,1+$H77-380,P$14)</f>
        <v>5.1434300000000002E-2</v>
      </c>
      <c r="Q77" s="147">
        <f ca="1">INDEX(Photobiology!$21:$421,1+$H77-380,Q$14)</f>
        <v>0.27550000000000002</v>
      </c>
      <c r="R77" s="147">
        <f ca="1">INDEX(Photobiology!$21:$421,1+$H77-380,R$14)</f>
        <v>0.33601599999999998</v>
      </c>
      <c r="S77" s="147">
        <f t="shared" si="27"/>
        <v>4116146283474611.5</v>
      </c>
      <c r="T77" s="147">
        <f ca="1">INDEX(Photobiology!$21:$421,1+$H77-380,T$14)</f>
        <v>0.91513992194436011</v>
      </c>
      <c r="U77" s="147">
        <f ca="1">INDEX(Photobiology!$21:$421,1+$H77-380,U$14)</f>
        <v>9.8168074699376565E-2</v>
      </c>
      <c r="V77" s="147">
        <f ca="1">INDEX(Photobiology!$21:$421,1+$H77-380,V$14)</f>
        <v>6.685421313752149E-2</v>
      </c>
      <c r="W77" s="147">
        <f ca="1">INDEX(Photobiology!$21:$421,1+$H77-380,W$14)</f>
        <v>0.31942616841349741</v>
      </c>
      <c r="X77" s="147">
        <f ca="1">INDEX(Photobiology!$21:$421,1+$H77-380,X$14)</f>
        <v>0.37684197196043867</v>
      </c>
      <c r="Y77" s="147">
        <f t="shared" si="14"/>
        <v>1.8748194845413699E-3</v>
      </c>
      <c r="Z77" s="147">
        <f t="shared" ca="1" si="28"/>
        <v>1.6718908983540967E-3</v>
      </c>
      <c r="AA77" s="147">
        <f t="shared" ca="1" si="15"/>
        <v>1.4844239484558357E-4</v>
      </c>
      <c r="AB77" s="147">
        <f t="shared" ca="1" si="16"/>
        <v>9.6430027813746189E-5</v>
      </c>
      <c r="AC77" s="147">
        <f t="shared" ca="1" si="17"/>
        <v>5.1651276799114746E-4</v>
      </c>
      <c r="AD77" s="147">
        <f t="shared" ca="1" si="18"/>
        <v>6.299693439176529E-4</v>
      </c>
      <c r="AH77" s="147">
        <f t="shared" si="29"/>
        <v>436</v>
      </c>
      <c r="AI77" s="147">
        <f>IF($AH77&gt;$AH76,INDEX(Spectra!77:77,1,MATCH($AI$20,Spectra!$20:$20,0)),AI76)</f>
        <v>97.591899999999995</v>
      </c>
      <c r="AJ77" s="147">
        <f>((Physics!$C$9*Physics!$C$10)/(Physics!$C$11*Physics!$C$12*$AH77))^($AJ$17-$AJ$18)</f>
        <v>2.1954893883991872E+18</v>
      </c>
      <c r="AK77" s="147">
        <f t="shared" si="30"/>
        <v>1</v>
      </c>
      <c r="AL77" s="147">
        <f>INDEX(Photobiology!$21:$421,1+$AH77-380,10)</f>
        <v>1.800736E-2</v>
      </c>
      <c r="AM77" s="147">
        <f t="shared" si="31"/>
        <v>1.352194366872688E-3</v>
      </c>
      <c r="AN77" s="147">
        <f ca="1">INDEX(Photobiology!$21:$421,1+$AH77-380,AN$14)</f>
        <v>0.89176100000000003</v>
      </c>
      <c r="AO77" s="147">
        <f ca="1">INDEX(Photobiology!$21:$421,1+$AH77-380,AO$14)</f>
        <v>7.9176899999999995E-2</v>
      </c>
      <c r="AP77" s="147">
        <f ca="1">INDEX(Photobiology!$21:$421,1+$AH77-380,AP$14)</f>
        <v>5.1434300000000002E-2</v>
      </c>
      <c r="AQ77" s="147">
        <f ca="1">INDEX(Photobiology!$21:$421,1+$AH77-380,AQ$14)</f>
        <v>0.27550000000000002</v>
      </c>
      <c r="AR77" s="147">
        <f ca="1">INDEX(Photobiology!$21:$421,1+$AH77-380,AR$14)</f>
        <v>0.33601599999999998</v>
      </c>
      <c r="AS77" s="147">
        <f t="shared" si="32"/>
        <v>2968728383522144</v>
      </c>
      <c r="AT77" s="147">
        <f ca="1">INDEX(Photobiology!$21:$421,1+$AH77-380,AT$14)</f>
        <v>0.91513992194436011</v>
      </c>
      <c r="AU77" s="147">
        <f ca="1">INDEX(Photobiology!$21:$421,1+$AH77-380,AU$14)</f>
        <v>9.8168074699376565E-2</v>
      </c>
      <c r="AV77" s="147">
        <f ca="1">INDEX(Photobiology!$21:$421,1+$AH77-380,AV$14)</f>
        <v>6.685421313752149E-2</v>
      </c>
      <c r="AW77" s="147">
        <f ca="1">INDEX(Photobiology!$21:$421,1+$AH77-380,AW$14)</f>
        <v>0.31942616841349741</v>
      </c>
      <c r="AX77" s="147">
        <f ca="1">INDEX(Photobiology!$21:$421,1+$AH77-380,AX$14)</f>
        <v>0.37684197196043867</v>
      </c>
      <c r="AY77" s="147">
        <f t="shared" si="19"/>
        <v>1.352194366872688E-3</v>
      </c>
      <c r="AZ77" s="147">
        <f t="shared" ca="1" si="33"/>
        <v>1.2058342007967551E-3</v>
      </c>
      <c r="BA77" s="147">
        <f t="shared" ca="1" si="20"/>
        <v>1.0706255816644212E-4</v>
      </c>
      <c r="BB77" s="147">
        <f t="shared" ca="1" si="21"/>
        <v>6.9549170724039893E-5</v>
      </c>
      <c r="BC77" s="147">
        <f t="shared" ca="1" si="22"/>
        <v>3.7252954807342559E-4</v>
      </c>
      <c r="BD77" s="147">
        <f t="shared" ca="1" si="23"/>
        <v>4.5435894237909308E-4</v>
      </c>
    </row>
    <row r="78" spans="8:56" s="147" customFormat="1" ht="0.25" customHeight="1" x14ac:dyDescent="0.2">
      <c r="H78" s="147">
        <f t="shared" si="24"/>
        <v>437</v>
      </c>
      <c r="I78" s="147">
        <f>IF($H78&gt;$H77,INDEX(Spectra!78:78,1,MATCH($I$20,Spectra!$20:$20,0)),I77)</f>
        <v>1.8698199659159299E-3</v>
      </c>
      <c r="J78" s="147">
        <f>((Physics!$C$9*Physics!$C$10)/(Physics!$C$11*Physics!$C$12*$H78))^($J$17-$J$18)</f>
        <v>2.200524914519369E+18</v>
      </c>
      <c r="K78" s="147">
        <f t="shared" si="25"/>
        <v>1</v>
      </c>
      <c r="L78" s="147">
        <f>INDEX(Photobiology!$21:$421,1+$H78-380,10)</f>
        <v>1.9214479999999999E-2</v>
      </c>
      <c r="M78" s="147">
        <f t="shared" si="26"/>
        <v>1.8698199659159299E-3</v>
      </c>
      <c r="N78" s="147">
        <f ca="1">INDEX(Photobiology!$21:$421,1+$H78-380,N$14)</f>
        <v>0.91344400000000003</v>
      </c>
      <c r="O78" s="147">
        <f ca="1">INDEX(Photobiology!$21:$421,1+$H78-380,O$14)</f>
        <v>8.3346299999999998E-2</v>
      </c>
      <c r="P78" s="147">
        <f ca="1">INDEX(Photobiology!$21:$421,1+$H78-380,P$14)</f>
        <v>5.34735E-2</v>
      </c>
      <c r="Q78" s="147">
        <f ca="1">INDEX(Photobiology!$21:$421,1+$H78-380,Q$14)</f>
        <v>0.28860000000000002</v>
      </c>
      <c r="R78" s="147">
        <f ca="1">INDEX(Photobiology!$21:$421,1+$H78-380,R$14)</f>
        <v>0.35236099999999998</v>
      </c>
      <c r="S78" s="147">
        <f t="shared" si="27"/>
        <v>4114585420663761</v>
      </c>
      <c r="T78" s="147">
        <f ca="1">INDEX(Photobiology!$21:$421,1+$H78-380,T$14)</f>
        <v>0.93524631565130889</v>
      </c>
      <c r="U78" s="147">
        <f ca="1">INDEX(Photobiology!$21:$421,1+$H78-380,U$14)</f>
        <v>0.10310106629845429</v>
      </c>
      <c r="V78" s="147">
        <f ca="1">INDEX(Photobiology!$21:$421,1+$H78-380,V$14)</f>
        <v>6.9345711931213319E-2</v>
      </c>
      <c r="W78" s="147">
        <f ca="1">INDEX(Photobiology!$21:$421,1+$H78-380,W$14)</f>
        <v>0.33384914468806881</v>
      </c>
      <c r="X78" s="147">
        <f ca="1">INDEX(Photobiology!$21:$421,1+$H78-380,X$14)</f>
        <v>0.39426860502918148</v>
      </c>
      <c r="Y78" s="147">
        <f t="shared" si="14"/>
        <v>1.8698199659159299E-3</v>
      </c>
      <c r="Z78" s="147">
        <f t="shared" ca="1" si="28"/>
        <v>1.7079758289461108E-3</v>
      </c>
      <c r="AA78" s="147">
        <f t="shared" ca="1" si="15"/>
        <v>1.5584257582521886E-4</v>
      </c>
      <c r="AB78" s="147">
        <f t="shared" ca="1" si="16"/>
        <v>9.9985817947405485E-5</v>
      </c>
      <c r="AC78" s="147">
        <f t="shared" ca="1" si="17"/>
        <v>5.3963004216333742E-4</v>
      </c>
      <c r="AD78" s="147">
        <f t="shared" ca="1" si="18"/>
        <v>6.588516330101029E-4</v>
      </c>
      <c r="AH78" s="147">
        <f t="shared" si="29"/>
        <v>437</v>
      </c>
      <c r="AI78" s="147">
        <f>IF($AH78&gt;$AH77,INDEX(Spectra!78:78,1,MATCH($AI$20,Spectra!$20:$20,0)),AI77)</f>
        <v>99.410200000000003</v>
      </c>
      <c r="AJ78" s="147">
        <f>((Physics!$C$9*Physics!$C$10)/(Physics!$C$11*Physics!$C$12*$AH78))^($AJ$17-$AJ$18)</f>
        <v>2.200524914519369E+18</v>
      </c>
      <c r="AK78" s="147">
        <f t="shared" si="30"/>
        <v>1</v>
      </c>
      <c r="AL78" s="147">
        <f>INDEX(Photobiology!$21:$421,1+$AH78-380,10)</f>
        <v>1.9214479999999999E-2</v>
      </c>
      <c r="AM78" s="147">
        <f t="shared" si="31"/>
        <v>1.3773880050463952E-3</v>
      </c>
      <c r="AN78" s="147">
        <f ca="1">INDEX(Photobiology!$21:$421,1+$AH78-380,AN$14)</f>
        <v>0.91344400000000003</v>
      </c>
      <c r="AO78" s="147">
        <f ca="1">INDEX(Photobiology!$21:$421,1+$AH78-380,AO$14)</f>
        <v>8.3346299999999998E-2</v>
      </c>
      <c r="AP78" s="147">
        <f ca="1">INDEX(Photobiology!$21:$421,1+$AH78-380,AP$14)</f>
        <v>5.34735E-2</v>
      </c>
      <c r="AQ78" s="147">
        <f ca="1">INDEX(Photobiology!$21:$421,1+$AH78-380,AQ$14)</f>
        <v>0.28860000000000002</v>
      </c>
      <c r="AR78" s="147">
        <f ca="1">INDEX(Photobiology!$21:$421,1+$AH78-380,AR$14)</f>
        <v>0.35236099999999998</v>
      </c>
      <c r="AS78" s="147">
        <f t="shared" si="32"/>
        <v>3030976622064723</v>
      </c>
      <c r="AT78" s="147">
        <f ca="1">INDEX(Photobiology!$21:$421,1+$AH78-380,AT$14)</f>
        <v>0.93524631565130889</v>
      </c>
      <c r="AU78" s="147">
        <f ca="1">INDEX(Photobiology!$21:$421,1+$AH78-380,AU$14)</f>
        <v>0.10310106629845429</v>
      </c>
      <c r="AV78" s="147">
        <f ca="1">INDEX(Photobiology!$21:$421,1+$AH78-380,AV$14)</f>
        <v>6.9345711931213319E-2</v>
      </c>
      <c r="AW78" s="147">
        <f ca="1">INDEX(Photobiology!$21:$421,1+$AH78-380,AW$14)</f>
        <v>0.33384914468806881</v>
      </c>
      <c r="AX78" s="147">
        <f ca="1">INDEX(Photobiology!$21:$421,1+$AH78-380,AX$14)</f>
        <v>0.39426860502918148</v>
      </c>
      <c r="AY78" s="147">
        <f t="shared" si="19"/>
        <v>1.3773880050463952E-3</v>
      </c>
      <c r="AZ78" s="147">
        <f t="shared" ca="1" si="33"/>
        <v>1.2581668088815995E-3</v>
      </c>
      <c r="BA78" s="147">
        <f t="shared" ca="1" si="20"/>
        <v>1.1480019388499836E-4</v>
      </c>
      <c r="BB78" s="147">
        <f t="shared" ca="1" si="21"/>
        <v>7.3653757487848414E-5</v>
      </c>
      <c r="BC78" s="147">
        <f t="shared" ca="1" si="22"/>
        <v>3.975141782563897E-4</v>
      </c>
      <c r="BD78" s="147">
        <f t="shared" ca="1" si="23"/>
        <v>4.8533781484615281E-4</v>
      </c>
    </row>
    <row r="79" spans="8:56" s="147" customFormat="1" ht="0.25" customHeight="1" x14ac:dyDescent="0.2">
      <c r="H79" s="147">
        <f t="shared" si="24"/>
        <v>438</v>
      </c>
      <c r="I79" s="147">
        <f>IF($H79&gt;$H78,INDEX(Spectra!79:79,1,MATCH($I$20,Spectra!$20:$20,0)),I78)</f>
        <v>1.8798190031668099E-3</v>
      </c>
      <c r="J79" s="147">
        <f>((Physics!$C$9*Physics!$C$10)/(Physics!$C$11*Physics!$C$12*$H79))^($J$17-$J$18)</f>
        <v>2.2055604406395507E+18</v>
      </c>
      <c r="K79" s="147">
        <f t="shared" si="25"/>
        <v>1</v>
      </c>
      <c r="L79" s="147">
        <f>INDEX(Photobiology!$21:$421,1+$H79-380,10)</f>
        <v>2.045392E-2</v>
      </c>
      <c r="M79" s="147">
        <f t="shared" si="26"/>
        <v>1.8798190031668099E-3</v>
      </c>
      <c r="N79" s="147">
        <f ca="1">INDEX(Photobiology!$21:$421,1+$H79-380,N$14)</f>
        <v>0.93397699999999995</v>
      </c>
      <c r="O79" s="147">
        <f ca="1">INDEX(Photobiology!$21:$421,1+$H79-380,O$14)</f>
        <v>8.7515999999999997E-2</v>
      </c>
      <c r="P79" s="147">
        <f ca="1">INDEX(Photobiology!$21:$421,1+$H79-380,P$14)</f>
        <v>5.5510200000000003E-2</v>
      </c>
      <c r="Q79" s="147">
        <f ca="1">INDEX(Photobiology!$21:$421,1+$H79-380,Q$14)</f>
        <v>0.30170000000000002</v>
      </c>
      <c r="R79" s="147">
        <f ca="1">INDEX(Photobiology!$21:$421,1+$H79-380,R$14)</f>
        <v>0.36912800000000001</v>
      </c>
      <c r="S79" s="147">
        <f t="shared" si="27"/>
        <v>4146054428947190.5</v>
      </c>
      <c r="T79" s="147">
        <f ca="1">INDEX(Photobiology!$21:$421,1+$H79-380,T$14)</f>
        <v>0.95408613908497786</v>
      </c>
      <c r="U79" s="147">
        <f ca="1">INDEX(Photobiology!$21:$421,1+$H79-380,U$14)</f>
        <v>0.1080119030805575</v>
      </c>
      <c r="V79" s="147">
        <f ca="1">INDEX(Photobiology!$21:$421,1+$H79-380,V$14)</f>
        <v>7.1822599360338829E-2</v>
      </c>
      <c r="W79" s="147">
        <f ca="1">INDEX(Photobiology!$21:$421,1+$H79-380,W$14)</f>
        <v>0.34820626262348692</v>
      </c>
      <c r="X79" s="147">
        <f ca="1">INDEX(Photobiology!$21:$421,1+$H79-380,X$14)</f>
        <v>0.41208677640197167</v>
      </c>
      <c r="Y79" s="147">
        <f t="shared" si="14"/>
        <v>1.8798190031668099E-3</v>
      </c>
      <c r="Z79" s="147">
        <f t="shared" ca="1" si="28"/>
        <v>1.7557077131207276E-3</v>
      </c>
      <c r="AA79" s="147">
        <f t="shared" ca="1" si="15"/>
        <v>1.6451423988114654E-4</v>
      </c>
      <c r="AB79" s="147">
        <f t="shared" ca="1" si="16"/>
        <v>1.0434912882959025E-4</v>
      </c>
      <c r="AC79" s="147">
        <f t="shared" ca="1" si="17"/>
        <v>5.6714139325542655E-4</v>
      </c>
      <c r="AD79" s="147">
        <f t="shared" ca="1" si="18"/>
        <v>6.9389382900095827E-4</v>
      </c>
      <c r="AH79" s="147">
        <f t="shared" si="29"/>
        <v>438</v>
      </c>
      <c r="AI79" s="147">
        <f>IF($AH79&gt;$AH78,INDEX(Spectra!79:79,1,MATCH($AI$20,Spectra!$20:$20,0)),AI78)</f>
        <v>101.22799999999999</v>
      </c>
      <c r="AJ79" s="147">
        <f>((Physics!$C$9*Physics!$C$10)/(Physics!$C$11*Physics!$C$12*$AH79))^($AJ$17-$AJ$18)</f>
        <v>2.2055604406395507E+18</v>
      </c>
      <c r="AK79" s="147">
        <f t="shared" si="30"/>
        <v>1</v>
      </c>
      <c r="AL79" s="147">
        <f>INDEX(Photobiology!$21:$421,1+$AH79-380,10)</f>
        <v>2.045392E-2</v>
      </c>
      <c r="AM79" s="147">
        <f t="shared" si="31"/>
        <v>1.4025747154199114E-3</v>
      </c>
      <c r="AN79" s="147">
        <f ca="1">INDEX(Photobiology!$21:$421,1+$AH79-380,AN$14)</f>
        <v>0.93397699999999995</v>
      </c>
      <c r="AO79" s="147">
        <f ca="1">INDEX(Photobiology!$21:$421,1+$AH79-380,AO$14)</f>
        <v>8.7515999999999997E-2</v>
      </c>
      <c r="AP79" s="147">
        <f ca="1">INDEX(Photobiology!$21:$421,1+$AH79-380,AP$14)</f>
        <v>5.5510200000000003E-2</v>
      </c>
      <c r="AQ79" s="147">
        <f ca="1">INDEX(Photobiology!$21:$421,1+$AH79-380,AQ$14)</f>
        <v>0.30170000000000002</v>
      </c>
      <c r="AR79" s="147">
        <f ca="1">INDEX(Photobiology!$21:$421,1+$AH79-380,AR$14)</f>
        <v>0.36912800000000001</v>
      </c>
      <c r="AS79" s="147">
        <f t="shared" si="32"/>
        <v>3093463307371432.5</v>
      </c>
      <c r="AT79" s="147">
        <f ca="1">INDEX(Photobiology!$21:$421,1+$AH79-380,AT$14)</f>
        <v>0.95408613908497786</v>
      </c>
      <c r="AU79" s="147">
        <f ca="1">INDEX(Photobiology!$21:$421,1+$AH79-380,AU$14)</f>
        <v>0.1080119030805575</v>
      </c>
      <c r="AV79" s="147">
        <f ca="1">INDEX(Photobiology!$21:$421,1+$AH79-380,AV$14)</f>
        <v>7.1822599360338829E-2</v>
      </c>
      <c r="AW79" s="147">
        <f ca="1">INDEX(Photobiology!$21:$421,1+$AH79-380,AW$14)</f>
        <v>0.34820626262348692</v>
      </c>
      <c r="AX79" s="147">
        <f ca="1">INDEX(Photobiology!$21:$421,1+$AH79-380,AX$14)</f>
        <v>0.41208677640197167</v>
      </c>
      <c r="AY79" s="147">
        <f t="shared" si="19"/>
        <v>1.4025747154199114E-3</v>
      </c>
      <c r="AZ79" s="147">
        <f t="shared" ca="1" si="33"/>
        <v>1.3099725249837426E-3</v>
      </c>
      <c r="BA79" s="147">
        <f t="shared" ca="1" si="20"/>
        <v>1.2274772879468897E-4</v>
      </c>
      <c r="BB79" s="147">
        <f t="shared" ca="1" si="21"/>
        <v>7.785720296790237E-5</v>
      </c>
      <c r="BC79" s="147">
        <f t="shared" ca="1" si="22"/>
        <v>4.2315679164218729E-4</v>
      </c>
      <c r="BD79" s="147">
        <f t="shared" ca="1" si="23"/>
        <v>5.1772959955352106E-4</v>
      </c>
    </row>
    <row r="80" spans="8:56" s="147" customFormat="1" ht="0.25" customHeight="1" x14ac:dyDescent="0.2">
      <c r="H80" s="147">
        <f t="shared" si="24"/>
        <v>439</v>
      </c>
      <c r="I80" s="147">
        <f>IF($H80&gt;$H79,INDEX(Spectra!80:80,1,MATCH($I$20,Spectra!$20:$20,0)),I79)</f>
        <v>1.8998170776685899E-3</v>
      </c>
      <c r="J80" s="147">
        <f>((Physics!$C$9*Physics!$C$10)/(Physics!$C$11*Physics!$C$12*$H80))^($J$17-$J$18)</f>
        <v>2.2105959667597325E+18</v>
      </c>
      <c r="K80" s="147">
        <f t="shared" si="25"/>
        <v>1</v>
      </c>
      <c r="L80" s="147">
        <f>INDEX(Photobiology!$21:$421,1+$H80-380,10)</f>
        <v>2.171824E-2</v>
      </c>
      <c r="M80" s="147">
        <f t="shared" si="26"/>
        <v>1.8998170776685899E-3</v>
      </c>
      <c r="N80" s="147">
        <f ca="1">INDEX(Photobiology!$21:$421,1+$H80-380,N$14)</f>
        <v>0.95221800000000001</v>
      </c>
      <c r="O80" s="147">
        <f ca="1">INDEX(Photobiology!$21:$421,1+$H80-380,O$14)</f>
        <v>9.1662499999999994E-2</v>
      </c>
      <c r="P80" s="147">
        <f ca="1">INDEX(Photobiology!$21:$421,1+$H80-380,P$14)</f>
        <v>5.7516600000000001E-2</v>
      </c>
      <c r="Q80" s="147">
        <f ca="1">INDEX(Photobiology!$21:$421,1+$H80-380,Q$14)</f>
        <v>0.31490000000000001</v>
      </c>
      <c r="R80" s="147">
        <f ca="1">INDEX(Photobiology!$21:$421,1+$H80-380,R$14)</f>
        <v>0.38573200000000002</v>
      </c>
      <c r="S80" s="147">
        <f t="shared" si="27"/>
        <v>4199727969475446.5</v>
      </c>
      <c r="T80" s="147">
        <f ca="1">INDEX(Photobiology!$21:$421,1+$H80-380,T$14)</f>
        <v>0.97050411698787742</v>
      </c>
      <c r="U80" s="147">
        <f ca="1">INDEX(Photobiology!$21:$421,1+$H80-380,U$14)</f>
        <v>0.11287179890519367</v>
      </c>
      <c r="V80" s="147">
        <f ca="1">INDEX(Photobiology!$21:$421,1+$H80-380,V$14)</f>
        <v>7.4249087815475054E-2</v>
      </c>
      <c r="W80" s="147">
        <f ca="1">INDEX(Photobiology!$21:$421,1+$H80-380,W$14)</f>
        <v>0.36261312411037211</v>
      </c>
      <c r="X80" s="147">
        <f ca="1">INDEX(Photobiology!$21:$421,1+$H80-380,X$14)</f>
        <v>0.42964221631540139</v>
      </c>
      <c r="Y80" s="147">
        <f t="shared" si="14"/>
        <v>1.8998170776685899E-3</v>
      </c>
      <c r="Z80" s="147">
        <f t="shared" ca="1" si="28"/>
        <v>1.8090400180634293E-3</v>
      </c>
      <c r="AA80" s="147">
        <f t="shared" ca="1" si="15"/>
        <v>1.7414198288179711E-4</v>
      </c>
      <c r="AB80" s="147">
        <f t="shared" ca="1" si="16"/>
        <v>1.0927101892943322E-4</v>
      </c>
      <c r="AC80" s="147">
        <f t="shared" ca="1" si="17"/>
        <v>5.98252397757839E-4</v>
      </c>
      <c r="AD80" s="147">
        <f t="shared" ca="1" si="18"/>
        <v>7.3282024100326055E-4</v>
      </c>
      <c r="AH80" s="147">
        <f t="shared" si="29"/>
        <v>439</v>
      </c>
      <c r="AI80" s="147">
        <f>IF($AH80&gt;$AH79,INDEX(Spectra!80:80,1,MATCH($AI$20,Spectra!$20:$20,0)),AI79)</f>
        <v>103.047</v>
      </c>
      <c r="AJ80" s="147">
        <f>((Physics!$C$9*Physics!$C$10)/(Physics!$C$11*Physics!$C$12*$AH80))^($AJ$17-$AJ$18)</f>
        <v>2.2105959667597325E+18</v>
      </c>
      <c r="AK80" s="147">
        <f t="shared" si="30"/>
        <v>1</v>
      </c>
      <c r="AL80" s="147">
        <f>INDEX(Photobiology!$21:$421,1+$AH80-380,10)</f>
        <v>2.171824E-2</v>
      </c>
      <c r="AM80" s="147">
        <f t="shared" si="31"/>
        <v>1.4277780525138858E-3</v>
      </c>
      <c r="AN80" s="147">
        <f ca="1">INDEX(Photobiology!$21:$421,1+$AH80-380,AN$14)</f>
        <v>0.95221800000000001</v>
      </c>
      <c r="AO80" s="147">
        <f ca="1">INDEX(Photobiology!$21:$421,1+$AH80-380,AO$14)</f>
        <v>9.1662499999999994E-2</v>
      </c>
      <c r="AP80" s="147">
        <f ca="1">INDEX(Photobiology!$21:$421,1+$AH80-380,AP$14)</f>
        <v>5.7516600000000001E-2</v>
      </c>
      <c r="AQ80" s="147">
        <f ca="1">INDEX(Photobiology!$21:$421,1+$AH80-380,AQ$14)</f>
        <v>0.31490000000000001</v>
      </c>
      <c r="AR80" s="147">
        <f ca="1">INDEX(Photobiology!$21:$421,1+$AH80-380,AR$14)</f>
        <v>0.38573200000000002</v>
      </c>
      <c r="AS80" s="147">
        <f t="shared" si="32"/>
        <v>3156240404315261.5</v>
      </c>
      <c r="AT80" s="147">
        <f ca="1">INDEX(Photobiology!$21:$421,1+$AH80-380,AT$14)</f>
        <v>0.97050411698787742</v>
      </c>
      <c r="AU80" s="147">
        <f ca="1">INDEX(Photobiology!$21:$421,1+$AH80-380,AU$14)</f>
        <v>0.11287179890519367</v>
      </c>
      <c r="AV80" s="147">
        <f ca="1">INDEX(Photobiology!$21:$421,1+$AH80-380,AV$14)</f>
        <v>7.4249087815475054E-2</v>
      </c>
      <c r="AW80" s="147">
        <f ca="1">INDEX(Photobiology!$21:$421,1+$AH80-380,AW$14)</f>
        <v>0.36261312411037211</v>
      </c>
      <c r="AX80" s="147">
        <f ca="1">INDEX(Photobiology!$21:$421,1+$AH80-380,AX$14)</f>
        <v>0.42964221631540139</v>
      </c>
      <c r="AY80" s="147">
        <f t="shared" si="19"/>
        <v>1.4277780525138858E-3</v>
      </c>
      <c r="AZ80" s="147">
        <f t="shared" ca="1" si="33"/>
        <v>1.3595559616086674E-3</v>
      </c>
      <c r="BA80" s="147">
        <f t="shared" ca="1" si="20"/>
        <v>1.3087370573855404E-4</v>
      </c>
      <c r="BB80" s="147">
        <f t="shared" ca="1" si="21"/>
        <v>8.2120939135220172E-5</v>
      </c>
      <c r="BC80" s="147">
        <f t="shared" ca="1" si="22"/>
        <v>4.4960730873662267E-4</v>
      </c>
      <c r="BD80" s="147">
        <f t="shared" ca="1" si="23"/>
        <v>5.5073968375228619E-4</v>
      </c>
    </row>
    <row r="81" spans="8:56" s="147" customFormat="1" ht="0.25" customHeight="1" x14ac:dyDescent="0.2">
      <c r="H81" s="147">
        <f t="shared" si="24"/>
        <v>440</v>
      </c>
      <c r="I81" s="147">
        <f>IF($H81&gt;$H80,INDEX(Spectra!81:81,1,MATCH($I$20,Spectra!$20:$20,0)),I80)</f>
        <v>1.9398132266721399E-3</v>
      </c>
      <c r="J81" s="147">
        <f>((Physics!$C$9*Physics!$C$10)/(Physics!$C$11*Physics!$C$12*$H81))^($J$17-$J$18)</f>
        <v>2.215631492879914E+18</v>
      </c>
      <c r="K81" s="147">
        <f t="shared" si="25"/>
        <v>1</v>
      </c>
      <c r="L81" s="147">
        <f>INDEX(Photobiology!$21:$421,1+$H81-380,10)</f>
        <v>2.3E-2</v>
      </c>
      <c r="M81" s="147">
        <f t="shared" si="26"/>
        <v>1.9398132266721399E-3</v>
      </c>
      <c r="N81" s="147">
        <f ca="1">INDEX(Photobiology!$21:$421,1+$H81-380,N$14)</f>
        <v>0.96696000000000004</v>
      </c>
      <c r="O81" s="147">
        <f ca="1">INDEX(Photobiology!$21:$421,1+$H81-380,O$14)</f>
        <v>9.5761200000000005E-2</v>
      </c>
      <c r="P81" s="147">
        <f ca="1">INDEX(Photobiology!$21:$421,1+$H81-380,P$14)</f>
        <v>5.9461899999999998E-2</v>
      </c>
      <c r="Q81" s="147">
        <f ca="1">INDEX(Photobiology!$21:$421,1+$H81-380,Q$14)</f>
        <v>0.3281</v>
      </c>
      <c r="R81" s="147">
        <f ca="1">INDEX(Photobiology!$21:$421,1+$H81-380,R$14)</f>
        <v>0.40158700000000003</v>
      </c>
      <c r="S81" s="147">
        <f t="shared" si="27"/>
        <v>4297911275319796.5</v>
      </c>
      <c r="T81" s="147">
        <f ca="1">INDEX(Photobiology!$21:$421,1+$H81-380,T$14)</f>
        <v>0.9832893789279834</v>
      </c>
      <c r="U81" s="147">
        <f ca="1">INDEX(Photobiology!$21:$421,1+$H81-380,U$14)</f>
        <v>0.11765087787936214</v>
      </c>
      <c r="V81" s="147">
        <f ca="1">INDEX(Photobiology!$21:$421,1+$H81-380,V$14)</f>
        <v>7.6585851083395662E-2</v>
      </c>
      <c r="W81" s="147">
        <f ca="1">INDEX(Photobiology!$21:$421,1+$H81-380,W$14)</f>
        <v>0.37695449986322604</v>
      </c>
      <c r="X81" s="147">
        <f ca="1">INDEX(Photobiology!$21:$421,1+$H81-380,X$14)</f>
        <v>0.44628549160837477</v>
      </c>
      <c r="Y81" s="147">
        <f t="shared" si="14"/>
        <v>1.9398132266721399E-3</v>
      </c>
      <c r="Z81" s="147">
        <f t="shared" ca="1" si="28"/>
        <v>1.8757217976628925E-3</v>
      </c>
      <c r="AA81" s="147">
        <f t="shared" ca="1" si="15"/>
        <v>1.8575884236199613E-4</v>
      </c>
      <c r="AB81" s="147">
        <f t="shared" ca="1" si="16"/>
        <v>1.1534498010305611E-4</v>
      </c>
      <c r="AC81" s="147">
        <f t="shared" ca="1" si="17"/>
        <v>6.3645271967112914E-4</v>
      </c>
      <c r="AD81" s="147">
        <f t="shared" ca="1" si="18"/>
        <v>7.7900377425958473E-4</v>
      </c>
      <c r="AH81" s="147">
        <f t="shared" si="29"/>
        <v>440</v>
      </c>
      <c r="AI81" s="147">
        <f>IF($AH81&gt;$AH80,INDEX(Spectra!81:81,1,MATCH($AI$20,Spectra!$20:$20,0)),AI80)</f>
        <v>104.86499999999999</v>
      </c>
      <c r="AJ81" s="147">
        <f>((Physics!$C$9*Physics!$C$10)/(Physics!$C$11*Physics!$C$12*$AH81))^($AJ$17-$AJ$18)</f>
        <v>2.215631492879914E+18</v>
      </c>
      <c r="AK81" s="147">
        <f t="shared" si="30"/>
        <v>1</v>
      </c>
      <c r="AL81" s="147">
        <f>INDEX(Photobiology!$21:$421,1+$AH81-380,10)</f>
        <v>2.3E-2</v>
      </c>
      <c r="AM81" s="147">
        <f t="shared" si="31"/>
        <v>1.4529675340074783E-3</v>
      </c>
      <c r="AN81" s="147">
        <f ca="1">INDEX(Photobiology!$21:$421,1+$AH81-380,AN$14)</f>
        <v>0.96696000000000004</v>
      </c>
      <c r="AO81" s="147">
        <f ca="1">INDEX(Photobiology!$21:$421,1+$AH81-380,AO$14)</f>
        <v>9.5761200000000005E-2</v>
      </c>
      <c r="AP81" s="147">
        <f ca="1">INDEX(Photobiology!$21:$421,1+$AH81-380,AP$14)</f>
        <v>5.9461899999999998E-2</v>
      </c>
      <c r="AQ81" s="147">
        <f ca="1">INDEX(Photobiology!$21:$421,1+$AH81-380,AQ$14)</f>
        <v>0.3281</v>
      </c>
      <c r="AR81" s="147">
        <f ca="1">INDEX(Photobiology!$21:$421,1+$AH81-380,AR$14)</f>
        <v>0.40158700000000003</v>
      </c>
      <c r="AS81" s="147">
        <f t="shared" si="32"/>
        <v>3219240626479036.5</v>
      </c>
      <c r="AT81" s="147">
        <f ca="1">INDEX(Photobiology!$21:$421,1+$AH81-380,AT$14)</f>
        <v>0.9832893789279834</v>
      </c>
      <c r="AU81" s="147">
        <f ca="1">INDEX(Photobiology!$21:$421,1+$AH81-380,AU$14)</f>
        <v>0.11765087787936214</v>
      </c>
      <c r="AV81" s="147">
        <f ca="1">INDEX(Photobiology!$21:$421,1+$AH81-380,AV$14)</f>
        <v>7.6585851083395662E-2</v>
      </c>
      <c r="AW81" s="147">
        <f ca="1">INDEX(Photobiology!$21:$421,1+$AH81-380,AW$14)</f>
        <v>0.37695449986322604</v>
      </c>
      <c r="AX81" s="147">
        <f ca="1">INDEX(Photobiology!$21:$421,1+$AH81-380,AX$14)</f>
        <v>0.44628549160837477</v>
      </c>
      <c r="AY81" s="147">
        <f t="shared" si="19"/>
        <v>1.4529675340074783E-3</v>
      </c>
      <c r="AZ81" s="147">
        <f t="shared" ca="1" si="33"/>
        <v>1.4049614866838713E-3</v>
      </c>
      <c r="BA81" s="147">
        <f t="shared" ca="1" si="20"/>
        <v>1.3913791461759694E-4</v>
      </c>
      <c r="BB81" s="147">
        <f t="shared" ca="1" si="21"/>
        <v>8.6396210210399276E-5</v>
      </c>
      <c r="BC81" s="147">
        <f t="shared" ca="1" si="22"/>
        <v>4.7671864790785361E-4</v>
      </c>
      <c r="BD81" s="147">
        <f t="shared" ca="1" si="23"/>
        <v>5.8349287307946128E-4</v>
      </c>
    </row>
    <row r="82" spans="8:56" s="147" customFormat="1" ht="0.25" customHeight="1" x14ac:dyDescent="0.2">
      <c r="H82" s="147">
        <f t="shared" si="24"/>
        <v>441</v>
      </c>
      <c r="I82" s="147">
        <f>IF($H82&gt;$H81,INDEX(Spectra!82:82,1,MATCH($I$20,Spectra!$20:$20,0)),I81)</f>
        <v>1.9998074501774601E-3</v>
      </c>
      <c r="J82" s="147">
        <f>((Physics!$C$9*Physics!$C$10)/(Physics!$C$11*Physics!$C$12*$H82))^($J$17-$J$18)</f>
        <v>2.2206670190000955E+18</v>
      </c>
      <c r="K82" s="147">
        <f t="shared" si="25"/>
        <v>1</v>
      </c>
      <c r="L82" s="147">
        <f>INDEX(Photobiology!$21:$421,1+$H82-380,10)</f>
        <v>2.4294610000000001E-2</v>
      </c>
      <c r="M82" s="147">
        <f t="shared" si="26"/>
        <v>1.9998074501774601E-3</v>
      </c>
      <c r="N82" s="147">
        <f ca="1">INDEX(Photobiology!$21:$421,1+$H82-380,N$14)</f>
        <v>0.97733999999999999</v>
      </c>
      <c r="O82" s="147">
        <f ca="1">INDEX(Photobiology!$21:$421,1+$H82-380,O$14)</f>
        <v>9.9797700000000003E-2</v>
      </c>
      <c r="P82" s="147">
        <f ca="1">INDEX(Photobiology!$21:$421,1+$H82-380,P$14)</f>
        <v>6.1323999999999997E-2</v>
      </c>
      <c r="Q82" s="147">
        <f ca="1">INDEX(Photobiology!$21:$421,1+$H82-380,Q$14)</f>
        <v>0.3412</v>
      </c>
      <c r="R82" s="147">
        <f ca="1">INDEX(Photobiology!$21:$421,1+$H82-380,R$14)</f>
        <v>0.41647200000000001</v>
      </c>
      <c r="S82" s="147">
        <f t="shared" si="27"/>
        <v>4440906448959762.5</v>
      </c>
      <c r="T82" s="147">
        <f ca="1">INDEX(Photobiology!$21:$421,1+$H82-380,T$14)</f>
        <v>0.99159105345056242</v>
      </c>
      <c r="U82" s="147">
        <f ca="1">INDEX(Photobiology!$21:$421,1+$H82-380,U$14)</f>
        <v>0.12233203825501707</v>
      </c>
      <c r="V82" s="147">
        <f ca="1">INDEX(Photobiology!$21:$421,1+$H82-380,V$14)</f>
        <v>7.8805099684605237E-2</v>
      </c>
      <c r="W82" s="147">
        <f ca="1">INDEX(Photobiology!$21:$421,1+$H82-380,W$14)</f>
        <v>0.39111620576013756</v>
      </c>
      <c r="X82" s="147">
        <f ca="1">INDEX(Photobiology!$21:$421,1+$H82-380,X$14)</f>
        <v>0.46177776607192</v>
      </c>
      <c r="Y82" s="147">
        <f t="shared" si="14"/>
        <v>1.9998074501774601E-3</v>
      </c>
      <c r="Z82" s="147">
        <f t="shared" ca="1" si="28"/>
        <v>1.9544918133564387E-3</v>
      </c>
      <c r="AA82" s="147">
        <f t="shared" ca="1" si="15"/>
        <v>1.9957618397057513E-4</v>
      </c>
      <c r="AB82" s="147">
        <f t="shared" ca="1" si="16"/>
        <v>1.2263619207468257E-4</v>
      </c>
      <c r="AC82" s="147">
        <f t="shared" ca="1" si="17"/>
        <v>6.8233430200054939E-4</v>
      </c>
      <c r="AD82" s="147">
        <f t="shared" ca="1" si="18"/>
        <v>8.3286380839030715E-4</v>
      </c>
      <c r="AH82" s="147">
        <f t="shared" si="29"/>
        <v>441</v>
      </c>
      <c r="AI82" s="147">
        <f>IF($AH82&gt;$AH81,INDEX(Spectra!82:82,1,MATCH($AI$20,Spectra!$20:$20,0)),AI81)</f>
        <v>106.07899999999999</v>
      </c>
      <c r="AJ82" s="147">
        <f>((Physics!$C$9*Physics!$C$10)/(Physics!$C$11*Physics!$C$12*$AH82))^($AJ$17-$AJ$18)</f>
        <v>2.2206670190000955E+18</v>
      </c>
      <c r="AK82" s="147">
        <f t="shared" si="30"/>
        <v>1</v>
      </c>
      <c r="AL82" s="147">
        <f>INDEX(Photobiology!$21:$421,1+$AH82-380,10)</f>
        <v>2.4294610000000001E-2</v>
      </c>
      <c r="AM82" s="147">
        <f t="shared" si="31"/>
        <v>1.4697882328706365E-3</v>
      </c>
      <c r="AN82" s="147">
        <f ca="1">INDEX(Photobiology!$21:$421,1+$AH82-380,AN$14)</f>
        <v>0.97733999999999999</v>
      </c>
      <c r="AO82" s="147">
        <f ca="1">INDEX(Photobiology!$21:$421,1+$AH82-380,AO$14)</f>
        <v>9.9797700000000003E-2</v>
      </c>
      <c r="AP82" s="147">
        <f ca="1">INDEX(Photobiology!$21:$421,1+$AH82-380,AP$14)</f>
        <v>6.1323999999999997E-2</v>
      </c>
      <c r="AQ82" s="147">
        <f ca="1">INDEX(Photobiology!$21:$421,1+$AH82-380,AQ$14)</f>
        <v>0.3412</v>
      </c>
      <c r="AR82" s="147">
        <f ca="1">INDEX(Photobiology!$21:$421,1+$AH82-380,AR$14)</f>
        <v>0.41647200000000001</v>
      </c>
      <c r="AS82" s="147">
        <f t="shared" si="32"/>
        <v>3263910253650254.5</v>
      </c>
      <c r="AT82" s="147">
        <f ca="1">INDEX(Photobiology!$21:$421,1+$AH82-380,AT$14)</f>
        <v>0.99159105345056242</v>
      </c>
      <c r="AU82" s="147">
        <f ca="1">INDEX(Photobiology!$21:$421,1+$AH82-380,AU$14)</f>
        <v>0.12233203825501707</v>
      </c>
      <c r="AV82" s="147">
        <f ca="1">INDEX(Photobiology!$21:$421,1+$AH82-380,AV$14)</f>
        <v>7.8805099684605237E-2</v>
      </c>
      <c r="AW82" s="147">
        <f ca="1">INDEX(Photobiology!$21:$421,1+$AH82-380,AW$14)</f>
        <v>0.39111620576013756</v>
      </c>
      <c r="AX82" s="147">
        <f ca="1">INDEX(Photobiology!$21:$421,1+$AH82-380,AX$14)</f>
        <v>0.46177776607192</v>
      </c>
      <c r="AY82" s="147">
        <f t="shared" si="19"/>
        <v>1.4697882328706365E-3</v>
      </c>
      <c r="AZ82" s="147">
        <f t="shared" ca="1" si="33"/>
        <v>1.4364828315137879E-3</v>
      </c>
      <c r="BA82" s="147">
        <f t="shared" ca="1" si="20"/>
        <v>1.4668148512755392E-4</v>
      </c>
      <c r="BB82" s="147">
        <f t="shared" ca="1" si="21"/>
        <v>9.0133293592558901E-5</v>
      </c>
      <c r="BC82" s="147">
        <f t="shared" ca="1" si="22"/>
        <v>5.0149174505546119E-4</v>
      </c>
      <c r="BD82" s="147">
        <f t="shared" ca="1" si="23"/>
        <v>6.1212564492009978E-4</v>
      </c>
    </row>
    <row r="83" spans="8:56" s="147" customFormat="1" ht="0.25" customHeight="1" x14ac:dyDescent="0.2">
      <c r="H83" s="147">
        <f t="shared" si="24"/>
        <v>442</v>
      </c>
      <c r="I83" s="147">
        <f>IF($H83&gt;$H82,INDEX(Spectra!83:83,1,MATCH($I$20,Spectra!$20:$20,0)),I82)</f>
        <v>2.0448031178064599E-3</v>
      </c>
      <c r="J83" s="147">
        <f>((Physics!$C$9*Physics!$C$10)/(Physics!$C$11*Physics!$C$12*$H83))^($J$17-$J$18)</f>
        <v>2.225702545120277E+18</v>
      </c>
      <c r="K83" s="147">
        <f t="shared" si="25"/>
        <v>1</v>
      </c>
      <c r="L83" s="147">
        <f>INDEX(Photobiology!$21:$421,1+$H83-380,10)</f>
        <v>2.5610239999999999E-2</v>
      </c>
      <c r="M83" s="147">
        <f t="shared" si="26"/>
        <v>2.0448031178064599E-3</v>
      </c>
      <c r="N83" s="147">
        <f ca="1">INDEX(Photobiology!$21:$421,1+$H83-380,N$14)</f>
        <v>0.98402800000000001</v>
      </c>
      <c r="O83" s="147">
        <f ca="1">INDEX(Photobiology!$21:$421,1+$H83-380,O$14)</f>
        <v>0.10380399999999999</v>
      </c>
      <c r="P83" s="147">
        <f ca="1">INDEX(Photobiology!$21:$421,1+$H83-380,P$14)</f>
        <v>6.3128799999999999E-2</v>
      </c>
      <c r="Q83" s="147">
        <f ca="1">INDEX(Photobiology!$21:$421,1+$H83-380,Q$14)</f>
        <v>0.3543</v>
      </c>
      <c r="R83" s="147">
        <f ca="1">INDEX(Photobiology!$21:$421,1+$H83-380,R$14)</f>
        <v>0.43079699999999999</v>
      </c>
      <c r="S83" s="147">
        <f t="shared" si="27"/>
        <v>4551123503571715</v>
      </c>
      <c r="T83" s="147">
        <f ca="1">INDEX(Photobiology!$21:$421,1+$H83-380,T$14)</f>
        <v>0.99611780378878334</v>
      </c>
      <c r="U83" s="147">
        <f ca="1">INDEX(Photobiology!$21:$421,1+$H83-380,U$14)</f>
        <v>0.12695508149795842</v>
      </c>
      <c r="V83" s="147">
        <f ca="1">INDEX(Photobiology!$21:$421,1+$H83-380,V$14)</f>
        <v>8.0940839016751059E-2</v>
      </c>
      <c r="W83" s="147">
        <f ca="1">INDEX(Photobiology!$21:$421,1+$H83-380,W$14)</f>
        <v>0.40521383153986845</v>
      </c>
      <c r="X83" s="147">
        <f ca="1">INDEX(Photobiology!$21:$421,1+$H83-380,X$14)</f>
        <v>0.4765804251299357</v>
      </c>
      <c r="Y83" s="147">
        <f t="shared" si="14"/>
        <v>2.0448031178064599E-3</v>
      </c>
      <c r="Z83" s="147">
        <f t="shared" ca="1" si="28"/>
        <v>2.012143522408855E-3</v>
      </c>
      <c r="AA83" s="147">
        <f t="shared" ca="1" si="15"/>
        <v>2.1225874284078175E-4</v>
      </c>
      <c r="AB83" s="147">
        <f t="shared" ca="1" si="16"/>
        <v>1.2908596706338044E-4</v>
      </c>
      <c r="AC83" s="147">
        <f t="shared" ca="1" si="17"/>
        <v>7.2447374463882879E-4</v>
      </c>
      <c r="AD83" s="147">
        <f t="shared" ca="1" si="18"/>
        <v>8.8089504874166947E-4</v>
      </c>
      <c r="AH83" s="147">
        <f t="shared" si="29"/>
        <v>442</v>
      </c>
      <c r="AI83" s="147">
        <f>IF($AH83&gt;$AH82,INDEX(Spectra!83:83,1,MATCH($AI$20,Spectra!$20:$20,0)),AI82)</f>
        <v>107.294</v>
      </c>
      <c r="AJ83" s="147">
        <f>((Physics!$C$9*Physics!$C$10)/(Physics!$C$11*Physics!$C$12*$AH83))^($AJ$17-$AJ$18)</f>
        <v>2.225702545120277E+18</v>
      </c>
      <c r="AK83" s="147">
        <f t="shared" si="30"/>
        <v>1</v>
      </c>
      <c r="AL83" s="147">
        <f>INDEX(Photobiology!$21:$421,1+$AH83-380,10)</f>
        <v>2.5610239999999999E-2</v>
      </c>
      <c r="AM83" s="147">
        <f t="shared" si="31"/>
        <v>1.4866227873341761E-3</v>
      </c>
      <c r="AN83" s="147">
        <f ca="1">INDEX(Photobiology!$21:$421,1+$AH83-380,AN$14)</f>
        <v>0.98402800000000001</v>
      </c>
      <c r="AO83" s="147">
        <f ca="1">INDEX(Photobiology!$21:$421,1+$AH83-380,AO$14)</f>
        <v>0.10380399999999999</v>
      </c>
      <c r="AP83" s="147">
        <f ca="1">INDEX(Photobiology!$21:$421,1+$AH83-380,AP$14)</f>
        <v>6.3128799999999999E-2</v>
      </c>
      <c r="AQ83" s="147">
        <f ca="1">INDEX(Photobiology!$21:$421,1+$AH83-380,AQ$14)</f>
        <v>0.3543</v>
      </c>
      <c r="AR83" s="147">
        <f ca="1">INDEX(Photobiology!$21:$421,1+$AH83-380,AR$14)</f>
        <v>0.43079699999999999</v>
      </c>
      <c r="AS83" s="147">
        <f t="shared" si="32"/>
        <v>3308780121403476</v>
      </c>
      <c r="AT83" s="147">
        <f ca="1">INDEX(Photobiology!$21:$421,1+$AH83-380,AT$14)</f>
        <v>0.99611780378878334</v>
      </c>
      <c r="AU83" s="147">
        <f ca="1">INDEX(Photobiology!$21:$421,1+$AH83-380,AU$14)</f>
        <v>0.12695508149795842</v>
      </c>
      <c r="AV83" s="147">
        <f ca="1">INDEX(Photobiology!$21:$421,1+$AH83-380,AV$14)</f>
        <v>8.0940839016751059E-2</v>
      </c>
      <c r="AW83" s="147">
        <f ca="1">INDEX(Photobiology!$21:$421,1+$AH83-380,AW$14)</f>
        <v>0.40521383153986845</v>
      </c>
      <c r="AX83" s="147">
        <f ca="1">INDEX(Photobiology!$21:$421,1+$AH83-380,AX$14)</f>
        <v>0.4765804251299357</v>
      </c>
      <c r="AY83" s="147">
        <f t="shared" si="19"/>
        <v>1.4866227873341761E-3</v>
      </c>
      <c r="AZ83" s="147">
        <f t="shared" ca="1" si="33"/>
        <v>1.4628784481748747E-3</v>
      </c>
      <c r="BA83" s="147">
        <f t="shared" ca="1" si="20"/>
        <v>1.5431739181643681E-4</v>
      </c>
      <c r="BB83" s="147">
        <f t="shared" ca="1" si="21"/>
        <v>9.3848712617061728E-5</v>
      </c>
      <c r="BC83" s="147">
        <f t="shared" ca="1" si="22"/>
        <v>5.2671045355249862E-4</v>
      </c>
      <c r="BD83" s="147">
        <f t="shared" ca="1" si="23"/>
        <v>6.4043263691520105E-4</v>
      </c>
    </row>
    <row r="84" spans="8:56" s="147" customFormat="1" ht="0.25" customHeight="1" x14ac:dyDescent="0.2">
      <c r="H84" s="147">
        <f t="shared" si="24"/>
        <v>443</v>
      </c>
      <c r="I84" s="147">
        <f>IF($H84&gt;$H83,INDEX(Spectra!84:84,1,MATCH($I$20,Spectra!$20:$20,0)),I83)</f>
        <v>2.0548021550573399E-3</v>
      </c>
      <c r="J84" s="147">
        <f>((Physics!$C$9*Physics!$C$10)/(Physics!$C$11*Physics!$C$12*$H84))^($J$17-$J$18)</f>
        <v>2.2307380712404588E+18</v>
      </c>
      <c r="K84" s="147">
        <f t="shared" si="25"/>
        <v>1</v>
      </c>
      <c r="L84" s="147">
        <f>INDEX(Photobiology!$21:$421,1+$H84-380,10)</f>
        <v>2.6958570000000001E-2</v>
      </c>
      <c r="M84" s="147">
        <f t="shared" si="26"/>
        <v>2.0548021550573399E-3</v>
      </c>
      <c r="N84" s="147">
        <f ca="1">INDEX(Photobiology!$21:$421,1+$H84-380,N$14)</f>
        <v>0.98814400000000002</v>
      </c>
      <c r="O84" s="147">
        <f ca="1">INDEX(Photobiology!$21:$421,1+$H84-380,O$14)</f>
        <v>0.107834</v>
      </c>
      <c r="P84" s="147">
        <f ca="1">INDEX(Photobiology!$21:$421,1+$H84-380,P$14)</f>
        <v>6.4918900000000002E-2</v>
      </c>
      <c r="Q84" s="147">
        <f ca="1">INDEX(Photobiology!$21:$421,1+$H84-380,Q$14)</f>
        <v>0.36730000000000002</v>
      </c>
      <c r="R84" s="147">
        <f ca="1">INDEX(Photobiology!$21:$421,1+$H84-380,R$14)</f>
        <v>0.44492100000000001</v>
      </c>
      <c r="S84" s="147">
        <f t="shared" si="27"/>
        <v>4583725396153348</v>
      </c>
      <c r="T84" s="147">
        <f ca="1">INDEX(Photobiology!$21:$421,1+$H84-380,T$14)</f>
        <v>0.99802639484556599</v>
      </c>
      <c r="U84" s="147">
        <f ca="1">INDEX(Photobiology!$21:$421,1+$H84-380,U$14)</f>
        <v>0.13158617352017027</v>
      </c>
      <c r="V84" s="147">
        <f ca="1">INDEX(Photobiology!$21:$421,1+$H84-380,V$14)</f>
        <v>8.3048131067612149E-2</v>
      </c>
      <c r="W84" s="147">
        <f ca="1">INDEX(Photobiology!$21:$421,1+$H84-380,W$14)</f>
        <v>0.41913369906559406</v>
      </c>
      <c r="X84" s="147">
        <f ca="1">INDEX(Photobiology!$21:$421,1+$H84-380,X$14)</f>
        <v>0.49109439547596867</v>
      </c>
      <c r="Y84" s="147">
        <f t="shared" si="14"/>
        <v>2.0548021550573399E-3</v>
      </c>
      <c r="Z84" s="147">
        <f t="shared" ca="1" si="28"/>
        <v>2.0304404207069802E-3</v>
      </c>
      <c r="AA84" s="147">
        <f t="shared" ca="1" si="15"/>
        <v>2.2157753558845318E-4</v>
      </c>
      <c r="AB84" s="147">
        <f t="shared" ca="1" si="16"/>
        <v>1.3339549562395195E-4</v>
      </c>
      <c r="AC84" s="147">
        <f t="shared" ca="1" si="17"/>
        <v>7.5472883155256094E-4</v>
      </c>
      <c r="AD84" s="147">
        <f t="shared" ca="1" si="18"/>
        <v>9.142246296302667E-4</v>
      </c>
      <c r="AH84" s="147">
        <f t="shared" si="29"/>
        <v>443</v>
      </c>
      <c r="AI84" s="147">
        <f>IF($AH84&gt;$AH83,INDEX(Spectra!84:84,1,MATCH($AI$20,Spectra!$20:$20,0)),AI83)</f>
        <v>108.508</v>
      </c>
      <c r="AJ84" s="147">
        <f>((Physics!$C$9*Physics!$C$10)/(Physics!$C$11*Physics!$C$12*$AH84))^($AJ$17-$AJ$18)</f>
        <v>2.2307380712404588E+18</v>
      </c>
      <c r="AK84" s="147">
        <f t="shared" si="30"/>
        <v>1</v>
      </c>
      <c r="AL84" s="147">
        <f>INDEX(Photobiology!$21:$421,1+$AH84-380,10)</f>
        <v>2.6958570000000001E-2</v>
      </c>
      <c r="AM84" s="147">
        <f t="shared" si="31"/>
        <v>1.5034434861973343E-3</v>
      </c>
      <c r="AN84" s="147">
        <f ca="1">INDEX(Photobiology!$21:$421,1+$AH84-380,AN$14)</f>
        <v>0.98814400000000002</v>
      </c>
      <c r="AO84" s="147">
        <f ca="1">INDEX(Photobiology!$21:$421,1+$AH84-380,AO$14)</f>
        <v>0.107834</v>
      </c>
      <c r="AP84" s="147">
        <f ca="1">INDEX(Photobiology!$21:$421,1+$AH84-380,AP$14)</f>
        <v>6.4918900000000002E-2</v>
      </c>
      <c r="AQ84" s="147">
        <f ca="1">INDEX(Photobiology!$21:$421,1+$AH84-380,AQ$14)</f>
        <v>0.36730000000000002</v>
      </c>
      <c r="AR84" s="147">
        <f ca="1">INDEX(Photobiology!$21:$421,1+$AH84-380,AR$14)</f>
        <v>0.44492100000000001</v>
      </c>
      <c r="AS84" s="147">
        <f t="shared" si="32"/>
        <v>3353788622618872.5</v>
      </c>
      <c r="AT84" s="147">
        <f ca="1">INDEX(Photobiology!$21:$421,1+$AH84-380,AT$14)</f>
        <v>0.99802639484556599</v>
      </c>
      <c r="AU84" s="147">
        <f ca="1">INDEX(Photobiology!$21:$421,1+$AH84-380,AU$14)</f>
        <v>0.13158617352017027</v>
      </c>
      <c r="AV84" s="147">
        <f ca="1">INDEX(Photobiology!$21:$421,1+$AH84-380,AV$14)</f>
        <v>8.3048131067612149E-2</v>
      </c>
      <c r="AW84" s="147">
        <f ca="1">INDEX(Photobiology!$21:$421,1+$AH84-380,AW$14)</f>
        <v>0.41913369906559406</v>
      </c>
      <c r="AX84" s="147">
        <f ca="1">INDEX(Photobiology!$21:$421,1+$AH84-380,AX$14)</f>
        <v>0.49109439547596867</v>
      </c>
      <c r="AY84" s="147">
        <f t="shared" si="19"/>
        <v>1.5034434861973343E-3</v>
      </c>
      <c r="AZ84" s="147">
        <f t="shared" ca="1" si="33"/>
        <v>1.4856186602249786E-3</v>
      </c>
      <c r="BA84" s="147">
        <f t="shared" ca="1" si="20"/>
        <v>1.6212232489060333E-4</v>
      </c>
      <c r="BB84" s="147">
        <f t="shared" ca="1" si="21"/>
        <v>9.7601897336096124E-5</v>
      </c>
      <c r="BC84" s="147">
        <f t="shared" ca="1" si="22"/>
        <v>5.5221479248028092E-4</v>
      </c>
      <c r="BD84" s="147">
        <f t="shared" ca="1" si="23"/>
        <v>6.6891357932240421E-4</v>
      </c>
    </row>
    <row r="85" spans="8:56" s="147" customFormat="1" ht="0.25" customHeight="1" x14ac:dyDescent="0.2">
      <c r="H85" s="147">
        <f t="shared" si="24"/>
        <v>444</v>
      </c>
      <c r="I85" s="147">
        <f>IF($H85&gt;$H84,INDEX(Spectra!85:85,1,MATCH($I$20,Spectra!$20:$20,0)),I84)</f>
        <v>2.0348040805555699E-3</v>
      </c>
      <c r="J85" s="147">
        <f>((Physics!$C$9*Physics!$C$10)/(Physics!$C$11*Physics!$C$12*$H85))^($J$17-$J$18)</f>
        <v>2.2357735973606403E+18</v>
      </c>
      <c r="K85" s="147">
        <f t="shared" si="25"/>
        <v>1</v>
      </c>
      <c r="L85" s="147">
        <f>INDEX(Photobiology!$21:$421,1+$H85-380,10)</f>
        <v>2.8351250000000001E-2</v>
      </c>
      <c r="M85" s="147">
        <f t="shared" si="26"/>
        <v>2.0348040805555699E-3</v>
      </c>
      <c r="N85" s="147">
        <f ca="1">INDEX(Photobiology!$21:$421,1+$H85-380,N$14)</f>
        <v>0.99085100000000004</v>
      </c>
      <c r="O85" s="147">
        <f ca="1">INDEX(Photobiology!$21:$421,1+$H85-380,O$14)</f>
        <v>0.11194800000000001</v>
      </c>
      <c r="P85" s="147">
        <f ca="1">INDEX(Photobiology!$21:$421,1+$H85-380,P$14)</f>
        <v>6.6742499999999996E-2</v>
      </c>
      <c r="Q85" s="147">
        <f ca="1">INDEX(Photobiology!$21:$421,1+$H85-380,Q$14)</f>
        <v>0.38030000000000003</v>
      </c>
      <c r="R85" s="147">
        <f ca="1">INDEX(Photobiology!$21:$421,1+$H85-380,R$14)</f>
        <v>0.45920299999999997</v>
      </c>
      <c r="S85" s="147">
        <f t="shared" si="27"/>
        <v>4549361239107837</v>
      </c>
      <c r="T85" s="147">
        <f ca="1">INDEX(Photobiology!$21:$421,1+$H85-380,T$14)</f>
        <v>0.99850650244454098</v>
      </c>
      <c r="U85" s="147">
        <f ca="1">INDEX(Photobiology!$21:$421,1+$H85-380,U$14)</f>
        <v>0.13629867625789266</v>
      </c>
      <c r="V85" s="147">
        <f ca="1">INDEX(Photobiology!$21:$421,1+$H85-380,V$14)</f>
        <v>8.5188689490409988E-2</v>
      </c>
      <c r="W85" s="147">
        <f ca="1">INDEX(Photobiology!$21:$421,1+$H85-380,W$14)</f>
        <v>0.43299086448534796</v>
      </c>
      <c r="X85" s="147">
        <f ca="1">INDEX(Photobiology!$21:$421,1+$H85-380,X$14)</f>
        <v>0.50571699185137142</v>
      </c>
      <c r="Y85" s="147">
        <f t="shared" ref="Y85:Y148" si="34">IF(TRUE,M85,S85)</f>
        <v>2.0348040805555699E-3</v>
      </c>
      <c r="Z85" s="147">
        <f t="shared" ca="1" si="28"/>
        <v>2.016187658022567E-3</v>
      </c>
      <c r="AA85" s="147">
        <f t="shared" ref="AA85:AA148" ca="1" si="35">$Y85*O85</f>
        <v>2.2779224721003496E-4</v>
      </c>
      <c r="AB85" s="147">
        <f t="shared" ref="AB85:AB148" ca="1" si="36">$Y85*P85</f>
        <v>1.3580791134648013E-4</v>
      </c>
      <c r="AC85" s="147">
        <f t="shared" ref="AC85:AC148" ca="1" si="37">$Y85*Q85</f>
        <v>7.7383599183528324E-4</v>
      </c>
      <c r="AD85" s="147">
        <f t="shared" ref="AD85:AD148" ca="1" si="38">$Y85*R85</f>
        <v>9.3438813820335932E-4</v>
      </c>
      <c r="AH85" s="147">
        <f t="shared" si="29"/>
        <v>444</v>
      </c>
      <c r="AI85" s="147">
        <f>IF($AH85&gt;$AH84,INDEX(Spectra!85:85,1,MATCH($AI$20,Spectra!$20:$20,0)),AI84)</f>
        <v>109.72199999999999</v>
      </c>
      <c r="AJ85" s="147">
        <f>((Physics!$C$9*Physics!$C$10)/(Physics!$C$11*Physics!$C$12*$AH85))^($AJ$17-$AJ$18)</f>
        <v>2.2357735973606403E+18</v>
      </c>
      <c r="AK85" s="147">
        <f t="shared" si="30"/>
        <v>1</v>
      </c>
      <c r="AL85" s="147">
        <f>INDEX(Photobiology!$21:$421,1+$AH85-380,10)</f>
        <v>2.8351250000000001E-2</v>
      </c>
      <c r="AM85" s="147">
        <f t="shared" si="31"/>
        <v>1.5202641850604924E-3</v>
      </c>
      <c r="AN85" s="147">
        <f ca="1">INDEX(Photobiology!$21:$421,1+$AH85-380,AN$14)</f>
        <v>0.99085100000000004</v>
      </c>
      <c r="AO85" s="147">
        <f ca="1">INDEX(Photobiology!$21:$421,1+$AH85-380,AO$14)</f>
        <v>0.11194800000000001</v>
      </c>
      <c r="AP85" s="147">
        <f ca="1">INDEX(Photobiology!$21:$421,1+$AH85-380,AP$14)</f>
        <v>6.6742499999999996E-2</v>
      </c>
      <c r="AQ85" s="147">
        <f ca="1">INDEX(Photobiology!$21:$421,1+$AH85-380,AQ$14)</f>
        <v>0.38030000000000003</v>
      </c>
      <c r="AR85" s="147">
        <f ca="1">INDEX(Photobiology!$21:$421,1+$AH85-380,AR$14)</f>
        <v>0.45920299999999997</v>
      </c>
      <c r="AS85" s="147">
        <f t="shared" si="32"/>
        <v>3398966525971239.5</v>
      </c>
      <c r="AT85" s="147">
        <f ca="1">INDEX(Photobiology!$21:$421,1+$AH85-380,AT$14)</f>
        <v>0.99850650244454098</v>
      </c>
      <c r="AU85" s="147">
        <f ca="1">INDEX(Photobiology!$21:$421,1+$AH85-380,AU$14)</f>
        <v>0.13629867625789266</v>
      </c>
      <c r="AV85" s="147">
        <f ca="1">INDEX(Photobiology!$21:$421,1+$AH85-380,AV$14)</f>
        <v>8.5188689490409988E-2</v>
      </c>
      <c r="AW85" s="147">
        <f ca="1">INDEX(Photobiology!$21:$421,1+$AH85-380,AW$14)</f>
        <v>0.43299086448534796</v>
      </c>
      <c r="AX85" s="147">
        <f ca="1">INDEX(Photobiology!$21:$421,1+$AH85-380,AX$14)</f>
        <v>0.50571699185137142</v>
      </c>
      <c r="AY85" s="147">
        <f t="shared" ref="AY85:AY148" si="39">IF(TRUE,AM85,AS85)</f>
        <v>1.5202641850604924E-3</v>
      </c>
      <c r="AZ85" s="147">
        <f t="shared" ca="1" si="33"/>
        <v>1.5063552880313739E-3</v>
      </c>
      <c r="BA85" s="147">
        <f t="shared" ref="BA85:BA148" ca="1" si="40">$AY85*AO85</f>
        <v>1.7019053498915201E-4</v>
      </c>
      <c r="BB85" s="147">
        <f t="shared" ref="BB85:BB148" ca="1" si="41">$AY85*AP85</f>
        <v>1.0146623237139991E-4</v>
      </c>
      <c r="BC85" s="147">
        <f t="shared" ref="BC85:BC148" ca="1" si="42">$AY85*AQ85</f>
        <v>5.7815646957850534E-4</v>
      </c>
      <c r="BD85" s="147">
        <f t="shared" ref="BD85:BD148" ca="1" si="43">$AY85*AR85</f>
        <v>6.9810987457233332E-4</v>
      </c>
    </row>
    <row r="86" spans="8:56" s="147" customFormat="1" ht="0.25" customHeight="1" x14ac:dyDescent="0.2">
      <c r="H86" s="147">
        <f t="shared" ref="H86:H149" si="44">MIN(780,H85+$J$14)</f>
        <v>445</v>
      </c>
      <c r="I86" s="147">
        <f>IF($H86&gt;$H85,INDEX(Spectra!86:86,1,MATCH($I$20,Spectra!$20:$20,0)),I85)</f>
        <v>2.0298045619301201E-3</v>
      </c>
      <c r="J86" s="147">
        <f>((Physics!$C$9*Physics!$C$10)/(Physics!$C$11*Physics!$C$12*$H86))^($J$17-$J$18)</f>
        <v>2.240809123480822E+18</v>
      </c>
      <c r="K86" s="147">
        <f t="shared" ref="K86:K149" si="45">(H86&lt;&gt;H85)*1</f>
        <v>1</v>
      </c>
      <c r="L86" s="147">
        <f>INDEX(Photobiology!$21:$421,1+$H86-380,10)</f>
        <v>2.98E-2</v>
      </c>
      <c r="M86" s="147">
        <f t="shared" ref="M86:M149" si="46">$I86*$J$15*IF($J$18,1,$J86)</f>
        <v>2.0298045619301201E-3</v>
      </c>
      <c r="N86" s="147">
        <f ca="1">INDEX(Photobiology!$21:$421,1+$H86-380,N$14)</f>
        <v>0.993336</v>
      </c>
      <c r="O86" s="147">
        <f ca="1">INDEX(Photobiology!$21:$421,1+$H86-380,O$14)</f>
        <v>0.11622</v>
      </c>
      <c r="P86" s="147">
        <f ca="1">INDEX(Photobiology!$21:$421,1+$H86-380,P$14)</f>
        <v>6.8653800000000001E-2</v>
      </c>
      <c r="Q86" s="147">
        <f ca="1">INDEX(Photobiology!$21:$421,1+$H86-380,Q$14)</f>
        <v>0.3931</v>
      </c>
      <c r="R86" s="147">
        <f ca="1">INDEX(Photobiology!$21:$421,1+$H86-380,R$14)</f>
        <v>0.47400199999999998</v>
      </c>
      <c r="S86" s="147">
        <f t="shared" ref="S86:S149" si="47">$I86*$J$15*IF($J$17,1,$J86)</f>
        <v>4548404581256006</v>
      </c>
      <c r="T86" s="147">
        <f ca="1">INDEX(Photobiology!$21:$421,1+$H86-380,T$14)</f>
        <v>0.9987612397733362</v>
      </c>
      <c r="U86" s="147">
        <f ca="1">INDEX(Photobiology!$21:$421,1+$H86-380,U$14)</f>
        <v>0.1411819347241752</v>
      </c>
      <c r="V86" s="147">
        <f ca="1">INDEX(Photobiology!$21:$421,1+$H86-380,V$14)</f>
        <v>8.7431314270072821E-2</v>
      </c>
      <c r="W86" s="147">
        <f ca="1">INDEX(Photobiology!$21:$421,1+$H86-380,W$14)</f>
        <v>0.44655855206067641</v>
      </c>
      <c r="X86" s="147">
        <f ca="1">INDEX(Photobiology!$21:$421,1+$H86-380,X$14)</f>
        <v>0.52084195762903518</v>
      </c>
      <c r="Y86" s="147">
        <f t="shared" si="34"/>
        <v>2.0298045619301201E-3</v>
      </c>
      <c r="Z86" s="147">
        <f t="shared" ref="Z86:Z149" ca="1" si="48">$Y86*N86</f>
        <v>2.016277944329418E-3</v>
      </c>
      <c r="AA86" s="147">
        <f t="shared" ca="1" si="35"/>
        <v>2.3590388618751856E-4</v>
      </c>
      <c r="AB86" s="147">
        <f t="shared" ca="1" si="36"/>
        <v>1.3935379643383809E-4</v>
      </c>
      <c r="AC86" s="147">
        <f t="shared" ca="1" si="37"/>
        <v>7.979161732947302E-4</v>
      </c>
      <c r="AD86" s="147">
        <f t="shared" ca="1" si="38"/>
        <v>9.6213142196400071E-4</v>
      </c>
      <c r="AH86" s="147">
        <f t="shared" ref="AH86:AH149" si="49">MIN(780,AH85+$AJ$14)</f>
        <v>445</v>
      </c>
      <c r="AI86" s="147">
        <f>IF($AH86&gt;$AH85,INDEX(Spectra!86:86,1,MATCH($AI$20,Spectra!$20:$20,0)),AI85)</f>
        <v>110.93600000000001</v>
      </c>
      <c r="AJ86" s="147">
        <f>((Physics!$C$9*Physics!$C$10)/(Physics!$C$11*Physics!$C$12*$AH86))^($AJ$17-$AJ$18)</f>
        <v>2.240809123480822E+18</v>
      </c>
      <c r="AK86" s="147">
        <f t="shared" ref="AK86:AK149" si="50">(AH86&lt;&gt;AH85)*1</f>
        <v>1</v>
      </c>
      <c r="AL86" s="147">
        <f>INDEX(Photobiology!$21:$421,1+$AH86-380,10)</f>
        <v>2.98E-2</v>
      </c>
      <c r="AM86" s="147">
        <f t="shared" ref="AM86:AM149" si="51">$AI86*$AJ$15*IF($AJ$18,1,$AJ86)</f>
        <v>1.5370848839236508E-3</v>
      </c>
      <c r="AN86" s="147">
        <f ca="1">INDEX(Photobiology!$21:$421,1+$AH86-380,AN$14)</f>
        <v>0.993336</v>
      </c>
      <c r="AO86" s="147">
        <f ca="1">INDEX(Photobiology!$21:$421,1+$AH86-380,AO$14)</f>
        <v>0.11622</v>
      </c>
      <c r="AP86" s="147">
        <f ca="1">INDEX(Photobiology!$21:$421,1+$AH86-380,AP$14)</f>
        <v>6.8653800000000001E-2</v>
      </c>
      <c r="AQ86" s="147">
        <f ca="1">INDEX(Photobiology!$21:$421,1+$AH86-380,AQ$14)</f>
        <v>0.3931</v>
      </c>
      <c r="AR86" s="147">
        <f ca="1">INDEX(Photobiology!$21:$421,1+$AH86-380,AR$14)</f>
        <v>0.47400199999999998</v>
      </c>
      <c r="AS86" s="147">
        <f t="shared" ref="AS86:AS149" si="52">$AI86*$AJ$15*IF($AJ$17,1,$AJ86)</f>
        <v>3444313831460577</v>
      </c>
      <c r="AT86" s="147">
        <f ca="1">INDEX(Photobiology!$21:$421,1+$AH86-380,AT$14)</f>
        <v>0.9987612397733362</v>
      </c>
      <c r="AU86" s="147">
        <f ca="1">INDEX(Photobiology!$21:$421,1+$AH86-380,AU$14)</f>
        <v>0.1411819347241752</v>
      </c>
      <c r="AV86" s="147">
        <f ca="1">INDEX(Photobiology!$21:$421,1+$AH86-380,AV$14)</f>
        <v>8.7431314270072821E-2</v>
      </c>
      <c r="AW86" s="147">
        <f ca="1">INDEX(Photobiology!$21:$421,1+$AH86-380,AW$14)</f>
        <v>0.44655855206067641</v>
      </c>
      <c r="AX86" s="147">
        <f ca="1">INDEX(Photobiology!$21:$421,1+$AH86-380,AX$14)</f>
        <v>0.52084195762903518</v>
      </c>
      <c r="AY86" s="147">
        <f t="shared" si="39"/>
        <v>1.5370848839236508E-3</v>
      </c>
      <c r="AZ86" s="147">
        <f t="shared" ref="AZ86:AZ149" ca="1" si="53">$AY86*AN86</f>
        <v>1.5268417502571836E-3</v>
      </c>
      <c r="BA86" s="147">
        <f t="shared" ca="1" si="40"/>
        <v>1.7864000520960671E-4</v>
      </c>
      <c r="BB86" s="147">
        <f t="shared" ca="1" si="41"/>
        <v>1.0552671820391754E-4</v>
      </c>
      <c r="BC86" s="147">
        <f t="shared" ca="1" si="42"/>
        <v>6.042280678703871E-4</v>
      </c>
      <c r="BD86" s="147">
        <f t="shared" ca="1" si="43"/>
        <v>7.2858130914957829E-4</v>
      </c>
    </row>
    <row r="87" spans="8:56" s="147" customFormat="1" ht="0.25" customHeight="1" x14ac:dyDescent="0.2">
      <c r="H87" s="147">
        <f t="shared" si="44"/>
        <v>446</v>
      </c>
      <c r="I87" s="147">
        <f>IF($H87&gt;$H86,INDEX(Spectra!87:87,1,MATCH($I$20,Spectra!$20:$20,0)),I86)</f>
        <v>2.0398035991810101E-3</v>
      </c>
      <c r="J87" s="147">
        <f>((Physics!$C$9*Physics!$C$10)/(Physics!$C$11*Physics!$C$12*$H87))^($J$17-$J$18)</f>
        <v>2.2458446496010038E+18</v>
      </c>
      <c r="K87" s="147">
        <f t="shared" si="45"/>
        <v>1</v>
      </c>
      <c r="L87" s="147">
        <f>INDEX(Photobiology!$21:$421,1+$H87-380,10)</f>
        <v>3.1310829999999998E-2</v>
      </c>
      <c r="M87" s="147">
        <f t="shared" si="46"/>
        <v>2.0398035991810101E-3</v>
      </c>
      <c r="N87" s="147">
        <f ca="1">INDEX(Photobiology!$21:$421,1+$H87-380,N$14)</f>
        <v>0.99637299999999995</v>
      </c>
      <c r="O87" s="147">
        <f ca="1">INDEX(Photobiology!$21:$421,1+$H87-380,O$14)</f>
        <v>0.12070599999999999</v>
      </c>
      <c r="P87" s="147">
        <f ca="1">INDEX(Photobiology!$21:$421,1+$H87-380,P$14)</f>
        <v>7.0696300000000004E-2</v>
      </c>
      <c r="Q87" s="147">
        <f ca="1">INDEX(Photobiology!$21:$421,1+$H87-380,Q$14)</f>
        <v>0.40600000000000003</v>
      </c>
      <c r="R87" s="147">
        <f ca="1">INDEX(Photobiology!$21:$421,1+$H87-380,R$14)</f>
        <v>0.48951699999999998</v>
      </c>
      <c r="S87" s="147">
        <f t="shared" si="47"/>
        <v>4581081999457542</v>
      </c>
      <c r="T87" s="147">
        <f ca="1">INDEX(Photobiology!$21:$421,1+$H87-380,T$14)</f>
        <v>0.99956860517755308</v>
      </c>
      <c r="U87" s="147">
        <f ca="1">INDEX(Photobiology!$21:$421,1+$H87-380,U$14)</f>
        <v>0.14630267558710844</v>
      </c>
      <c r="V87" s="147">
        <f ca="1">INDEX(Photobiology!$21:$421,1+$H87-380,V$14)</f>
        <v>8.983059234503489E-2</v>
      </c>
      <c r="W87" s="147">
        <f ca="1">INDEX(Photobiology!$21:$421,1+$H87-380,W$14)</f>
        <v>0.46017874250554353</v>
      </c>
      <c r="X87" s="147">
        <f ca="1">INDEX(Photobiology!$21:$421,1+$H87-380,X$14)</f>
        <v>0.53668408815652258</v>
      </c>
      <c r="Y87" s="147">
        <f t="shared" si="34"/>
        <v>2.0398035991810101E-3</v>
      </c>
      <c r="Z87" s="147">
        <f t="shared" ca="1" si="48"/>
        <v>2.0324052315267805E-3</v>
      </c>
      <c r="AA87" s="147">
        <f t="shared" ca="1" si="35"/>
        <v>2.4621653324274299E-4</v>
      </c>
      <c r="AB87" s="147">
        <f t="shared" ca="1" si="36"/>
        <v>1.4420656718878045E-4</v>
      </c>
      <c r="AC87" s="147">
        <f t="shared" ca="1" si="37"/>
        <v>8.2816026126749016E-4</v>
      </c>
      <c r="AD87" s="147">
        <f t="shared" ca="1" si="38"/>
        <v>9.9851853846029057E-4</v>
      </c>
      <c r="AH87" s="147">
        <f t="shared" si="49"/>
        <v>446</v>
      </c>
      <c r="AI87" s="147">
        <f>IF($AH87&gt;$AH86,INDEX(Spectra!87:87,1,MATCH($AI$20,Spectra!$20:$20,0)),AI86)</f>
        <v>112.151</v>
      </c>
      <c r="AJ87" s="147">
        <f>((Physics!$C$9*Physics!$C$10)/(Physics!$C$11*Physics!$C$12*$AH87))^($AJ$17-$AJ$18)</f>
        <v>2.2458446496010038E+18</v>
      </c>
      <c r="AK87" s="147">
        <f t="shared" si="50"/>
        <v>1</v>
      </c>
      <c r="AL87" s="147">
        <f>INDEX(Photobiology!$21:$421,1+$AH87-380,10)</f>
        <v>3.1310829999999998E-2</v>
      </c>
      <c r="AM87" s="147">
        <f t="shared" si="51"/>
        <v>1.5539194383871902E-3</v>
      </c>
      <c r="AN87" s="147">
        <f ca="1">INDEX(Photobiology!$21:$421,1+$AH87-380,AN$14)</f>
        <v>0.99637299999999995</v>
      </c>
      <c r="AO87" s="147">
        <f ca="1">INDEX(Photobiology!$21:$421,1+$AH87-380,AO$14)</f>
        <v>0.12070599999999999</v>
      </c>
      <c r="AP87" s="147">
        <f ca="1">INDEX(Photobiology!$21:$421,1+$AH87-380,AP$14)</f>
        <v>7.0696300000000004E-2</v>
      </c>
      <c r="AQ87" s="147">
        <f ca="1">INDEX(Photobiology!$21:$421,1+$AH87-380,AQ$14)</f>
        <v>0.40600000000000003</v>
      </c>
      <c r="AR87" s="147">
        <f ca="1">INDEX(Photobiology!$21:$421,1+$AH87-380,AR$14)</f>
        <v>0.48951699999999998</v>
      </c>
      <c r="AS87" s="147">
        <f t="shared" si="52"/>
        <v>3489861656612868</v>
      </c>
      <c r="AT87" s="147">
        <f ca="1">INDEX(Photobiology!$21:$421,1+$AH87-380,AT$14)</f>
        <v>0.99956860517755308</v>
      </c>
      <c r="AU87" s="147">
        <f ca="1">INDEX(Photobiology!$21:$421,1+$AH87-380,AU$14)</f>
        <v>0.14630267558710844</v>
      </c>
      <c r="AV87" s="147">
        <f ca="1">INDEX(Photobiology!$21:$421,1+$AH87-380,AV$14)</f>
        <v>8.983059234503489E-2</v>
      </c>
      <c r="AW87" s="147">
        <f ca="1">INDEX(Photobiology!$21:$421,1+$AH87-380,AW$14)</f>
        <v>0.46017874250554353</v>
      </c>
      <c r="AX87" s="147">
        <f ca="1">INDEX(Photobiology!$21:$421,1+$AH87-380,AX$14)</f>
        <v>0.53668408815652258</v>
      </c>
      <c r="AY87" s="147">
        <f t="shared" si="39"/>
        <v>1.5539194383871902E-3</v>
      </c>
      <c r="AZ87" s="147">
        <f t="shared" ca="1" si="53"/>
        <v>1.5482833725841598E-3</v>
      </c>
      <c r="BA87" s="147">
        <f t="shared" ca="1" si="40"/>
        <v>1.8756739972996416E-4</v>
      </c>
      <c r="BB87" s="147">
        <f t="shared" ca="1" si="41"/>
        <v>1.0985635479205232E-4</v>
      </c>
      <c r="BC87" s="147">
        <f t="shared" ca="1" si="42"/>
        <v>6.3089129198519933E-4</v>
      </c>
      <c r="BD87" s="147">
        <f t="shared" ca="1" si="43"/>
        <v>7.6066998172098213E-4</v>
      </c>
    </row>
    <row r="88" spans="8:56" s="147" customFormat="1" ht="0.25" customHeight="1" x14ac:dyDescent="0.2">
      <c r="H88" s="147">
        <f t="shared" si="44"/>
        <v>447</v>
      </c>
      <c r="I88" s="147">
        <f>IF($H88&gt;$H87,INDEX(Spectra!88:88,1,MATCH($I$20,Spectra!$20:$20,0)),I87)</f>
        <v>2.0548021550573399E-3</v>
      </c>
      <c r="J88" s="147">
        <f>((Physics!$C$9*Physics!$C$10)/(Physics!$C$11*Physics!$C$12*$H88))^($J$17-$J$18)</f>
        <v>2.250880175721185E+18</v>
      </c>
      <c r="K88" s="147">
        <f t="shared" si="45"/>
        <v>1</v>
      </c>
      <c r="L88" s="147">
        <f>INDEX(Photobiology!$21:$421,1+$H88-380,10)</f>
        <v>3.2883679999999998E-2</v>
      </c>
      <c r="M88" s="147">
        <f t="shared" si="46"/>
        <v>2.0548021550573399E-3</v>
      </c>
      <c r="N88" s="147">
        <f ca="1">INDEX(Photobiology!$21:$421,1+$H88-380,N$14)</f>
        <v>0.99903799999999998</v>
      </c>
      <c r="O88" s="147">
        <f ca="1">INDEX(Photobiology!$21:$421,1+$H88-380,O$14)</f>
        <v>0.125363</v>
      </c>
      <c r="P88" s="147">
        <f ca="1">INDEX(Photobiology!$21:$421,1+$H88-380,P$14)</f>
        <v>7.2850799999999993E-2</v>
      </c>
      <c r="Q88" s="147">
        <f ca="1">INDEX(Photobiology!$21:$421,1+$H88-380,Q$14)</f>
        <v>0.41799999999999998</v>
      </c>
      <c r="R88" s="147">
        <f ca="1">INDEX(Photobiology!$21:$421,1+$H88-380,R$14)</f>
        <v>0.50552200000000003</v>
      </c>
      <c r="S88" s="147">
        <f t="shared" si="47"/>
        <v>4625113435847735</v>
      </c>
      <c r="T88" s="147">
        <f ca="1">INDEX(Photobiology!$21:$421,1+$H88-380,T$14)</f>
        <v>1</v>
      </c>
      <c r="U88" s="147">
        <f ca="1">INDEX(Photobiology!$21:$421,1+$H88-380,U$14)</f>
        <v>0.15160730310634954</v>
      </c>
      <c r="V88" s="147">
        <f ca="1">INDEX(Photobiology!$21:$421,1+$H88-380,V$14)</f>
        <v>9.2361130357359919E-2</v>
      </c>
      <c r="W88" s="147">
        <f ca="1">INDEX(Photobiology!$21:$421,1+$H88-380,W$14)</f>
        <v>0.47272017394465277</v>
      </c>
      <c r="X88" s="147">
        <f ca="1">INDEX(Photobiology!$21:$421,1+$H88-380,X$14)</f>
        <v>0.55299134847533504</v>
      </c>
      <c r="Y88" s="147">
        <f t="shared" si="34"/>
        <v>2.0548021550573399E-3</v>
      </c>
      <c r="Z88" s="147">
        <f t="shared" ca="1" si="48"/>
        <v>2.0528254353841748E-3</v>
      </c>
      <c r="AA88" s="147">
        <f t="shared" ca="1" si="35"/>
        <v>2.5759616256445329E-4</v>
      </c>
      <c r="AB88" s="147">
        <f t="shared" ca="1" si="36"/>
        <v>1.4969398083765126E-4</v>
      </c>
      <c r="AC88" s="147">
        <f t="shared" ca="1" si="37"/>
        <v>8.5890730081396804E-4</v>
      </c>
      <c r="AD88" s="147">
        <f t="shared" ca="1" si="38"/>
        <v>1.0387476950288967E-3</v>
      </c>
      <c r="AH88" s="147">
        <f t="shared" si="49"/>
        <v>447</v>
      </c>
      <c r="AI88" s="147">
        <f>IF($AH88&gt;$AH87,INDEX(Spectra!88:88,1,MATCH($AI$20,Spectra!$20:$20,0)),AI87)</f>
        <v>113.36499999999999</v>
      </c>
      <c r="AJ88" s="147">
        <f>((Physics!$C$9*Physics!$C$10)/(Physics!$C$11*Physics!$C$12*$AH88))^($AJ$17-$AJ$18)</f>
        <v>2.250880175721185E+18</v>
      </c>
      <c r="AK88" s="147">
        <f t="shared" si="50"/>
        <v>1</v>
      </c>
      <c r="AL88" s="147">
        <f>INDEX(Photobiology!$21:$421,1+$AH88-380,10)</f>
        <v>3.2883679999999998E-2</v>
      </c>
      <c r="AM88" s="147">
        <f t="shared" si="51"/>
        <v>1.5707401372503484E-3</v>
      </c>
      <c r="AN88" s="147">
        <f ca="1">INDEX(Photobiology!$21:$421,1+$AH88-380,AN$14)</f>
        <v>0.99903799999999998</v>
      </c>
      <c r="AO88" s="147">
        <f ca="1">INDEX(Photobiology!$21:$421,1+$AH88-380,AO$14)</f>
        <v>0.125363</v>
      </c>
      <c r="AP88" s="147">
        <f ca="1">INDEX(Photobiology!$21:$421,1+$AH88-380,AP$14)</f>
        <v>7.2850799999999993E-2</v>
      </c>
      <c r="AQ88" s="147">
        <f ca="1">INDEX(Photobiology!$21:$421,1+$AH88-380,AQ$14)</f>
        <v>0.41799999999999998</v>
      </c>
      <c r="AR88" s="147">
        <f ca="1">INDEX(Photobiology!$21:$421,1+$AH88-380,AR$14)</f>
        <v>0.50552200000000003</v>
      </c>
      <c r="AS88" s="147">
        <f t="shared" si="52"/>
        <v>3535547836146382.5</v>
      </c>
      <c r="AT88" s="147">
        <f ca="1">INDEX(Photobiology!$21:$421,1+$AH88-380,AT$14)</f>
        <v>1</v>
      </c>
      <c r="AU88" s="147">
        <f ca="1">INDEX(Photobiology!$21:$421,1+$AH88-380,AU$14)</f>
        <v>0.15160730310634954</v>
      </c>
      <c r="AV88" s="147">
        <f ca="1">INDEX(Photobiology!$21:$421,1+$AH88-380,AV$14)</f>
        <v>9.2361130357359919E-2</v>
      </c>
      <c r="AW88" s="147">
        <f ca="1">INDEX(Photobiology!$21:$421,1+$AH88-380,AW$14)</f>
        <v>0.47272017394465277</v>
      </c>
      <c r="AX88" s="147">
        <f ca="1">INDEX(Photobiology!$21:$421,1+$AH88-380,AX$14)</f>
        <v>0.55299134847533504</v>
      </c>
      <c r="AY88" s="147">
        <f t="shared" si="39"/>
        <v>1.5707401372503484E-3</v>
      </c>
      <c r="AZ88" s="147">
        <f t="shared" ca="1" si="53"/>
        <v>1.5692290852383135E-3</v>
      </c>
      <c r="BA88" s="147">
        <f t="shared" ca="1" si="40"/>
        <v>1.9691269582611544E-4</v>
      </c>
      <c r="BB88" s="147">
        <f t="shared" ca="1" si="41"/>
        <v>1.1442967559079767E-4</v>
      </c>
      <c r="BC88" s="147">
        <f t="shared" ca="1" si="42"/>
        <v>6.5656937737064555E-4</v>
      </c>
      <c r="BD88" s="147">
        <f t="shared" ca="1" si="43"/>
        <v>7.9404369566307069E-4</v>
      </c>
    </row>
    <row r="89" spans="8:56" s="147" customFormat="1" ht="0.25" customHeight="1" x14ac:dyDescent="0.2">
      <c r="H89" s="147">
        <f t="shared" si="44"/>
        <v>448</v>
      </c>
      <c r="I89" s="147">
        <f>IF($H89&gt;$H88,INDEX(Spectra!89:89,1,MATCH($I$20,Spectra!$20:$20,0)),I88)</f>
        <v>2.0847992668099999E-3</v>
      </c>
      <c r="J89" s="147">
        <f>((Physics!$C$9*Physics!$C$10)/(Physics!$C$11*Physics!$C$12*$H89))^($J$17-$J$18)</f>
        <v>2.2559157018413665E+18</v>
      </c>
      <c r="K89" s="147">
        <f t="shared" si="45"/>
        <v>1</v>
      </c>
      <c r="L89" s="147">
        <f>INDEX(Photobiology!$21:$421,1+$H89-380,10)</f>
        <v>3.4521120000000002E-2</v>
      </c>
      <c r="M89" s="147">
        <f t="shared" si="46"/>
        <v>2.0847992668099999E-3</v>
      </c>
      <c r="N89" s="147">
        <f ca="1">INDEX(Photobiology!$21:$421,1+$H89-380,N$14)</f>
        <v>0.99997800000000003</v>
      </c>
      <c r="O89" s="147">
        <f ca="1">INDEX(Photobiology!$21:$421,1+$H89-380,O$14)</f>
        <v>0.130111</v>
      </c>
      <c r="P89" s="147">
        <f ca="1">INDEX(Photobiology!$21:$421,1+$H89-380,P$14)</f>
        <v>7.50778E-2</v>
      </c>
      <c r="Q89" s="147">
        <f ca="1">INDEX(Photobiology!$21:$421,1+$H89-380,Q$14)</f>
        <v>0.43099999999999999</v>
      </c>
      <c r="R89" s="147">
        <f ca="1">INDEX(Photobiology!$21:$421,1+$H89-380,R$14)</f>
        <v>0.52174100000000001</v>
      </c>
      <c r="S89" s="147">
        <f t="shared" si="47"/>
        <v>4703131401184047</v>
      </c>
      <c r="T89" s="147">
        <f ca="1">INDEX(Photobiology!$21:$421,1+$H89-380,T$14)</f>
        <v>0.9987066620589008</v>
      </c>
      <c r="U89" s="147">
        <f ca="1">INDEX(Photobiology!$21:$421,1+$H89-380,U$14)</f>
        <v>0.15699805413415513</v>
      </c>
      <c r="V89" s="147">
        <f ca="1">INDEX(Photobiology!$21:$421,1+$H89-380,V$14)</f>
        <v>9.4972082536342289E-2</v>
      </c>
      <c r="W89" s="147">
        <f ca="1">INDEX(Photobiology!$21:$421,1+$H89-380,W$14)</f>
        <v>0.48633400200601801</v>
      </c>
      <c r="X89" s="147">
        <f ca="1">INDEX(Photobiology!$21:$421,1+$H89-380,X$14)</f>
        <v>0.56945938094398318</v>
      </c>
      <c r="Y89" s="147">
        <f t="shared" si="34"/>
        <v>2.0847992668099999E-3</v>
      </c>
      <c r="Z89" s="147">
        <f t="shared" ca="1" si="48"/>
        <v>2.08475340122613E-3</v>
      </c>
      <c r="AA89" s="147">
        <f t="shared" ca="1" si="35"/>
        <v>2.712553174039159E-4</v>
      </c>
      <c r="AB89" s="147">
        <f t="shared" ca="1" si="36"/>
        <v>1.565221423937078E-4</v>
      </c>
      <c r="AC89" s="147">
        <f t="shared" ca="1" si="37"/>
        <v>8.9854848399510993E-4</v>
      </c>
      <c r="AD89" s="147">
        <f t="shared" ca="1" si="38"/>
        <v>1.0877252542647162E-3</v>
      </c>
      <c r="AH89" s="147">
        <f t="shared" si="49"/>
        <v>448</v>
      </c>
      <c r="AI89" s="147">
        <f>IF($AH89&gt;$AH88,INDEX(Spectra!89:89,1,MATCH($AI$20,Spectra!$20:$20,0)),AI88)</f>
        <v>114.57899999999999</v>
      </c>
      <c r="AJ89" s="147">
        <f>((Physics!$C$9*Physics!$C$10)/(Physics!$C$11*Physics!$C$12*$AH89))^($AJ$17-$AJ$18)</f>
        <v>2.2559157018413665E+18</v>
      </c>
      <c r="AK89" s="147">
        <f t="shared" si="50"/>
        <v>1</v>
      </c>
      <c r="AL89" s="147">
        <f>INDEX(Photobiology!$21:$421,1+$AH89-380,10)</f>
        <v>3.4521120000000002E-2</v>
      </c>
      <c r="AM89" s="147">
        <f t="shared" si="51"/>
        <v>1.5875608361135066E-3</v>
      </c>
      <c r="AN89" s="147">
        <f ca="1">INDEX(Photobiology!$21:$421,1+$AH89-380,AN$14)</f>
        <v>0.99997800000000003</v>
      </c>
      <c r="AO89" s="147">
        <f ca="1">INDEX(Photobiology!$21:$421,1+$AH89-380,AO$14)</f>
        <v>0.130111</v>
      </c>
      <c r="AP89" s="147">
        <f ca="1">INDEX(Photobiology!$21:$421,1+$AH89-380,AP$14)</f>
        <v>7.50778E-2</v>
      </c>
      <c r="AQ89" s="147">
        <f ca="1">INDEX(Photobiology!$21:$421,1+$AH89-380,AQ$14)</f>
        <v>0.43099999999999999</v>
      </c>
      <c r="AR89" s="147">
        <f ca="1">INDEX(Photobiology!$21:$421,1+$AH89-380,AR$14)</f>
        <v>0.52174100000000001</v>
      </c>
      <c r="AS89" s="147">
        <f t="shared" si="52"/>
        <v>3581403417816868</v>
      </c>
      <c r="AT89" s="147">
        <f ca="1">INDEX(Photobiology!$21:$421,1+$AH89-380,AT$14)</f>
        <v>0.9987066620589008</v>
      </c>
      <c r="AU89" s="147">
        <f ca="1">INDEX(Photobiology!$21:$421,1+$AH89-380,AU$14)</f>
        <v>0.15699805413415513</v>
      </c>
      <c r="AV89" s="147">
        <f ca="1">INDEX(Photobiology!$21:$421,1+$AH89-380,AV$14)</f>
        <v>9.4972082536342289E-2</v>
      </c>
      <c r="AW89" s="147">
        <f ca="1">INDEX(Photobiology!$21:$421,1+$AH89-380,AW$14)</f>
        <v>0.48633400200601801</v>
      </c>
      <c r="AX89" s="147">
        <f ca="1">INDEX(Photobiology!$21:$421,1+$AH89-380,AX$14)</f>
        <v>0.56945938094398318</v>
      </c>
      <c r="AY89" s="147">
        <f t="shared" si="39"/>
        <v>1.5875608361135066E-3</v>
      </c>
      <c r="AZ89" s="147">
        <f t="shared" ca="1" si="53"/>
        <v>1.587525909775112E-3</v>
      </c>
      <c r="BA89" s="147">
        <f t="shared" ca="1" si="40"/>
        <v>2.0655912794756445E-4</v>
      </c>
      <c r="BB89" s="147">
        <f t="shared" ca="1" si="41"/>
        <v>1.1919057494156262E-4</v>
      </c>
      <c r="BC89" s="147">
        <f t="shared" ca="1" si="42"/>
        <v>6.8423872036492135E-4</v>
      </c>
      <c r="BD89" s="147">
        <f t="shared" ca="1" si="43"/>
        <v>8.2829557819469703E-4</v>
      </c>
    </row>
    <row r="90" spans="8:56" s="147" customFormat="1" ht="0.25" customHeight="1" x14ac:dyDescent="0.2">
      <c r="H90" s="147">
        <f t="shared" si="44"/>
        <v>449</v>
      </c>
      <c r="I90" s="147">
        <f>IF($H90&gt;$H89,INDEX(Spectra!90:90,1,MATCH($I$20,Spectra!$20:$20,0)),I89)</f>
        <v>2.1147963785626699E-3</v>
      </c>
      <c r="J90" s="147">
        <f>((Physics!$C$9*Physics!$C$10)/(Physics!$C$11*Physics!$C$12*$H90))^($J$17-$J$18)</f>
        <v>2.2609512279615483E+18</v>
      </c>
      <c r="K90" s="147">
        <f t="shared" si="45"/>
        <v>1</v>
      </c>
      <c r="L90" s="147">
        <f>INDEX(Photobiology!$21:$421,1+$H90-380,10)</f>
        <v>3.6225710000000001E-2</v>
      </c>
      <c r="M90" s="147">
        <f t="shared" si="46"/>
        <v>2.1147963785626699E-3</v>
      </c>
      <c r="N90" s="147">
        <f ca="1">INDEX(Photobiology!$21:$421,1+$H90-380,N$14)</f>
        <v>0.99784399999999995</v>
      </c>
      <c r="O90" s="147">
        <f ca="1">INDEX(Photobiology!$21:$421,1+$H90-380,O$14)</f>
        <v>0.134856</v>
      </c>
      <c r="P90" s="147">
        <f ca="1">INDEX(Photobiology!$21:$421,1+$H90-380,P$14)</f>
        <v>7.7332499999999998E-2</v>
      </c>
      <c r="Q90" s="147">
        <f ca="1">INDEX(Photobiology!$21:$421,1+$H90-380,Q$14)</f>
        <v>0.443</v>
      </c>
      <c r="R90" s="147">
        <f ca="1">INDEX(Photobiology!$21:$421,1+$H90-380,R$14)</f>
        <v>0.53789799999999999</v>
      </c>
      <c r="S90" s="147">
        <f t="shared" si="47"/>
        <v>4781451468999904</v>
      </c>
      <c r="T90" s="147">
        <f ca="1">INDEX(Photobiology!$21:$421,1+$H90-380,T$14)</f>
        <v>0.99435583088837931</v>
      </c>
      <c r="U90" s="147">
        <f ca="1">INDEX(Photobiology!$21:$421,1+$H90-380,U$14)</f>
        <v>0.16236118102902336</v>
      </c>
      <c r="V90" s="147">
        <f ca="1">INDEX(Photobiology!$21:$421,1+$H90-380,V$14)</f>
        <v>9.7606366606346279E-2</v>
      </c>
      <c r="W90" s="147">
        <f ca="1">INDEX(Photobiology!$21:$421,1+$H90-380,W$14)</f>
        <v>0.4987613173596514</v>
      </c>
      <c r="X90" s="147">
        <f ca="1">INDEX(Photobiology!$21:$421,1+$H90-380,X$14)</f>
        <v>0.5857865393476277</v>
      </c>
      <c r="Y90" s="147">
        <f t="shared" si="34"/>
        <v>2.1147963785626699E-3</v>
      </c>
      <c r="Z90" s="147">
        <f t="shared" ca="1" si="48"/>
        <v>2.1102368775704886E-3</v>
      </c>
      <c r="AA90" s="147">
        <f t="shared" ca="1" si="35"/>
        <v>2.8519298042744743E-4</v>
      </c>
      <c r="AB90" s="147">
        <f t="shared" ca="1" si="36"/>
        <v>1.6354249094519766E-4</v>
      </c>
      <c r="AC90" s="147">
        <f t="shared" ca="1" si="37"/>
        <v>9.3685479570326281E-4</v>
      </c>
      <c r="AD90" s="147">
        <f t="shared" ca="1" si="38"/>
        <v>1.1375447424361029E-3</v>
      </c>
      <c r="AH90" s="147">
        <f t="shared" si="49"/>
        <v>449</v>
      </c>
      <c r="AI90" s="147">
        <f>IF($AH90&gt;$AH89,INDEX(Spectra!90:90,1,MATCH($AI$20,Spectra!$20:$20,0)),AI89)</f>
        <v>115.794</v>
      </c>
      <c r="AJ90" s="147">
        <f>((Physics!$C$9*Physics!$C$10)/(Physics!$C$11*Physics!$C$12*$AH90))^($AJ$17-$AJ$18)</f>
        <v>2.2609512279615483E+18</v>
      </c>
      <c r="AK90" s="147">
        <f t="shared" si="50"/>
        <v>1</v>
      </c>
      <c r="AL90" s="147">
        <f>INDEX(Photobiology!$21:$421,1+$AH90-380,10)</f>
        <v>3.6225710000000001E-2</v>
      </c>
      <c r="AM90" s="147">
        <f t="shared" si="51"/>
        <v>1.6043953905770462E-3</v>
      </c>
      <c r="AN90" s="147">
        <f ca="1">INDEX(Photobiology!$21:$421,1+$AH90-380,AN$14)</f>
        <v>0.99784399999999995</v>
      </c>
      <c r="AO90" s="147">
        <f ca="1">INDEX(Photobiology!$21:$421,1+$AH90-380,AO$14)</f>
        <v>0.134856</v>
      </c>
      <c r="AP90" s="147">
        <f ca="1">INDEX(Photobiology!$21:$421,1+$AH90-380,AP$14)</f>
        <v>7.7332499999999998E-2</v>
      </c>
      <c r="AQ90" s="147">
        <f ca="1">INDEX(Photobiology!$21:$421,1+$AH90-380,AQ$14)</f>
        <v>0.443</v>
      </c>
      <c r="AR90" s="147">
        <f ca="1">INDEX(Photobiology!$21:$421,1+$AH90-380,AR$14)</f>
        <v>0.53789799999999999</v>
      </c>
      <c r="AS90" s="147">
        <f t="shared" si="52"/>
        <v>3627459728461020.5</v>
      </c>
      <c r="AT90" s="147">
        <f ca="1">INDEX(Photobiology!$21:$421,1+$AH90-380,AT$14)</f>
        <v>0.99435583088837931</v>
      </c>
      <c r="AU90" s="147">
        <f ca="1">INDEX(Photobiology!$21:$421,1+$AH90-380,AU$14)</f>
        <v>0.16236118102902336</v>
      </c>
      <c r="AV90" s="147">
        <f ca="1">INDEX(Photobiology!$21:$421,1+$AH90-380,AV$14)</f>
        <v>9.7606366606346279E-2</v>
      </c>
      <c r="AW90" s="147">
        <f ca="1">INDEX(Photobiology!$21:$421,1+$AH90-380,AW$14)</f>
        <v>0.4987613173596514</v>
      </c>
      <c r="AX90" s="147">
        <f ca="1">INDEX(Photobiology!$21:$421,1+$AH90-380,AX$14)</f>
        <v>0.5857865393476277</v>
      </c>
      <c r="AY90" s="147">
        <f t="shared" si="39"/>
        <v>1.6043953905770462E-3</v>
      </c>
      <c r="AZ90" s="147">
        <f t="shared" ca="1" si="53"/>
        <v>1.600936314114962E-3</v>
      </c>
      <c r="BA90" s="147">
        <f t="shared" ca="1" si="40"/>
        <v>2.1636234479165814E-4</v>
      </c>
      <c r="BB90" s="147">
        <f t="shared" ca="1" si="41"/>
        <v>1.2407190654179943E-4</v>
      </c>
      <c r="BC90" s="147">
        <f t="shared" ca="1" si="42"/>
        <v>7.107471580256315E-4</v>
      </c>
      <c r="BD90" s="147">
        <f t="shared" ca="1" si="43"/>
        <v>8.6300107180061196E-4</v>
      </c>
    </row>
    <row r="91" spans="8:56" s="147" customFormat="1" ht="0.25" customHeight="1" x14ac:dyDescent="0.2">
      <c r="H91" s="147">
        <f t="shared" si="44"/>
        <v>450</v>
      </c>
      <c r="I91" s="147">
        <f>IF($H91&gt;$H90,INDEX(Spectra!91:91,1,MATCH($I$20,Spectra!$20:$20,0)),I90)</f>
        <v>2.1447934903153299E-3</v>
      </c>
      <c r="J91" s="147">
        <f>((Physics!$C$9*Physics!$C$10)/(Physics!$C$11*Physics!$C$12*$H91))^($J$17-$J$18)</f>
        <v>2.2659867540817298E+18</v>
      </c>
      <c r="K91" s="147">
        <f t="shared" si="45"/>
        <v>1</v>
      </c>
      <c r="L91" s="147">
        <f>INDEX(Photobiology!$21:$421,1+$H91-380,10)</f>
        <v>3.7999999999999999E-2</v>
      </c>
      <c r="M91" s="147">
        <f t="shared" si="46"/>
        <v>2.1447934903153299E-3</v>
      </c>
      <c r="N91" s="147">
        <f ca="1">INDEX(Photobiology!$21:$421,1+$H91-380,N$14)</f>
        <v>0.99132900000000002</v>
      </c>
      <c r="O91" s="147">
        <f ca="1">INDEX(Photobiology!$21:$421,1+$H91-380,O$14)</f>
        <v>0.13949300000000001</v>
      </c>
      <c r="P91" s="147">
        <f ca="1">INDEX(Photobiology!$21:$421,1+$H91-380,P$14)</f>
        <v>7.9564700000000002E-2</v>
      </c>
      <c r="Q91" s="147">
        <f ca="1">INDEX(Photobiology!$21:$421,1+$H91-380,Q$14)</f>
        <v>0.45500000000000002</v>
      </c>
      <c r="R91" s="147">
        <f ca="1">INDEX(Photobiology!$21:$421,1+$H91-380,R$14)</f>
        <v>0.55371499999999996</v>
      </c>
      <c r="S91" s="147">
        <f t="shared" si="47"/>
        <v>4860073639295258</v>
      </c>
      <c r="T91" s="147">
        <f ca="1">INDEX(Photobiology!$21:$421,1+$H91-380,T$14)</f>
        <v>0.98566835295554334</v>
      </c>
      <c r="U91" s="147">
        <f ca="1">INDEX(Photobiology!$21:$421,1+$H91-380,U$14)</f>
        <v>0.16757073311369858</v>
      </c>
      <c r="V91" s="147">
        <f ca="1">INDEX(Photobiology!$21:$421,1+$H91-380,V$14)</f>
        <v>0.10020060714529706</v>
      </c>
      <c r="W91" s="147">
        <f ca="1">INDEX(Photobiology!$21:$421,1+$H91-380,W$14)</f>
        <v>0.51113340020060172</v>
      </c>
      <c r="X91" s="147">
        <f ca="1">INDEX(Photobiology!$21:$421,1+$H91-380,X$14)</f>
        <v>0.6016716855531774</v>
      </c>
      <c r="Y91" s="147">
        <f t="shared" si="34"/>
        <v>2.1447934903153299E-3</v>
      </c>
      <c r="Z91" s="147">
        <f t="shared" ca="1" si="48"/>
        <v>2.1261959859608056E-3</v>
      </c>
      <c r="AA91" s="147">
        <f t="shared" ca="1" si="35"/>
        <v>2.9918367834455632E-4</v>
      </c>
      <c r="AB91" s="147">
        <f t="shared" ca="1" si="36"/>
        <v>1.7064985061889212E-4</v>
      </c>
      <c r="AC91" s="147">
        <f t="shared" ca="1" si="37"/>
        <v>9.7588103809347515E-4</v>
      </c>
      <c r="AD91" s="147">
        <f t="shared" ca="1" si="38"/>
        <v>1.1876043274899528E-3</v>
      </c>
      <c r="AH91" s="147">
        <f t="shared" si="49"/>
        <v>450</v>
      </c>
      <c r="AI91" s="147">
        <f>IF($AH91&gt;$AH90,INDEX(Spectra!91:91,1,MATCH($AI$20,Spectra!$20:$20,0)),AI90)</f>
        <v>117.008</v>
      </c>
      <c r="AJ91" s="147">
        <f>((Physics!$C$9*Physics!$C$10)/(Physics!$C$11*Physics!$C$12*$AH91))^($AJ$17-$AJ$18)</f>
        <v>2.2659867540817298E+18</v>
      </c>
      <c r="AK91" s="147">
        <f t="shared" si="50"/>
        <v>1</v>
      </c>
      <c r="AL91" s="147">
        <f>INDEX(Photobiology!$21:$421,1+$AH91-380,10)</f>
        <v>3.7999999999999999E-2</v>
      </c>
      <c r="AM91" s="147">
        <f t="shared" si="51"/>
        <v>1.6212160894402044E-3</v>
      </c>
      <c r="AN91" s="147">
        <f ca="1">INDEX(Photobiology!$21:$421,1+$AH91-380,AN$14)</f>
        <v>0.99132900000000002</v>
      </c>
      <c r="AO91" s="147">
        <f ca="1">INDEX(Photobiology!$21:$421,1+$AH91-380,AO$14)</f>
        <v>0.13949300000000001</v>
      </c>
      <c r="AP91" s="147">
        <f ca="1">INDEX(Photobiology!$21:$421,1+$AH91-380,AP$14)</f>
        <v>7.9564700000000002E-2</v>
      </c>
      <c r="AQ91" s="147">
        <f ca="1">INDEX(Photobiology!$21:$421,1+$AH91-380,AQ$14)</f>
        <v>0.45500000000000002</v>
      </c>
      <c r="AR91" s="147">
        <f ca="1">INDEX(Photobiology!$21:$421,1+$AH91-380,AR$14)</f>
        <v>0.55371499999999996</v>
      </c>
      <c r="AS91" s="147">
        <f t="shared" si="52"/>
        <v>3673654184175684</v>
      </c>
      <c r="AT91" s="147">
        <f ca="1">INDEX(Photobiology!$21:$421,1+$AH91-380,AT$14)</f>
        <v>0.98566835295554334</v>
      </c>
      <c r="AU91" s="147">
        <f ca="1">INDEX(Photobiology!$21:$421,1+$AH91-380,AU$14)</f>
        <v>0.16757073311369858</v>
      </c>
      <c r="AV91" s="147">
        <f ca="1">INDEX(Photobiology!$21:$421,1+$AH91-380,AV$14)</f>
        <v>0.10020060714529706</v>
      </c>
      <c r="AW91" s="147">
        <f ca="1">INDEX(Photobiology!$21:$421,1+$AH91-380,AW$14)</f>
        <v>0.51113340020060172</v>
      </c>
      <c r="AX91" s="147">
        <f ca="1">INDEX(Photobiology!$21:$421,1+$AH91-380,AX$14)</f>
        <v>0.6016716855531774</v>
      </c>
      <c r="AY91" s="147">
        <f t="shared" si="39"/>
        <v>1.6212160894402044E-3</v>
      </c>
      <c r="AZ91" s="147">
        <f t="shared" ca="1" si="53"/>
        <v>1.6071585247286683E-3</v>
      </c>
      <c r="BA91" s="147">
        <f t="shared" ca="1" si="40"/>
        <v>2.2614829596428242E-4</v>
      </c>
      <c r="BB91" s="147">
        <f t="shared" ca="1" si="41"/>
        <v>1.2899157179148304E-4</v>
      </c>
      <c r="BC91" s="147">
        <f t="shared" ca="1" si="42"/>
        <v>7.3765332069529303E-4</v>
      </c>
      <c r="BD91" s="147">
        <f t="shared" ca="1" si="43"/>
        <v>8.9769166696438264E-4</v>
      </c>
    </row>
    <row r="92" spans="8:56" s="147" customFormat="1" ht="0.25" customHeight="1" x14ac:dyDescent="0.2">
      <c r="H92" s="147">
        <f t="shared" si="44"/>
        <v>451</v>
      </c>
      <c r="I92" s="147">
        <f>IF($H92&gt;$H91,INDEX(Spectra!92:92,1,MATCH($I$20,Spectra!$20:$20,0)),I91)</f>
        <v>2.1647915648170999E-3</v>
      </c>
      <c r="J92" s="147">
        <f>((Physics!$C$9*Physics!$C$10)/(Physics!$C$11*Physics!$C$12*$H92))^($J$17-$J$18)</f>
        <v>2.2710222802019118E+18</v>
      </c>
      <c r="K92" s="147">
        <f t="shared" si="45"/>
        <v>1</v>
      </c>
      <c r="L92" s="147">
        <f>INDEX(Photobiology!$21:$421,1+$H92-380,10)</f>
        <v>3.9846670000000001E-2</v>
      </c>
      <c r="M92" s="147">
        <f t="shared" si="46"/>
        <v>2.1647915648170999E-3</v>
      </c>
      <c r="N92" s="147">
        <f ca="1">INDEX(Photobiology!$21:$421,1+$H92-380,N$14)</f>
        <v>0.979657</v>
      </c>
      <c r="O92" s="147">
        <f ca="1">INDEX(Photobiology!$21:$421,1+$H92-380,O$14)</f>
        <v>0.14394299999999999</v>
      </c>
      <c r="P92" s="147">
        <f ca="1">INDEX(Photobiology!$21:$421,1+$H92-380,P$14)</f>
        <v>8.1736799999999998E-2</v>
      </c>
      <c r="Q92" s="147">
        <f ca="1">INDEX(Photobiology!$21:$421,1+$H92-380,Q$14)</f>
        <v>0.46700000000000003</v>
      </c>
      <c r="R92" s="147">
        <f ca="1">INDEX(Photobiology!$21:$421,1+$H92-380,R$14)</f>
        <v>0.56910000000000005</v>
      </c>
      <c r="S92" s="147">
        <f t="shared" si="47"/>
        <v>4916289875692795</v>
      </c>
      <c r="T92" s="147">
        <f ca="1">INDEX(Photobiology!$21:$421,1+$H92-380,T$14)</f>
        <v>0.971903217014502</v>
      </c>
      <c r="U92" s="147">
        <f ca="1">INDEX(Photobiology!$21:$421,1+$H92-380,U$14)</f>
        <v>0.17253304092496163</v>
      </c>
      <c r="V92" s="147">
        <f ca="1">INDEX(Photobiology!$21:$421,1+$H92-380,V$14)</f>
        <v>0.10270782357226237</v>
      </c>
      <c r="W92" s="147">
        <f ca="1">INDEX(Photobiology!$21:$421,1+$H92-380,W$14)</f>
        <v>0.52345061792917558</v>
      </c>
      <c r="X92" s="147">
        <f ca="1">INDEX(Photobiology!$21:$421,1+$H92-380,X$14)</f>
        <v>0.61701801340820805</v>
      </c>
      <c r="Y92" s="147">
        <f t="shared" si="34"/>
        <v>2.1647915648170999E-3</v>
      </c>
      <c r="Z92" s="147">
        <f t="shared" ca="1" si="48"/>
        <v>2.1207532100140257E-3</v>
      </c>
      <c r="AA92" s="147">
        <f t="shared" ca="1" si="35"/>
        <v>3.1160659221446776E-4</v>
      </c>
      <c r="AB92" s="147">
        <f t="shared" ca="1" si="36"/>
        <v>1.7694313517514234E-4</v>
      </c>
      <c r="AC92" s="147">
        <f t="shared" ca="1" si="37"/>
        <v>1.0109576607695858E-3</v>
      </c>
      <c r="AD92" s="147">
        <f t="shared" ca="1" si="38"/>
        <v>1.2319828795374116E-3</v>
      </c>
      <c r="AH92" s="147">
        <f t="shared" si="49"/>
        <v>451</v>
      </c>
      <c r="AI92" s="147">
        <f>IF($AH92&gt;$AH91,INDEX(Spectra!92:92,1,MATCH($AI$20,Spectra!$20:$20,0)),AI91)</f>
        <v>117.08799999999999</v>
      </c>
      <c r="AJ92" s="147">
        <f>((Physics!$C$9*Physics!$C$10)/(Physics!$C$11*Physics!$C$12*$AH92))^($AJ$17-$AJ$18)</f>
        <v>2.2710222802019118E+18</v>
      </c>
      <c r="AK92" s="147">
        <f t="shared" si="50"/>
        <v>1</v>
      </c>
      <c r="AL92" s="147">
        <f>INDEX(Photobiology!$21:$421,1+$AH92-380,10)</f>
        <v>3.9846670000000001E-2</v>
      </c>
      <c r="AM92" s="147">
        <f t="shared" si="51"/>
        <v>1.6223245374707256E-3</v>
      </c>
      <c r="AN92" s="147">
        <f ca="1">INDEX(Photobiology!$21:$421,1+$AH92-380,AN$14)</f>
        <v>0.979657</v>
      </c>
      <c r="AO92" s="147">
        <f ca="1">INDEX(Photobiology!$21:$421,1+$AH92-380,AO$14)</f>
        <v>0.14394299999999999</v>
      </c>
      <c r="AP92" s="147">
        <f ca="1">INDEX(Photobiology!$21:$421,1+$AH92-380,AP$14)</f>
        <v>8.1736799999999998E-2</v>
      </c>
      <c r="AQ92" s="147">
        <f ca="1">INDEX(Photobiology!$21:$421,1+$AH92-380,AQ$14)</f>
        <v>0.46700000000000003</v>
      </c>
      <c r="AR92" s="147">
        <f ca="1">INDEX(Photobiology!$21:$421,1+$AH92-380,AR$14)</f>
        <v>0.56910000000000005</v>
      </c>
      <c r="AS92" s="147">
        <f t="shared" si="52"/>
        <v>3684335170314279</v>
      </c>
      <c r="AT92" s="147">
        <f ca="1">INDEX(Photobiology!$21:$421,1+$AH92-380,AT$14)</f>
        <v>0.971903217014502</v>
      </c>
      <c r="AU92" s="147">
        <f ca="1">INDEX(Photobiology!$21:$421,1+$AH92-380,AU$14)</f>
        <v>0.17253304092496163</v>
      </c>
      <c r="AV92" s="147">
        <f ca="1">INDEX(Photobiology!$21:$421,1+$AH92-380,AV$14)</f>
        <v>0.10270782357226237</v>
      </c>
      <c r="AW92" s="147">
        <f ca="1">INDEX(Photobiology!$21:$421,1+$AH92-380,AW$14)</f>
        <v>0.52345061792917558</v>
      </c>
      <c r="AX92" s="147">
        <f ca="1">INDEX(Photobiology!$21:$421,1+$AH92-380,AX$14)</f>
        <v>0.61701801340820805</v>
      </c>
      <c r="AY92" s="147">
        <f t="shared" si="39"/>
        <v>1.6223245374707256E-3</v>
      </c>
      <c r="AZ92" s="147">
        <f t="shared" ca="1" si="53"/>
        <v>1.5893215894049585E-3</v>
      </c>
      <c r="BA92" s="147">
        <f t="shared" ca="1" si="40"/>
        <v>2.3352226089714862E-4</v>
      </c>
      <c r="BB92" s="147">
        <f t="shared" ca="1" si="41"/>
        <v>1.3260361625433721E-4</v>
      </c>
      <c r="BC92" s="147">
        <f t="shared" ca="1" si="42"/>
        <v>7.5762555899882883E-4</v>
      </c>
      <c r="BD92" s="147">
        <f t="shared" ca="1" si="43"/>
        <v>9.2326489427458996E-4</v>
      </c>
    </row>
    <row r="93" spans="8:56" s="147" customFormat="1" ht="0.25" customHeight="1" x14ac:dyDescent="0.2">
      <c r="H93" s="147">
        <f t="shared" si="44"/>
        <v>452</v>
      </c>
      <c r="I93" s="147">
        <f>IF($H93&gt;$H92,INDEX(Spectra!93:93,1,MATCH($I$20,Spectra!$20:$20,0)),I92)</f>
        <v>2.1497930089407701E-3</v>
      </c>
      <c r="J93" s="147">
        <f>((Physics!$C$9*Physics!$C$10)/(Physics!$C$11*Physics!$C$12*$H93))^($J$17-$J$18)</f>
        <v>2.2760578063220936E+18</v>
      </c>
      <c r="K93" s="147">
        <f t="shared" si="45"/>
        <v>1</v>
      </c>
      <c r="L93" s="147">
        <f>INDEX(Photobiology!$21:$421,1+$H93-380,10)</f>
        <v>4.1768E-2</v>
      </c>
      <c r="M93" s="147">
        <f t="shared" si="46"/>
        <v>2.1497930089407701E-3</v>
      </c>
      <c r="N93" s="147">
        <f ca="1">INDEX(Photobiology!$21:$421,1+$H93-380,N$14)</f>
        <v>0.96390500000000001</v>
      </c>
      <c r="O93" s="147">
        <f ca="1">INDEX(Photobiology!$21:$421,1+$H93-380,O$14)</f>
        <v>0.148281</v>
      </c>
      <c r="P93" s="147">
        <f ca="1">INDEX(Photobiology!$21:$421,1+$H93-380,P$14)</f>
        <v>8.3882600000000002E-2</v>
      </c>
      <c r="Q93" s="147">
        <f ca="1">INDEX(Photobiology!$21:$421,1+$H93-380,Q$14)</f>
        <v>0.47899999999999998</v>
      </c>
      <c r="R93" s="147">
        <f ca="1">INDEX(Photobiology!$21:$421,1+$H93-380,R$14)</f>
        <v>0.58423999999999998</v>
      </c>
      <c r="S93" s="147">
        <f t="shared" si="47"/>
        <v>4893053159976302</v>
      </c>
      <c r="T93" s="147">
        <f ca="1">INDEX(Photobiology!$21:$421,1+$H93-380,T$14)</f>
        <v>0.95416023621803836</v>
      </c>
      <c r="U93" s="147">
        <f ca="1">INDEX(Photobiology!$21:$421,1+$H93-380,U$14)</f>
        <v>0.17733944312133387</v>
      </c>
      <c r="V93" s="147">
        <f ca="1">INDEX(Photobiology!$21:$421,1+$H93-380,V$14)</f>
        <v>0.10517097150491636</v>
      </c>
      <c r="W93" s="147">
        <f ca="1">INDEX(Photobiology!$21:$421,1+$H93-380,W$14)</f>
        <v>0.53571333469434856</v>
      </c>
      <c r="X93" s="147">
        <f ca="1">INDEX(Photobiology!$21:$421,1+$H93-380,X$14)</f>
        <v>0.63203139592120594</v>
      </c>
      <c r="Y93" s="147">
        <f t="shared" si="34"/>
        <v>2.1497930089407701E-3</v>
      </c>
      <c r="Z93" s="147">
        <f t="shared" ca="1" si="48"/>
        <v>2.0721962302830532E-3</v>
      </c>
      <c r="AA93" s="147">
        <f t="shared" ca="1" si="35"/>
        <v>3.187734571587463E-4</v>
      </c>
      <c r="AB93" s="147">
        <f t="shared" ca="1" si="36"/>
        <v>1.8033022705177504E-4</v>
      </c>
      <c r="AC93" s="147">
        <f t="shared" ca="1" si="37"/>
        <v>1.0297508512826289E-3</v>
      </c>
      <c r="AD93" s="147">
        <f t="shared" ca="1" si="38"/>
        <v>1.2559950675435556E-3</v>
      </c>
      <c r="AH93" s="147">
        <f t="shared" si="49"/>
        <v>452</v>
      </c>
      <c r="AI93" s="147">
        <f>IF($AH93&gt;$AH92,INDEX(Spectra!93:93,1,MATCH($AI$20,Spectra!$20:$20,0)),AI92)</f>
        <v>117.169</v>
      </c>
      <c r="AJ93" s="147">
        <f>((Physics!$C$9*Physics!$C$10)/(Physics!$C$11*Physics!$C$12*$AH93))^($AJ$17-$AJ$18)</f>
        <v>2.2760578063220936E+18</v>
      </c>
      <c r="AK93" s="147">
        <f t="shared" si="50"/>
        <v>1</v>
      </c>
      <c r="AL93" s="147">
        <f>INDEX(Photobiology!$21:$421,1+$AH93-380,10)</f>
        <v>4.1768E-2</v>
      </c>
      <c r="AM93" s="147">
        <f t="shared" si="51"/>
        <v>1.6234468411016282E-3</v>
      </c>
      <c r="AN93" s="147">
        <f ca="1">INDEX(Photobiology!$21:$421,1+$AH93-380,AN$14)</f>
        <v>0.96390500000000001</v>
      </c>
      <c r="AO93" s="147">
        <f ca="1">INDEX(Photobiology!$21:$421,1+$AH93-380,AO$14)</f>
        <v>0.148281</v>
      </c>
      <c r="AP93" s="147">
        <f ca="1">INDEX(Photobiology!$21:$421,1+$AH93-380,AP$14)</f>
        <v>8.3882600000000002E-2</v>
      </c>
      <c r="AQ93" s="147">
        <f ca="1">INDEX(Photobiology!$21:$421,1+$AH93-380,AQ$14)</f>
        <v>0.47899999999999998</v>
      </c>
      <c r="AR93" s="147">
        <f ca="1">INDEX(Photobiology!$21:$421,1+$AH93-380,AR$14)</f>
        <v>0.58423999999999998</v>
      </c>
      <c r="AS93" s="147">
        <f t="shared" si="52"/>
        <v>3695058855838304.5</v>
      </c>
      <c r="AT93" s="147">
        <f ca="1">INDEX(Photobiology!$21:$421,1+$AH93-380,AT$14)</f>
        <v>0.95416023621803836</v>
      </c>
      <c r="AU93" s="147">
        <f ca="1">INDEX(Photobiology!$21:$421,1+$AH93-380,AU$14)</f>
        <v>0.17733944312133387</v>
      </c>
      <c r="AV93" s="147">
        <f ca="1">INDEX(Photobiology!$21:$421,1+$AH93-380,AV$14)</f>
        <v>0.10517097150491636</v>
      </c>
      <c r="AW93" s="147">
        <f ca="1">INDEX(Photobiology!$21:$421,1+$AH93-380,AW$14)</f>
        <v>0.53571333469434856</v>
      </c>
      <c r="AX93" s="147">
        <f ca="1">INDEX(Photobiology!$21:$421,1+$AH93-380,AX$14)</f>
        <v>0.63203139592120594</v>
      </c>
      <c r="AY93" s="147">
        <f t="shared" si="39"/>
        <v>1.6234468411016282E-3</v>
      </c>
      <c r="AZ93" s="147">
        <f t="shared" ca="1" si="53"/>
        <v>1.564848527372065E-3</v>
      </c>
      <c r="BA93" s="147">
        <f t="shared" ca="1" si="40"/>
        <v>2.4072632104539052E-4</v>
      </c>
      <c r="BB93" s="147">
        <f t="shared" ca="1" si="41"/>
        <v>1.3617894199339145E-4</v>
      </c>
      <c r="BC93" s="147">
        <f t="shared" ca="1" si="42"/>
        <v>7.7763103688767985E-4</v>
      </c>
      <c r="BD93" s="147">
        <f t="shared" ca="1" si="43"/>
        <v>9.4848258244521527E-4</v>
      </c>
    </row>
    <row r="94" spans="8:56" s="147" customFormat="1" ht="0.25" customHeight="1" x14ac:dyDescent="0.2">
      <c r="H94" s="147">
        <f t="shared" si="44"/>
        <v>453</v>
      </c>
      <c r="I94" s="147">
        <f>IF($H94&gt;$H93,INDEX(Spectra!94:94,1,MATCH($I$20,Spectra!$20:$20,0)),I93)</f>
        <v>2.1197958971881101E-3</v>
      </c>
      <c r="J94" s="147">
        <f>((Physics!$C$9*Physics!$C$10)/(Physics!$C$11*Physics!$C$12*$H94))^($J$17-$J$18)</f>
        <v>2.2810933324422748E+18</v>
      </c>
      <c r="K94" s="147">
        <f t="shared" si="45"/>
        <v>1</v>
      </c>
      <c r="L94" s="147">
        <f>INDEX(Photobiology!$21:$421,1+$H94-380,10)</f>
        <v>4.3765999999999999E-2</v>
      </c>
      <c r="M94" s="147">
        <f t="shared" si="46"/>
        <v>2.1197958971881101E-3</v>
      </c>
      <c r="N94" s="147">
        <f ca="1">INDEX(Photobiology!$21:$421,1+$H94-380,N$14)</f>
        <v>0.945573</v>
      </c>
      <c r="O94" s="147">
        <f ca="1">INDEX(Photobiology!$21:$421,1+$H94-380,O$14)</f>
        <v>0.15263699999999999</v>
      </c>
      <c r="P94" s="147">
        <f ca="1">INDEX(Photobiology!$21:$421,1+$H94-380,P$14)</f>
        <v>8.6059800000000006E-2</v>
      </c>
      <c r="Q94" s="147">
        <f ca="1">INDEX(Photobiology!$21:$421,1+$H94-380,Q$14)</f>
        <v>0.49</v>
      </c>
      <c r="R94" s="147">
        <f ca="1">INDEX(Photobiology!$21:$421,1+$H94-380,R$14)</f>
        <v>0.59928099999999995</v>
      </c>
      <c r="S94" s="147">
        <f t="shared" si="47"/>
        <v>4835452287214288</v>
      </c>
      <c r="T94" s="147">
        <f ca="1">INDEX(Photobiology!$21:$421,1+$H94-380,T$14)</f>
        <v>0.9339473116184126</v>
      </c>
      <c r="U94" s="147">
        <f ca="1">INDEX(Photobiology!$21:$421,1+$H94-380,U$14)</f>
        <v>0.18214610491463054</v>
      </c>
      <c r="V94" s="147">
        <f ca="1">INDEX(Photobiology!$21:$421,1+$H94-380,V$14)</f>
        <v>0.10766252663867081</v>
      </c>
      <c r="W94" s="147">
        <f ca="1">INDEX(Photobiology!$21:$421,1+$H94-380,W$14)</f>
        <v>0.54680598085647669</v>
      </c>
      <c r="X94" s="147">
        <f ca="1">INDEX(Photobiology!$21:$421,1+$H94-380,X$14)</f>
        <v>0.64687163230921985</v>
      </c>
      <c r="Y94" s="147">
        <f t="shared" si="34"/>
        <v>2.1197958971881101E-3</v>
      </c>
      <c r="Z94" s="147">
        <f t="shared" ca="1" si="48"/>
        <v>2.0044217658918527E-3</v>
      </c>
      <c r="AA94" s="147">
        <f t="shared" ca="1" si="35"/>
        <v>3.2355928635910153E-4</v>
      </c>
      <c r="AB94" s="147">
        <f t="shared" ca="1" si="36"/>
        <v>1.8242921095282933E-4</v>
      </c>
      <c r="AC94" s="147">
        <f t="shared" ca="1" si="37"/>
        <v>1.0386999896221738E-3</v>
      </c>
      <c r="AD94" s="147">
        <f t="shared" ca="1" si="38"/>
        <v>1.2703534050627877E-3</v>
      </c>
      <c r="AH94" s="147">
        <f t="shared" si="49"/>
        <v>453</v>
      </c>
      <c r="AI94" s="147">
        <f>IF($AH94&gt;$AH93,INDEX(Spectra!94:94,1,MATCH($AI$20,Spectra!$20:$20,0)),AI93)</f>
        <v>117.249</v>
      </c>
      <c r="AJ94" s="147">
        <f>((Physics!$C$9*Physics!$C$10)/(Physics!$C$11*Physics!$C$12*$AH94))^($AJ$17-$AJ$18)</f>
        <v>2.2810933324422748E+18</v>
      </c>
      <c r="AK94" s="147">
        <f t="shared" si="50"/>
        <v>1</v>
      </c>
      <c r="AL94" s="147">
        <f>INDEX(Photobiology!$21:$421,1+$AH94-380,10)</f>
        <v>4.3765999999999999E-2</v>
      </c>
      <c r="AM94" s="147">
        <f t="shared" si="51"/>
        <v>1.6245552891321492E-3</v>
      </c>
      <c r="AN94" s="147">
        <f ca="1">INDEX(Photobiology!$21:$421,1+$AH94-380,AN$14)</f>
        <v>0.945573</v>
      </c>
      <c r="AO94" s="147">
        <f ca="1">INDEX(Photobiology!$21:$421,1+$AH94-380,AO$14)</f>
        <v>0.15263699999999999</v>
      </c>
      <c r="AP94" s="147">
        <f ca="1">INDEX(Photobiology!$21:$421,1+$AH94-380,AP$14)</f>
        <v>8.6059800000000006E-2</v>
      </c>
      <c r="AQ94" s="147">
        <f ca="1">INDEX(Photobiology!$21:$421,1+$AH94-380,AQ$14)</f>
        <v>0.49</v>
      </c>
      <c r="AR94" s="147">
        <f ca="1">INDEX(Photobiology!$21:$421,1+$AH94-380,AR$14)</f>
        <v>0.59928099999999995</v>
      </c>
      <c r="AS94" s="147">
        <f t="shared" si="52"/>
        <v>3705762238223177.5</v>
      </c>
      <c r="AT94" s="147">
        <f ca="1">INDEX(Photobiology!$21:$421,1+$AH94-380,AT$14)</f>
        <v>0.9339473116184126</v>
      </c>
      <c r="AU94" s="147">
        <f ca="1">INDEX(Photobiology!$21:$421,1+$AH94-380,AU$14)</f>
        <v>0.18214610491463054</v>
      </c>
      <c r="AV94" s="147">
        <f ca="1">INDEX(Photobiology!$21:$421,1+$AH94-380,AV$14)</f>
        <v>0.10766252663867081</v>
      </c>
      <c r="AW94" s="147">
        <f ca="1">INDEX(Photobiology!$21:$421,1+$AH94-380,AW$14)</f>
        <v>0.54680598085647669</v>
      </c>
      <c r="AX94" s="147">
        <f ca="1">INDEX(Photobiology!$21:$421,1+$AH94-380,AX$14)</f>
        <v>0.64687163230921985</v>
      </c>
      <c r="AY94" s="147">
        <f t="shared" si="39"/>
        <v>1.6245552891321492E-3</v>
      </c>
      <c r="AZ94" s="147">
        <f t="shared" ca="1" si="53"/>
        <v>1.5361356184105538E-3</v>
      </c>
      <c r="BA94" s="147">
        <f t="shared" ca="1" si="40"/>
        <v>2.4796724566726385E-4</v>
      </c>
      <c r="BB94" s="147">
        <f t="shared" ca="1" si="41"/>
        <v>1.3980890327165493E-4</v>
      </c>
      <c r="BC94" s="147">
        <f t="shared" ca="1" si="42"/>
        <v>7.9603209167475309E-4</v>
      </c>
      <c r="BD94" s="147">
        <f t="shared" ca="1" si="43"/>
        <v>9.7356511822640341E-4</v>
      </c>
    </row>
    <row r="95" spans="8:56" s="147" customFormat="1" ht="0.25" customHeight="1" x14ac:dyDescent="0.2">
      <c r="H95" s="147">
        <f t="shared" si="44"/>
        <v>454</v>
      </c>
      <c r="I95" s="147">
        <f>IF($H95&gt;$H94,INDEX(Spectra!95:95,1,MATCH($I$20,Spectra!$20:$20,0)),I94)</f>
        <v>2.0997978226863401E-3</v>
      </c>
      <c r="J95" s="147">
        <f>((Physics!$C$9*Physics!$C$10)/(Physics!$C$11*Physics!$C$12*$H95))^($J$17-$J$18)</f>
        <v>2.2861288585624568E+18</v>
      </c>
      <c r="K95" s="147">
        <f t="shared" si="45"/>
        <v>1</v>
      </c>
      <c r="L95" s="147">
        <f>INDEX(Photobiology!$21:$421,1+$H95-380,10)</f>
        <v>4.5842670000000002E-2</v>
      </c>
      <c r="M95" s="147">
        <f t="shared" si="46"/>
        <v>2.0997978226863401E-3</v>
      </c>
      <c r="N95" s="147">
        <f ca="1">INDEX(Photobiology!$21:$421,1+$H95-380,N$14)</f>
        <v>0.92607799999999996</v>
      </c>
      <c r="O95" s="147">
        <f ca="1">INDEX(Photobiology!$21:$421,1+$H95-380,O$14)</f>
        <v>0.15715699999999999</v>
      </c>
      <c r="P95" s="147">
        <f ca="1">INDEX(Photobiology!$21:$421,1+$H95-380,P$14)</f>
        <v>8.83322E-2</v>
      </c>
      <c r="Q95" s="147">
        <f ca="1">INDEX(Photobiology!$21:$421,1+$H95-380,Q$14)</f>
        <v>0.502</v>
      </c>
      <c r="R95" s="147">
        <f ca="1">INDEX(Photobiology!$21:$421,1+$H95-380,R$14)</f>
        <v>0.61436999999999997</v>
      </c>
      <c r="S95" s="147">
        <f t="shared" si="47"/>
        <v>4800408399589855</v>
      </c>
      <c r="T95" s="147">
        <f ca="1">INDEX(Photobiology!$21:$421,1+$H95-380,T$14)</f>
        <v>0.91267725984114778</v>
      </c>
      <c r="U95" s="147">
        <f ca="1">INDEX(Photobiology!$21:$421,1+$H95-380,U$14)</f>
        <v>0.18712686681445723</v>
      </c>
      <c r="V95" s="147">
        <f ca="1">INDEX(Photobiology!$21:$421,1+$H95-380,V$14)</f>
        <v>0.11026194052938774</v>
      </c>
      <c r="W95" s="147">
        <f ca="1">INDEX(Photobiology!$21:$421,1+$H95-380,W$14)</f>
        <v>0.5589632333122716</v>
      </c>
      <c r="X95" s="147">
        <f ca="1">INDEX(Photobiology!$21:$421,1+$H95-380,X$14)</f>
        <v>0.66169819090200355</v>
      </c>
      <c r="Y95" s="147">
        <f t="shared" si="34"/>
        <v>2.0997978226863401E-3</v>
      </c>
      <c r="Z95" s="147">
        <f t="shared" ca="1" si="48"/>
        <v>1.9445765680377203E-3</v>
      </c>
      <c r="AA95" s="147">
        <f t="shared" ca="1" si="35"/>
        <v>3.2999792641991713E-4</v>
      </c>
      <c r="AB95" s="147">
        <f t="shared" ca="1" si="36"/>
        <v>1.8547976123309433E-4</v>
      </c>
      <c r="AC95" s="147">
        <f t="shared" ca="1" si="37"/>
        <v>1.0540985069885428E-3</v>
      </c>
      <c r="AD95" s="147">
        <f t="shared" ca="1" si="38"/>
        <v>1.2900527883238067E-3</v>
      </c>
      <c r="AH95" s="147">
        <f t="shared" si="49"/>
        <v>454</v>
      </c>
      <c r="AI95" s="147">
        <f>IF($AH95&gt;$AH94,INDEX(Spectra!95:95,1,MATCH($AI$20,Spectra!$20:$20,0)),AI94)</f>
        <v>117.33</v>
      </c>
      <c r="AJ95" s="147">
        <f>((Physics!$C$9*Physics!$C$10)/(Physics!$C$11*Physics!$C$12*$AH95))^($AJ$17-$AJ$18)</f>
        <v>2.2861288585624568E+18</v>
      </c>
      <c r="AK95" s="147">
        <f t="shared" si="50"/>
        <v>1</v>
      </c>
      <c r="AL95" s="147">
        <f>INDEX(Photobiology!$21:$421,1+$AH95-380,10)</f>
        <v>4.5842670000000002E-2</v>
      </c>
      <c r="AM95" s="147">
        <f t="shared" si="51"/>
        <v>1.625677592763052E-3</v>
      </c>
      <c r="AN95" s="147">
        <f ca="1">INDEX(Photobiology!$21:$421,1+$AH95-380,AN$14)</f>
        <v>0.92607799999999996</v>
      </c>
      <c r="AO95" s="147">
        <f ca="1">INDEX(Photobiology!$21:$421,1+$AH95-380,AO$14)</f>
        <v>0.15715699999999999</v>
      </c>
      <c r="AP95" s="147">
        <f ca="1">INDEX(Photobiology!$21:$421,1+$AH95-380,AP$14)</f>
        <v>8.83322E-2</v>
      </c>
      <c r="AQ95" s="147">
        <f ca="1">INDEX(Photobiology!$21:$421,1+$AH95-380,AQ$14)</f>
        <v>0.502</v>
      </c>
      <c r="AR95" s="147">
        <f ca="1">INDEX(Photobiology!$21:$421,1+$AH95-380,AR$14)</f>
        <v>0.61436999999999997</v>
      </c>
      <c r="AS95" s="147">
        <f t="shared" si="52"/>
        <v>3716508459533958.5</v>
      </c>
      <c r="AT95" s="147">
        <f ca="1">INDEX(Photobiology!$21:$421,1+$AH95-380,AT$14)</f>
        <v>0.91267725984114778</v>
      </c>
      <c r="AU95" s="147">
        <f ca="1">INDEX(Photobiology!$21:$421,1+$AH95-380,AU$14)</f>
        <v>0.18712686681445723</v>
      </c>
      <c r="AV95" s="147">
        <f ca="1">INDEX(Photobiology!$21:$421,1+$AH95-380,AV$14)</f>
        <v>0.11026194052938774</v>
      </c>
      <c r="AW95" s="147">
        <f ca="1">INDEX(Photobiology!$21:$421,1+$AH95-380,AW$14)</f>
        <v>0.5589632333122716</v>
      </c>
      <c r="AX95" s="147">
        <f ca="1">INDEX(Photobiology!$21:$421,1+$AH95-380,AX$14)</f>
        <v>0.66169819090200355</v>
      </c>
      <c r="AY95" s="147">
        <f t="shared" si="39"/>
        <v>1.625677592763052E-3</v>
      </c>
      <c r="AZ95" s="147">
        <f t="shared" ca="1" si="53"/>
        <v>1.5055042537508215E-3</v>
      </c>
      <c r="BA95" s="147">
        <f t="shared" ca="1" si="40"/>
        <v>2.5548661344586298E-4</v>
      </c>
      <c r="BB95" s="147">
        <f t="shared" ca="1" si="41"/>
        <v>1.4359967825946447E-4</v>
      </c>
      <c r="BC95" s="147">
        <f t="shared" ca="1" si="42"/>
        <v>8.160901515670521E-4</v>
      </c>
      <c r="BD95" s="147">
        <f t="shared" ca="1" si="43"/>
        <v>9.9876754266583633E-4</v>
      </c>
    </row>
    <row r="96" spans="8:56" s="147" customFormat="1" ht="0.25" customHeight="1" x14ac:dyDescent="0.2">
      <c r="H96" s="147">
        <f t="shared" si="44"/>
        <v>455</v>
      </c>
      <c r="I96" s="147">
        <f>IF($H96&gt;$H95,INDEX(Spectra!96:96,1,MATCH($I$20,Spectra!$20:$20,0)),I95)</f>
        <v>2.1047973413117799E-3</v>
      </c>
      <c r="J96" s="147">
        <f>((Physics!$C$9*Physics!$C$10)/(Physics!$C$11*Physics!$C$12*$H96))^($J$17-$J$18)</f>
        <v>2.2911643846826378E+18</v>
      </c>
      <c r="K96" s="147">
        <f t="shared" si="45"/>
        <v>1</v>
      </c>
      <c r="L96" s="147">
        <f>INDEX(Photobiology!$21:$421,1+$H96-380,10)</f>
        <v>4.8000000000000001E-2</v>
      </c>
      <c r="M96" s="147">
        <f t="shared" si="46"/>
        <v>2.1047973413117799E-3</v>
      </c>
      <c r="N96" s="147">
        <f ca="1">INDEX(Photobiology!$21:$421,1+$H96-380,N$14)</f>
        <v>0.90673499999999996</v>
      </c>
      <c r="O96" s="147">
        <f ca="1">INDEX(Photobiology!$21:$421,1+$H96-380,O$14)</f>
        <v>0.16200600000000001</v>
      </c>
      <c r="P96" s="147">
        <f ca="1">INDEX(Photobiology!$21:$421,1+$H96-380,P$14)</f>
        <v>9.0770400000000001E-2</v>
      </c>
      <c r="Q96" s="147">
        <f ca="1">INDEX(Photobiology!$21:$421,1+$H96-380,Q$14)</f>
        <v>0.51300000000000001</v>
      </c>
      <c r="R96" s="147">
        <f ca="1">INDEX(Photobiology!$21:$421,1+$H96-380,R$14)</f>
        <v>0.62965400000000005</v>
      </c>
      <c r="S96" s="147">
        <f t="shared" si="47"/>
        <v>4822436705388256</v>
      </c>
      <c r="T96" s="147">
        <f ca="1">INDEX(Photobiology!$21:$421,1+$H96-380,T$14)</f>
        <v>0.89165017406085323</v>
      </c>
      <c r="U96" s="147">
        <f ca="1">INDEX(Photobiology!$21:$421,1+$H96-380,U$14)</f>
        <v>0.1924766146439115</v>
      </c>
      <c r="V96" s="147">
        <f ca="1">INDEX(Photobiology!$21:$421,1+$H96-380,V$14)</f>
        <v>0.11305643580024485</v>
      </c>
      <c r="W96" s="147">
        <f ca="1">INDEX(Photobiology!$21:$421,1+$H96-380,W$14)</f>
        <v>0.56995602191188954</v>
      </c>
      <c r="X96" s="147">
        <f ca="1">INDEX(Photobiology!$21:$421,1+$H96-380,X$14)</f>
        <v>0.67666913810992824</v>
      </c>
      <c r="Y96" s="147">
        <f t="shared" si="34"/>
        <v>2.1047973413117799E-3</v>
      </c>
      <c r="Z96" s="147">
        <f t="shared" ca="1" si="48"/>
        <v>1.9084934172743366E-3</v>
      </c>
      <c r="AA96" s="147">
        <f t="shared" ca="1" si="35"/>
        <v>3.4098979807655621E-4</v>
      </c>
      <c r="AB96" s="147">
        <f t="shared" ca="1" si="36"/>
        <v>1.9105329658980678E-4</v>
      </c>
      <c r="AC96" s="147">
        <f t="shared" ca="1" si="37"/>
        <v>1.0797610360929431E-3</v>
      </c>
      <c r="AD96" s="147">
        <f t="shared" ca="1" si="38"/>
        <v>1.3252940651463276E-3</v>
      </c>
      <c r="AH96" s="147">
        <f t="shared" si="49"/>
        <v>455</v>
      </c>
      <c r="AI96" s="147">
        <f>IF($AH96&gt;$AH95,INDEX(Spectra!96:96,1,MATCH($AI$20,Spectra!$20:$20,0)),AI95)</f>
        <v>117.41</v>
      </c>
      <c r="AJ96" s="147">
        <f>((Physics!$C$9*Physics!$C$10)/(Physics!$C$11*Physics!$C$12*$AH96))^($AJ$17-$AJ$18)</f>
        <v>2.2911643846826378E+18</v>
      </c>
      <c r="AK96" s="147">
        <f t="shared" si="50"/>
        <v>1</v>
      </c>
      <c r="AL96" s="147">
        <f>INDEX(Photobiology!$21:$421,1+$AH96-380,10)</f>
        <v>4.8000000000000001E-2</v>
      </c>
      <c r="AM96" s="147">
        <f t="shared" si="51"/>
        <v>1.626786040793573E-3</v>
      </c>
      <c r="AN96" s="147">
        <f ca="1">INDEX(Photobiology!$21:$421,1+$AH96-380,AN$14)</f>
        <v>0.90673499999999996</v>
      </c>
      <c r="AO96" s="147">
        <f ca="1">INDEX(Photobiology!$21:$421,1+$AH96-380,AO$14)</f>
        <v>0.16200600000000001</v>
      </c>
      <c r="AP96" s="147">
        <f ca="1">INDEX(Photobiology!$21:$421,1+$AH96-380,AP$14)</f>
        <v>9.0770400000000001E-2</v>
      </c>
      <c r="AQ96" s="147">
        <f ca="1">INDEX(Photobiology!$21:$421,1+$AH96-380,AQ$14)</f>
        <v>0.51300000000000001</v>
      </c>
      <c r="AR96" s="147">
        <f ca="1">INDEX(Photobiology!$21:$421,1+$AH96-380,AR$14)</f>
        <v>0.62965400000000005</v>
      </c>
      <c r="AS96" s="147">
        <f t="shared" si="52"/>
        <v>3727234238165111.5</v>
      </c>
      <c r="AT96" s="147">
        <f ca="1">INDEX(Photobiology!$21:$421,1+$AH96-380,AT$14)</f>
        <v>0.89165017406085323</v>
      </c>
      <c r="AU96" s="147">
        <f ca="1">INDEX(Photobiology!$21:$421,1+$AH96-380,AU$14)</f>
        <v>0.1924766146439115</v>
      </c>
      <c r="AV96" s="147">
        <f ca="1">INDEX(Photobiology!$21:$421,1+$AH96-380,AV$14)</f>
        <v>0.11305643580024485</v>
      </c>
      <c r="AW96" s="147">
        <f ca="1">INDEX(Photobiology!$21:$421,1+$AH96-380,AW$14)</f>
        <v>0.56995602191188954</v>
      </c>
      <c r="AX96" s="147">
        <f ca="1">INDEX(Photobiology!$21:$421,1+$AH96-380,AX$14)</f>
        <v>0.67666913810992824</v>
      </c>
      <c r="AY96" s="147">
        <f t="shared" si="39"/>
        <v>1.626786040793573E-3</v>
      </c>
      <c r="AZ96" s="147">
        <f t="shared" ca="1" si="53"/>
        <v>1.4750638406989603E-3</v>
      </c>
      <c r="BA96" s="147">
        <f t="shared" ca="1" si="40"/>
        <v>2.6354909932480361E-4</v>
      </c>
      <c r="BB96" s="147">
        <f t="shared" ca="1" si="41"/>
        <v>1.4766401963724895E-4</v>
      </c>
      <c r="BC96" s="147">
        <f t="shared" ca="1" si="42"/>
        <v>8.3454123892710299E-4</v>
      </c>
      <c r="BD96" s="147">
        <f t="shared" ca="1" si="43"/>
        <v>1.0243123377298366E-3</v>
      </c>
    </row>
    <row r="97" spans="8:56" s="147" customFormat="1" ht="0.25" customHeight="1" x14ac:dyDescent="0.2">
      <c r="H97" s="147">
        <f t="shared" si="44"/>
        <v>456</v>
      </c>
      <c r="I97" s="147">
        <f>IF($H97&gt;$H96,INDEX(Spectra!97:97,1,MATCH($I$20,Spectra!$20:$20,0)),I96)</f>
        <v>2.1097968599372201E-3</v>
      </c>
      <c r="J97" s="147">
        <f>((Physics!$C$9*Physics!$C$10)/(Physics!$C$11*Physics!$C$12*$H97))^($J$17-$J$18)</f>
        <v>2.2961999108028201E+18</v>
      </c>
      <c r="K97" s="147">
        <f t="shared" si="45"/>
        <v>1</v>
      </c>
      <c r="L97" s="147">
        <f>INDEX(Photobiology!$21:$421,1+$H97-380,10)</f>
        <v>5.0243679999999999E-2</v>
      </c>
      <c r="M97" s="147">
        <f t="shared" si="46"/>
        <v>2.1097968599372201E-3</v>
      </c>
      <c r="N97" s="147">
        <f ca="1">INDEX(Photobiology!$21:$421,1+$H97-380,N$14)</f>
        <v>0.88850899999999999</v>
      </c>
      <c r="O97" s="147">
        <f ca="1">INDEX(Photobiology!$21:$421,1+$H97-380,O$14)</f>
        <v>0.16733100000000001</v>
      </c>
      <c r="P97" s="147">
        <f ca="1">INDEX(Photobiology!$21:$421,1+$H97-380,P$14)</f>
        <v>9.3439700000000001E-2</v>
      </c>
      <c r="Q97" s="147">
        <f ca="1">INDEX(Photobiology!$21:$421,1+$H97-380,Q$14)</f>
        <v>0.52400000000000002</v>
      </c>
      <c r="R97" s="147">
        <f ca="1">INDEX(Photobiology!$21:$421,1+$H97-380,R$14)</f>
        <v>0.64519300000000002</v>
      </c>
      <c r="S97" s="147">
        <f t="shared" si="47"/>
        <v>4844515361599915</v>
      </c>
      <c r="T97" s="147">
        <f ca="1">INDEX(Photobiology!$21:$421,1+$H97-380,T$14)</f>
        <v>0.87181132064835853</v>
      </c>
      <c r="U97" s="147">
        <f ca="1">INDEX(Photobiology!$21:$421,1+$H97-380,U$14)</f>
        <v>0.19836718610088924</v>
      </c>
      <c r="V97" s="147">
        <f ca="1">INDEX(Photobiology!$21:$421,1+$H97-380,V$14)</f>
        <v>0.11612588317904883</v>
      </c>
      <c r="W97" s="147">
        <f ca="1">INDEX(Photobiology!$21:$421,1+$H97-380,W$14)</f>
        <v>0.58090059652642145</v>
      </c>
      <c r="X97" s="147">
        <f ca="1">INDEX(Photobiology!$21:$421,1+$H97-380,X$14)</f>
        <v>0.69184786269687815</v>
      </c>
      <c r="Y97" s="147">
        <f t="shared" si="34"/>
        <v>2.1097968599372201E-3</v>
      </c>
      <c r="Z97" s="147">
        <f t="shared" ca="1" si="48"/>
        <v>1.8745734982259594E-3</v>
      </c>
      <c r="AA97" s="147">
        <f t="shared" ca="1" si="35"/>
        <v>3.5303441837015499E-4</v>
      </c>
      <c r="AB97" s="147">
        <f t="shared" ca="1" si="36"/>
        <v>1.9713878565347587E-4</v>
      </c>
      <c r="AC97" s="147">
        <f t="shared" ca="1" si="37"/>
        <v>1.1055335546071034E-3</v>
      </c>
      <c r="AD97" s="147">
        <f t="shared" ca="1" si="38"/>
        <v>1.3612261654534748E-3</v>
      </c>
      <c r="AH97" s="147">
        <f t="shared" si="49"/>
        <v>456</v>
      </c>
      <c r="AI97" s="147">
        <f>IF($AH97&gt;$AH96,INDEX(Spectra!97:97,1,MATCH($AI$20,Spectra!$20:$20,0)),AI96)</f>
        <v>117.49</v>
      </c>
      <c r="AJ97" s="147">
        <f>((Physics!$C$9*Physics!$C$10)/(Physics!$C$11*Physics!$C$12*$AH97))^($AJ$17-$AJ$18)</f>
        <v>2.2961999108028201E+18</v>
      </c>
      <c r="AK97" s="147">
        <f t="shared" si="50"/>
        <v>1</v>
      </c>
      <c r="AL97" s="147">
        <f>INDEX(Photobiology!$21:$421,1+$AH97-380,10)</f>
        <v>5.0243679999999999E-2</v>
      </c>
      <c r="AM97" s="147">
        <f t="shared" si="51"/>
        <v>1.6278944888240942E-3</v>
      </c>
      <c r="AN97" s="147">
        <f ca="1">INDEX(Photobiology!$21:$421,1+$AH97-380,AN$14)</f>
        <v>0.88850899999999999</v>
      </c>
      <c r="AO97" s="147">
        <f ca="1">INDEX(Photobiology!$21:$421,1+$AH97-380,AO$14)</f>
        <v>0.16733100000000001</v>
      </c>
      <c r="AP97" s="147">
        <f ca="1">INDEX(Photobiology!$21:$421,1+$AH97-380,AP$14)</f>
        <v>9.3439700000000001E-2</v>
      </c>
      <c r="AQ97" s="147">
        <f ca="1">INDEX(Photobiology!$21:$421,1+$AH97-380,AQ$14)</f>
        <v>0.52400000000000002</v>
      </c>
      <c r="AR97" s="147">
        <f ca="1">INDEX(Photobiology!$21:$421,1+$AH97-380,AR$14)</f>
        <v>0.64519300000000002</v>
      </c>
      <c r="AS97" s="147">
        <f t="shared" si="52"/>
        <v>3737971180034287.5</v>
      </c>
      <c r="AT97" s="147">
        <f ca="1">INDEX(Photobiology!$21:$421,1+$AH97-380,AT$14)</f>
        <v>0.87181132064835853</v>
      </c>
      <c r="AU97" s="147">
        <f ca="1">INDEX(Photobiology!$21:$421,1+$AH97-380,AU$14)</f>
        <v>0.19836718610088924</v>
      </c>
      <c r="AV97" s="147">
        <f ca="1">INDEX(Photobiology!$21:$421,1+$AH97-380,AV$14)</f>
        <v>0.11612588317904883</v>
      </c>
      <c r="AW97" s="147">
        <f ca="1">INDEX(Photobiology!$21:$421,1+$AH97-380,AW$14)</f>
        <v>0.58090059652642145</v>
      </c>
      <c r="AX97" s="147">
        <f ca="1">INDEX(Photobiology!$21:$421,1+$AH97-380,AX$14)</f>
        <v>0.69184786269687815</v>
      </c>
      <c r="AY97" s="147">
        <f t="shared" si="39"/>
        <v>1.6278944888240942E-3</v>
      </c>
      <c r="AZ97" s="147">
        <f t="shared" ca="1" si="53"/>
        <v>1.446398904370607E-3</v>
      </c>
      <c r="BA97" s="147">
        <f t="shared" ca="1" si="40"/>
        <v>2.7239721270942452E-4</v>
      </c>
      <c r="BB97" s="147">
        <f t="shared" ca="1" si="41"/>
        <v>1.5210997266737673E-4</v>
      </c>
      <c r="BC97" s="147">
        <f t="shared" ca="1" si="42"/>
        <v>8.5301671214382542E-4</v>
      </c>
      <c r="BD97" s="147">
        <f t="shared" ca="1" si="43"/>
        <v>1.0503061289278838E-3</v>
      </c>
    </row>
    <row r="98" spans="8:56" s="147" customFormat="1" ht="0.25" customHeight="1" x14ac:dyDescent="0.2">
      <c r="H98" s="147">
        <f t="shared" si="44"/>
        <v>457</v>
      </c>
      <c r="I98" s="147">
        <f>IF($H98&gt;$H97,INDEX(Spectra!98:98,1,MATCH($I$20,Spectra!$20:$20,0)),I97)</f>
        <v>2.1147963785626699E-3</v>
      </c>
      <c r="J98" s="147">
        <f>((Physics!$C$9*Physics!$C$10)/(Physics!$C$11*Physics!$C$12*$H98))^($J$17-$J$18)</f>
        <v>2.3012354369230013E+18</v>
      </c>
      <c r="K98" s="147">
        <f t="shared" si="45"/>
        <v>1</v>
      </c>
      <c r="L98" s="147">
        <f>INDEX(Photobiology!$21:$421,1+$H98-380,10)</f>
        <v>5.2573040000000001E-2</v>
      </c>
      <c r="M98" s="147">
        <f t="shared" si="46"/>
        <v>2.1147963785626699E-3</v>
      </c>
      <c r="N98" s="147">
        <f ca="1">INDEX(Photobiology!$21:$421,1+$H98-380,N$14)</f>
        <v>0.87135300000000004</v>
      </c>
      <c r="O98" s="147">
        <f ca="1">INDEX(Photobiology!$21:$421,1+$H98-380,O$14)</f>
        <v>0.17314399999999999</v>
      </c>
      <c r="P98" s="147">
        <f ca="1">INDEX(Photobiology!$21:$421,1+$H98-380,P$14)</f>
        <v>9.6357700000000004E-2</v>
      </c>
      <c r="Q98" s="147">
        <f ca="1">INDEX(Photobiology!$21:$421,1+$H98-380,Q$14)</f>
        <v>0.53500000000000003</v>
      </c>
      <c r="R98" s="147">
        <f ca="1">INDEX(Photobiology!$21:$421,1+$H98-380,R$14)</f>
        <v>0.66089200000000003</v>
      </c>
      <c r="S98" s="147">
        <f t="shared" si="47"/>
        <v>4866644368224847</v>
      </c>
      <c r="T98" s="147">
        <f ca="1">INDEX(Photobiology!$21:$421,1+$H98-380,T$14)</f>
        <v>0.85310688357035358</v>
      </c>
      <c r="U98" s="147">
        <f ca="1">INDEX(Photobiology!$21:$421,1+$H98-380,U$14)</f>
        <v>0.20480922552598224</v>
      </c>
      <c r="V98" s="147">
        <f ca="1">INDEX(Photobiology!$21:$421,1+$H98-380,V$14)</f>
        <v>0.11949030296236091</v>
      </c>
      <c r="W98" s="147">
        <f ca="1">INDEX(Photobiology!$21:$421,1+$H98-380,W$14)</f>
        <v>0.59179727365905155</v>
      </c>
      <c r="X98" s="147">
        <f ca="1">INDEX(Photobiology!$21:$421,1+$H98-380,X$14)</f>
        <v>0.7071313540160622</v>
      </c>
      <c r="Y98" s="147">
        <f t="shared" si="34"/>
        <v>2.1147963785626699E-3</v>
      </c>
      <c r="Z98" s="147">
        <f t="shared" ca="1" si="48"/>
        <v>1.8427341688497182E-3</v>
      </c>
      <c r="AA98" s="147">
        <f t="shared" ca="1" si="35"/>
        <v>3.6616430416985487E-4</v>
      </c>
      <c r="AB98" s="147">
        <f t="shared" ca="1" si="36"/>
        <v>2.0377691500662819E-4</v>
      </c>
      <c r="AC98" s="147">
        <f t="shared" ca="1" si="37"/>
        <v>1.1314160625310284E-3</v>
      </c>
      <c r="AD98" s="147">
        <f t="shared" ca="1" si="38"/>
        <v>1.39765200822104E-3</v>
      </c>
      <c r="AH98" s="147">
        <f t="shared" si="49"/>
        <v>457</v>
      </c>
      <c r="AI98" s="147">
        <f>IF($AH98&gt;$AH97,INDEX(Spectra!98:98,1,MATCH($AI$20,Spectra!$20:$20,0)),AI97)</f>
        <v>117.571</v>
      </c>
      <c r="AJ98" s="147">
        <f>((Physics!$C$9*Physics!$C$10)/(Physics!$C$11*Physics!$C$12*$AH98))^($AJ$17-$AJ$18)</f>
        <v>2.3012354369230013E+18</v>
      </c>
      <c r="AK98" s="147">
        <f t="shared" si="50"/>
        <v>1</v>
      </c>
      <c r="AL98" s="147">
        <f>INDEX(Photobiology!$21:$421,1+$AH98-380,10)</f>
        <v>5.2573040000000001E-2</v>
      </c>
      <c r="AM98" s="147">
        <f t="shared" si="51"/>
        <v>1.6290167924549969E-3</v>
      </c>
      <c r="AN98" s="147">
        <f ca="1">INDEX(Photobiology!$21:$421,1+$AH98-380,AN$14)</f>
        <v>0.87135300000000004</v>
      </c>
      <c r="AO98" s="147">
        <f ca="1">INDEX(Photobiology!$21:$421,1+$AH98-380,AO$14)</f>
        <v>0.17314399999999999</v>
      </c>
      <c r="AP98" s="147">
        <f ca="1">INDEX(Photobiology!$21:$421,1+$AH98-380,AP$14)</f>
        <v>9.6357700000000004E-2</v>
      </c>
      <c r="AQ98" s="147">
        <f ca="1">INDEX(Photobiology!$21:$421,1+$AH98-380,AQ$14)</f>
        <v>0.53500000000000003</v>
      </c>
      <c r="AR98" s="147">
        <f ca="1">INDEX(Photobiology!$21:$421,1+$AH98-380,AR$14)</f>
        <v>0.66089200000000003</v>
      </c>
      <c r="AS98" s="147">
        <f t="shared" si="52"/>
        <v>3748751170140081</v>
      </c>
      <c r="AT98" s="147">
        <f ca="1">INDEX(Photobiology!$21:$421,1+$AH98-380,AT$14)</f>
        <v>0.85310688357035358</v>
      </c>
      <c r="AU98" s="147">
        <f ca="1">INDEX(Photobiology!$21:$421,1+$AH98-380,AU$14)</f>
        <v>0.20480922552598224</v>
      </c>
      <c r="AV98" s="147">
        <f ca="1">INDEX(Photobiology!$21:$421,1+$AH98-380,AV$14)</f>
        <v>0.11949030296236091</v>
      </c>
      <c r="AW98" s="147">
        <f ca="1">INDEX(Photobiology!$21:$421,1+$AH98-380,AW$14)</f>
        <v>0.59179727365905155</v>
      </c>
      <c r="AX98" s="147">
        <f ca="1">INDEX(Photobiology!$21:$421,1+$AH98-380,AX$14)</f>
        <v>0.7071313540160622</v>
      </c>
      <c r="AY98" s="147">
        <f t="shared" si="39"/>
        <v>1.6290167924549969E-3</v>
      </c>
      <c r="AZ98" s="147">
        <f t="shared" ca="1" si="53"/>
        <v>1.419448669156039E-3</v>
      </c>
      <c r="BA98" s="147">
        <f t="shared" ca="1" si="40"/>
        <v>2.8205448351282798E-4</v>
      </c>
      <c r="BB98" s="147">
        <f t="shared" ca="1" si="41"/>
        <v>1.5696831138234087E-4</v>
      </c>
      <c r="BC98" s="147">
        <f t="shared" ca="1" si="42"/>
        <v>8.7152398396342335E-4</v>
      </c>
      <c r="BD98" s="147">
        <f t="shared" ca="1" si="43"/>
        <v>1.0766041659991679E-3</v>
      </c>
    </row>
    <row r="99" spans="8:56" s="147" customFormat="1" ht="0.25" customHeight="1" x14ac:dyDescent="0.2">
      <c r="H99" s="147">
        <f t="shared" si="44"/>
        <v>458</v>
      </c>
      <c r="I99" s="147">
        <f>IF($H99&gt;$H98,INDEX(Spectra!99:99,1,MATCH($I$20,Spectra!$20:$20,0)),I98)</f>
        <v>2.1097968599372201E-3</v>
      </c>
      <c r="J99" s="147">
        <f>((Physics!$C$9*Physics!$C$10)/(Physics!$C$11*Physics!$C$12*$H99))^($J$17-$J$18)</f>
        <v>2.3062709630431831E+18</v>
      </c>
      <c r="K99" s="147">
        <f t="shared" si="45"/>
        <v>1</v>
      </c>
      <c r="L99" s="147">
        <f>INDEX(Photobiology!$21:$421,1+$H99-380,10)</f>
        <v>5.4980559999999998E-2</v>
      </c>
      <c r="M99" s="147">
        <f t="shared" si="46"/>
        <v>2.1097968599372201E-3</v>
      </c>
      <c r="N99" s="147">
        <f ca="1">INDEX(Photobiology!$21:$421,1+$H99-380,N$14)</f>
        <v>0.85499800000000004</v>
      </c>
      <c r="O99" s="147">
        <f ca="1">INDEX(Photobiology!$21:$421,1+$H99-380,O$14)</f>
        <v>0.17941699999999999</v>
      </c>
      <c r="P99" s="147">
        <f ca="1">INDEX(Photobiology!$21:$421,1+$H99-380,P$14)</f>
        <v>9.9530400000000005E-2</v>
      </c>
      <c r="Q99" s="147">
        <f ca="1">INDEX(Photobiology!$21:$421,1+$H99-380,Q$14)</f>
        <v>0.54600000000000004</v>
      </c>
      <c r="R99" s="147">
        <f ca="1">INDEX(Photobiology!$21:$421,1+$H99-380,R$14)</f>
        <v>0.67666000000000004</v>
      </c>
      <c r="S99" s="147">
        <f t="shared" si="47"/>
        <v>4865763235992896</v>
      </c>
      <c r="T99" s="147">
        <f ca="1">INDEX(Photobiology!$21:$421,1+$H99-380,T$14)</f>
        <v>0.83526664004484119</v>
      </c>
      <c r="U99" s="147">
        <f ca="1">INDEX(Photobiology!$21:$421,1+$H99-380,U$14)</f>
        <v>0.21176607225438401</v>
      </c>
      <c r="V99" s="147">
        <f ca="1">INDEX(Photobiology!$21:$421,1+$H99-380,V$14)</f>
        <v>0.12315518719168514</v>
      </c>
      <c r="W99" s="147">
        <f ca="1">INDEX(Photobiology!$21:$421,1+$H99-380,W$14)</f>
        <v>0.60264636704874452</v>
      </c>
      <c r="X99" s="147">
        <f ca="1">INDEX(Photobiology!$21:$421,1+$H99-380,X$14)</f>
        <v>0.72242177159259324</v>
      </c>
      <c r="Y99" s="147">
        <f t="shared" si="34"/>
        <v>2.1097968599372201E-3</v>
      </c>
      <c r="Z99" s="147">
        <f t="shared" ca="1" si="48"/>
        <v>1.8038720956526034E-3</v>
      </c>
      <c r="AA99" s="147">
        <f t="shared" ca="1" si="35"/>
        <v>3.7853342321935622E-4</v>
      </c>
      <c r="AB99" s="147">
        <f t="shared" ca="1" si="36"/>
        <v>2.0998892538829552E-4</v>
      </c>
      <c r="AC99" s="147">
        <f t="shared" ca="1" si="37"/>
        <v>1.1519490855257223E-3</v>
      </c>
      <c r="AD99" s="147">
        <f t="shared" ca="1" si="38"/>
        <v>1.4276151432451195E-3</v>
      </c>
      <c r="AH99" s="147">
        <f t="shared" si="49"/>
        <v>458</v>
      </c>
      <c r="AI99" s="147">
        <f>IF($AH99&gt;$AH98,INDEX(Spectra!99:99,1,MATCH($AI$20,Spectra!$20:$20,0)),AI98)</f>
        <v>117.651</v>
      </c>
      <c r="AJ99" s="147">
        <f>((Physics!$C$9*Physics!$C$10)/(Physics!$C$11*Physics!$C$12*$AH99))^($AJ$17-$AJ$18)</f>
        <v>2.3062709630431831E+18</v>
      </c>
      <c r="AK99" s="147">
        <f t="shared" si="50"/>
        <v>1</v>
      </c>
      <c r="AL99" s="147">
        <f>INDEX(Photobiology!$21:$421,1+$AH99-380,10)</f>
        <v>5.4980559999999998E-2</v>
      </c>
      <c r="AM99" s="147">
        <f t="shared" si="51"/>
        <v>1.6301252404855178E-3</v>
      </c>
      <c r="AN99" s="147">
        <f ca="1">INDEX(Photobiology!$21:$421,1+$AH99-380,AN$14)</f>
        <v>0.85499800000000004</v>
      </c>
      <c r="AO99" s="147">
        <f ca="1">INDEX(Photobiology!$21:$421,1+$AH99-380,AO$14)</f>
        <v>0.17941699999999999</v>
      </c>
      <c r="AP99" s="147">
        <f ca="1">INDEX(Photobiology!$21:$421,1+$AH99-380,AP$14)</f>
        <v>9.9530400000000005E-2</v>
      </c>
      <c r="AQ99" s="147">
        <f ca="1">INDEX(Photobiology!$21:$421,1+$AH99-380,AQ$14)</f>
        <v>0.54600000000000004</v>
      </c>
      <c r="AR99" s="147">
        <f ca="1">INDEX(Photobiology!$21:$421,1+$AH99-380,AR$14)</f>
        <v>0.67666000000000004</v>
      </c>
      <c r="AS99" s="147">
        <f t="shared" si="52"/>
        <v>3759510508255535.5</v>
      </c>
      <c r="AT99" s="147">
        <f ca="1">INDEX(Photobiology!$21:$421,1+$AH99-380,AT$14)</f>
        <v>0.83526664004484119</v>
      </c>
      <c r="AU99" s="147">
        <f ca="1">INDEX(Photobiology!$21:$421,1+$AH99-380,AU$14)</f>
        <v>0.21176607225438401</v>
      </c>
      <c r="AV99" s="147">
        <f ca="1">INDEX(Photobiology!$21:$421,1+$AH99-380,AV$14)</f>
        <v>0.12315518719168514</v>
      </c>
      <c r="AW99" s="147">
        <f ca="1">INDEX(Photobiology!$21:$421,1+$AH99-380,AW$14)</f>
        <v>0.60264636704874452</v>
      </c>
      <c r="AX99" s="147">
        <f ca="1">INDEX(Photobiology!$21:$421,1+$AH99-380,AX$14)</f>
        <v>0.72242177159259324</v>
      </c>
      <c r="AY99" s="147">
        <f t="shared" si="39"/>
        <v>1.6301252404855178E-3</v>
      </c>
      <c r="AZ99" s="147">
        <f t="shared" ca="1" si="53"/>
        <v>1.3937538203646369E-3</v>
      </c>
      <c r="BA99" s="147">
        <f t="shared" ca="1" si="40"/>
        <v>2.9247218027219013E-4</v>
      </c>
      <c r="BB99" s="147">
        <f t="shared" ca="1" si="41"/>
        <v>1.622470172356198E-4</v>
      </c>
      <c r="BC99" s="147">
        <f t="shared" ca="1" si="42"/>
        <v>8.9004838130509281E-4</v>
      </c>
      <c r="BD99" s="147">
        <f t="shared" ca="1" si="43"/>
        <v>1.1030405452269307E-3</v>
      </c>
    </row>
    <row r="100" spans="8:56" s="147" customFormat="1" ht="0.25" customHeight="1" x14ac:dyDescent="0.2">
      <c r="H100" s="147">
        <f t="shared" si="44"/>
        <v>459</v>
      </c>
      <c r="I100" s="147">
        <f>IF($H100&gt;$H99,INDEX(Spectra!100:100,1,MATCH($I$20,Spectra!$20:$20,0)),I99)</f>
        <v>2.0997978226863401E-3</v>
      </c>
      <c r="J100" s="147">
        <f>((Physics!$C$9*Physics!$C$10)/(Physics!$C$11*Physics!$C$12*$H100))^($J$17-$J$18)</f>
        <v>2.3113064891633649E+18</v>
      </c>
      <c r="K100" s="147">
        <f t="shared" si="45"/>
        <v>1</v>
      </c>
      <c r="L100" s="147">
        <f>INDEX(Photobiology!$21:$421,1+$H100-380,10)</f>
        <v>5.7458719999999998E-2</v>
      </c>
      <c r="M100" s="147">
        <f t="shared" si="46"/>
        <v>2.0997978226863401E-3</v>
      </c>
      <c r="N100" s="147">
        <f ca="1">INDEX(Photobiology!$21:$421,1+$H100-380,N$14)</f>
        <v>0.839198</v>
      </c>
      <c r="O100" s="147">
        <f ca="1">INDEX(Photobiology!$21:$421,1+$H100-380,O$14)</f>
        <v>0.186117</v>
      </c>
      <c r="P100" s="147">
        <f ca="1">INDEX(Photobiology!$21:$421,1+$H100-380,P$14)</f>
        <v>0.102964</v>
      </c>
      <c r="Q100" s="147">
        <f ca="1">INDEX(Photobiology!$21:$421,1+$H100-380,Q$14)</f>
        <v>0.55700000000000005</v>
      </c>
      <c r="R100" s="147">
        <f ca="1">INDEX(Photobiology!$21:$421,1+$H100-380,R$14)</f>
        <v>0.69240900000000005</v>
      </c>
      <c r="S100" s="147">
        <f t="shared" si="47"/>
        <v>4853276333506042</v>
      </c>
      <c r="T100" s="147">
        <f ca="1">INDEX(Photobiology!$21:$421,1+$H100-380,T$14)</f>
        <v>0.81804514243355708</v>
      </c>
      <c r="U100" s="147">
        <f ca="1">INDEX(Photobiology!$21:$421,1+$H100-380,U$14)</f>
        <v>0.21919549645630002</v>
      </c>
      <c r="V100" s="147">
        <f ca="1">INDEX(Photobiology!$21:$421,1+$H100-380,V$14)</f>
        <v>0.12712622698094692</v>
      </c>
      <c r="W100" s="147">
        <f ca="1">INDEX(Photobiology!$21:$421,1+$H100-380,W$14)</f>
        <v>0.61344818770035603</v>
      </c>
      <c r="X100" s="147">
        <f ca="1">INDEX(Photobiology!$21:$421,1+$H100-380,X$14)</f>
        <v>0.73762532350062249</v>
      </c>
      <c r="Y100" s="147">
        <f t="shared" si="34"/>
        <v>2.0997978226863401E-3</v>
      </c>
      <c r="Z100" s="147">
        <f t="shared" ca="1" si="48"/>
        <v>1.7621461332027312E-3</v>
      </c>
      <c r="AA100" s="147">
        <f t="shared" ca="1" si="35"/>
        <v>3.9080807136491357E-4</v>
      </c>
      <c r="AB100" s="147">
        <f t="shared" ca="1" si="36"/>
        <v>2.1620358301507631E-4</v>
      </c>
      <c r="AC100" s="147">
        <f t="shared" ca="1" si="37"/>
        <v>1.1695873872362916E-3</v>
      </c>
      <c r="AD100" s="147">
        <f t="shared" ca="1" si="38"/>
        <v>1.4539189106084261E-3</v>
      </c>
      <c r="AH100" s="147">
        <f t="shared" si="49"/>
        <v>459</v>
      </c>
      <c r="AI100" s="147">
        <f>IF($AH100&gt;$AH99,INDEX(Spectra!100:100,1,MATCH($AI$20,Spectra!$20:$20,0)),AI99)</f>
        <v>117.732</v>
      </c>
      <c r="AJ100" s="147">
        <f>((Physics!$C$9*Physics!$C$10)/(Physics!$C$11*Physics!$C$12*$AH100))^($AJ$17-$AJ$18)</f>
        <v>2.3113064891633649E+18</v>
      </c>
      <c r="AK100" s="147">
        <f t="shared" si="50"/>
        <v>1</v>
      </c>
      <c r="AL100" s="147">
        <f>INDEX(Photobiology!$21:$421,1+$AH100-380,10)</f>
        <v>5.7458719999999998E-2</v>
      </c>
      <c r="AM100" s="147">
        <f t="shared" si="51"/>
        <v>1.6312475441164207E-3</v>
      </c>
      <c r="AN100" s="147">
        <f ca="1">INDEX(Photobiology!$21:$421,1+$AH100-380,AN$14)</f>
        <v>0.839198</v>
      </c>
      <c r="AO100" s="147">
        <f ca="1">INDEX(Photobiology!$21:$421,1+$AH100-380,AO$14)</f>
        <v>0.186117</v>
      </c>
      <c r="AP100" s="147">
        <f ca="1">INDEX(Photobiology!$21:$421,1+$AH100-380,AP$14)</f>
        <v>0.102964</v>
      </c>
      <c r="AQ100" s="147">
        <f ca="1">INDEX(Photobiology!$21:$421,1+$AH100-380,AQ$14)</f>
        <v>0.55700000000000005</v>
      </c>
      <c r="AR100" s="147">
        <f ca="1">INDEX(Photobiology!$21:$421,1+$AH100-380,AR$14)</f>
        <v>0.69240900000000005</v>
      </c>
      <c r="AS100" s="147">
        <f t="shared" si="52"/>
        <v>3770313034148085.5</v>
      </c>
      <c r="AT100" s="147">
        <f ca="1">INDEX(Photobiology!$21:$421,1+$AH100-380,AT$14)</f>
        <v>0.81804514243355708</v>
      </c>
      <c r="AU100" s="147">
        <f ca="1">INDEX(Photobiology!$21:$421,1+$AH100-380,AU$14)</f>
        <v>0.21919549645630002</v>
      </c>
      <c r="AV100" s="147">
        <f ca="1">INDEX(Photobiology!$21:$421,1+$AH100-380,AV$14)</f>
        <v>0.12712622698094692</v>
      </c>
      <c r="AW100" s="147">
        <f ca="1">INDEX(Photobiology!$21:$421,1+$AH100-380,AW$14)</f>
        <v>0.61344818770035603</v>
      </c>
      <c r="AX100" s="147">
        <f ca="1">INDEX(Photobiology!$21:$421,1+$AH100-380,AX$14)</f>
        <v>0.73762532350062249</v>
      </c>
      <c r="AY100" s="147">
        <f t="shared" si="39"/>
        <v>1.6312475441164207E-3</v>
      </c>
      <c r="AZ100" s="147">
        <f t="shared" ca="1" si="53"/>
        <v>1.368939676527412E-3</v>
      </c>
      <c r="BA100" s="147">
        <f t="shared" ca="1" si="40"/>
        <v>3.0360289916831591E-4</v>
      </c>
      <c r="BB100" s="147">
        <f t="shared" ca="1" si="41"/>
        <v>1.6795977213240315E-4</v>
      </c>
      <c r="BC100" s="147">
        <f t="shared" ca="1" si="42"/>
        <v>9.0860488207284644E-4</v>
      </c>
      <c r="BD100" s="147">
        <f t="shared" ca="1" si="43"/>
        <v>1.1294904807741069E-3</v>
      </c>
    </row>
    <row r="101" spans="8:56" s="147" customFormat="1" ht="0.25" customHeight="1" x14ac:dyDescent="0.2">
      <c r="H101" s="147">
        <f t="shared" si="44"/>
        <v>460</v>
      </c>
      <c r="I101" s="147">
        <f>IF($H101&gt;$H100,INDEX(Spectra!101:101,1,MATCH($I$20,Spectra!$20:$20,0)),I100)</f>
        <v>2.0947983040608899E-3</v>
      </c>
      <c r="J101" s="147">
        <f>((Physics!$C$9*Physics!$C$10)/(Physics!$C$11*Physics!$C$12*$H101))^($J$17-$J$18)</f>
        <v>2.3163420152835461E+18</v>
      </c>
      <c r="K101" s="147">
        <f t="shared" si="45"/>
        <v>1</v>
      </c>
      <c r="L101" s="147">
        <f>INDEX(Photobiology!$21:$421,1+$H101-380,10)</f>
        <v>0.06</v>
      </c>
      <c r="M101" s="147">
        <f t="shared" si="46"/>
        <v>2.0947983040608899E-3</v>
      </c>
      <c r="N101" s="147">
        <f ca="1">INDEX(Photobiology!$21:$421,1+$H101-380,N$14)</f>
        <v>0.82372599999999996</v>
      </c>
      <c r="O101" s="147">
        <f ca="1">INDEX(Photobiology!$21:$421,1+$H101-380,O$14)</f>
        <v>0.19320200000000001</v>
      </c>
      <c r="P101" s="147">
        <f ca="1">INDEX(Photobiology!$21:$421,1+$H101-380,P$14)</f>
        <v>0.10666299999999999</v>
      </c>
      <c r="Q101" s="147">
        <f ca="1">INDEX(Photobiology!$21:$421,1+$H101-380,Q$14)</f>
        <v>0.56699999999999995</v>
      </c>
      <c r="R101" s="147">
        <f ca="1">INDEX(Photobiology!$21:$421,1+$H101-380,R$14)</f>
        <v>0.70804900000000004</v>
      </c>
      <c r="S101" s="147">
        <f t="shared" si="47"/>
        <v>4852269325240956</v>
      </c>
      <c r="T101" s="147">
        <f ca="1">INDEX(Photobiology!$21:$421,1+$H101-380,T$14)</f>
        <v>0.80121755824755592</v>
      </c>
      <c r="U101" s="147">
        <f ca="1">INDEX(Photobiology!$21:$421,1+$H101-380,U$14)</f>
        <v>0.22704505899415173</v>
      </c>
      <c r="V101" s="147">
        <f ca="1">INDEX(Photobiology!$21:$421,1+$H101-380,V$14)</f>
        <v>0.13140696958555276</v>
      </c>
      <c r="W101" s="147">
        <f ca="1">INDEX(Photobiology!$21:$421,1+$H101-380,W$14)</f>
        <v>0.6231040948933757</v>
      </c>
      <c r="X101" s="147">
        <f ca="1">INDEX(Photobiology!$21:$421,1+$H101-380,X$14)</f>
        <v>0.75264690742219365</v>
      </c>
      <c r="Y101" s="147">
        <f t="shared" si="34"/>
        <v>2.0947983040608899E-3</v>
      </c>
      <c r="Z101" s="147">
        <f t="shared" ca="1" si="48"/>
        <v>1.7255398278108606E-3</v>
      </c>
      <c r="AA101" s="147">
        <f t="shared" ca="1" si="35"/>
        <v>4.0471922194117209E-4</v>
      </c>
      <c r="AB101" s="147">
        <f t="shared" ca="1" si="36"/>
        <v>2.2343747150604669E-4</v>
      </c>
      <c r="AC101" s="147">
        <f t="shared" ca="1" si="37"/>
        <v>1.1877506384025244E-3</v>
      </c>
      <c r="AD101" s="147">
        <f t="shared" ca="1" si="38"/>
        <v>1.483219844392009E-3</v>
      </c>
      <c r="AH101" s="147">
        <f t="shared" si="49"/>
        <v>460</v>
      </c>
      <c r="AI101" s="147">
        <f>IF($AH101&gt;$AH100,INDEX(Spectra!101:101,1,MATCH($AI$20,Spectra!$20:$20,0)),AI100)</f>
        <v>117.812</v>
      </c>
      <c r="AJ101" s="147">
        <f>((Physics!$C$9*Physics!$C$10)/(Physics!$C$11*Physics!$C$12*$AH101))^($AJ$17-$AJ$18)</f>
        <v>2.3163420152835461E+18</v>
      </c>
      <c r="AK101" s="147">
        <f t="shared" si="50"/>
        <v>1</v>
      </c>
      <c r="AL101" s="147">
        <f>INDEX(Photobiology!$21:$421,1+$AH101-380,10)</f>
        <v>0.06</v>
      </c>
      <c r="AM101" s="147">
        <f t="shared" si="51"/>
        <v>1.6323559921469417E-3</v>
      </c>
      <c r="AN101" s="147">
        <f ca="1">INDEX(Photobiology!$21:$421,1+$AH101-380,AN$14)</f>
        <v>0.82372599999999996</v>
      </c>
      <c r="AO101" s="147">
        <f ca="1">INDEX(Photobiology!$21:$421,1+$AH101-380,AO$14)</f>
        <v>0.19320200000000001</v>
      </c>
      <c r="AP101" s="147">
        <f ca="1">INDEX(Photobiology!$21:$421,1+$AH101-380,AP$14)</f>
        <v>0.10666299999999999</v>
      </c>
      <c r="AQ101" s="147">
        <f ca="1">INDEX(Photobiology!$21:$421,1+$AH101-380,AQ$14)</f>
        <v>0.56699999999999995</v>
      </c>
      <c r="AR101" s="147">
        <f ca="1">INDEX(Photobiology!$21:$421,1+$AH101-380,AR$14)</f>
        <v>0.70804900000000004</v>
      </c>
      <c r="AS101" s="147">
        <f t="shared" si="52"/>
        <v>3781094768509819.5</v>
      </c>
      <c r="AT101" s="147">
        <f ca="1">INDEX(Photobiology!$21:$421,1+$AH101-380,AT$14)</f>
        <v>0.80121755824755592</v>
      </c>
      <c r="AU101" s="147">
        <f ca="1">INDEX(Photobiology!$21:$421,1+$AH101-380,AU$14)</f>
        <v>0.22704505899415173</v>
      </c>
      <c r="AV101" s="147">
        <f ca="1">INDEX(Photobiology!$21:$421,1+$AH101-380,AV$14)</f>
        <v>0.13140696958555276</v>
      </c>
      <c r="AW101" s="147">
        <f ca="1">INDEX(Photobiology!$21:$421,1+$AH101-380,AW$14)</f>
        <v>0.6231040948933757</v>
      </c>
      <c r="AX101" s="147">
        <f ca="1">INDEX(Photobiology!$21:$421,1+$AH101-380,AX$14)</f>
        <v>0.75264690742219365</v>
      </c>
      <c r="AY101" s="147">
        <f t="shared" si="39"/>
        <v>1.6323559921469417E-3</v>
      </c>
      <c r="AZ101" s="147">
        <f t="shared" ca="1" si="53"/>
        <v>1.3446140719872315E-3</v>
      </c>
      <c r="BA101" s="147">
        <f t="shared" ca="1" si="40"/>
        <v>3.1537444239477342E-4</v>
      </c>
      <c r="BB101" s="147">
        <f t="shared" ca="1" si="41"/>
        <v>1.7411198719036923E-4</v>
      </c>
      <c r="BC101" s="147">
        <f t="shared" ca="1" si="42"/>
        <v>9.2554584754731581E-4</v>
      </c>
      <c r="BD101" s="147">
        <f t="shared" ca="1" si="43"/>
        <v>1.1557880278836501E-3</v>
      </c>
    </row>
    <row r="102" spans="8:56" s="147" customFormat="1" ht="0.25" customHeight="1" x14ac:dyDescent="0.2">
      <c r="H102" s="147">
        <f t="shared" si="44"/>
        <v>461</v>
      </c>
      <c r="I102" s="147">
        <f>IF($H102&gt;$H101,INDEX(Spectra!102:102,1,MATCH($I$20,Spectra!$20:$20,0)),I101)</f>
        <v>2.0997978226863401E-3</v>
      </c>
      <c r="J102" s="147">
        <f>((Physics!$C$9*Physics!$C$10)/(Physics!$C$11*Physics!$C$12*$H102))^($J$17-$J$18)</f>
        <v>2.3213775414037279E+18</v>
      </c>
      <c r="K102" s="147">
        <f t="shared" si="45"/>
        <v>1</v>
      </c>
      <c r="L102" s="147">
        <f>INDEX(Photobiology!$21:$421,1+$H102-380,10)</f>
        <v>6.2601970000000007E-2</v>
      </c>
      <c r="M102" s="147">
        <f t="shared" si="46"/>
        <v>2.0997978226863401E-3</v>
      </c>
      <c r="N102" s="147">
        <f ca="1">INDEX(Photobiology!$21:$421,1+$H102-380,N$14)</f>
        <v>0.808307</v>
      </c>
      <c r="O102" s="147">
        <f ca="1">INDEX(Photobiology!$21:$421,1+$H102-380,O$14)</f>
        <v>0.20062099999999999</v>
      </c>
      <c r="P102" s="147">
        <f ca="1">INDEX(Photobiology!$21:$421,1+$H102-380,P$14)</f>
        <v>0.11062900000000001</v>
      </c>
      <c r="Q102" s="147">
        <f ca="1">INDEX(Photobiology!$21:$421,1+$H102-380,Q$14)</f>
        <v>0.57799999999999996</v>
      </c>
      <c r="R102" s="147">
        <f ca="1">INDEX(Photobiology!$21:$421,1+$H102-380,R$14)</f>
        <v>0.72359399999999996</v>
      </c>
      <c r="S102" s="147">
        <f t="shared" si="47"/>
        <v>4874423507072517</v>
      </c>
      <c r="T102" s="147">
        <f ca="1">INDEX(Photobiology!$21:$421,1+$H102-380,T$14)</f>
        <v>0.78451441870593608</v>
      </c>
      <c r="U102" s="147">
        <f ca="1">INDEX(Photobiology!$21:$421,1+$H102-380,U$14)</f>
        <v>0.23525222215259609</v>
      </c>
      <c r="V102" s="147">
        <f ca="1">INDEX(Photobiology!$21:$421,1+$H102-380,V$14)</f>
        <v>0.13599736648232097</v>
      </c>
      <c r="W102" s="147">
        <f ca="1">INDEX(Photobiology!$21:$421,1+$H102-380,W$14)</f>
        <v>0.63381467613251896</v>
      </c>
      <c r="X102" s="147">
        <f ca="1">INDEX(Photobiology!$21:$421,1+$H102-380,X$14)</f>
        <v>0.76750255706764836</v>
      </c>
      <c r="Y102" s="147">
        <f t="shared" si="34"/>
        <v>2.0997978226863401E-3</v>
      </c>
      <c r="Z102" s="147">
        <f t="shared" ca="1" si="48"/>
        <v>1.6972812786621276E-3</v>
      </c>
      <c r="AA102" s="147">
        <f t="shared" ca="1" si="35"/>
        <v>4.2126353898515621E-4</v>
      </c>
      <c r="AB102" s="147">
        <f t="shared" ca="1" si="36"/>
        <v>2.3229853332596713E-4</v>
      </c>
      <c r="AC102" s="147">
        <f t="shared" ca="1" si="37"/>
        <v>1.2136831415127045E-3</v>
      </c>
      <c r="AD102" s="147">
        <f t="shared" ca="1" si="38"/>
        <v>1.5194011057088994E-3</v>
      </c>
      <c r="AH102" s="147">
        <f t="shared" si="49"/>
        <v>461</v>
      </c>
      <c r="AI102" s="147">
        <f>IF($AH102&gt;$AH101,INDEX(Spectra!102:102,1,MATCH($AI$20,Spectra!$20:$20,0)),AI101)</f>
        <v>117.517</v>
      </c>
      <c r="AJ102" s="147">
        <f>((Physics!$C$9*Physics!$C$10)/(Physics!$C$11*Physics!$C$12*$AH102))^($AJ$17-$AJ$18)</f>
        <v>2.3213775414037279E+18</v>
      </c>
      <c r="AK102" s="147">
        <f t="shared" si="50"/>
        <v>1</v>
      </c>
      <c r="AL102" s="147">
        <f>INDEX(Photobiology!$21:$421,1+$AH102-380,10)</f>
        <v>6.2601970000000007E-2</v>
      </c>
      <c r="AM102" s="147">
        <f t="shared" si="51"/>
        <v>1.628268590034395E-3</v>
      </c>
      <c r="AN102" s="147">
        <f ca="1">INDEX(Photobiology!$21:$421,1+$AH102-380,AN$14)</f>
        <v>0.808307</v>
      </c>
      <c r="AO102" s="147">
        <f ca="1">INDEX(Photobiology!$21:$421,1+$AH102-380,AO$14)</f>
        <v>0.20062099999999999</v>
      </c>
      <c r="AP102" s="147">
        <f ca="1">INDEX(Photobiology!$21:$421,1+$AH102-380,AP$14)</f>
        <v>0.11062900000000001</v>
      </c>
      <c r="AQ102" s="147">
        <f ca="1">INDEX(Photobiology!$21:$421,1+$AH102-380,AQ$14)</f>
        <v>0.57799999999999996</v>
      </c>
      <c r="AR102" s="147">
        <f ca="1">INDEX(Photobiology!$21:$421,1+$AH102-380,AR$14)</f>
        <v>0.72359399999999996</v>
      </c>
      <c r="AS102" s="147">
        <f t="shared" si="52"/>
        <v>3779826136278958.5</v>
      </c>
      <c r="AT102" s="147">
        <f ca="1">INDEX(Photobiology!$21:$421,1+$AH102-380,AT$14)</f>
        <v>0.78451441870593608</v>
      </c>
      <c r="AU102" s="147">
        <f ca="1">INDEX(Photobiology!$21:$421,1+$AH102-380,AU$14)</f>
        <v>0.23525222215259609</v>
      </c>
      <c r="AV102" s="147">
        <f ca="1">INDEX(Photobiology!$21:$421,1+$AH102-380,AV$14)</f>
        <v>0.13599736648232097</v>
      </c>
      <c r="AW102" s="147">
        <f ca="1">INDEX(Photobiology!$21:$421,1+$AH102-380,AW$14)</f>
        <v>0.63381467613251896</v>
      </c>
      <c r="AX102" s="147">
        <f ca="1">INDEX(Photobiology!$21:$421,1+$AH102-380,AX$14)</f>
        <v>0.76750255706764836</v>
      </c>
      <c r="AY102" s="147">
        <f t="shared" si="39"/>
        <v>1.628268590034395E-3</v>
      </c>
      <c r="AZ102" s="147">
        <f t="shared" ca="1" si="53"/>
        <v>1.3161408992049318E-3</v>
      </c>
      <c r="BA102" s="147">
        <f t="shared" ca="1" si="40"/>
        <v>3.2666487280129034E-4</v>
      </c>
      <c r="BB102" s="147">
        <f t="shared" ca="1" si="41"/>
        <v>1.8013372584691509E-4</v>
      </c>
      <c r="BC102" s="147">
        <f t="shared" ca="1" si="42"/>
        <v>9.4113924503988022E-4</v>
      </c>
      <c r="BD102" s="147">
        <f t="shared" ca="1" si="43"/>
        <v>1.1782053821373479E-3</v>
      </c>
    </row>
    <row r="103" spans="8:56" s="147" customFormat="1" ht="0.25" customHeight="1" x14ac:dyDescent="0.2">
      <c r="H103" s="147">
        <f t="shared" si="44"/>
        <v>462</v>
      </c>
      <c r="I103" s="147">
        <f>IF($H103&gt;$H102,INDEX(Spectra!103:103,1,MATCH($I$20,Spectra!$20:$20,0)),I102)</f>
        <v>2.0897987854354501E-3</v>
      </c>
      <c r="J103" s="147">
        <f>((Physics!$C$9*Physics!$C$10)/(Physics!$C$11*Physics!$C$12*$H103))^($J$17-$J$18)</f>
        <v>2.3264130675239096E+18</v>
      </c>
      <c r="K103" s="147">
        <f t="shared" si="45"/>
        <v>1</v>
      </c>
      <c r="L103" s="147">
        <f>INDEX(Photobiology!$21:$421,1+$H103-380,10)</f>
        <v>6.5277520000000006E-2</v>
      </c>
      <c r="M103" s="147">
        <f t="shared" si="46"/>
        <v>2.0897987854354501E-3</v>
      </c>
      <c r="N103" s="147">
        <f ca="1">INDEX(Photobiology!$21:$421,1+$H103-380,N$14)</f>
        <v>0.792431</v>
      </c>
      <c r="O103" s="147">
        <f ca="1">INDEX(Photobiology!$21:$421,1+$H103-380,O$14)</f>
        <v>0.208315</v>
      </c>
      <c r="P103" s="147">
        <f ca="1">INDEX(Photobiology!$21:$421,1+$H103-380,P$14)</f>
        <v>0.114828</v>
      </c>
      <c r="Q103" s="147">
        <f ca="1">INDEX(Photobiology!$21:$421,1+$H103-380,Q$14)</f>
        <v>0.58799999999999997</v>
      </c>
      <c r="R103" s="147">
        <f ca="1">INDEX(Photobiology!$21:$421,1+$H103-380,R$14)</f>
        <v>0.73910500000000001</v>
      </c>
      <c r="S103" s="147">
        <f t="shared" si="47"/>
        <v>4861735202932626</v>
      </c>
      <c r="T103" s="147">
        <f ca="1">INDEX(Photobiology!$21:$421,1+$H103-380,T$14)</f>
        <v>0.76744099902027829</v>
      </c>
      <c r="U103" s="147">
        <f ca="1">INDEX(Photobiology!$21:$421,1+$H103-380,U$14)</f>
        <v>0.24374562901247926</v>
      </c>
      <c r="V103" s="147">
        <f ca="1">INDEX(Photobiology!$21:$421,1+$H103-380,V$14)</f>
        <v>0.14085370084844498</v>
      </c>
      <c r="W103" s="147">
        <f ca="1">INDEX(Photobiology!$21:$421,1+$H103-380,W$14)</f>
        <v>0.64338469955320499</v>
      </c>
      <c r="X103" s="147">
        <f ca="1">INDEX(Photobiology!$21:$421,1+$H103-380,X$14)</f>
        <v>0.78225791143924062</v>
      </c>
      <c r="Y103" s="147">
        <f t="shared" si="34"/>
        <v>2.0897987854354501E-3</v>
      </c>
      <c r="Z103" s="147">
        <f t="shared" ca="1" si="48"/>
        <v>1.6560213413413991E-3</v>
      </c>
      <c r="AA103" s="147">
        <f t="shared" ca="1" si="35"/>
        <v>4.3533643398798577E-4</v>
      </c>
      <c r="AB103" s="147">
        <f t="shared" ca="1" si="36"/>
        <v>2.3996741493398187E-4</v>
      </c>
      <c r="AC103" s="147">
        <f t="shared" ca="1" si="37"/>
        <v>1.2288016858360445E-3</v>
      </c>
      <c r="AD103" s="147">
        <f t="shared" ca="1" si="38"/>
        <v>1.5445807313092684E-3</v>
      </c>
      <c r="AH103" s="147">
        <f t="shared" si="49"/>
        <v>462</v>
      </c>
      <c r="AI103" s="147">
        <f>IF($AH103&gt;$AH102,INDEX(Spectra!103:103,1,MATCH($AI$20,Spectra!$20:$20,0)),AI102)</f>
        <v>117.22199999999999</v>
      </c>
      <c r="AJ103" s="147">
        <f>((Physics!$C$9*Physics!$C$10)/(Physics!$C$11*Physics!$C$12*$AH103))^($AJ$17-$AJ$18)</f>
        <v>2.3264130675239096E+18</v>
      </c>
      <c r="AK103" s="147">
        <f t="shared" si="50"/>
        <v>1</v>
      </c>
      <c r="AL103" s="147">
        <f>INDEX(Photobiology!$21:$421,1+$AH103-380,10)</f>
        <v>6.5277520000000006E-2</v>
      </c>
      <c r="AM103" s="147">
        <f t="shared" si="51"/>
        <v>1.6241811879218484E-3</v>
      </c>
      <c r="AN103" s="147">
        <f ca="1">INDEX(Photobiology!$21:$421,1+$AH103-380,AN$14)</f>
        <v>0.792431</v>
      </c>
      <c r="AO103" s="147">
        <f ca="1">INDEX(Photobiology!$21:$421,1+$AH103-380,AO$14)</f>
        <v>0.208315</v>
      </c>
      <c r="AP103" s="147">
        <f ca="1">INDEX(Photobiology!$21:$421,1+$AH103-380,AP$14)</f>
        <v>0.114828</v>
      </c>
      <c r="AQ103" s="147">
        <f ca="1">INDEX(Photobiology!$21:$421,1+$AH103-380,AQ$14)</f>
        <v>0.58799999999999997</v>
      </c>
      <c r="AR103" s="147">
        <f ca="1">INDEX(Photobiology!$21:$421,1+$AH103-380,AR$14)</f>
        <v>0.73910500000000001</v>
      </c>
      <c r="AS103" s="147">
        <f t="shared" si="52"/>
        <v>3778516339607895</v>
      </c>
      <c r="AT103" s="147">
        <f ca="1">INDEX(Photobiology!$21:$421,1+$AH103-380,AT$14)</f>
        <v>0.76744099902027829</v>
      </c>
      <c r="AU103" s="147">
        <f ca="1">INDEX(Photobiology!$21:$421,1+$AH103-380,AU$14)</f>
        <v>0.24374562901247926</v>
      </c>
      <c r="AV103" s="147">
        <f ca="1">INDEX(Photobiology!$21:$421,1+$AH103-380,AV$14)</f>
        <v>0.14085370084844498</v>
      </c>
      <c r="AW103" s="147">
        <f ca="1">INDEX(Photobiology!$21:$421,1+$AH103-380,AW$14)</f>
        <v>0.64338469955320499</v>
      </c>
      <c r="AX103" s="147">
        <f ca="1">INDEX(Photobiology!$21:$421,1+$AH103-380,AX$14)</f>
        <v>0.78225791143924062</v>
      </c>
      <c r="AY103" s="147">
        <f t="shared" si="39"/>
        <v>1.6241811879218484E-3</v>
      </c>
      <c r="AZ103" s="147">
        <f t="shared" ca="1" si="53"/>
        <v>1.2870515229260983E-3</v>
      </c>
      <c r="BA103" s="147">
        <f t="shared" ca="1" si="40"/>
        <v>3.3834130416193986E-4</v>
      </c>
      <c r="BB103" s="147">
        <f t="shared" ca="1" si="41"/>
        <v>1.8650147744669001E-4</v>
      </c>
      <c r="BC103" s="147">
        <f t="shared" ca="1" si="42"/>
        <v>9.550185384980468E-4</v>
      </c>
      <c r="BD103" s="147">
        <f t="shared" ca="1" si="43"/>
        <v>1.2004404368989778E-3</v>
      </c>
    </row>
    <row r="104" spans="8:56" s="147" customFormat="1" ht="0.25" customHeight="1" x14ac:dyDescent="0.2">
      <c r="H104" s="147">
        <f t="shared" si="44"/>
        <v>463</v>
      </c>
      <c r="I104" s="147">
        <f>IF($H104&gt;$H103,INDEX(Spectra!104:104,1,MATCH($I$20,Spectra!$20:$20,0)),I103)</f>
        <v>2.0847992668099999E-3</v>
      </c>
      <c r="J104" s="147">
        <f>((Physics!$C$9*Physics!$C$10)/(Physics!$C$11*Physics!$C$12*$H104))^($J$17-$J$18)</f>
        <v>2.3314485936440914E+18</v>
      </c>
      <c r="K104" s="147">
        <f t="shared" si="45"/>
        <v>1</v>
      </c>
      <c r="L104" s="147">
        <f>INDEX(Photobiology!$21:$421,1+$H104-380,10)</f>
        <v>6.8042080000000005E-2</v>
      </c>
      <c r="M104" s="147">
        <f t="shared" si="46"/>
        <v>2.0847992668099999E-3</v>
      </c>
      <c r="N104" s="147">
        <f ca="1">INDEX(Photobiology!$21:$421,1+$H104-380,N$14)</f>
        <v>0.77556899999999995</v>
      </c>
      <c r="O104" s="147">
        <f ca="1">INDEX(Photobiology!$21:$421,1+$H104-380,O$14)</f>
        <v>0.21621199999999999</v>
      </c>
      <c r="P104" s="147">
        <f ca="1">INDEX(Photobiology!$21:$421,1+$H104-380,P$14)</f>
        <v>0.119217</v>
      </c>
      <c r="Q104" s="147">
        <f ca="1">INDEX(Photobiology!$21:$421,1+$H104-380,Q$14)</f>
        <v>0.59899999999999998</v>
      </c>
      <c r="R104" s="147">
        <f ca="1">INDEX(Photobiology!$21:$421,1+$H104-380,R$14)</f>
        <v>0.75456000000000001</v>
      </c>
      <c r="S104" s="147">
        <f t="shared" si="47"/>
        <v>4860602318634407</v>
      </c>
      <c r="T104" s="147">
        <f ca="1">INDEX(Photobiology!$21:$421,1+$H104-380,T$14)</f>
        <v>0.74948848740652652</v>
      </c>
      <c r="U104" s="147">
        <f ca="1">INDEX(Photobiology!$21:$421,1+$H104-380,U$14)</f>
        <v>0.25243936091656061</v>
      </c>
      <c r="V104" s="147">
        <f ca="1">INDEX(Photobiology!$21:$421,1+$H104-380,V$14)</f>
        <v>0.14592161754353206</v>
      </c>
      <c r="W104" s="147">
        <f ca="1">INDEX(Photobiology!$21:$421,1+$H104-380,W$14)</f>
        <v>0.65400521218081897</v>
      </c>
      <c r="X104" s="147">
        <f ca="1">INDEX(Photobiology!$21:$421,1+$H104-380,X$14)</f>
        <v>0.79689038621088715</v>
      </c>
      <c r="Y104" s="147">
        <f t="shared" si="34"/>
        <v>2.0847992668099999E-3</v>
      </c>
      <c r="Z104" s="147">
        <f t="shared" ca="1" si="48"/>
        <v>1.6169056825605648E-3</v>
      </c>
      <c r="AA104" s="147">
        <f t="shared" ca="1" si="35"/>
        <v>4.507586190755237E-4</v>
      </c>
      <c r="AB104" s="147">
        <f t="shared" ca="1" si="36"/>
        <v>2.4854351419128774E-4</v>
      </c>
      <c r="AC104" s="147">
        <f t="shared" ca="1" si="37"/>
        <v>1.2487947608191899E-3</v>
      </c>
      <c r="AD104" s="147">
        <f t="shared" ca="1" si="38"/>
        <v>1.5731061347641535E-3</v>
      </c>
      <c r="AH104" s="147">
        <f t="shared" si="49"/>
        <v>463</v>
      </c>
      <c r="AI104" s="147">
        <f>IF($AH104&gt;$AH103,INDEX(Spectra!104:104,1,MATCH($AI$20,Spectra!$20:$20,0)),AI103)</f>
        <v>116.92700000000001</v>
      </c>
      <c r="AJ104" s="147">
        <f>((Physics!$C$9*Physics!$C$10)/(Physics!$C$11*Physics!$C$12*$AH104))^($AJ$17-$AJ$18)</f>
        <v>2.3314485936440914E+18</v>
      </c>
      <c r="AK104" s="147">
        <f t="shared" si="50"/>
        <v>1</v>
      </c>
      <c r="AL104" s="147">
        <f>INDEX(Photobiology!$21:$421,1+$AH104-380,10)</f>
        <v>6.8042080000000005E-2</v>
      </c>
      <c r="AM104" s="147">
        <f t="shared" si="51"/>
        <v>1.6200937858093019E-3</v>
      </c>
      <c r="AN104" s="147">
        <f ca="1">INDEX(Photobiology!$21:$421,1+$AH104-380,AN$14)</f>
        <v>0.77556899999999995</v>
      </c>
      <c r="AO104" s="147">
        <f ca="1">INDEX(Photobiology!$21:$421,1+$AH104-380,AO$14)</f>
        <v>0.21621199999999999</v>
      </c>
      <c r="AP104" s="147">
        <f ca="1">INDEX(Photobiology!$21:$421,1+$AH104-380,AP$14)</f>
        <v>0.119217</v>
      </c>
      <c r="AQ104" s="147">
        <f ca="1">INDEX(Photobiology!$21:$421,1+$AH104-380,AQ$14)</f>
        <v>0.59899999999999998</v>
      </c>
      <c r="AR104" s="147">
        <f ca="1">INDEX(Photobiology!$21:$421,1+$AH104-380,AR$14)</f>
        <v>0.75456000000000001</v>
      </c>
      <c r="AS104" s="147">
        <f t="shared" si="52"/>
        <v>3777165378496629</v>
      </c>
      <c r="AT104" s="147">
        <f ca="1">INDEX(Photobiology!$21:$421,1+$AH104-380,AT$14)</f>
        <v>0.74948848740652652</v>
      </c>
      <c r="AU104" s="147">
        <f ca="1">INDEX(Photobiology!$21:$421,1+$AH104-380,AU$14)</f>
        <v>0.25243936091656061</v>
      </c>
      <c r="AV104" s="147">
        <f ca="1">INDEX(Photobiology!$21:$421,1+$AH104-380,AV$14)</f>
        <v>0.14592161754353206</v>
      </c>
      <c r="AW104" s="147">
        <f ca="1">INDEX(Photobiology!$21:$421,1+$AH104-380,AW$14)</f>
        <v>0.65400521218081897</v>
      </c>
      <c r="AX104" s="147">
        <f ca="1">INDEX(Photobiology!$21:$421,1+$AH104-380,AX$14)</f>
        <v>0.79689038621088715</v>
      </c>
      <c r="AY104" s="147">
        <f t="shared" si="39"/>
        <v>1.6200937858093019E-3</v>
      </c>
      <c r="AZ104" s="147">
        <f t="shared" ca="1" si="53"/>
        <v>1.2564945173663344E-3</v>
      </c>
      <c r="BA104" s="147">
        <f t="shared" ca="1" si="40"/>
        <v>3.5028371761740079E-4</v>
      </c>
      <c r="BB104" s="147">
        <f t="shared" ca="1" si="41"/>
        <v>1.9314272086282756E-4</v>
      </c>
      <c r="BC104" s="147">
        <f t="shared" ca="1" si="42"/>
        <v>9.7043617769977187E-4</v>
      </c>
      <c r="BD104" s="147">
        <f t="shared" ca="1" si="43"/>
        <v>1.222457967020267E-3</v>
      </c>
    </row>
    <row r="105" spans="8:56" s="147" customFormat="1" ht="0.25" customHeight="1" x14ac:dyDescent="0.2">
      <c r="H105" s="147">
        <f t="shared" si="44"/>
        <v>464</v>
      </c>
      <c r="I105" s="147">
        <f>IF($H105&gt;$H104,INDEX(Spectra!105:105,1,MATCH($I$20,Spectra!$20:$20,0)),I104)</f>
        <v>2.0648011923082299E-3</v>
      </c>
      <c r="J105" s="147">
        <f>((Physics!$C$9*Physics!$C$10)/(Physics!$C$11*Physics!$C$12*$H105))^($J$17-$J$18)</f>
        <v>2.3364841197642726E+18</v>
      </c>
      <c r="K105" s="147">
        <f t="shared" si="45"/>
        <v>1</v>
      </c>
      <c r="L105" s="147">
        <f>INDEX(Photobiology!$21:$421,1+$H105-380,10)</f>
        <v>7.0911089999999996E-2</v>
      </c>
      <c r="M105" s="147">
        <f t="shared" si="46"/>
        <v>2.0648011923082299E-3</v>
      </c>
      <c r="N105" s="147">
        <f ca="1">INDEX(Photobiology!$21:$421,1+$H105-380,N$14)</f>
        <v>0.75724400000000003</v>
      </c>
      <c r="O105" s="147">
        <f ca="1">INDEX(Photobiology!$21:$421,1+$H105-380,O$14)</f>
        <v>0.22423100000000001</v>
      </c>
      <c r="P105" s="147">
        <f ca="1">INDEX(Photobiology!$21:$421,1+$H105-380,P$14)</f>
        <v>0.12374</v>
      </c>
      <c r="Q105" s="147">
        <f ca="1">INDEX(Photobiology!$21:$421,1+$H105-380,Q$14)</f>
        <v>0.61</v>
      </c>
      <c r="R105" s="147">
        <f ca="1">INDEX(Photobiology!$21:$421,1+$H105-380,R$14)</f>
        <v>0.76993800000000001</v>
      </c>
      <c r="S105" s="147">
        <f t="shared" si="47"/>
        <v>4824375196298515</v>
      </c>
      <c r="T105" s="147">
        <f ca="1">INDEX(Photobiology!$21:$421,1+$H105-380,T$14)</f>
        <v>0.73020260145432325</v>
      </c>
      <c r="U105" s="147">
        <f ca="1">INDEX(Photobiology!$21:$421,1+$H105-380,U$14)</f>
        <v>0.26123775453891246</v>
      </c>
      <c r="V105" s="147">
        <f ca="1">INDEX(Photobiology!$21:$421,1+$H105-380,V$14)</f>
        <v>0.15113135229805102</v>
      </c>
      <c r="W105" s="147">
        <f ca="1">INDEX(Photobiology!$21:$421,1+$H105-380,W$14)</f>
        <v>0.66457994673676202</v>
      </c>
      <c r="X105" s="147">
        <f ca="1">INDEX(Photobiology!$21:$421,1+$H105-380,X$14)</f>
        <v>0.81137864557232486</v>
      </c>
      <c r="Y105" s="147">
        <f t="shared" si="34"/>
        <v>2.0648011923082299E-3</v>
      </c>
      <c r="Z105" s="147">
        <f t="shared" ca="1" si="48"/>
        <v>1.5635583140682532E-3</v>
      </c>
      <c r="AA105" s="147">
        <f t="shared" ca="1" si="35"/>
        <v>4.6299243615246675E-4</v>
      </c>
      <c r="AB105" s="147">
        <f t="shared" ca="1" si="36"/>
        <v>2.5549849953622038E-4</v>
      </c>
      <c r="AC105" s="147">
        <f t="shared" ca="1" si="37"/>
        <v>1.2595287273080202E-3</v>
      </c>
      <c r="AD105" s="147">
        <f t="shared" ca="1" si="38"/>
        <v>1.589768900403414E-3</v>
      </c>
      <c r="AH105" s="147">
        <f t="shared" si="49"/>
        <v>464</v>
      </c>
      <c r="AI105" s="147">
        <f>IF($AH105&gt;$AH104,INDEX(Spectra!105:105,1,MATCH($AI$20,Spectra!$20:$20,0)),AI104)</f>
        <v>116.63200000000001</v>
      </c>
      <c r="AJ105" s="147">
        <f>((Physics!$C$9*Physics!$C$10)/(Physics!$C$11*Physics!$C$12*$AH105))^($AJ$17-$AJ$18)</f>
        <v>2.3364841197642726E+18</v>
      </c>
      <c r="AK105" s="147">
        <f t="shared" si="50"/>
        <v>1</v>
      </c>
      <c r="AL105" s="147">
        <f>INDEX(Photobiology!$21:$421,1+$AH105-380,10)</f>
        <v>7.0911089999999996E-2</v>
      </c>
      <c r="AM105" s="147">
        <f t="shared" si="51"/>
        <v>1.6160063836967553E-3</v>
      </c>
      <c r="AN105" s="147">
        <f ca="1">INDEX(Photobiology!$21:$421,1+$AH105-380,AN$14)</f>
        <v>0.75724400000000003</v>
      </c>
      <c r="AO105" s="147">
        <f ca="1">INDEX(Photobiology!$21:$421,1+$AH105-380,AO$14)</f>
        <v>0.22423100000000001</v>
      </c>
      <c r="AP105" s="147">
        <f ca="1">INDEX(Photobiology!$21:$421,1+$AH105-380,AP$14)</f>
        <v>0.12374</v>
      </c>
      <c r="AQ105" s="147">
        <f ca="1">INDEX(Photobiology!$21:$421,1+$AH105-380,AQ$14)</f>
        <v>0.61</v>
      </c>
      <c r="AR105" s="147">
        <f ca="1">INDEX(Photobiology!$21:$421,1+$AH105-380,AR$14)</f>
        <v>0.76993800000000001</v>
      </c>
      <c r="AS105" s="147">
        <f t="shared" si="52"/>
        <v>3775773252945158.5</v>
      </c>
      <c r="AT105" s="147">
        <f ca="1">INDEX(Photobiology!$21:$421,1+$AH105-380,AT$14)</f>
        <v>0.73020260145432325</v>
      </c>
      <c r="AU105" s="147">
        <f ca="1">INDEX(Photobiology!$21:$421,1+$AH105-380,AU$14)</f>
        <v>0.26123775453891246</v>
      </c>
      <c r="AV105" s="147">
        <f ca="1">INDEX(Photobiology!$21:$421,1+$AH105-380,AV$14)</f>
        <v>0.15113135229805102</v>
      </c>
      <c r="AW105" s="147">
        <f ca="1">INDEX(Photobiology!$21:$421,1+$AH105-380,AW$14)</f>
        <v>0.66457994673676202</v>
      </c>
      <c r="AX105" s="147">
        <f ca="1">INDEX(Photobiology!$21:$421,1+$AH105-380,AX$14)</f>
        <v>0.81137864557232486</v>
      </c>
      <c r="AY105" s="147">
        <f t="shared" si="39"/>
        <v>1.6160063836967553E-3</v>
      </c>
      <c r="AZ105" s="147">
        <f t="shared" ca="1" si="53"/>
        <v>1.2237111380160657E-3</v>
      </c>
      <c r="BA105" s="147">
        <f t="shared" ca="1" si="40"/>
        <v>3.6235872742270716E-4</v>
      </c>
      <c r="BB105" s="147">
        <f t="shared" ca="1" si="41"/>
        <v>1.999646299186365E-4</v>
      </c>
      <c r="BC105" s="147">
        <f t="shared" ca="1" si="42"/>
        <v>9.8576389405502073E-4</v>
      </c>
      <c r="BD105" s="147">
        <f t="shared" ca="1" si="43"/>
        <v>1.2442247230507123E-3</v>
      </c>
    </row>
    <row r="106" spans="8:56" s="147" customFormat="1" ht="0.25" customHeight="1" x14ac:dyDescent="0.2">
      <c r="H106" s="147">
        <f t="shared" si="44"/>
        <v>465</v>
      </c>
      <c r="I106" s="147">
        <f>IF($H106&gt;$H105,INDEX(Spectra!106:106,1,MATCH($I$20,Spectra!$20:$20,0)),I105)</f>
        <v>2.0498026364319001E-3</v>
      </c>
      <c r="J106" s="147">
        <f>((Physics!$C$9*Physics!$C$10)/(Physics!$C$11*Physics!$C$12*$H106))^($J$17-$J$18)</f>
        <v>2.3415196458844544E+18</v>
      </c>
      <c r="K106" s="147">
        <f t="shared" si="45"/>
        <v>1</v>
      </c>
      <c r="L106" s="147">
        <f>INDEX(Photobiology!$21:$421,1+$H106-380,10)</f>
        <v>7.3899999999999993E-2</v>
      </c>
      <c r="M106" s="147">
        <f t="shared" si="46"/>
        <v>2.0498026364319001E-3</v>
      </c>
      <c r="N106" s="147">
        <f ca="1">INDEX(Photobiology!$21:$421,1+$H106-380,N$14)</f>
        <v>0.737043</v>
      </c>
      <c r="O106" s="147">
        <f ca="1">INDEX(Photobiology!$21:$421,1+$H106-380,O$14)</f>
        <v>0.23227500000000001</v>
      </c>
      <c r="P106" s="147">
        <f ca="1">INDEX(Photobiology!$21:$421,1+$H106-380,P$14)</f>
        <v>0.12833600000000001</v>
      </c>
      <c r="Q106" s="147">
        <f ca="1">INDEX(Photobiology!$21:$421,1+$H106-380,Q$14)</f>
        <v>0.62</v>
      </c>
      <c r="R106" s="147">
        <f ca="1">INDEX(Photobiology!$21:$421,1+$H106-380,R$14)</f>
        <v>0.78521600000000003</v>
      </c>
      <c r="S106" s="147">
        <f t="shared" si="47"/>
        <v>4799653143391044</v>
      </c>
      <c r="T106" s="147">
        <f ca="1">INDEX(Photobiology!$21:$421,1+$H106-380,T$14)</f>
        <v>0.70919454838134943</v>
      </c>
      <c r="U106" s="147">
        <f ca="1">INDEX(Photobiology!$21:$421,1+$H106-380,U$14)</f>
        <v>0.27002736893481066</v>
      </c>
      <c r="V106" s="147">
        <f ca="1">INDEX(Photobiology!$21:$421,1+$H106-380,V$14)</f>
        <v>0.15640764728740147</v>
      </c>
      <c r="W106" s="147">
        <f ca="1">INDEX(Photobiology!$21:$421,1+$H106-380,W$14)</f>
        <v>0.67402206619859573</v>
      </c>
      <c r="X106" s="147">
        <f ca="1">INDEX(Photobiology!$21:$421,1+$H106-380,X$14)</f>
        <v>0.82569943413300795</v>
      </c>
      <c r="Y106" s="147">
        <f t="shared" si="34"/>
        <v>2.0498026364319001E-3</v>
      </c>
      <c r="Z106" s="147">
        <f t="shared" ca="1" si="48"/>
        <v>1.510792684563677E-3</v>
      </c>
      <c r="AA106" s="147">
        <f t="shared" ca="1" si="35"/>
        <v>4.7611790737721961E-4</v>
      </c>
      <c r="AB106" s="147">
        <f t="shared" ca="1" si="36"/>
        <v>2.6306347114912434E-4</v>
      </c>
      <c r="AC106" s="147">
        <f t="shared" ca="1" si="37"/>
        <v>1.2708776345877781E-3</v>
      </c>
      <c r="AD106" s="147">
        <f t="shared" ca="1" si="38"/>
        <v>1.6095378269685109E-3</v>
      </c>
      <c r="AH106" s="147">
        <f t="shared" si="49"/>
        <v>465</v>
      </c>
      <c r="AI106" s="147">
        <f>IF($AH106&gt;$AH105,INDEX(Spectra!106:106,1,MATCH($AI$20,Spectra!$20:$20,0)),AI105)</f>
        <v>116.336</v>
      </c>
      <c r="AJ106" s="147">
        <f>((Physics!$C$9*Physics!$C$10)/(Physics!$C$11*Physics!$C$12*$AH106))^($AJ$17-$AJ$18)</f>
        <v>2.3415196458844544E+18</v>
      </c>
      <c r="AK106" s="147">
        <f t="shared" si="50"/>
        <v>1</v>
      </c>
      <c r="AL106" s="147">
        <f>INDEX(Photobiology!$21:$421,1+$AH106-380,10)</f>
        <v>7.3899999999999993E-2</v>
      </c>
      <c r="AM106" s="147">
        <f t="shared" si="51"/>
        <v>1.611905125983827E-3</v>
      </c>
      <c r="AN106" s="147">
        <f ca="1">INDEX(Photobiology!$21:$421,1+$AH106-380,AN$14)</f>
        <v>0.737043</v>
      </c>
      <c r="AO106" s="147">
        <f ca="1">INDEX(Photobiology!$21:$421,1+$AH106-380,AO$14)</f>
        <v>0.23227500000000001</v>
      </c>
      <c r="AP106" s="147">
        <f ca="1">INDEX(Photobiology!$21:$421,1+$AH106-380,AP$14)</f>
        <v>0.12833600000000001</v>
      </c>
      <c r="AQ106" s="147">
        <f ca="1">INDEX(Photobiology!$21:$421,1+$AH106-380,AQ$14)</f>
        <v>0.62</v>
      </c>
      <c r="AR106" s="147">
        <f ca="1">INDEX(Photobiology!$21:$421,1+$AH106-380,AR$14)</f>
        <v>0.78521600000000003</v>
      </c>
      <c r="AS106" s="147">
        <f t="shared" si="52"/>
        <v>3774307519792987.5</v>
      </c>
      <c r="AT106" s="147">
        <f ca="1">INDEX(Photobiology!$21:$421,1+$AH106-380,AT$14)</f>
        <v>0.70919454838134943</v>
      </c>
      <c r="AU106" s="147">
        <f ca="1">INDEX(Photobiology!$21:$421,1+$AH106-380,AU$14)</f>
        <v>0.27002736893481066</v>
      </c>
      <c r="AV106" s="147">
        <f ca="1">INDEX(Photobiology!$21:$421,1+$AH106-380,AV$14)</f>
        <v>0.15640764728740147</v>
      </c>
      <c r="AW106" s="147">
        <f ca="1">INDEX(Photobiology!$21:$421,1+$AH106-380,AW$14)</f>
        <v>0.67402206619859573</v>
      </c>
      <c r="AX106" s="147">
        <f ca="1">INDEX(Photobiology!$21:$421,1+$AH106-380,AX$14)</f>
        <v>0.82569943413300795</v>
      </c>
      <c r="AY106" s="147">
        <f t="shared" si="39"/>
        <v>1.611905125983827E-3</v>
      </c>
      <c r="AZ106" s="147">
        <f t="shared" ca="1" si="53"/>
        <v>1.1880433897704977E-3</v>
      </c>
      <c r="BA106" s="147">
        <f t="shared" ca="1" si="40"/>
        <v>3.7440526313789344E-4</v>
      </c>
      <c r="BB106" s="147">
        <f t="shared" ca="1" si="41"/>
        <v>2.0686545624826042E-4</v>
      </c>
      <c r="BC106" s="147">
        <f t="shared" ca="1" si="42"/>
        <v>9.9938117810997266E-4</v>
      </c>
      <c r="BD106" s="147">
        <f t="shared" ca="1" si="43"/>
        <v>1.2656936954045168E-3</v>
      </c>
    </row>
    <row r="107" spans="8:56" s="147" customFormat="1" ht="0.25" customHeight="1" x14ac:dyDescent="0.2">
      <c r="H107" s="147">
        <f t="shared" si="44"/>
        <v>466</v>
      </c>
      <c r="I107" s="147">
        <f>IF($H107&gt;$H106,INDEX(Spectra!107:107,1,MATCH($I$20,Spectra!$20:$20,0)),I106)</f>
        <v>2.0298045619301201E-3</v>
      </c>
      <c r="J107" s="147">
        <f>((Physics!$C$9*Physics!$C$10)/(Physics!$C$11*Physics!$C$12*$H107))^($J$17-$J$18)</f>
        <v>2.3465551720046362E+18</v>
      </c>
      <c r="K107" s="147">
        <f t="shared" si="45"/>
        <v>1</v>
      </c>
      <c r="L107" s="147">
        <f>INDEX(Photobiology!$21:$421,1+$H107-380,10)</f>
        <v>7.7016000000000001E-2</v>
      </c>
      <c r="M107" s="147">
        <f t="shared" si="46"/>
        <v>2.0298045619301201E-3</v>
      </c>
      <c r="N107" s="147">
        <f ca="1">INDEX(Photobiology!$21:$421,1+$H107-380,N$14)</f>
        <v>0.71472999999999998</v>
      </c>
      <c r="O107" s="147">
        <f ca="1">INDEX(Photobiology!$21:$421,1+$H107-380,O$14)</f>
        <v>0.240257</v>
      </c>
      <c r="P107" s="147">
        <f ca="1">INDEX(Photobiology!$21:$421,1+$H107-380,P$14)</f>
        <v>0.13294700000000001</v>
      </c>
      <c r="Q107" s="147">
        <f ca="1">INDEX(Photobiology!$21:$421,1+$H107-380,Q$14)</f>
        <v>0.63100000000000001</v>
      </c>
      <c r="R107" s="147">
        <f ca="1">INDEX(Photobiology!$21:$421,1+$H107-380,R$14)</f>
        <v>0.80068300000000003</v>
      </c>
      <c r="S107" s="147">
        <f t="shared" si="47"/>
        <v>4763048392955728</v>
      </c>
      <c r="T107" s="147">
        <f ca="1">INDEX(Photobiology!$21:$421,1+$H107-380,T$14)</f>
        <v>0.68624881943296412</v>
      </c>
      <c r="U107" s="147">
        <f ca="1">INDEX(Photobiology!$21:$421,1+$H107-380,U$14)</f>
        <v>0.27870733728518876</v>
      </c>
      <c r="V107" s="147">
        <f ca="1">INDEX(Photobiology!$21:$421,1+$H107-380,V$14)</f>
        <v>0.16167953903764734</v>
      </c>
      <c r="W107" s="147">
        <f ca="1">INDEX(Photobiology!$21:$421,1+$H107-380,W$14)</f>
        <v>0.68450846100533358</v>
      </c>
      <c r="X107" s="147">
        <f ca="1">INDEX(Photobiology!$21:$421,1+$H107-380,X$14)</f>
        <v>0.84015707787767313</v>
      </c>
      <c r="Y107" s="147">
        <f t="shared" si="34"/>
        <v>2.0298045619301201E-3</v>
      </c>
      <c r="Z107" s="147">
        <f t="shared" ca="1" si="48"/>
        <v>1.4507622145483146E-3</v>
      </c>
      <c r="AA107" s="147">
        <f t="shared" ca="1" si="35"/>
        <v>4.8767475463564489E-4</v>
      </c>
      <c r="AB107" s="147">
        <f t="shared" ca="1" si="36"/>
        <v>2.6985642709492368E-4</v>
      </c>
      <c r="AC107" s="147">
        <f t="shared" ca="1" si="37"/>
        <v>1.2808066785779059E-3</v>
      </c>
      <c r="AD107" s="147">
        <f t="shared" ca="1" si="38"/>
        <v>1.6252300060598944E-3</v>
      </c>
      <c r="AH107" s="147">
        <f t="shared" si="49"/>
        <v>466</v>
      </c>
      <c r="AI107" s="147">
        <f>IF($AH107&gt;$AH106,INDEX(Spectra!107:107,1,MATCH($AI$20,Spectra!$20:$20,0)),AI106)</f>
        <v>116.041</v>
      </c>
      <c r="AJ107" s="147">
        <f>((Physics!$C$9*Physics!$C$10)/(Physics!$C$11*Physics!$C$12*$AH107))^($AJ$17-$AJ$18)</f>
        <v>2.3465551720046362E+18</v>
      </c>
      <c r="AK107" s="147">
        <f t="shared" si="50"/>
        <v>1</v>
      </c>
      <c r="AL107" s="147">
        <f>INDEX(Photobiology!$21:$421,1+$AH107-380,10)</f>
        <v>7.7016000000000001E-2</v>
      </c>
      <c r="AM107" s="147">
        <f t="shared" si="51"/>
        <v>1.6078177238712803E-3</v>
      </c>
      <c r="AN107" s="147">
        <f ca="1">INDEX(Photobiology!$21:$421,1+$AH107-380,AN$14)</f>
        <v>0.71472999999999998</v>
      </c>
      <c r="AO107" s="147">
        <f ca="1">INDEX(Photobiology!$21:$421,1+$AH107-380,AO$14)</f>
        <v>0.240257</v>
      </c>
      <c r="AP107" s="147">
        <f ca="1">INDEX(Photobiology!$21:$421,1+$AH107-380,AP$14)</f>
        <v>0.13294700000000001</v>
      </c>
      <c r="AQ107" s="147">
        <f ca="1">INDEX(Photobiology!$21:$421,1+$AH107-380,AQ$14)</f>
        <v>0.63100000000000001</v>
      </c>
      <c r="AR107" s="147">
        <f ca="1">INDEX(Photobiology!$21:$421,1+$AH107-380,AR$14)</f>
        <v>0.80068300000000003</v>
      </c>
      <c r="AS107" s="147">
        <f t="shared" si="52"/>
        <v>3772832995590874.5</v>
      </c>
      <c r="AT107" s="147">
        <f ca="1">INDEX(Photobiology!$21:$421,1+$AH107-380,AT$14)</f>
        <v>0.68624881943296412</v>
      </c>
      <c r="AU107" s="147">
        <f ca="1">INDEX(Photobiology!$21:$421,1+$AH107-380,AU$14)</f>
        <v>0.27870733728518876</v>
      </c>
      <c r="AV107" s="147">
        <f ca="1">INDEX(Photobiology!$21:$421,1+$AH107-380,AV$14)</f>
        <v>0.16167953903764734</v>
      </c>
      <c r="AW107" s="147">
        <f ca="1">INDEX(Photobiology!$21:$421,1+$AH107-380,AW$14)</f>
        <v>0.68450846100533358</v>
      </c>
      <c r="AX107" s="147">
        <f ca="1">INDEX(Photobiology!$21:$421,1+$AH107-380,AX$14)</f>
        <v>0.84015707787767313</v>
      </c>
      <c r="AY107" s="147">
        <f t="shared" si="39"/>
        <v>1.6078177238712803E-3</v>
      </c>
      <c r="AZ107" s="147">
        <f t="shared" ca="1" si="53"/>
        <v>1.14915556178252E-3</v>
      </c>
      <c r="BA107" s="147">
        <f t="shared" ca="1" si="40"/>
        <v>3.862894628841422E-4</v>
      </c>
      <c r="BB107" s="147">
        <f t="shared" ca="1" si="41"/>
        <v>2.1375454293551512E-4</v>
      </c>
      <c r="BC107" s="147">
        <f t="shared" ca="1" si="42"/>
        <v>1.0145329837627779E-3</v>
      </c>
      <c r="BD107" s="147">
        <f t="shared" ca="1" si="43"/>
        <v>1.2873523186024284E-3</v>
      </c>
    </row>
    <row r="108" spans="8:56" s="147" customFormat="1" ht="0.25" customHeight="1" x14ac:dyDescent="0.2">
      <c r="H108" s="147">
        <f t="shared" si="44"/>
        <v>467</v>
      </c>
      <c r="I108" s="147">
        <f>IF($H108&gt;$H107,INDEX(Spectra!108:108,1,MATCH($I$20,Spectra!$20:$20,0)),I107)</f>
        <v>2.0098064874283501E-3</v>
      </c>
      <c r="J108" s="147">
        <f>((Physics!$C$9*Physics!$C$10)/(Physics!$C$11*Physics!$C$12*$H108))^($J$17-$J$18)</f>
        <v>2.3515906981248174E+18</v>
      </c>
      <c r="K108" s="147">
        <f t="shared" si="45"/>
        <v>1</v>
      </c>
      <c r="L108" s="147">
        <f>INDEX(Photobiology!$21:$421,1+$H108-380,10)</f>
        <v>8.0266400000000002E-2</v>
      </c>
      <c r="M108" s="147">
        <f t="shared" si="46"/>
        <v>2.0098064874283501E-3</v>
      </c>
      <c r="N108" s="147">
        <f ca="1">INDEX(Photobiology!$21:$421,1+$H108-380,N$14)</f>
        <v>0.69055800000000001</v>
      </c>
      <c r="O108" s="147">
        <f ca="1">INDEX(Photobiology!$21:$421,1+$H108-380,O$14)</f>
        <v>0.24815999999999999</v>
      </c>
      <c r="P108" s="147">
        <f ca="1">INDEX(Photobiology!$21:$421,1+$H108-380,P$14)</f>
        <v>0.13757</v>
      </c>
      <c r="Q108" s="147">
        <f ca="1">INDEX(Photobiology!$21:$421,1+$H108-380,Q$14)</f>
        <v>0.64200000000000002</v>
      </c>
      <c r="R108" s="147">
        <f ca="1">INDEX(Photobiology!$21:$421,1+$H108-380,R$14)</f>
        <v>0.81635400000000002</v>
      </c>
      <c r="S108" s="147">
        <f t="shared" si="47"/>
        <v>4726242240867421</v>
      </c>
      <c r="T108" s="147">
        <f ca="1">INDEX(Photobiology!$21:$421,1+$H108-380,T$14)</f>
        <v>0.66162026027496701</v>
      </c>
      <c r="U108" s="147">
        <f ca="1">INDEX(Photobiology!$21:$421,1+$H108-380,U$14)</f>
        <v>0.28725868553054945</v>
      </c>
      <c r="V108" s="147">
        <f ca="1">INDEX(Photobiology!$21:$421,1+$H108-380,V$14)</f>
        <v>0.16694341528670317</v>
      </c>
      <c r="W108" s="147">
        <f ca="1">INDEX(Photobiology!$21:$421,1+$H108-380,W$14)</f>
        <v>0.69494994619833805</v>
      </c>
      <c r="X108" s="147">
        <f ca="1">INDEX(Photobiology!$21:$421,1+$H108-380,X$14)</f>
        <v>0.85476640345512578</v>
      </c>
      <c r="Y108" s="147">
        <f t="shared" si="34"/>
        <v>2.0098064874283501E-3</v>
      </c>
      <c r="Z108" s="147">
        <f t="shared" ca="1" si="48"/>
        <v>1.3878879483455466E-3</v>
      </c>
      <c r="AA108" s="147">
        <f t="shared" ca="1" si="35"/>
        <v>4.9875357792021938E-4</v>
      </c>
      <c r="AB108" s="147">
        <f t="shared" ca="1" si="36"/>
        <v>2.7648907847551812E-4</v>
      </c>
      <c r="AC108" s="147">
        <f t="shared" ca="1" si="37"/>
        <v>1.2902957649290009E-3</v>
      </c>
      <c r="AD108" s="147">
        <f t="shared" ca="1" si="38"/>
        <v>1.6407135652380834E-3</v>
      </c>
      <c r="AH108" s="147">
        <f t="shared" si="49"/>
        <v>467</v>
      </c>
      <c r="AI108" s="147">
        <f>IF($AH108&gt;$AH107,INDEX(Spectra!108:108,1,MATCH($AI$20,Spectra!$20:$20,0)),AI107)</f>
        <v>115.746</v>
      </c>
      <c r="AJ108" s="147">
        <f>((Physics!$C$9*Physics!$C$10)/(Physics!$C$11*Physics!$C$12*$AH108))^($AJ$17-$AJ$18)</f>
        <v>2.3515906981248174E+18</v>
      </c>
      <c r="AK108" s="147">
        <f t="shared" si="50"/>
        <v>1</v>
      </c>
      <c r="AL108" s="147">
        <f>INDEX(Photobiology!$21:$421,1+$AH108-380,10)</f>
        <v>8.0266400000000002E-2</v>
      </c>
      <c r="AM108" s="147">
        <f t="shared" si="51"/>
        <v>1.6037303217587336E-3</v>
      </c>
      <c r="AN108" s="147">
        <f ca="1">INDEX(Photobiology!$21:$421,1+$AH108-380,AN$14)</f>
        <v>0.69055800000000001</v>
      </c>
      <c r="AO108" s="147">
        <f ca="1">INDEX(Photobiology!$21:$421,1+$AH108-380,AO$14)</f>
        <v>0.24815999999999999</v>
      </c>
      <c r="AP108" s="147">
        <f ca="1">INDEX(Photobiology!$21:$421,1+$AH108-380,AP$14)</f>
        <v>0.13757</v>
      </c>
      <c r="AQ108" s="147">
        <f ca="1">INDEX(Photobiology!$21:$421,1+$AH108-380,AQ$14)</f>
        <v>0.64200000000000002</v>
      </c>
      <c r="AR108" s="147">
        <f ca="1">INDEX(Photobiology!$21:$421,1+$AH108-380,AR$14)</f>
        <v>0.81635400000000002</v>
      </c>
      <c r="AS108" s="147">
        <f t="shared" si="52"/>
        <v>3771317306948558.5</v>
      </c>
      <c r="AT108" s="147">
        <f ca="1">INDEX(Photobiology!$21:$421,1+$AH108-380,AT$14)</f>
        <v>0.66162026027496701</v>
      </c>
      <c r="AU108" s="147">
        <f ca="1">INDEX(Photobiology!$21:$421,1+$AH108-380,AU$14)</f>
        <v>0.28725868553054945</v>
      </c>
      <c r="AV108" s="147">
        <f ca="1">INDEX(Photobiology!$21:$421,1+$AH108-380,AV$14)</f>
        <v>0.16694341528670317</v>
      </c>
      <c r="AW108" s="147">
        <f ca="1">INDEX(Photobiology!$21:$421,1+$AH108-380,AW$14)</f>
        <v>0.69494994619833805</v>
      </c>
      <c r="AX108" s="147">
        <f ca="1">INDEX(Photobiology!$21:$421,1+$AH108-380,AX$14)</f>
        <v>0.85476640345512578</v>
      </c>
      <c r="AY108" s="147">
        <f t="shared" si="39"/>
        <v>1.6037303217587336E-3</v>
      </c>
      <c r="AZ108" s="147">
        <f t="shared" ca="1" si="53"/>
        <v>1.1074688035330677E-3</v>
      </c>
      <c r="BA108" s="147">
        <f t="shared" ca="1" si="40"/>
        <v>3.9798171664764731E-4</v>
      </c>
      <c r="BB108" s="147">
        <f t="shared" ca="1" si="41"/>
        <v>2.2062518036434898E-4</v>
      </c>
      <c r="BC108" s="147">
        <f t="shared" ca="1" si="42"/>
        <v>1.029594866569107E-3</v>
      </c>
      <c r="BD108" s="147">
        <f t="shared" ca="1" si="43"/>
        <v>1.3092116630890292E-3</v>
      </c>
    </row>
    <row r="109" spans="8:56" s="147" customFormat="1" ht="0.25" customHeight="1" x14ac:dyDescent="0.2">
      <c r="H109" s="147">
        <f t="shared" si="44"/>
        <v>468</v>
      </c>
      <c r="I109" s="147">
        <f>IF($H109&gt;$H108,INDEX(Spectra!109:109,1,MATCH($I$20,Spectra!$20:$20,0)),I108)</f>
        <v>1.9998074501774601E-3</v>
      </c>
      <c r="J109" s="147">
        <f>((Physics!$C$9*Physics!$C$10)/(Physics!$C$11*Physics!$C$12*$H109))^($J$17-$J$18)</f>
        <v>2.3566262242449992E+18</v>
      </c>
      <c r="K109" s="147">
        <f t="shared" si="45"/>
        <v>1</v>
      </c>
      <c r="L109" s="147">
        <f>INDEX(Photobiology!$21:$421,1+$H109-380,10)</f>
        <v>8.36668E-2</v>
      </c>
      <c r="M109" s="147">
        <f t="shared" si="46"/>
        <v>1.9998074501774601E-3</v>
      </c>
      <c r="N109" s="147">
        <f ca="1">INDEX(Photobiology!$21:$421,1+$H109-380,N$14)</f>
        <v>0.66488999999999998</v>
      </c>
      <c r="O109" s="147">
        <f ca="1">INDEX(Photobiology!$21:$421,1+$H109-380,O$14)</f>
        <v>0.25598700000000002</v>
      </c>
      <c r="P109" s="147">
        <f ca="1">INDEX(Photobiology!$21:$421,1+$H109-380,P$14)</f>
        <v>0.14221800000000001</v>
      </c>
      <c r="Q109" s="147">
        <f ca="1">INDEX(Photobiology!$21:$421,1+$H109-380,Q$14)</f>
        <v>0.65300000000000002</v>
      </c>
      <c r="R109" s="147">
        <f ca="1">INDEX(Photobiology!$21:$421,1+$H109-380,R$14)</f>
        <v>0.83179800000000004</v>
      </c>
      <c r="S109" s="147">
        <f t="shared" si="47"/>
        <v>4712798680528727</v>
      </c>
      <c r="T109" s="147">
        <f ca="1">INDEX(Photobiology!$21:$421,1+$H109-380,T$14)</f>
        <v>0.63566670367662925</v>
      </c>
      <c r="U109" s="147">
        <f ca="1">INDEX(Photobiology!$21:$421,1+$H109-380,U$14)</f>
        <v>0.29568570340155165</v>
      </c>
      <c r="V109" s="147">
        <f ca="1">INDEX(Photobiology!$21:$421,1+$H109-380,V$14)</f>
        <v>0.17221506941701653</v>
      </c>
      <c r="W109" s="147">
        <f ca="1">INDEX(Photobiology!$21:$421,1+$H109-380,W$14)</f>
        <v>0.7053468096597485</v>
      </c>
      <c r="X109" s="147">
        <f ca="1">INDEX(Photobiology!$21:$421,1+$H109-380,X$14)</f>
        <v>0.86907612271336809</v>
      </c>
      <c r="Y109" s="147">
        <f t="shared" si="34"/>
        <v>1.9998074501774601E-3</v>
      </c>
      <c r="Z109" s="147">
        <f t="shared" ca="1" si="48"/>
        <v>1.3296519755484914E-3</v>
      </c>
      <c r="AA109" s="147">
        <f t="shared" ca="1" si="35"/>
        <v>5.1192470974857748E-4</v>
      </c>
      <c r="AB109" s="147">
        <f t="shared" ca="1" si="36"/>
        <v>2.8440861594933802E-4</v>
      </c>
      <c r="AC109" s="147">
        <f t="shared" ca="1" si="37"/>
        <v>1.3058742649658815E-3</v>
      </c>
      <c r="AD109" s="147">
        <f t="shared" ca="1" si="38"/>
        <v>1.6634358374427111E-3</v>
      </c>
      <c r="AH109" s="147">
        <f t="shared" si="49"/>
        <v>468</v>
      </c>
      <c r="AI109" s="147">
        <f>IF($AH109&gt;$AH108,INDEX(Spectra!109:109,1,MATCH($AI$20,Spectra!$20:$20,0)),AI108)</f>
        <v>115.45099999999999</v>
      </c>
      <c r="AJ109" s="147">
        <f>((Physics!$C$9*Physics!$C$10)/(Physics!$C$11*Physics!$C$12*$AH109))^($AJ$17-$AJ$18)</f>
        <v>2.3566262242449992E+18</v>
      </c>
      <c r="AK109" s="147">
        <f t="shared" si="50"/>
        <v>1</v>
      </c>
      <c r="AL109" s="147">
        <f>INDEX(Photobiology!$21:$421,1+$AH109-380,10)</f>
        <v>8.36668E-2</v>
      </c>
      <c r="AM109" s="147">
        <f t="shared" si="51"/>
        <v>1.5996429196461868E-3</v>
      </c>
      <c r="AN109" s="147">
        <f ca="1">INDEX(Photobiology!$21:$421,1+$AH109-380,AN$14)</f>
        <v>0.66488999999999998</v>
      </c>
      <c r="AO109" s="147">
        <f ca="1">INDEX(Photobiology!$21:$421,1+$AH109-380,AO$14)</f>
        <v>0.25598700000000002</v>
      </c>
      <c r="AP109" s="147">
        <f ca="1">INDEX(Photobiology!$21:$421,1+$AH109-380,AP$14)</f>
        <v>0.14221800000000001</v>
      </c>
      <c r="AQ109" s="147">
        <f ca="1">INDEX(Photobiology!$21:$421,1+$AH109-380,AQ$14)</f>
        <v>0.65300000000000002</v>
      </c>
      <c r="AR109" s="147">
        <f ca="1">INDEX(Photobiology!$21:$421,1+$AH109-380,AR$14)</f>
        <v>0.83179800000000004</v>
      </c>
      <c r="AS109" s="147">
        <f t="shared" si="52"/>
        <v>3769760453866039.5</v>
      </c>
      <c r="AT109" s="147">
        <f ca="1">INDEX(Photobiology!$21:$421,1+$AH109-380,AT$14)</f>
        <v>0.63566670367662925</v>
      </c>
      <c r="AU109" s="147">
        <f ca="1">INDEX(Photobiology!$21:$421,1+$AH109-380,AU$14)</f>
        <v>0.29568570340155165</v>
      </c>
      <c r="AV109" s="147">
        <f ca="1">INDEX(Photobiology!$21:$421,1+$AH109-380,AV$14)</f>
        <v>0.17221506941701653</v>
      </c>
      <c r="AW109" s="147">
        <f ca="1">INDEX(Photobiology!$21:$421,1+$AH109-380,AW$14)</f>
        <v>0.7053468096597485</v>
      </c>
      <c r="AX109" s="147">
        <f ca="1">INDEX(Photobiology!$21:$421,1+$AH109-380,AX$14)</f>
        <v>0.86907612271336809</v>
      </c>
      <c r="AY109" s="147">
        <f t="shared" si="39"/>
        <v>1.5996429196461868E-3</v>
      </c>
      <c r="AZ109" s="147">
        <f t="shared" ca="1" si="53"/>
        <v>1.063586580843553E-3</v>
      </c>
      <c r="BA109" s="147">
        <f t="shared" ca="1" si="40"/>
        <v>4.0948779207146846E-4</v>
      </c>
      <c r="BB109" s="147">
        <f t="shared" ca="1" si="41"/>
        <v>2.2749801674624141E-4</v>
      </c>
      <c r="BC109" s="147">
        <f t="shared" ca="1" si="42"/>
        <v>1.0445668265289599E-3</v>
      </c>
      <c r="BD109" s="147">
        <f t="shared" ca="1" si="43"/>
        <v>1.3305797812758588E-3</v>
      </c>
    </row>
    <row r="110" spans="8:56" s="147" customFormat="1" ht="0.25" customHeight="1" x14ac:dyDescent="0.2">
      <c r="H110" s="147">
        <f t="shared" si="44"/>
        <v>469</v>
      </c>
      <c r="I110" s="147">
        <f>IF($H110&gt;$H109,INDEX(Spectra!110:110,1,MATCH($I$20,Spectra!$20:$20,0)),I109)</f>
        <v>1.9998074501774601E-3</v>
      </c>
      <c r="J110" s="147">
        <f>((Physics!$C$9*Physics!$C$10)/(Physics!$C$11*Physics!$C$12*$H110))^($J$17-$J$18)</f>
        <v>2.3616617503651809E+18</v>
      </c>
      <c r="K110" s="147">
        <f t="shared" si="45"/>
        <v>1</v>
      </c>
      <c r="L110" s="147">
        <f>INDEX(Photobiology!$21:$421,1+$H110-380,10)</f>
        <v>8.7232799999999999E-2</v>
      </c>
      <c r="M110" s="147">
        <f t="shared" si="46"/>
        <v>1.9998074501774601E-3</v>
      </c>
      <c r="N110" s="147">
        <f ca="1">INDEX(Photobiology!$21:$421,1+$H110-380,N$14)</f>
        <v>0.63807800000000003</v>
      </c>
      <c r="O110" s="147">
        <f ca="1">INDEX(Photobiology!$21:$421,1+$H110-380,O$14)</f>
        <v>0.26374399999999998</v>
      </c>
      <c r="P110" s="147">
        <f ca="1">INDEX(Photobiology!$21:$421,1+$H110-380,P$14)</f>
        <v>0.14690500000000001</v>
      </c>
      <c r="Q110" s="147">
        <f ca="1">INDEX(Photobiology!$21:$421,1+$H110-380,Q$14)</f>
        <v>0.66400000000000003</v>
      </c>
      <c r="R110" s="147">
        <f ca="1">INDEX(Photobiology!$21:$421,1+$H110-380,R$14)</f>
        <v>0.84658699999999998</v>
      </c>
      <c r="S110" s="147">
        <f t="shared" si="47"/>
        <v>4722868763179430</v>
      </c>
      <c r="T110" s="147">
        <f ca="1">INDEX(Photobiology!$21:$421,1+$H110-380,T$14)</f>
        <v>0.60873243642473618</v>
      </c>
      <c r="U110" s="147">
        <f ca="1">INDEX(Photobiology!$21:$421,1+$H110-380,U$14)</f>
        <v>0.30399610189689363</v>
      </c>
      <c r="V110" s="147">
        <f ca="1">INDEX(Photobiology!$21:$421,1+$H110-380,V$14)</f>
        <v>0.17751136845390736</v>
      </c>
      <c r="W110" s="147">
        <f ca="1">INDEX(Photobiology!$21:$421,1+$H110-380,W$14)</f>
        <v>0.71569933681641951</v>
      </c>
      <c r="X110" s="147">
        <f ca="1">INDEX(Photobiology!$21:$421,1+$H110-380,X$14)</f>
        <v>0.88264192420555465</v>
      </c>
      <c r="Y110" s="147">
        <f t="shared" si="34"/>
        <v>1.9998074501774601E-3</v>
      </c>
      <c r="Z110" s="147">
        <f t="shared" ca="1" si="48"/>
        <v>1.2760331381943336E-3</v>
      </c>
      <c r="AA110" s="147">
        <f t="shared" ca="1" si="35"/>
        <v>5.27437216139604E-4</v>
      </c>
      <c r="AB110" s="147">
        <f t="shared" ca="1" si="36"/>
        <v>2.9378171346831981E-4</v>
      </c>
      <c r="AC110" s="147">
        <f t="shared" ca="1" si="37"/>
        <v>1.3278721469178335E-3</v>
      </c>
      <c r="AD110" s="147">
        <f t="shared" ca="1" si="38"/>
        <v>1.6930109898233854E-3</v>
      </c>
      <c r="AH110" s="147">
        <f t="shared" si="49"/>
        <v>469</v>
      </c>
      <c r="AI110" s="147">
        <f>IF($AH110&gt;$AH109,INDEX(Spectra!110:110,1,MATCH($AI$20,Spectra!$20:$20,0)),AI109)</f>
        <v>115.15600000000001</v>
      </c>
      <c r="AJ110" s="147">
        <f>((Physics!$C$9*Physics!$C$10)/(Physics!$C$11*Physics!$C$12*$AH110))^($AJ$17-$AJ$18)</f>
        <v>2.3616617503651809E+18</v>
      </c>
      <c r="AK110" s="147">
        <f t="shared" si="50"/>
        <v>1</v>
      </c>
      <c r="AL110" s="147">
        <f>INDEX(Photobiology!$21:$421,1+$AH110-380,10)</f>
        <v>8.7232799999999999E-2</v>
      </c>
      <c r="AM110" s="147">
        <f t="shared" si="51"/>
        <v>1.5955555175336403E-3</v>
      </c>
      <c r="AN110" s="147">
        <f ca="1">INDEX(Photobiology!$21:$421,1+$AH110-380,AN$14)</f>
        <v>0.63807800000000003</v>
      </c>
      <c r="AO110" s="147">
        <f ca="1">INDEX(Photobiology!$21:$421,1+$AH110-380,AO$14)</f>
        <v>0.26374399999999998</v>
      </c>
      <c r="AP110" s="147">
        <f ca="1">INDEX(Photobiology!$21:$421,1+$AH110-380,AP$14)</f>
        <v>0.14690500000000001</v>
      </c>
      <c r="AQ110" s="147">
        <f ca="1">INDEX(Photobiology!$21:$421,1+$AH110-380,AQ$14)</f>
        <v>0.66400000000000003</v>
      </c>
      <c r="AR110" s="147">
        <f ca="1">INDEX(Photobiology!$21:$421,1+$AH110-380,AR$14)</f>
        <v>0.84658699999999998</v>
      </c>
      <c r="AS110" s="147">
        <f t="shared" si="52"/>
        <v>3768162436343319</v>
      </c>
      <c r="AT110" s="147">
        <f ca="1">INDEX(Photobiology!$21:$421,1+$AH110-380,AT$14)</f>
        <v>0.60873243642473618</v>
      </c>
      <c r="AU110" s="147">
        <f ca="1">INDEX(Photobiology!$21:$421,1+$AH110-380,AU$14)</f>
        <v>0.30399610189689363</v>
      </c>
      <c r="AV110" s="147">
        <f ca="1">INDEX(Photobiology!$21:$421,1+$AH110-380,AV$14)</f>
        <v>0.17751136845390736</v>
      </c>
      <c r="AW110" s="147">
        <f ca="1">INDEX(Photobiology!$21:$421,1+$AH110-380,AW$14)</f>
        <v>0.71569933681641951</v>
      </c>
      <c r="AX110" s="147">
        <f ca="1">INDEX(Photobiology!$21:$421,1+$AH110-380,AX$14)</f>
        <v>0.88264192420555465</v>
      </c>
      <c r="AY110" s="147">
        <f t="shared" si="39"/>
        <v>1.5955555175336403E-3</v>
      </c>
      <c r="AZ110" s="147">
        <f t="shared" ca="1" si="53"/>
        <v>1.0180888735168302E-3</v>
      </c>
      <c r="BA110" s="147">
        <f t="shared" ca="1" si="40"/>
        <v>4.2081819441639238E-4</v>
      </c>
      <c r="BB110" s="147">
        <f t="shared" ca="1" si="41"/>
        <v>2.3439508330327943E-4</v>
      </c>
      <c r="BC110" s="147">
        <f t="shared" ca="1" si="42"/>
        <v>1.0594488636423373E-3</v>
      </c>
      <c r="BD110" s="147">
        <f t="shared" ca="1" si="43"/>
        <v>1.3507765589222519E-3</v>
      </c>
    </row>
    <row r="111" spans="8:56" s="147" customFormat="1" ht="0.25" customHeight="1" x14ac:dyDescent="0.2">
      <c r="H111" s="147">
        <f t="shared" si="44"/>
        <v>470</v>
      </c>
      <c r="I111" s="147">
        <f>IF($H111&gt;$H110,INDEX(Spectra!111:111,1,MATCH($I$20,Spectra!$20:$20,0)),I110)</f>
        <v>1.9898084129265801E-3</v>
      </c>
      <c r="J111" s="147">
        <f>((Physics!$C$9*Physics!$C$10)/(Physics!$C$11*Physics!$C$12*$H111))^($J$17-$J$18)</f>
        <v>2.3666972764853622E+18</v>
      </c>
      <c r="K111" s="147">
        <f t="shared" si="45"/>
        <v>1</v>
      </c>
      <c r="L111" s="147">
        <f>INDEX(Photobiology!$21:$421,1+$H111-380,10)</f>
        <v>9.0980000000000005E-2</v>
      </c>
      <c r="M111" s="147">
        <f t="shared" si="46"/>
        <v>1.9898084129265801E-3</v>
      </c>
      <c r="N111" s="147">
        <f ca="1">INDEX(Photobiology!$21:$421,1+$H111-380,N$14)</f>
        <v>0.610456</v>
      </c>
      <c r="O111" s="147">
        <f ca="1">INDEX(Photobiology!$21:$421,1+$H111-380,O$14)</f>
        <v>0.27144099999999999</v>
      </c>
      <c r="P111" s="147">
        <f ca="1">INDEX(Photobiology!$21:$421,1+$H111-380,P$14)</f>
        <v>0.15165100000000001</v>
      </c>
      <c r="Q111" s="147">
        <f ca="1">INDEX(Photobiology!$21:$421,1+$H111-380,Q$14)</f>
        <v>0.67600000000000005</v>
      </c>
      <c r="R111" s="147">
        <f ca="1">INDEX(Photobiology!$21:$421,1+$H111-380,R$14)</f>
        <v>0.86029100000000003</v>
      </c>
      <c r="S111" s="147">
        <f t="shared" si="47"/>
        <v>4709274151600998</v>
      </c>
      <c r="T111" s="147">
        <f ca="1">INDEX(Photobiology!$21:$421,1+$H111-380,T$14)</f>
        <v>0.58114167957234431</v>
      </c>
      <c r="U111" s="147">
        <f ca="1">INDEX(Photobiology!$21:$421,1+$H111-380,U$14)</f>
        <v>0.31220212705254252</v>
      </c>
      <c r="V111" s="147">
        <f ca="1">INDEX(Photobiology!$21:$421,1+$H111-380,V$14)</f>
        <v>0.18285627049529396</v>
      </c>
      <c r="W111" s="147">
        <f ca="1">INDEX(Photobiology!$21:$421,1+$H111-380,W$14)</f>
        <v>0.7270833777929534</v>
      </c>
      <c r="X111" s="147">
        <f ca="1">INDEX(Photobiology!$21:$421,1+$H111-380,X$14)</f>
        <v>0.89502119711827666</v>
      </c>
      <c r="Y111" s="147">
        <f t="shared" si="34"/>
        <v>1.9898084129265801E-3</v>
      </c>
      <c r="Z111" s="147">
        <f t="shared" ca="1" si="48"/>
        <v>1.2146904845215085E-3</v>
      </c>
      <c r="AA111" s="147">
        <f t="shared" ca="1" si="35"/>
        <v>5.4011558541320378E-4</v>
      </c>
      <c r="AB111" s="147">
        <f t="shared" ca="1" si="36"/>
        <v>3.0175643562872881E-4</v>
      </c>
      <c r="AC111" s="147">
        <f t="shared" ca="1" si="37"/>
        <v>1.3451104871383683E-3</v>
      </c>
      <c r="AD111" s="147">
        <f t="shared" ca="1" si="38"/>
        <v>1.7118142693650206E-3</v>
      </c>
      <c r="AH111" s="147">
        <f t="shared" si="49"/>
        <v>470</v>
      </c>
      <c r="AI111" s="147">
        <f>IF($AH111&gt;$AH110,INDEX(Spectra!111:111,1,MATCH($AI$20,Spectra!$20:$20,0)),AI110)</f>
        <v>114.861</v>
      </c>
      <c r="AJ111" s="147">
        <f>((Physics!$C$9*Physics!$C$10)/(Physics!$C$11*Physics!$C$12*$AH111))^($AJ$17-$AJ$18)</f>
        <v>2.3666972764853622E+18</v>
      </c>
      <c r="AK111" s="147">
        <f t="shared" si="50"/>
        <v>1</v>
      </c>
      <c r="AL111" s="147">
        <f>INDEX(Photobiology!$21:$421,1+$AH111-380,10)</f>
        <v>9.0980000000000005E-2</v>
      </c>
      <c r="AM111" s="147">
        <f t="shared" si="51"/>
        <v>1.5914681154210937E-3</v>
      </c>
      <c r="AN111" s="147">
        <f ca="1">INDEX(Photobiology!$21:$421,1+$AH111-380,AN$14)</f>
        <v>0.610456</v>
      </c>
      <c r="AO111" s="147">
        <f ca="1">INDEX(Photobiology!$21:$421,1+$AH111-380,AO$14)</f>
        <v>0.27144099999999999</v>
      </c>
      <c r="AP111" s="147">
        <f ca="1">INDEX(Photobiology!$21:$421,1+$AH111-380,AP$14)</f>
        <v>0.15165100000000001</v>
      </c>
      <c r="AQ111" s="147">
        <f ca="1">INDEX(Photobiology!$21:$421,1+$AH111-380,AQ$14)</f>
        <v>0.67600000000000005</v>
      </c>
      <c r="AR111" s="147">
        <f ca="1">INDEX(Photobiology!$21:$421,1+$AH111-380,AR$14)</f>
        <v>0.86029100000000003</v>
      </c>
      <c r="AS111" s="147">
        <f t="shared" si="52"/>
        <v>3766523254380394.5</v>
      </c>
      <c r="AT111" s="147">
        <f ca="1">INDEX(Photobiology!$21:$421,1+$AH111-380,AT$14)</f>
        <v>0.58114167957234431</v>
      </c>
      <c r="AU111" s="147">
        <f ca="1">INDEX(Photobiology!$21:$421,1+$AH111-380,AU$14)</f>
        <v>0.31220212705254252</v>
      </c>
      <c r="AV111" s="147">
        <f ca="1">INDEX(Photobiology!$21:$421,1+$AH111-380,AV$14)</f>
        <v>0.18285627049529396</v>
      </c>
      <c r="AW111" s="147">
        <f ca="1">INDEX(Photobiology!$21:$421,1+$AH111-380,AW$14)</f>
        <v>0.7270833777929534</v>
      </c>
      <c r="AX111" s="147">
        <f ca="1">INDEX(Photobiology!$21:$421,1+$AH111-380,AX$14)</f>
        <v>0.89502119711827666</v>
      </c>
      <c r="AY111" s="147">
        <f t="shared" si="39"/>
        <v>1.5914681154210937E-3</v>
      </c>
      <c r="AZ111" s="147">
        <f t="shared" ca="1" si="53"/>
        <v>9.7152125986749919E-4</v>
      </c>
      <c r="BA111" s="147">
        <f t="shared" ca="1" si="40"/>
        <v>4.3198969671801707E-4</v>
      </c>
      <c r="BB111" s="147">
        <f t="shared" ca="1" si="41"/>
        <v>2.4134773117172429E-4</v>
      </c>
      <c r="BC111" s="147">
        <f t="shared" ca="1" si="42"/>
        <v>1.0758324460246594E-3</v>
      </c>
      <c r="BD111" s="147">
        <f t="shared" ca="1" si="43"/>
        <v>1.3691256964837282E-3</v>
      </c>
    </row>
    <row r="112" spans="8:56" s="147" customFormat="1" ht="0.25" customHeight="1" x14ac:dyDescent="0.2">
      <c r="H112" s="147">
        <f t="shared" si="44"/>
        <v>471</v>
      </c>
      <c r="I112" s="147">
        <f>IF($H112&gt;$H111,INDEX(Spectra!112:112,1,MATCH($I$20,Spectra!$20:$20,0)),I111)</f>
        <v>1.9748098570502399E-3</v>
      </c>
      <c r="J112" s="147">
        <f>((Physics!$C$9*Physics!$C$10)/(Physics!$C$11*Physics!$C$12*$H112))^($J$17-$J$18)</f>
        <v>2.3717328026055439E+18</v>
      </c>
      <c r="K112" s="147">
        <f t="shared" si="45"/>
        <v>1</v>
      </c>
      <c r="L112" s="147">
        <f>INDEX(Photobiology!$21:$421,1+$H112-380,10)</f>
        <v>9.4917550000000003E-2</v>
      </c>
      <c r="M112" s="147">
        <f t="shared" si="46"/>
        <v>1.9748098570502399E-3</v>
      </c>
      <c r="N112" s="147">
        <f ca="1">INDEX(Photobiology!$21:$421,1+$H112-380,N$14)</f>
        <v>0.58234600000000003</v>
      </c>
      <c r="O112" s="147">
        <f ca="1">INDEX(Photobiology!$21:$421,1+$H112-380,O$14)</f>
        <v>0.27909699999999998</v>
      </c>
      <c r="P112" s="147">
        <f ca="1">INDEX(Photobiology!$21:$421,1+$H112-380,P$14)</f>
        <v>0.156475</v>
      </c>
      <c r="Q112" s="147">
        <f ca="1">INDEX(Photobiology!$21:$421,1+$H112-380,Q$14)</f>
        <v>0.68700000000000006</v>
      </c>
      <c r="R112" s="147">
        <f ca="1">INDEX(Photobiology!$21:$421,1+$H112-380,R$14)</f>
        <v>0.87292499999999995</v>
      </c>
      <c r="S112" s="147">
        <f t="shared" si="47"/>
        <v>4683721316874819</v>
      </c>
      <c r="T112" s="147">
        <f ca="1">INDEX(Photobiology!$21:$421,1+$H112-380,T$14)</f>
        <v>0.55320450120149356</v>
      </c>
      <c r="U112" s="147">
        <f ca="1">INDEX(Photobiology!$21:$421,1+$H112-380,U$14)</f>
        <v>0.32032625041774754</v>
      </c>
      <c r="V112" s="147">
        <f ca="1">INDEX(Photobiology!$21:$421,1+$H112-380,V$14)</f>
        <v>0.18827232696302496</v>
      </c>
      <c r="W112" s="147">
        <f ca="1">INDEX(Photobiology!$21:$421,1+$H112-380,W$14)</f>
        <v>0.73734579534782696</v>
      </c>
      <c r="X112" s="147">
        <f ca="1">INDEX(Photobiology!$21:$421,1+$H112-380,X$14)</f>
        <v>0.90623707137994669</v>
      </c>
      <c r="Y112" s="147">
        <f t="shared" si="34"/>
        <v>1.9748098570502399E-3</v>
      </c>
      <c r="Z112" s="147">
        <f t="shared" ca="1" si="48"/>
        <v>1.1500226210137791E-3</v>
      </c>
      <c r="AA112" s="147">
        <f t="shared" ca="1" si="35"/>
        <v>5.5116350667315083E-4</v>
      </c>
      <c r="AB112" s="147">
        <f t="shared" ca="1" si="36"/>
        <v>3.0900837238193631E-4</v>
      </c>
      <c r="AC112" s="147">
        <f t="shared" ca="1" si="37"/>
        <v>1.3566943717935149E-3</v>
      </c>
      <c r="AD112" s="147">
        <f t="shared" ca="1" si="38"/>
        <v>1.7238608944655806E-3</v>
      </c>
      <c r="AH112" s="147">
        <f t="shared" si="49"/>
        <v>471</v>
      </c>
      <c r="AI112" s="147">
        <f>IF($AH112&gt;$AH111,INDEX(Spectra!112:112,1,MATCH($AI$20,Spectra!$20:$20,0)),AI111)</f>
        <v>114.967</v>
      </c>
      <c r="AJ112" s="147">
        <f>((Physics!$C$9*Physics!$C$10)/(Physics!$C$11*Physics!$C$12*$AH112))^($AJ$17-$AJ$18)</f>
        <v>2.3717328026055439E+18</v>
      </c>
      <c r="AK112" s="147">
        <f t="shared" si="50"/>
        <v>1</v>
      </c>
      <c r="AL112" s="147">
        <f>INDEX(Photobiology!$21:$421,1+$AH112-380,10)</f>
        <v>9.4917550000000003E-2</v>
      </c>
      <c r="AM112" s="147">
        <f t="shared" si="51"/>
        <v>1.592936809061534E-3</v>
      </c>
      <c r="AN112" s="147">
        <f ca="1">INDEX(Photobiology!$21:$421,1+$AH112-380,AN$14)</f>
        <v>0.58234600000000003</v>
      </c>
      <c r="AO112" s="147">
        <f ca="1">INDEX(Photobiology!$21:$421,1+$AH112-380,AO$14)</f>
        <v>0.27909699999999998</v>
      </c>
      <c r="AP112" s="147">
        <f ca="1">INDEX(Photobiology!$21:$421,1+$AH112-380,AP$14)</f>
        <v>0.156475</v>
      </c>
      <c r="AQ112" s="147">
        <f ca="1">INDEX(Photobiology!$21:$421,1+$AH112-380,AQ$14)</f>
        <v>0.68700000000000006</v>
      </c>
      <c r="AR112" s="147">
        <f ca="1">INDEX(Photobiology!$21:$421,1+$AH112-380,AR$14)</f>
        <v>0.87292499999999995</v>
      </c>
      <c r="AS112" s="147">
        <f t="shared" si="52"/>
        <v>3778020482529044.5</v>
      </c>
      <c r="AT112" s="147">
        <f ca="1">INDEX(Photobiology!$21:$421,1+$AH112-380,AT$14)</f>
        <v>0.55320450120149356</v>
      </c>
      <c r="AU112" s="147">
        <f ca="1">INDEX(Photobiology!$21:$421,1+$AH112-380,AU$14)</f>
        <v>0.32032625041774754</v>
      </c>
      <c r="AV112" s="147">
        <f ca="1">INDEX(Photobiology!$21:$421,1+$AH112-380,AV$14)</f>
        <v>0.18827232696302496</v>
      </c>
      <c r="AW112" s="147">
        <f ca="1">INDEX(Photobiology!$21:$421,1+$AH112-380,AW$14)</f>
        <v>0.73734579534782696</v>
      </c>
      <c r="AX112" s="147">
        <f ca="1">INDEX(Photobiology!$21:$421,1+$AH112-380,AX$14)</f>
        <v>0.90623707137994669</v>
      </c>
      <c r="AY112" s="147">
        <f t="shared" si="39"/>
        <v>1.592936809061534E-3</v>
      </c>
      <c r="AZ112" s="147">
        <f t="shared" ca="1" si="53"/>
        <v>9.2764037900974815E-4</v>
      </c>
      <c r="BA112" s="147">
        <f t="shared" ca="1" si="40"/>
        <v>4.4458388459864691E-4</v>
      </c>
      <c r="BB112" s="147">
        <f t="shared" ca="1" si="41"/>
        <v>2.4925478719790356E-4</v>
      </c>
      <c r="BC112" s="147">
        <f t="shared" ca="1" si="42"/>
        <v>1.094347587825274E-3</v>
      </c>
      <c r="BD112" s="147">
        <f t="shared" ca="1" si="43"/>
        <v>1.3905143640500395E-3</v>
      </c>
    </row>
    <row r="113" spans="8:56" s="147" customFormat="1" ht="0.25" customHeight="1" x14ac:dyDescent="0.2">
      <c r="H113" s="147">
        <f t="shared" si="44"/>
        <v>472</v>
      </c>
      <c r="I113" s="147">
        <f>IF($H113&gt;$H112,INDEX(Spectra!113:113,1,MATCH($I$20,Spectra!$20:$20,0)),I112)</f>
        <v>1.9648108197993599E-3</v>
      </c>
      <c r="J113" s="147">
        <f>((Physics!$C$9*Physics!$C$10)/(Physics!$C$11*Physics!$C$12*$H113))^($J$17-$J$18)</f>
        <v>2.3767683287257257E+18</v>
      </c>
      <c r="K113" s="147">
        <f t="shared" si="45"/>
        <v>1</v>
      </c>
      <c r="L113" s="147">
        <f>INDEX(Photobiology!$21:$421,1+$H113-380,10)</f>
        <v>9.9045839999999996E-2</v>
      </c>
      <c r="M113" s="147">
        <f t="shared" si="46"/>
        <v>1.9648108197993599E-3</v>
      </c>
      <c r="N113" s="147">
        <f ca="1">INDEX(Photobiology!$21:$421,1+$H113-380,N$14)</f>
        <v>0.55406500000000003</v>
      </c>
      <c r="O113" s="147">
        <f ca="1">INDEX(Photobiology!$21:$421,1+$H113-380,O$14)</f>
        <v>0.28675499999999998</v>
      </c>
      <c r="P113" s="147">
        <f ca="1">INDEX(Photobiology!$21:$421,1+$H113-380,P$14)</f>
        <v>0.16140399999999999</v>
      </c>
      <c r="Q113" s="147">
        <f ca="1">INDEX(Photobiology!$21:$421,1+$H113-380,Q$14)</f>
        <v>0.69899999999999995</v>
      </c>
      <c r="R113" s="147">
        <f ca="1">INDEX(Photobiology!$21:$421,1+$H113-380,R$14)</f>
        <v>0.88487000000000005</v>
      </c>
      <c r="S113" s="147">
        <f t="shared" si="47"/>
        <v>4669900128436748</v>
      </c>
      <c r="T113" s="147">
        <f ca="1">INDEX(Photobiology!$21:$421,1+$H113-380,T$14)</f>
        <v>0.52522360196950146</v>
      </c>
      <c r="U113" s="147">
        <f ca="1">INDEX(Photobiology!$21:$421,1+$H113-380,U$14)</f>
        <v>0.3284182401156327</v>
      </c>
      <c r="V113" s="147">
        <f ca="1">INDEX(Photobiology!$21:$421,1+$H113-380,V$14)</f>
        <v>0.19379150345396834</v>
      </c>
      <c r="W113" s="147">
        <f ca="1">INDEX(Photobiology!$21:$421,1+$H113-380,W$14)</f>
        <v>0.74863573772163949</v>
      </c>
      <c r="X113" s="147">
        <f ca="1">INDEX(Photobiology!$21:$421,1+$H113-380,X$14)</f>
        <v>0.91669164297314143</v>
      </c>
      <c r="Y113" s="147">
        <f t="shared" si="34"/>
        <v>1.9648108197993599E-3</v>
      </c>
      <c r="Z113" s="147">
        <f t="shared" ca="1" si="48"/>
        <v>1.0886329068721325E-3</v>
      </c>
      <c r="AA113" s="147">
        <f t="shared" ca="1" si="35"/>
        <v>5.6341932663156544E-4</v>
      </c>
      <c r="AB113" s="147">
        <f t="shared" ca="1" si="36"/>
        <v>3.1712832555889589E-4</v>
      </c>
      <c r="AC113" s="147">
        <f t="shared" ca="1" si="37"/>
        <v>1.3734027630397524E-3</v>
      </c>
      <c r="AD113" s="147">
        <f t="shared" ca="1" si="38"/>
        <v>1.7386021501158597E-3</v>
      </c>
      <c r="AH113" s="147">
        <f t="shared" si="49"/>
        <v>472</v>
      </c>
      <c r="AI113" s="147">
        <f>IF($AH113&gt;$AH112,INDEX(Spectra!113:113,1,MATCH($AI$20,Spectra!$20:$20,0)),AI112)</f>
        <v>115.07299999999999</v>
      </c>
      <c r="AJ113" s="147">
        <f>((Physics!$C$9*Physics!$C$10)/(Physics!$C$11*Physics!$C$12*$AH113))^($AJ$17-$AJ$18)</f>
        <v>2.3767683287257257E+18</v>
      </c>
      <c r="AK113" s="147">
        <f t="shared" si="50"/>
        <v>1</v>
      </c>
      <c r="AL113" s="147">
        <f>INDEX(Photobiology!$21:$421,1+$AH113-380,10)</f>
        <v>9.9045839999999996E-2</v>
      </c>
      <c r="AM113" s="147">
        <f t="shared" si="51"/>
        <v>1.5944055027019746E-3</v>
      </c>
      <c r="AN113" s="147">
        <f ca="1">INDEX(Photobiology!$21:$421,1+$AH113-380,AN$14)</f>
        <v>0.55406500000000003</v>
      </c>
      <c r="AO113" s="147">
        <f ca="1">INDEX(Photobiology!$21:$421,1+$AH113-380,AO$14)</f>
        <v>0.28675499999999998</v>
      </c>
      <c r="AP113" s="147">
        <f ca="1">INDEX(Photobiology!$21:$421,1+$AH113-380,AP$14)</f>
        <v>0.16140399999999999</v>
      </c>
      <c r="AQ113" s="147">
        <f ca="1">INDEX(Photobiology!$21:$421,1+$AH113-380,AQ$14)</f>
        <v>0.69899999999999995</v>
      </c>
      <c r="AR113" s="147">
        <f ca="1">INDEX(Photobiology!$21:$421,1+$AH113-380,AR$14)</f>
        <v>0.88487000000000005</v>
      </c>
      <c r="AS113" s="147">
        <f t="shared" si="52"/>
        <v>3789532501968072.5</v>
      </c>
      <c r="AT113" s="147">
        <f ca="1">INDEX(Photobiology!$21:$421,1+$AH113-380,AT$14)</f>
        <v>0.52522360196950146</v>
      </c>
      <c r="AU113" s="147">
        <f ca="1">INDEX(Photobiology!$21:$421,1+$AH113-380,AU$14)</f>
        <v>0.3284182401156327</v>
      </c>
      <c r="AV113" s="147">
        <f ca="1">INDEX(Photobiology!$21:$421,1+$AH113-380,AV$14)</f>
        <v>0.19379150345396834</v>
      </c>
      <c r="AW113" s="147">
        <f ca="1">INDEX(Photobiology!$21:$421,1+$AH113-380,AW$14)</f>
        <v>0.74863573772163949</v>
      </c>
      <c r="AX113" s="147">
        <f ca="1">INDEX(Photobiology!$21:$421,1+$AH113-380,AX$14)</f>
        <v>0.91669164297314143</v>
      </c>
      <c r="AY113" s="147">
        <f t="shared" si="39"/>
        <v>1.5944055027019746E-3</v>
      </c>
      <c r="AZ113" s="147">
        <f t="shared" ca="1" si="53"/>
        <v>8.8340428485456958E-4</v>
      </c>
      <c r="BA113" s="147">
        <f t="shared" ca="1" si="40"/>
        <v>4.5720374992730471E-4</v>
      </c>
      <c r="BB113" s="147">
        <f t="shared" ca="1" si="41"/>
        <v>2.5734342575810948E-4</v>
      </c>
      <c r="BC113" s="147">
        <f t="shared" ca="1" si="42"/>
        <v>1.1144894463886801E-3</v>
      </c>
      <c r="BD113" s="147">
        <f t="shared" ca="1" si="43"/>
        <v>1.4108415971758963E-3</v>
      </c>
    </row>
    <row r="114" spans="8:56" s="147" customFormat="1" ht="0.25" customHeight="1" x14ac:dyDescent="0.2">
      <c r="H114" s="147">
        <f t="shared" si="44"/>
        <v>473</v>
      </c>
      <c r="I114" s="147">
        <f>IF($H114&gt;$H113,INDEX(Spectra!114:114,1,MATCH($I$20,Spectra!$20:$20,0)),I113)</f>
        <v>1.9698103384248001E-3</v>
      </c>
      <c r="J114" s="147">
        <f>((Physics!$C$9*Physics!$C$10)/(Physics!$C$11*Physics!$C$12*$H114))^($J$17-$J$18)</f>
        <v>2.3818038548459075E+18</v>
      </c>
      <c r="K114" s="147">
        <f t="shared" si="45"/>
        <v>1</v>
      </c>
      <c r="L114" s="147">
        <f>INDEX(Photobiology!$21:$421,1+$H114-380,10)</f>
        <v>0.1033674</v>
      </c>
      <c r="M114" s="147">
        <f t="shared" si="46"/>
        <v>1.9698103384248001E-3</v>
      </c>
      <c r="N114" s="147">
        <f ca="1">INDEX(Photobiology!$21:$421,1+$H114-380,N$14)</f>
        <v>0.52590300000000001</v>
      </c>
      <c r="O114" s="147">
        <f ca="1">INDEX(Photobiology!$21:$421,1+$H114-380,O$14)</f>
        <v>0.29447600000000002</v>
      </c>
      <c r="P114" s="147">
        <f ca="1">INDEX(Photobiology!$21:$421,1+$H114-380,P$14)</f>
        <v>0.166464</v>
      </c>
      <c r="Q114" s="147">
        <f ca="1">INDEX(Photobiology!$21:$421,1+$H114-380,Q$14)</f>
        <v>0.71</v>
      </c>
      <c r="R114" s="147">
        <f ca="1">INDEX(Photobiology!$21:$421,1+$H114-380,R$14)</f>
        <v>0.89624199999999998</v>
      </c>
      <c r="S114" s="147">
        <f t="shared" si="47"/>
        <v>4691701857375510</v>
      </c>
      <c r="T114" s="147">
        <f ca="1">INDEX(Photobiology!$21:$421,1+$H114-380,T$14)</f>
        <v>0.49747358227113431</v>
      </c>
      <c r="U114" s="147">
        <f ca="1">INDEX(Photobiology!$21:$421,1+$H114-380,U$14)</f>
        <v>0.3365480150712401</v>
      </c>
      <c r="V114" s="147">
        <f ca="1">INDEX(Photobiology!$21:$421,1+$H114-380,V$14)</f>
        <v>0.19944429712011996</v>
      </c>
      <c r="W114" s="147">
        <f ca="1">INDEX(Photobiology!$21:$421,1+$H114-380,W$14)</f>
        <v>0.75880919714746775</v>
      </c>
      <c r="X114" s="147">
        <f ca="1">INDEX(Photobiology!$21:$421,1+$H114-380,X$14)</f>
        <v>0.92650965797865104</v>
      </c>
      <c r="Y114" s="147">
        <f t="shared" si="34"/>
        <v>1.9698103384248001E-3</v>
      </c>
      <c r="Z114" s="147">
        <f t="shared" ca="1" si="48"/>
        <v>1.0359291664086177E-3</v>
      </c>
      <c r="AA114" s="147">
        <f t="shared" ca="1" si="35"/>
        <v>5.8006186921798143E-4</v>
      </c>
      <c r="AB114" s="147">
        <f t="shared" ca="1" si="36"/>
        <v>3.2790250817554595E-4</v>
      </c>
      <c r="AC114" s="147">
        <f t="shared" ca="1" si="37"/>
        <v>1.3985653402816081E-3</v>
      </c>
      <c r="AD114" s="147">
        <f t="shared" ca="1" si="38"/>
        <v>1.7654267573305198E-3</v>
      </c>
      <c r="AH114" s="147">
        <f t="shared" si="49"/>
        <v>473</v>
      </c>
      <c r="AI114" s="147">
        <f>IF($AH114&gt;$AH113,INDEX(Spectra!114:114,1,MATCH($AI$20,Spectra!$20:$20,0)),AI113)</f>
        <v>115.18</v>
      </c>
      <c r="AJ114" s="147">
        <f>((Physics!$C$9*Physics!$C$10)/(Physics!$C$11*Physics!$C$12*$AH114))^($AJ$17-$AJ$18)</f>
        <v>2.3818038548459075E+18</v>
      </c>
      <c r="AK114" s="147">
        <f t="shared" si="50"/>
        <v>1</v>
      </c>
      <c r="AL114" s="147">
        <f>INDEX(Photobiology!$21:$421,1+$AH114-380,10)</f>
        <v>0.1033674</v>
      </c>
      <c r="AM114" s="147">
        <f t="shared" si="51"/>
        <v>1.5958880519427968E-3</v>
      </c>
      <c r="AN114" s="147">
        <f ca="1">INDEX(Photobiology!$21:$421,1+$AH114-380,AN$14)</f>
        <v>0.52590300000000001</v>
      </c>
      <c r="AO114" s="147">
        <f ca="1">INDEX(Photobiology!$21:$421,1+$AH114-380,AO$14)</f>
        <v>0.29447600000000002</v>
      </c>
      <c r="AP114" s="147">
        <f ca="1">INDEX(Photobiology!$21:$421,1+$AH114-380,AP$14)</f>
        <v>0.166464</v>
      </c>
      <c r="AQ114" s="147">
        <f ca="1">INDEX(Photobiology!$21:$421,1+$AH114-380,AQ$14)</f>
        <v>0.71</v>
      </c>
      <c r="AR114" s="147">
        <f ca="1">INDEX(Photobiology!$21:$421,1+$AH114-380,AR$14)</f>
        <v>0.89624199999999998</v>
      </c>
      <c r="AS114" s="147">
        <f t="shared" si="52"/>
        <v>3801092314019879</v>
      </c>
      <c r="AT114" s="147">
        <f ca="1">INDEX(Photobiology!$21:$421,1+$AH114-380,AT$14)</f>
        <v>0.49747358227113431</v>
      </c>
      <c r="AU114" s="147">
        <f ca="1">INDEX(Photobiology!$21:$421,1+$AH114-380,AU$14)</f>
        <v>0.3365480150712401</v>
      </c>
      <c r="AV114" s="147">
        <f ca="1">INDEX(Photobiology!$21:$421,1+$AH114-380,AV$14)</f>
        <v>0.19944429712011996</v>
      </c>
      <c r="AW114" s="147">
        <f ca="1">INDEX(Photobiology!$21:$421,1+$AH114-380,AW$14)</f>
        <v>0.75880919714746775</v>
      </c>
      <c r="AX114" s="147">
        <f ca="1">INDEX(Photobiology!$21:$421,1+$AH114-380,AX$14)</f>
        <v>0.92650965797865104</v>
      </c>
      <c r="AY114" s="147">
        <f t="shared" si="39"/>
        <v>1.5958880519427968E-3</v>
      </c>
      <c r="AZ114" s="147">
        <f t="shared" ca="1" si="53"/>
        <v>8.3928231418087273E-4</v>
      </c>
      <c r="BA114" s="147">
        <f t="shared" ca="1" si="40"/>
        <v>4.6995072998390705E-4</v>
      </c>
      <c r="BB114" s="147">
        <f t="shared" ca="1" si="41"/>
        <v>2.656579086786057E-4</v>
      </c>
      <c r="BC114" s="147">
        <f t="shared" ca="1" si="42"/>
        <v>1.1330805168793857E-3</v>
      </c>
      <c r="BD114" s="147">
        <f t="shared" ca="1" si="43"/>
        <v>1.4303018994493162E-3</v>
      </c>
    </row>
    <row r="115" spans="8:56" s="147" customFormat="1" ht="0.25" customHeight="1" x14ac:dyDescent="0.2">
      <c r="H115" s="147">
        <f t="shared" si="44"/>
        <v>474</v>
      </c>
      <c r="I115" s="147">
        <f>IF($H115&gt;$H114,INDEX(Spectra!115:115,1,MATCH($I$20,Spectra!$20:$20,0)),I114)</f>
        <v>1.9748098570502399E-3</v>
      </c>
      <c r="J115" s="147">
        <f>((Physics!$C$9*Physics!$C$10)/(Physics!$C$11*Physics!$C$12*$H115))^($J$17-$J$18)</f>
        <v>2.3868393809660892E+18</v>
      </c>
      <c r="K115" s="147">
        <f t="shared" si="45"/>
        <v>1</v>
      </c>
      <c r="L115" s="147">
        <f>INDEX(Photobiology!$21:$421,1+$H115-380,10)</f>
        <v>0.1078846</v>
      </c>
      <c r="M115" s="147">
        <f t="shared" si="46"/>
        <v>1.9748098570502399E-3</v>
      </c>
      <c r="N115" s="147">
        <f ca="1">INDEX(Photobiology!$21:$421,1+$H115-380,N$14)</f>
        <v>0.498108</v>
      </c>
      <c r="O115" s="147">
        <f ca="1">INDEX(Photobiology!$21:$421,1+$H115-380,O$14)</f>
        <v>0.30232300000000001</v>
      </c>
      <c r="P115" s="147">
        <f ca="1">INDEX(Photobiology!$21:$421,1+$H115-380,P$14)</f>
        <v>0.17169000000000001</v>
      </c>
      <c r="Q115" s="147">
        <f ca="1">INDEX(Photobiology!$21:$421,1+$H115-380,Q$14)</f>
        <v>0.72199999999999998</v>
      </c>
      <c r="R115" s="147">
        <f ca="1">INDEX(Photobiology!$21:$421,1+$H115-380,R$14)</f>
        <v>0.90715800000000002</v>
      </c>
      <c r="S115" s="147">
        <f t="shared" si="47"/>
        <v>4713553936727526</v>
      </c>
      <c r="T115" s="147">
        <f ca="1">INDEX(Photobiology!$21:$421,1+$H115-380,T$14)</f>
        <v>0.47018707946411542</v>
      </c>
      <c r="U115" s="147">
        <f ca="1">INDEX(Photobiology!$21:$421,1+$H115-380,U$14)</f>
        <v>0.34478718509580408</v>
      </c>
      <c r="V115" s="147">
        <f ca="1">INDEX(Photobiology!$21:$421,1+$H115-380,V$14)</f>
        <v>0.20527170810867737</v>
      </c>
      <c r="W115" s="147">
        <f ca="1">INDEX(Photobiology!$21:$421,1+$H115-380,W$14)</f>
        <v>0.77000622119523121</v>
      </c>
      <c r="X115" s="147">
        <f ca="1">INDEX(Photobiology!$21:$421,1+$H115-380,X$14)</f>
        <v>0.93581584135851781</v>
      </c>
      <c r="Y115" s="147">
        <f t="shared" si="34"/>
        <v>1.9748098570502399E-3</v>
      </c>
      <c r="Z115" s="147">
        <f t="shared" ca="1" si="48"/>
        <v>9.8366858827558085E-4</v>
      </c>
      <c r="AA115" s="147">
        <f t="shared" ca="1" si="35"/>
        <v>5.9703044041299971E-4</v>
      </c>
      <c r="AB115" s="147">
        <f t="shared" ca="1" si="36"/>
        <v>3.3905510435695569E-4</v>
      </c>
      <c r="AC115" s="147">
        <f t="shared" ca="1" si="37"/>
        <v>1.4258127167902732E-3</v>
      </c>
      <c r="AD115" s="147">
        <f t="shared" ca="1" si="38"/>
        <v>1.7914645603019817E-3</v>
      </c>
      <c r="AH115" s="147">
        <f t="shared" si="49"/>
        <v>474</v>
      </c>
      <c r="AI115" s="147">
        <f>IF($AH115&gt;$AH114,INDEX(Spectra!115:115,1,MATCH($AI$20,Spectra!$20:$20,0)),AI114)</f>
        <v>115.286</v>
      </c>
      <c r="AJ115" s="147">
        <f>((Physics!$C$9*Physics!$C$10)/(Physics!$C$11*Physics!$C$12*$AH115))^($AJ$17-$AJ$18)</f>
        <v>2.3868393809660892E+18</v>
      </c>
      <c r="AK115" s="147">
        <f t="shared" si="50"/>
        <v>1</v>
      </c>
      <c r="AL115" s="147">
        <f>INDEX(Photobiology!$21:$421,1+$AH115-380,10)</f>
        <v>0.1078846</v>
      </c>
      <c r="AM115" s="147">
        <f t="shared" si="51"/>
        <v>1.5973567455832372E-3</v>
      </c>
      <c r="AN115" s="147">
        <f ca="1">INDEX(Photobiology!$21:$421,1+$AH115-380,AN$14)</f>
        <v>0.498108</v>
      </c>
      <c r="AO115" s="147">
        <f ca="1">INDEX(Photobiology!$21:$421,1+$AH115-380,AO$14)</f>
        <v>0.30232300000000001</v>
      </c>
      <c r="AP115" s="147">
        <f ca="1">INDEX(Photobiology!$21:$421,1+$AH115-380,AP$14)</f>
        <v>0.17169000000000001</v>
      </c>
      <c r="AQ115" s="147">
        <f ca="1">INDEX(Photobiology!$21:$421,1+$AH115-380,AQ$14)</f>
        <v>0.72199999999999998</v>
      </c>
      <c r="AR115" s="147">
        <f ca="1">INDEX(Photobiology!$21:$421,1+$AH115-380,AR$14)</f>
        <v>0.90715800000000002</v>
      </c>
      <c r="AS115" s="147">
        <f t="shared" si="52"/>
        <v>3812633985809900.5</v>
      </c>
      <c r="AT115" s="147">
        <f ca="1">INDEX(Photobiology!$21:$421,1+$AH115-380,AT$14)</f>
        <v>0.47018707946411542</v>
      </c>
      <c r="AU115" s="147">
        <f ca="1">INDEX(Photobiology!$21:$421,1+$AH115-380,AU$14)</f>
        <v>0.34478718509580408</v>
      </c>
      <c r="AV115" s="147">
        <f ca="1">INDEX(Photobiology!$21:$421,1+$AH115-380,AV$14)</f>
        <v>0.20527170810867737</v>
      </c>
      <c r="AW115" s="147">
        <f ca="1">INDEX(Photobiology!$21:$421,1+$AH115-380,AW$14)</f>
        <v>0.77000622119523121</v>
      </c>
      <c r="AX115" s="147">
        <f ca="1">INDEX(Photobiology!$21:$421,1+$AH115-380,AX$14)</f>
        <v>0.93581584135851781</v>
      </c>
      <c r="AY115" s="147">
        <f t="shared" si="39"/>
        <v>1.5973567455832372E-3</v>
      </c>
      <c r="AZ115" s="147">
        <f t="shared" ca="1" si="53"/>
        <v>7.9565617382897514E-4</v>
      </c>
      <c r="BA115" s="147">
        <f t="shared" ca="1" si="40"/>
        <v>4.8291768339496103E-4</v>
      </c>
      <c r="BB115" s="147">
        <f t="shared" ca="1" si="41"/>
        <v>2.7425017964918602E-4</v>
      </c>
      <c r="BC115" s="147">
        <f t="shared" ca="1" si="42"/>
        <v>1.1532915703110973E-3</v>
      </c>
      <c r="BD115" s="147">
        <f t="shared" ca="1" si="43"/>
        <v>1.4490549506097983E-3</v>
      </c>
    </row>
    <row r="116" spans="8:56" s="147" customFormat="1" ht="0.25" customHeight="1" x14ac:dyDescent="0.2">
      <c r="H116" s="147">
        <f t="shared" si="44"/>
        <v>475</v>
      </c>
      <c r="I116" s="147">
        <f>IF($H116&gt;$H115,INDEX(Spectra!116:116,1,MATCH($I$20,Spectra!$20:$20,0)),I115)</f>
        <v>1.9798093756756901E-3</v>
      </c>
      <c r="J116" s="147">
        <f>((Physics!$C$9*Physics!$C$10)/(Physics!$C$11*Physics!$C$12*$H116))^($J$17-$J$18)</f>
        <v>2.3918749070862705E+18</v>
      </c>
      <c r="K116" s="147">
        <f t="shared" si="45"/>
        <v>1</v>
      </c>
      <c r="L116" s="147">
        <f>INDEX(Photobiology!$21:$421,1+$H116-380,10)</f>
        <v>0.11260000000000001</v>
      </c>
      <c r="M116" s="147">
        <f t="shared" si="46"/>
        <v>1.9798093756756901E-3</v>
      </c>
      <c r="N116" s="147">
        <f ca="1">INDEX(Photobiology!$21:$421,1+$H116-380,N$14)</f>
        <v>0.47089399999999998</v>
      </c>
      <c r="O116" s="147">
        <f ca="1">INDEX(Photobiology!$21:$421,1+$H116-380,O$14)</f>
        <v>0.31037199999999998</v>
      </c>
      <c r="P116" s="147">
        <f ca="1">INDEX(Photobiology!$21:$421,1+$H116-380,P$14)</f>
        <v>0.177116</v>
      </c>
      <c r="Q116" s="147">
        <f ca="1">INDEX(Photobiology!$21:$421,1+$H116-380,Q$14)</f>
        <v>0.73399999999999999</v>
      </c>
      <c r="R116" s="147">
        <f ca="1">INDEX(Photobiology!$21:$421,1+$H116-380,R$14)</f>
        <v>0.91773400000000005</v>
      </c>
      <c r="S116" s="147">
        <f t="shared" si="47"/>
        <v>4735456366492818</v>
      </c>
      <c r="T116" s="147">
        <f ca="1">INDEX(Photobiology!$21:$421,1+$H116-380,T$14)</f>
        <v>0.4435627452556728</v>
      </c>
      <c r="U116" s="147">
        <f ca="1">INDEX(Photobiology!$21:$421,1+$H116-380,U$14)</f>
        <v>0.35322155173353997</v>
      </c>
      <c r="V116" s="147">
        <f ca="1">INDEX(Photobiology!$21:$421,1+$H116-380,V$14)</f>
        <v>0.2113131982244677</v>
      </c>
      <c r="W116" s="147">
        <f ca="1">INDEX(Photobiology!$21:$421,1+$H116-380,W$14)</f>
        <v>0.78115609987858314</v>
      </c>
      <c r="X116" s="147">
        <f ca="1">INDEX(Photobiology!$21:$421,1+$H116-380,X$14)</f>
        <v>0.94473283834028965</v>
      </c>
      <c r="Y116" s="147">
        <f t="shared" si="34"/>
        <v>1.9798093756756901E-3</v>
      </c>
      <c r="Z116" s="147">
        <f t="shared" ca="1" si="48"/>
        <v>9.3228035614942837E-4</v>
      </c>
      <c r="AA116" s="147">
        <f t="shared" ca="1" si="35"/>
        <v>6.1447739554721531E-4</v>
      </c>
      <c r="AB116" s="147">
        <f t="shared" ca="1" si="36"/>
        <v>3.506559173821755E-4</v>
      </c>
      <c r="AC116" s="147">
        <f t="shared" ca="1" si="37"/>
        <v>1.4531800817459565E-3</v>
      </c>
      <c r="AD116" s="147">
        <f t="shared" ca="1" si="38"/>
        <v>1.8169383775763538E-3</v>
      </c>
      <c r="AH116" s="147">
        <f t="shared" si="49"/>
        <v>475</v>
      </c>
      <c r="AI116" s="147">
        <f>IF($AH116&gt;$AH115,INDEX(Spectra!116:116,1,MATCH($AI$20,Spectra!$20:$20,0)),AI115)</f>
        <v>115.392</v>
      </c>
      <c r="AJ116" s="147">
        <f>((Physics!$C$9*Physics!$C$10)/(Physics!$C$11*Physics!$C$12*$AH116))^($AJ$17-$AJ$18)</f>
        <v>2.3918749070862705E+18</v>
      </c>
      <c r="AK116" s="147">
        <f t="shared" si="50"/>
        <v>1</v>
      </c>
      <c r="AL116" s="147">
        <f>INDEX(Photobiology!$21:$421,1+$AH116-380,10)</f>
        <v>0.11260000000000001</v>
      </c>
      <c r="AM116" s="147">
        <f t="shared" si="51"/>
        <v>1.5988254392236775E-3</v>
      </c>
      <c r="AN116" s="147">
        <f ca="1">INDEX(Photobiology!$21:$421,1+$AH116-380,AN$14)</f>
        <v>0.47089399999999998</v>
      </c>
      <c r="AO116" s="147">
        <f ca="1">INDEX(Photobiology!$21:$421,1+$AH116-380,AO$14)</f>
        <v>0.31037199999999998</v>
      </c>
      <c r="AP116" s="147">
        <f ca="1">INDEX(Photobiology!$21:$421,1+$AH116-380,AP$14)</f>
        <v>0.177116</v>
      </c>
      <c r="AQ116" s="147">
        <f ca="1">INDEX(Photobiology!$21:$421,1+$AH116-380,AQ$14)</f>
        <v>0.73399999999999999</v>
      </c>
      <c r="AR116" s="147">
        <f ca="1">INDEX(Photobiology!$21:$421,1+$AH116-380,AR$14)</f>
        <v>0.91773400000000005</v>
      </c>
      <c r="AS116" s="147">
        <f t="shared" si="52"/>
        <v>3824190448890299</v>
      </c>
      <c r="AT116" s="147">
        <f ca="1">INDEX(Photobiology!$21:$421,1+$AH116-380,AT$14)</f>
        <v>0.4435627452556728</v>
      </c>
      <c r="AU116" s="147">
        <f ca="1">INDEX(Photobiology!$21:$421,1+$AH116-380,AU$14)</f>
        <v>0.35322155173353997</v>
      </c>
      <c r="AV116" s="147">
        <f ca="1">INDEX(Photobiology!$21:$421,1+$AH116-380,AV$14)</f>
        <v>0.2113131982244677</v>
      </c>
      <c r="AW116" s="147">
        <f ca="1">INDEX(Photobiology!$21:$421,1+$AH116-380,AW$14)</f>
        <v>0.78115609987858314</v>
      </c>
      <c r="AX116" s="147">
        <f ca="1">INDEX(Photobiology!$21:$421,1+$AH116-380,AX$14)</f>
        <v>0.94473283834028965</v>
      </c>
      <c r="AY116" s="147">
        <f t="shared" si="39"/>
        <v>1.5988254392236775E-3</v>
      </c>
      <c r="AZ116" s="147">
        <f t="shared" ca="1" si="53"/>
        <v>7.5287730637779433E-4</v>
      </c>
      <c r="BA116" s="147">
        <f t="shared" ca="1" si="40"/>
        <v>4.962306492227312E-4</v>
      </c>
      <c r="BB116" s="147">
        <f t="shared" ca="1" si="41"/>
        <v>2.8317756649354084E-4</v>
      </c>
      <c r="BC116" s="147">
        <f t="shared" ca="1" si="42"/>
        <v>1.1735378723901793E-3</v>
      </c>
      <c r="BD116" s="147">
        <f t="shared" ca="1" si="43"/>
        <v>1.4672964656405026E-3</v>
      </c>
    </row>
    <row r="117" spans="8:56" s="147" customFormat="1" ht="0.25" customHeight="1" x14ac:dyDescent="0.2">
      <c r="H117" s="147">
        <f t="shared" si="44"/>
        <v>476</v>
      </c>
      <c r="I117" s="147">
        <f>IF($H117&gt;$H116,INDEX(Spectra!117:117,1,MATCH($I$20,Spectra!$20:$20,0)),I116)</f>
        <v>1.9698103384248001E-3</v>
      </c>
      <c r="J117" s="147">
        <f>((Physics!$C$9*Physics!$C$10)/(Physics!$C$11*Physics!$C$12*$H117))^($J$17-$J$18)</f>
        <v>2.3969104332064522E+18</v>
      </c>
      <c r="K117" s="147">
        <f t="shared" si="45"/>
        <v>1</v>
      </c>
      <c r="L117" s="147">
        <f>INDEX(Photobiology!$21:$421,1+$H117-380,10)</f>
        <v>0.117532</v>
      </c>
      <c r="M117" s="147">
        <f t="shared" si="46"/>
        <v>1.9698103384248001E-3</v>
      </c>
      <c r="N117" s="147">
        <f ca="1">INDEX(Photobiology!$21:$421,1+$H117-380,N$14)</f>
        <v>0.44445000000000001</v>
      </c>
      <c r="O117" s="147">
        <f ca="1">INDEX(Photobiology!$21:$421,1+$H117-380,O$14)</f>
        <v>0.31869199999999998</v>
      </c>
      <c r="P117" s="147">
        <f ca="1">INDEX(Photobiology!$21:$421,1+$H117-380,P$14)</f>
        <v>0.182777</v>
      </c>
      <c r="Q117" s="147">
        <f ca="1">INDEX(Photobiology!$21:$421,1+$H117-380,Q$14)</f>
        <v>0.745</v>
      </c>
      <c r="R117" s="147">
        <f ca="1">INDEX(Photobiology!$21:$421,1+$H117-380,R$14)</f>
        <v>0.92834499999999998</v>
      </c>
      <c r="S117" s="147">
        <f t="shared" si="47"/>
        <v>4721458951608336</v>
      </c>
      <c r="T117" s="147">
        <f ca="1">INDEX(Photobiology!$21:$421,1+$H117-380,T$14)</f>
        <v>0.41777406251368443</v>
      </c>
      <c r="U117" s="147">
        <f ca="1">INDEX(Photobiology!$21:$421,1+$H117-380,U$14)</f>
        <v>0.36192824583261018</v>
      </c>
      <c r="V117" s="147">
        <f ca="1">INDEX(Photobiology!$21:$421,1+$H117-380,V$14)</f>
        <v>0.21760908823201952</v>
      </c>
      <c r="W117" s="147">
        <f ca="1">INDEX(Photobiology!$21:$421,1+$H117-380,W$14)</f>
        <v>0.79119712077408699</v>
      </c>
      <c r="X117" s="147">
        <f ca="1">INDEX(Photobiology!$21:$421,1+$H117-380,X$14)</f>
        <v>0.9536483229214443</v>
      </c>
      <c r="Y117" s="147">
        <f t="shared" si="34"/>
        <v>1.9698103384248001E-3</v>
      </c>
      <c r="Z117" s="147">
        <f t="shared" ca="1" si="48"/>
        <v>8.7548220491290242E-4</v>
      </c>
      <c r="AA117" s="147">
        <f t="shared" ca="1" si="35"/>
        <v>6.2776279637327638E-4</v>
      </c>
      <c r="AB117" s="147">
        <f t="shared" ca="1" si="36"/>
        <v>3.6003602422626969E-4</v>
      </c>
      <c r="AC117" s="147">
        <f t="shared" ca="1" si="37"/>
        <v>1.4675087021264761E-3</v>
      </c>
      <c r="AD117" s="147">
        <f t="shared" ca="1" si="38"/>
        <v>1.828663578624971E-3</v>
      </c>
      <c r="AH117" s="147">
        <f t="shared" si="49"/>
        <v>476</v>
      </c>
      <c r="AI117" s="147">
        <f>IF($AH117&gt;$AH116,INDEX(Spectra!117:117,1,MATCH($AI$20,Spectra!$20:$20,0)),AI116)</f>
        <v>115.498</v>
      </c>
      <c r="AJ117" s="147">
        <f>((Physics!$C$9*Physics!$C$10)/(Physics!$C$11*Physics!$C$12*$AH117))^($AJ$17-$AJ$18)</f>
        <v>2.3969104332064522E+18</v>
      </c>
      <c r="AK117" s="147">
        <f t="shared" si="50"/>
        <v>1</v>
      </c>
      <c r="AL117" s="147">
        <f>INDEX(Photobiology!$21:$421,1+$AH117-380,10)</f>
        <v>0.117532</v>
      </c>
      <c r="AM117" s="147">
        <f t="shared" si="51"/>
        <v>1.6002941328641181E-3</v>
      </c>
      <c r="AN117" s="147">
        <f ca="1">INDEX(Photobiology!$21:$421,1+$AH117-380,AN$14)</f>
        <v>0.44445000000000001</v>
      </c>
      <c r="AO117" s="147">
        <f ca="1">INDEX(Photobiology!$21:$421,1+$AH117-380,AO$14)</f>
        <v>0.31869199999999998</v>
      </c>
      <c r="AP117" s="147">
        <f ca="1">INDEX(Photobiology!$21:$421,1+$AH117-380,AP$14)</f>
        <v>0.182777</v>
      </c>
      <c r="AQ117" s="147">
        <f ca="1">INDEX(Photobiology!$21:$421,1+$AH117-380,AQ$14)</f>
        <v>0.745</v>
      </c>
      <c r="AR117" s="147">
        <f ca="1">INDEX(Photobiology!$21:$421,1+$AH117-380,AR$14)</f>
        <v>0.92834499999999998</v>
      </c>
      <c r="AS117" s="147">
        <f t="shared" si="52"/>
        <v>3835761703261077</v>
      </c>
      <c r="AT117" s="147">
        <f ca="1">INDEX(Photobiology!$21:$421,1+$AH117-380,AT$14)</f>
        <v>0.41777406251368443</v>
      </c>
      <c r="AU117" s="147">
        <f ca="1">INDEX(Photobiology!$21:$421,1+$AH117-380,AU$14)</f>
        <v>0.36192824583261018</v>
      </c>
      <c r="AV117" s="147">
        <f ca="1">INDEX(Photobiology!$21:$421,1+$AH117-380,AV$14)</f>
        <v>0.21760908823201952</v>
      </c>
      <c r="AW117" s="147">
        <f ca="1">INDEX(Photobiology!$21:$421,1+$AH117-380,AW$14)</f>
        <v>0.79119712077408699</v>
      </c>
      <c r="AX117" s="147">
        <f ca="1">INDEX(Photobiology!$21:$421,1+$AH117-380,AX$14)</f>
        <v>0.9536483229214443</v>
      </c>
      <c r="AY117" s="147">
        <f t="shared" si="39"/>
        <v>1.6002941328641181E-3</v>
      </c>
      <c r="AZ117" s="147">
        <f t="shared" ca="1" si="53"/>
        <v>7.1125072735145735E-4</v>
      </c>
      <c r="BA117" s="147">
        <f t="shared" ca="1" si="40"/>
        <v>5.100009377907315E-4</v>
      </c>
      <c r="BB117" s="147">
        <f t="shared" ca="1" si="41"/>
        <v>2.9249696072250491E-4</v>
      </c>
      <c r="BC117" s="147">
        <f t="shared" ca="1" si="42"/>
        <v>1.1922191289837679E-3</v>
      </c>
      <c r="BD117" s="147">
        <f t="shared" ca="1" si="43"/>
        <v>1.4856250567737398E-3</v>
      </c>
    </row>
    <row r="118" spans="8:56" s="147" customFormat="1" ht="0.25" customHeight="1" x14ac:dyDescent="0.2">
      <c r="H118" s="147">
        <f t="shared" si="44"/>
        <v>477</v>
      </c>
      <c r="I118" s="147">
        <f>IF($H118&gt;$H117,INDEX(Spectra!118:118,1,MATCH($I$20,Spectra!$20:$20,0)),I117)</f>
        <v>1.9698103384248001E-3</v>
      </c>
      <c r="J118" s="147">
        <f>((Physics!$C$9*Physics!$C$10)/(Physics!$C$11*Physics!$C$12*$H118))^($J$17-$J$18)</f>
        <v>2.401945959326634E+18</v>
      </c>
      <c r="K118" s="147">
        <f t="shared" si="45"/>
        <v>1</v>
      </c>
      <c r="L118" s="147">
        <f>INDEX(Photobiology!$21:$421,1+$H118-380,10)</f>
        <v>0.1226744</v>
      </c>
      <c r="M118" s="147">
        <f t="shared" si="46"/>
        <v>1.9698103384248001E-3</v>
      </c>
      <c r="N118" s="147">
        <f ca="1">INDEX(Photobiology!$21:$421,1+$H118-380,N$14)</f>
        <v>0.41899199999999998</v>
      </c>
      <c r="O118" s="147">
        <f ca="1">INDEX(Photobiology!$21:$421,1+$H118-380,O$14)</f>
        <v>0.32730700000000001</v>
      </c>
      <c r="P118" s="147">
        <f ca="1">INDEX(Photobiology!$21:$421,1+$H118-380,P$14)</f>
        <v>0.18868499999999999</v>
      </c>
      <c r="Q118" s="147">
        <f ca="1">INDEX(Photobiology!$21:$421,1+$H118-380,Q$14)</f>
        <v>0.75700000000000001</v>
      </c>
      <c r="R118" s="147">
        <f ca="1">INDEX(Photobiology!$21:$421,1+$H118-380,R$14)</f>
        <v>0.93894999999999995</v>
      </c>
      <c r="S118" s="147">
        <f t="shared" si="47"/>
        <v>4731377983019278</v>
      </c>
      <c r="T118" s="147">
        <f ca="1">INDEX(Photobiology!$21:$421,1+$H118-380,T$14)</f>
        <v>0.39301838557371438</v>
      </c>
      <c r="U118" s="147">
        <f ca="1">INDEX(Photobiology!$21:$421,1+$H118-380,U$14)</f>
        <v>0.37093275352861643</v>
      </c>
      <c r="V118" s="147">
        <f ca="1">INDEX(Photobiology!$21:$421,1+$H118-380,V$14)</f>
        <v>0.22417203503860636</v>
      </c>
      <c r="W118" s="147">
        <f ca="1">INDEX(Photobiology!$21:$421,1+$H118-380,W$14)</f>
        <v>0.8022558240760016</v>
      </c>
      <c r="X118" s="147">
        <f ca="1">INDEX(Photobiology!$21:$421,1+$H118-380,X$14)</f>
        <v>0.96252027539907703</v>
      </c>
      <c r="Y118" s="147">
        <f t="shared" si="34"/>
        <v>1.9698103384248001E-3</v>
      </c>
      <c r="Z118" s="147">
        <f t="shared" ca="1" si="48"/>
        <v>8.2533477331728385E-4</v>
      </c>
      <c r="AA118" s="147">
        <f t="shared" ca="1" si="35"/>
        <v>6.4473271243880605E-4</v>
      </c>
      <c r="AB118" s="147">
        <f t="shared" ca="1" si="36"/>
        <v>3.7167366370568339E-4</v>
      </c>
      <c r="AC118" s="147">
        <f t="shared" ca="1" si="37"/>
        <v>1.4911464261875738E-3</v>
      </c>
      <c r="AD118" s="147">
        <f t="shared" ca="1" si="38"/>
        <v>1.8495534172639659E-3</v>
      </c>
      <c r="AH118" s="147">
        <f t="shared" si="49"/>
        <v>477</v>
      </c>
      <c r="AI118" s="147">
        <f>IF($AH118&gt;$AH117,INDEX(Spectra!118:118,1,MATCH($AI$20,Spectra!$20:$20,0)),AI117)</f>
        <v>115.604</v>
      </c>
      <c r="AJ118" s="147">
        <f>((Physics!$C$9*Physics!$C$10)/(Physics!$C$11*Physics!$C$12*$AH118))^($AJ$17-$AJ$18)</f>
        <v>2.401945959326634E+18</v>
      </c>
      <c r="AK118" s="147">
        <f t="shared" si="50"/>
        <v>1</v>
      </c>
      <c r="AL118" s="147">
        <f>INDEX(Photobiology!$21:$421,1+$AH118-380,10)</f>
        <v>0.1226744</v>
      </c>
      <c r="AM118" s="147">
        <f t="shared" si="51"/>
        <v>1.6017628265045587E-3</v>
      </c>
      <c r="AN118" s="147">
        <f ca="1">INDEX(Photobiology!$21:$421,1+$AH118-380,AN$14)</f>
        <v>0.41899199999999998</v>
      </c>
      <c r="AO118" s="147">
        <f ca="1">INDEX(Photobiology!$21:$421,1+$AH118-380,AO$14)</f>
        <v>0.32730700000000001</v>
      </c>
      <c r="AP118" s="147">
        <f ca="1">INDEX(Photobiology!$21:$421,1+$AH118-380,AP$14)</f>
        <v>0.18868499999999999</v>
      </c>
      <c r="AQ118" s="147">
        <f ca="1">INDEX(Photobiology!$21:$421,1+$AH118-380,AQ$14)</f>
        <v>0.75700000000000001</v>
      </c>
      <c r="AR118" s="147">
        <f ca="1">INDEX(Photobiology!$21:$421,1+$AH118-380,AR$14)</f>
        <v>0.93894999999999995</v>
      </c>
      <c r="AS118" s="147">
        <f t="shared" si="52"/>
        <v>3847347748922233</v>
      </c>
      <c r="AT118" s="147">
        <f ca="1">INDEX(Photobiology!$21:$421,1+$AH118-380,AT$14)</f>
        <v>0.39301838557371438</v>
      </c>
      <c r="AU118" s="147">
        <f ca="1">INDEX(Photobiology!$21:$421,1+$AH118-380,AU$14)</f>
        <v>0.37093275352861643</v>
      </c>
      <c r="AV118" s="147">
        <f ca="1">INDEX(Photobiology!$21:$421,1+$AH118-380,AV$14)</f>
        <v>0.22417203503860636</v>
      </c>
      <c r="AW118" s="147">
        <f ca="1">INDEX(Photobiology!$21:$421,1+$AH118-380,AW$14)</f>
        <v>0.8022558240760016</v>
      </c>
      <c r="AX118" s="147">
        <f ca="1">INDEX(Photobiology!$21:$421,1+$AH118-380,AX$14)</f>
        <v>0.96252027539907703</v>
      </c>
      <c r="AY118" s="147">
        <f t="shared" si="39"/>
        <v>1.6017628265045587E-3</v>
      </c>
      <c r="AZ118" s="147">
        <f t="shared" ca="1" si="53"/>
        <v>6.7112581020279804E-4</v>
      </c>
      <c r="BA118" s="147">
        <f t="shared" ca="1" si="40"/>
        <v>5.2426818545472757E-4</v>
      </c>
      <c r="BB118" s="147">
        <f t="shared" ca="1" si="41"/>
        <v>3.0222861891901265E-4</v>
      </c>
      <c r="BC118" s="147">
        <f t="shared" ca="1" si="42"/>
        <v>1.2125344596639509E-3</v>
      </c>
      <c r="BD118" s="147">
        <f t="shared" ca="1" si="43"/>
        <v>1.5039752059464553E-3</v>
      </c>
    </row>
    <row r="119" spans="8:56" s="147" customFormat="1" ht="0.25" customHeight="1" x14ac:dyDescent="0.2">
      <c r="H119" s="147">
        <f t="shared" si="44"/>
        <v>478</v>
      </c>
      <c r="I119" s="147">
        <f>IF($H119&gt;$H118,INDEX(Spectra!119:119,1,MATCH($I$20,Spectra!$20:$20,0)),I118)</f>
        <v>1.9698103384248001E-3</v>
      </c>
      <c r="J119" s="147">
        <f>((Physics!$C$9*Physics!$C$10)/(Physics!$C$11*Physics!$C$12*$H119))^($J$17-$J$18)</f>
        <v>2.4069814854468152E+18</v>
      </c>
      <c r="K119" s="147">
        <f t="shared" si="45"/>
        <v>1</v>
      </c>
      <c r="L119" s="147">
        <f>INDEX(Photobiology!$21:$421,1+$H119-380,10)</f>
        <v>0.12799279999999999</v>
      </c>
      <c r="M119" s="147">
        <f t="shared" si="46"/>
        <v>1.9698103384248001E-3</v>
      </c>
      <c r="N119" s="147">
        <f ca="1">INDEX(Photobiology!$21:$421,1+$H119-380,N$14)</f>
        <v>0.39469900000000002</v>
      </c>
      <c r="O119" s="147">
        <f ca="1">INDEX(Photobiology!$21:$421,1+$H119-380,O$14)</f>
        <v>0.33623199999999998</v>
      </c>
      <c r="P119" s="147">
        <f ca="1">INDEX(Photobiology!$21:$421,1+$H119-380,P$14)</f>
        <v>0.19484499999999999</v>
      </c>
      <c r="Q119" s="147">
        <f ca="1">INDEX(Photobiology!$21:$421,1+$H119-380,Q$14)</f>
        <v>0.76900000000000002</v>
      </c>
      <c r="R119" s="147">
        <f ca="1">INDEX(Photobiology!$21:$421,1+$H119-380,R$14)</f>
        <v>0.94903499999999996</v>
      </c>
      <c r="S119" s="147">
        <f t="shared" si="47"/>
        <v>4741297014430219</v>
      </c>
      <c r="T119" s="147">
        <f ca="1">INDEX(Photobiology!$21:$421,1+$H119-380,T$14)</f>
        <v>0.36945678353454686</v>
      </c>
      <c r="U119" s="147">
        <f ca="1">INDEX(Photobiology!$21:$421,1+$H119-380,U$14)</f>
        <v>0.38025016943949902</v>
      </c>
      <c r="V119" s="147">
        <f ca="1">INDEX(Photobiology!$21:$421,1+$H119-380,V$14)</f>
        <v>0.23100629050570978</v>
      </c>
      <c r="W119" s="147">
        <f ca="1">INDEX(Photobiology!$21:$421,1+$H119-380,W$14)</f>
        <v>0.81326825665280356</v>
      </c>
      <c r="X119" s="147">
        <f ca="1">INDEX(Photobiology!$21:$421,1+$H119-380,X$14)</f>
        <v>0.97082316845449002</v>
      </c>
      <c r="Y119" s="147">
        <f t="shared" si="34"/>
        <v>1.9698103384248001E-3</v>
      </c>
      <c r="Z119" s="147">
        <f t="shared" ca="1" si="48"/>
        <v>7.7748217076593028E-4</v>
      </c>
      <c r="AA119" s="147">
        <f t="shared" ca="1" si="35"/>
        <v>6.6231326970924733E-4</v>
      </c>
      <c r="AB119" s="147">
        <f t="shared" ca="1" si="36"/>
        <v>3.8380769539038016E-4</v>
      </c>
      <c r="AC119" s="147">
        <f t="shared" ca="1" si="37"/>
        <v>1.5147841502486713E-3</v>
      </c>
      <c r="AD119" s="147">
        <f t="shared" ca="1" si="38"/>
        <v>1.8694189545269801E-3</v>
      </c>
      <c r="AH119" s="147">
        <f t="shared" si="49"/>
        <v>478</v>
      </c>
      <c r="AI119" s="147">
        <f>IF($AH119&gt;$AH118,INDEX(Spectra!119:119,1,MATCH($AI$20,Spectra!$20:$20,0)),AI118)</f>
        <v>115.711</v>
      </c>
      <c r="AJ119" s="147">
        <f>((Physics!$C$9*Physics!$C$10)/(Physics!$C$11*Physics!$C$12*$AH119))^($AJ$17-$AJ$18)</f>
        <v>2.4069814854468152E+18</v>
      </c>
      <c r="AK119" s="147">
        <f t="shared" si="50"/>
        <v>1</v>
      </c>
      <c r="AL119" s="147">
        <f>INDEX(Photobiology!$21:$421,1+$AH119-380,10)</f>
        <v>0.12799279999999999</v>
      </c>
      <c r="AM119" s="147">
        <f t="shared" si="51"/>
        <v>1.6032453757453807E-3</v>
      </c>
      <c r="AN119" s="147">
        <f ca="1">INDEX(Photobiology!$21:$421,1+$AH119-380,AN$14)</f>
        <v>0.39469900000000002</v>
      </c>
      <c r="AO119" s="147">
        <f ca="1">INDEX(Photobiology!$21:$421,1+$AH119-380,AO$14)</f>
        <v>0.33623199999999998</v>
      </c>
      <c r="AP119" s="147">
        <f ca="1">INDEX(Photobiology!$21:$421,1+$AH119-380,AP$14)</f>
        <v>0.19484499999999999</v>
      </c>
      <c r="AQ119" s="147">
        <f ca="1">INDEX(Photobiology!$21:$421,1+$AH119-380,AQ$14)</f>
        <v>0.76900000000000002</v>
      </c>
      <c r="AR119" s="147">
        <f ca="1">INDEX(Photobiology!$21:$421,1+$AH119-380,AR$14)</f>
        <v>0.94903499999999996</v>
      </c>
      <c r="AS119" s="147">
        <f t="shared" si="52"/>
        <v>3858981936047354</v>
      </c>
      <c r="AT119" s="147">
        <f ca="1">INDEX(Photobiology!$21:$421,1+$AH119-380,AT$14)</f>
        <v>0.36945678353454686</v>
      </c>
      <c r="AU119" s="147">
        <f ca="1">INDEX(Photobiology!$21:$421,1+$AH119-380,AU$14)</f>
        <v>0.38025016943949902</v>
      </c>
      <c r="AV119" s="147">
        <f ca="1">INDEX(Photobiology!$21:$421,1+$AH119-380,AV$14)</f>
        <v>0.23100629050570978</v>
      </c>
      <c r="AW119" s="147">
        <f ca="1">INDEX(Photobiology!$21:$421,1+$AH119-380,AW$14)</f>
        <v>0.81326825665280356</v>
      </c>
      <c r="AX119" s="147">
        <f ca="1">INDEX(Photobiology!$21:$421,1+$AH119-380,AX$14)</f>
        <v>0.97082316845449002</v>
      </c>
      <c r="AY119" s="147">
        <f t="shared" si="39"/>
        <v>1.6032453757453807E-3</v>
      </c>
      <c r="AZ119" s="147">
        <f t="shared" ca="1" si="53"/>
        <v>6.3279934656132605E-4</v>
      </c>
      <c r="BA119" s="147">
        <f t="shared" ca="1" si="40"/>
        <v>5.3906239917762074E-4</v>
      </c>
      <c r="BB119" s="147">
        <f t="shared" ca="1" si="41"/>
        <v>3.1238434523710867E-4</v>
      </c>
      <c r="BC119" s="147">
        <f t="shared" ca="1" si="42"/>
        <v>1.2328956939481979E-3</v>
      </c>
      <c r="BD119" s="147">
        <f t="shared" ca="1" si="43"/>
        <v>1.5215359751705173E-3</v>
      </c>
    </row>
    <row r="120" spans="8:56" s="147" customFormat="1" ht="0.25" customHeight="1" x14ac:dyDescent="0.2">
      <c r="H120" s="147">
        <f t="shared" si="44"/>
        <v>479</v>
      </c>
      <c r="I120" s="147">
        <f>IF($H120&gt;$H119,INDEX(Spectra!120:120,1,MATCH($I$20,Spectra!$20:$20,0)),I119)</f>
        <v>1.9748098570502399E-3</v>
      </c>
      <c r="J120" s="147">
        <f>((Physics!$C$9*Physics!$C$10)/(Physics!$C$11*Physics!$C$12*$H120))^($J$17-$J$18)</f>
        <v>2.412017011566997E+18</v>
      </c>
      <c r="K120" s="147">
        <f t="shared" si="45"/>
        <v>1</v>
      </c>
      <c r="L120" s="147">
        <f>INDEX(Photobiology!$21:$421,1+$H120-380,10)</f>
        <v>0.13345280000000001</v>
      </c>
      <c r="M120" s="147">
        <f t="shared" si="46"/>
        <v>1.9748098570502399E-3</v>
      </c>
      <c r="N120" s="147">
        <f ca="1">INDEX(Photobiology!$21:$421,1+$H120-380,N$14)</f>
        <v>0.37170700000000001</v>
      </c>
      <c r="O120" s="147">
        <f ca="1">INDEX(Photobiology!$21:$421,1+$H120-380,O$14)</f>
        <v>0.34548000000000001</v>
      </c>
      <c r="P120" s="147">
        <f ca="1">INDEX(Photobiology!$21:$421,1+$H120-380,P$14)</f>
        <v>0.201261</v>
      </c>
      <c r="Q120" s="147">
        <f ca="1">INDEX(Photobiology!$21:$421,1+$H120-380,Q$14)</f>
        <v>0.78100000000000003</v>
      </c>
      <c r="R120" s="147">
        <f ca="1">INDEX(Photobiology!$21:$421,1+$H120-380,R$14)</f>
        <v>0.95809100000000003</v>
      </c>
      <c r="S120" s="147">
        <f t="shared" si="47"/>
        <v>4763274969815368</v>
      </c>
      <c r="T120" s="147">
        <f ca="1">INDEX(Photobiology!$21:$421,1+$H120-380,T$14)</f>
        <v>0.34720881446197593</v>
      </c>
      <c r="U120" s="147">
        <f ca="1">INDEX(Photobiology!$21:$421,1+$H120-380,U$14)</f>
        <v>0.38989320502197222</v>
      </c>
      <c r="V120" s="147">
        <f ca="1">INDEX(Photobiology!$21:$421,1+$H120-380,V$14)</f>
        <v>0.23811488787376145</v>
      </c>
      <c r="W120" s="147">
        <f ca="1">INDEX(Photobiology!$21:$421,1+$H120-380,W$14)</f>
        <v>0.82423470830026613</v>
      </c>
      <c r="X120" s="147">
        <f ca="1">INDEX(Photobiology!$21:$421,1+$H120-380,X$14)</f>
        <v>0.97804096741920765</v>
      </c>
      <c r="Y120" s="147">
        <f t="shared" si="34"/>
        <v>1.9748098570502399E-3</v>
      </c>
      <c r="Z120" s="147">
        <f t="shared" ca="1" si="48"/>
        <v>7.3405064753457358E-4</v>
      </c>
      <c r="AA120" s="147">
        <f t="shared" ca="1" si="35"/>
        <v>6.8225730941371689E-4</v>
      </c>
      <c r="AB120" s="147">
        <f t="shared" ca="1" si="36"/>
        <v>3.974522066397883E-4</v>
      </c>
      <c r="AC120" s="147">
        <f t="shared" ca="1" si="37"/>
        <v>1.5423264983562375E-3</v>
      </c>
      <c r="AD120" s="147">
        <f t="shared" ca="1" si="38"/>
        <v>1.8920475507511214E-3</v>
      </c>
      <c r="AH120" s="147">
        <f t="shared" si="49"/>
        <v>479</v>
      </c>
      <c r="AI120" s="147">
        <f>IF($AH120&gt;$AH119,INDEX(Spectra!120:120,1,MATCH($AI$20,Spectra!$20:$20,0)),AI119)</f>
        <v>115.81699999999999</v>
      </c>
      <c r="AJ120" s="147">
        <f>((Physics!$C$9*Physics!$C$10)/(Physics!$C$11*Physics!$C$12*$AH120))^($AJ$17-$AJ$18)</f>
        <v>2.412017011566997E+18</v>
      </c>
      <c r="AK120" s="147">
        <f t="shared" si="50"/>
        <v>1</v>
      </c>
      <c r="AL120" s="147">
        <f>INDEX(Photobiology!$21:$421,1+$AH120-380,10)</f>
        <v>0.13345280000000001</v>
      </c>
      <c r="AM120" s="147">
        <f t="shared" si="51"/>
        <v>1.604714069385821E-3</v>
      </c>
      <c r="AN120" s="147">
        <f ca="1">INDEX(Photobiology!$21:$421,1+$AH120-380,AN$14)</f>
        <v>0.37170700000000001</v>
      </c>
      <c r="AO120" s="147">
        <f ca="1">INDEX(Photobiology!$21:$421,1+$AH120-380,AO$14)</f>
        <v>0.34548000000000001</v>
      </c>
      <c r="AP120" s="147">
        <f ca="1">INDEX(Photobiology!$21:$421,1+$AH120-380,AP$14)</f>
        <v>0.201261</v>
      </c>
      <c r="AQ120" s="147">
        <f ca="1">INDEX(Photobiology!$21:$421,1+$AH120-380,AQ$14)</f>
        <v>0.78100000000000003</v>
      </c>
      <c r="AR120" s="147">
        <f ca="1">INDEX(Photobiology!$21:$421,1+$AH120-380,AR$14)</f>
        <v>0.95809100000000003</v>
      </c>
      <c r="AS120" s="147">
        <f t="shared" si="52"/>
        <v>3870597634059502.5</v>
      </c>
      <c r="AT120" s="147">
        <f ca="1">INDEX(Photobiology!$21:$421,1+$AH120-380,AT$14)</f>
        <v>0.34720881446197593</v>
      </c>
      <c r="AU120" s="147">
        <f ca="1">INDEX(Photobiology!$21:$421,1+$AH120-380,AU$14)</f>
        <v>0.38989320502197222</v>
      </c>
      <c r="AV120" s="147">
        <f ca="1">INDEX(Photobiology!$21:$421,1+$AH120-380,AV$14)</f>
        <v>0.23811488787376145</v>
      </c>
      <c r="AW120" s="147">
        <f ca="1">INDEX(Photobiology!$21:$421,1+$AH120-380,AW$14)</f>
        <v>0.82423470830026613</v>
      </c>
      <c r="AX120" s="147">
        <f ca="1">INDEX(Photobiology!$21:$421,1+$AH120-380,AX$14)</f>
        <v>0.97804096741920765</v>
      </c>
      <c r="AY120" s="147">
        <f t="shared" si="39"/>
        <v>1.604714069385821E-3</v>
      </c>
      <c r="AZ120" s="147">
        <f t="shared" ca="1" si="53"/>
        <v>5.9648345258919537E-4</v>
      </c>
      <c r="BA120" s="147">
        <f t="shared" ca="1" si="40"/>
        <v>5.5439661669141351E-4</v>
      </c>
      <c r="BB120" s="147">
        <f t="shared" ca="1" si="41"/>
        <v>3.2296635831865973E-4</v>
      </c>
      <c r="BC120" s="147">
        <f t="shared" ca="1" si="42"/>
        <v>1.2532816881903263E-3</v>
      </c>
      <c r="BD120" s="147">
        <f t="shared" ca="1" si="43"/>
        <v>1.5374621074519307E-3</v>
      </c>
    </row>
    <row r="121" spans="8:56" s="147" customFormat="1" ht="0.25" customHeight="1" x14ac:dyDescent="0.2">
      <c r="H121" s="147">
        <f t="shared" si="44"/>
        <v>480</v>
      </c>
      <c r="I121" s="147">
        <f>IF($H121&gt;$H120,INDEX(Spectra!121:121,1,MATCH($I$20,Spectra!$20:$20,0)),I120)</f>
        <v>1.9748098570502399E-3</v>
      </c>
      <c r="J121" s="147">
        <f>((Physics!$C$9*Physics!$C$10)/(Physics!$C$11*Physics!$C$12*$H121))^($J$17-$J$18)</f>
        <v>2.4170525376871788E+18</v>
      </c>
      <c r="K121" s="147">
        <f t="shared" si="45"/>
        <v>1</v>
      </c>
      <c r="L121" s="147">
        <f>INDEX(Photobiology!$21:$421,1+$H121-380,10)</f>
        <v>0.13902</v>
      </c>
      <c r="M121" s="147">
        <f t="shared" si="46"/>
        <v>1.9748098570502399E-3</v>
      </c>
      <c r="N121" s="147">
        <f ca="1">INDEX(Photobiology!$21:$421,1+$H121-380,N$14)</f>
        <v>0.35010799999999997</v>
      </c>
      <c r="O121" s="147">
        <f ca="1">INDEX(Photobiology!$21:$421,1+$H121-380,O$14)</f>
        <v>0.35506599999999999</v>
      </c>
      <c r="P121" s="147">
        <f ca="1">INDEX(Photobiology!$21:$421,1+$H121-380,P$14)</f>
        <v>0.20794000000000001</v>
      </c>
      <c r="Q121" s="147">
        <f ca="1">INDEX(Photobiology!$21:$421,1+$H121-380,Q$14)</f>
        <v>0.79300000000000004</v>
      </c>
      <c r="R121" s="147">
        <f ca="1">INDEX(Photobiology!$21:$421,1+$H121-380,R$14)</f>
        <v>0.96560500000000005</v>
      </c>
      <c r="S121" s="147">
        <f t="shared" si="47"/>
        <v>4773219176432937</v>
      </c>
      <c r="T121" s="147">
        <f ca="1">INDEX(Photobiology!$21:$421,1+$H121-380,T$14)</f>
        <v>0.32635202564867405</v>
      </c>
      <c r="U121" s="147">
        <f ca="1">INDEX(Photobiology!$21:$421,1+$H121-380,U$14)</f>
        <v>0.3998767182117684</v>
      </c>
      <c r="V121" s="147">
        <f ca="1">INDEX(Photobiology!$21:$421,1+$H121-380,V$14)</f>
        <v>0.24550437705642081</v>
      </c>
      <c r="W121" s="147">
        <f ca="1">INDEX(Photobiology!$21:$421,1+$H121-380,W$14)</f>
        <v>0.83515546639919758</v>
      </c>
      <c r="X121" s="147">
        <f ca="1">INDEX(Photobiology!$21:$421,1+$H121-380,X$14)</f>
        <v>0.98365786313002168</v>
      </c>
      <c r="Y121" s="147">
        <f t="shared" si="34"/>
        <v>1.9748098570502399E-3</v>
      </c>
      <c r="Z121" s="147">
        <f t="shared" ca="1" si="48"/>
        <v>6.9139672943214537E-4</v>
      </c>
      <c r="AA121" s="147">
        <f t="shared" ca="1" si="35"/>
        <v>7.011878367034005E-4</v>
      </c>
      <c r="AB121" s="147">
        <f t="shared" ca="1" si="36"/>
        <v>4.1064196167502694E-4</v>
      </c>
      <c r="AC121" s="147">
        <f t="shared" ca="1" si="37"/>
        <v>1.5660242166408403E-3</v>
      </c>
      <c r="AD121" s="147">
        <f t="shared" ca="1" si="38"/>
        <v>1.906886272016997E-3</v>
      </c>
      <c r="AH121" s="147">
        <f t="shared" si="49"/>
        <v>480</v>
      </c>
      <c r="AI121" s="147">
        <f>IF($AH121&gt;$AH120,INDEX(Spectra!121:121,1,MATCH($AI$20,Spectra!$20:$20,0)),AI120)</f>
        <v>115.923</v>
      </c>
      <c r="AJ121" s="147">
        <f>((Physics!$C$9*Physics!$C$10)/(Physics!$C$11*Physics!$C$12*$AH121))^($AJ$17-$AJ$18)</f>
        <v>2.4170525376871788E+18</v>
      </c>
      <c r="AK121" s="147">
        <f t="shared" si="50"/>
        <v>1</v>
      </c>
      <c r="AL121" s="147">
        <f>INDEX(Photobiology!$21:$421,1+$AH121-380,10)</f>
        <v>0.13902</v>
      </c>
      <c r="AM121" s="147">
        <f t="shared" si="51"/>
        <v>1.6061827630262616E-3</v>
      </c>
      <c r="AN121" s="147">
        <f ca="1">INDEX(Photobiology!$21:$421,1+$AH121-380,AN$14)</f>
        <v>0.35010799999999997</v>
      </c>
      <c r="AO121" s="147">
        <f ca="1">INDEX(Photobiology!$21:$421,1+$AH121-380,AO$14)</f>
        <v>0.35506599999999999</v>
      </c>
      <c r="AP121" s="147">
        <f ca="1">INDEX(Photobiology!$21:$421,1+$AH121-380,AP$14)</f>
        <v>0.20794000000000001</v>
      </c>
      <c r="AQ121" s="147">
        <f ca="1">INDEX(Photobiology!$21:$421,1+$AH121-380,AQ$14)</f>
        <v>0.79300000000000004</v>
      </c>
      <c r="AR121" s="147">
        <f ca="1">INDEX(Photobiology!$21:$421,1+$AH121-380,AR$14)</f>
        <v>0.96560500000000005</v>
      </c>
      <c r="AS121" s="147">
        <f t="shared" si="52"/>
        <v>3882228123362030</v>
      </c>
      <c r="AT121" s="147">
        <f ca="1">INDEX(Photobiology!$21:$421,1+$AH121-380,AT$14)</f>
        <v>0.32635202564867405</v>
      </c>
      <c r="AU121" s="147">
        <f ca="1">INDEX(Photobiology!$21:$421,1+$AH121-380,AU$14)</f>
        <v>0.3998767182117684</v>
      </c>
      <c r="AV121" s="147">
        <f ca="1">INDEX(Photobiology!$21:$421,1+$AH121-380,AV$14)</f>
        <v>0.24550437705642081</v>
      </c>
      <c r="AW121" s="147">
        <f ca="1">INDEX(Photobiology!$21:$421,1+$AH121-380,AW$14)</f>
        <v>0.83515546639919758</v>
      </c>
      <c r="AX121" s="147">
        <f ca="1">INDEX(Photobiology!$21:$421,1+$AH121-380,AX$14)</f>
        <v>0.98365786313002168</v>
      </c>
      <c r="AY121" s="147">
        <f t="shared" si="39"/>
        <v>1.6061827630262616E-3</v>
      </c>
      <c r="AZ121" s="147">
        <f t="shared" ca="1" si="53"/>
        <v>5.6233743479759831E-4</v>
      </c>
      <c r="BA121" s="147">
        <f t="shared" ca="1" si="40"/>
        <v>5.7030088893668255E-4</v>
      </c>
      <c r="BB121" s="147">
        <f t="shared" ca="1" si="41"/>
        <v>3.3398964374368084E-4</v>
      </c>
      <c r="BC121" s="147">
        <f t="shared" ca="1" si="42"/>
        <v>1.2737029310798255E-3</v>
      </c>
      <c r="BD121" s="147">
        <f t="shared" ca="1" si="43"/>
        <v>1.5509381068919733E-3</v>
      </c>
    </row>
    <row r="122" spans="8:56" s="147" customFormat="1" ht="0.25" customHeight="1" x14ac:dyDescent="0.2">
      <c r="H122" s="147">
        <f t="shared" si="44"/>
        <v>481</v>
      </c>
      <c r="I122" s="147">
        <f>IF($H122&gt;$H121,INDEX(Spectra!122:122,1,MATCH($I$20,Spectra!$20:$20,0)),I121)</f>
        <v>1.9598113011739101E-3</v>
      </c>
      <c r="J122" s="147">
        <f>((Physics!$C$9*Physics!$C$10)/(Physics!$C$11*Physics!$C$12*$H122))^($J$17-$J$18)</f>
        <v>2.42208806380736E+18</v>
      </c>
      <c r="K122" s="147">
        <f t="shared" si="45"/>
        <v>1</v>
      </c>
      <c r="L122" s="147">
        <f>INDEX(Photobiology!$21:$421,1+$H122-380,10)</f>
        <v>0.14467640000000001</v>
      </c>
      <c r="M122" s="147">
        <f t="shared" si="46"/>
        <v>1.9598113011739101E-3</v>
      </c>
      <c r="N122" s="147">
        <f ca="1">INDEX(Photobiology!$21:$421,1+$H122-380,N$14)</f>
        <v>0.32990399999999998</v>
      </c>
      <c r="O122" s="147">
        <f ca="1">INDEX(Photobiology!$21:$421,1+$H122-380,O$14)</f>
        <v>0.364985</v>
      </c>
      <c r="P122" s="147">
        <f ca="1">INDEX(Photobiology!$21:$421,1+$H122-380,P$14)</f>
        <v>0.21487500000000001</v>
      </c>
      <c r="Q122" s="147">
        <f ca="1">INDEX(Photobiology!$21:$421,1+$H122-380,Q$14)</f>
        <v>0.80500000000000005</v>
      </c>
      <c r="R122" s="147">
        <f ca="1">INDEX(Photobiology!$21:$421,1+$H122-380,R$14)</f>
        <v>0.97197599999999995</v>
      </c>
      <c r="S122" s="147">
        <f t="shared" si="47"/>
        <v>4746835559888099</v>
      </c>
      <c r="T122" s="147">
        <f ca="1">INDEX(Photobiology!$21:$421,1+$H122-380,T$14)</f>
        <v>0.30687960071226777</v>
      </c>
      <c r="U122" s="147">
        <f ca="1">INDEX(Photobiology!$21:$421,1+$H122-380,U$14)</f>
        <v>0.41019296613526846</v>
      </c>
      <c r="V122" s="147">
        <f ca="1">INDEX(Photobiology!$21:$421,1+$H122-380,V$14)</f>
        <v>0.25316475876116556</v>
      </c>
      <c r="W122" s="147">
        <f ca="1">INDEX(Photobiology!$21:$421,1+$H122-380,W$14)</f>
        <v>0.84603081594054519</v>
      </c>
      <c r="X122" s="147">
        <f ca="1">INDEX(Photobiology!$21:$421,1+$H122-380,X$14)</f>
        <v>0.98808945506767554</v>
      </c>
      <c r="Y122" s="147">
        <f t="shared" si="34"/>
        <v>1.9598113011739101E-3</v>
      </c>
      <c r="Z122" s="147">
        <f t="shared" ca="1" si="48"/>
        <v>6.4654958750247761E-4</v>
      </c>
      <c r="AA122" s="147">
        <f t="shared" ca="1" si="35"/>
        <v>7.1530172775895965E-4</v>
      </c>
      <c r="AB122" s="147">
        <f t="shared" ca="1" si="36"/>
        <v>4.2111445333974394E-4</v>
      </c>
      <c r="AC122" s="147">
        <f t="shared" ca="1" si="37"/>
        <v>1.5776480974449977E-3</v>
      </c>
      <c r="AD122" s="147">
        <f t="shared" ca="1" si="38"/>
        <v>1.9048895492698125E-3</v>
      </c>
      <c r="AH122" s="147">
        <f t="shared" si="49"/>
        <v>481</v>
      </c>
      <c r="AI122" s="147">
        <f>IF($AH122&gt;$AH121,INDEX(Spectra!122:122,1,MATCH($AI$20,Spectra!$20:$20,0)),AI121)</f>
        <v>115.212</v>
      </c>
      <c r="AJ122" s="147">
        <f>((Physics!$C$9*Physics!$C$10)/(Physics!$C$11*Physics!$C$12*$AH122))^($AJ$17-$AJ$18)</f>
        <v>2.42208806380736E+18</v>
      </c>
      <c r="AK122" s="147">
        <f t="shared" si="50"/>
        <v>1</v>
      </c>
      <c r="AL122" s="147">
        <f>INDEX(Photobiology!$21:$421,1+$AH122-380,10)</f>
        <v>0.14467640000000001</v>
      </c>
      <c r="AM122" s="147">
        <f t="shared" si="51"/>
        <v>1.596331431155005E-3</v>
      </c>
      <c r="AN122" s="147">
        <f ca="1">INDEX(Photobiology!$21:$421,1+$AH122-380,AN$14)</f>
        <v>0.32990399999999998</v>
      </c>
      <c r="AO122" s="147">
        <f ca="1">INDEX(Photobiology!$21:$421,1+$AH122-380,AO$14)</f>
        <v>0.364985</v>
      </c>
      <c r="AP122" s="147">
        <f ca="1">INDEX(Photobiology!$21:$421,1+$AH122-380,AP$14)</f>
        <v>0.21487500000000001</v>
      </c>
      <c r="AQ122" s="147">
        <f ca="1">INDEX(Photobiology!$21:$421,1+$AH122-380,AQ$14)</f>
        <v>0.80500000000000005</v>
      </c>
      <c r="AR122" s="147">
        <f ca="1">INDEX(Photobiology!$21:$421,1+$AH122-380,AR$14)</f>
        <v>0.97197599999999995</v>
      </c>
      <c r="AS122" s="147">
        <f t="shared" si="52"/>
        <v>3866455305281058</v>
      </c>
      <c r="AT122" s="147">
        <f ca="1">INDEX(Photobiology!$21:$421,1+$AH122-380,AT$14)</f>
        <v>0.30687960071226777</v>
      </c>
      <c r="AU122" s="147">
        <f ca="1">INDEX(Photobiology!$21:$421,1+$AH122-380,AU$14)</f>
        <v>0.41019296613526846</v>
      </c>
      <c r="AV122" s="147">
        <f ca="1">INDEX(Photobiology!$21:$421,1+$AH122-380,AV$14)</f>
        <v>0.25316475876116556</v>
      </c>
      <c r="AW122" s="147">
        <f ca="1">INDEX(Photobiology!$21:$421,1+$AH122-380,AW$14)</f>
        <v>0.84603081594054519</v>
      </c>
      <c r="AX122" s="147">
        <f ca="1">INDEX(Photobiology!$21:$421,1+$AH122-380,AX$14)</f>
        <v>0.98808945506767554</v>
      </c>
      <c r="AY122" s="147">
        <f t="shared" si="39"/>
        <v>1.596331431155005E-3</v>
      </c>
      <c r="AZ122" s="147">
        <f t="shared" ca="1" si="53"/>
        <v>5.2663612446376073E-4</v>
      </c>
      <c r="BA122" s="147">
        <f t="shared" ca="1" si="40"/>
        <v>5.8263702740010952E-4</v>
      </c>
      <c r="BB122" s="147">
        <f t="shared" ca="1" si="41"/>
        <v>3.4301171626943173E-4</v>
      </c>
      <c r="BC122" s="147">
        <f t="shared" ca="1" si="42"/>
        <v>1.2850468020797791E-3</v>
      </c>
      <c r="BD122" s="147">
        <f t="shared" ca="1" si="43"/>
        <v>1.551595839128317E-3</v>
      </c>
    </row>
    <row r="123" spans="8:56" s="147" customFormat="1" ht="0.25" customHeight="1" x14ac:dyDescent="0.2">
      <c r="H123" s="147">
        <f t="shared" si="44"/>
        <v>482</v>
      </c>
      <c r="I123" s="147">
        <f>IF($H123&gt;$H122,INDEX(Spectra!123:123,1,MATCH($I$20,Spectra!$20:$20,0)),I122)</f>
        <v>1.9498122639230299E-3</v>
      </c>
      <c r="J123" s="147">
        <f>((Physics!$C$9*Physics!$C$10)/(Physics!$C$11*Physics!$C$12*$H123))^($J$17-$J$18)</f>
        <v>2.4271235899275418E+18</v>
      </c>
      <c r="K123" s="147">
        <f t="shared" si="45"/>
        <v>1</v>
      </c>
      <c r="L123" s="147">
        <f>INDEX(Photobiology!$21:$421,1+$H123-380,10)</f>
        <v>0.1504693</v>
      </c>
      <c r="M123" s="147">
        <f t="shared" si="46"/>
        <v>1.9498122639230299E-3</v>
      </c>
      <c r="N123" s="147">
        <f ca="1">INDEX(Photobiology!$21:$421,1+$H123-380,N$14)</f>
        <v>0.31086399999999997</v>
      </c>
      <c r="O123" s="147">
        <f ca="1">INDEX(Photobiology!$21:$421,1+$H123-380,O$14)</f>
        <v>0.37514199999999998</v>
      </c>
      <c r="P123" s="147">
        <f ca="1">INDEX(Photobiology!$21:$421,1+$H123-380,P$14)</f>
        <v>0.222022</v>
      </c>
      <c r="Q123" s="147">
        <f ca="1">INDEX(Photobiology!$21:$421,1+$H123-380,Q$14)</f>
        <v>0.81699999999999995</v>
      </c>
      <c r="R123" s="147">
        <f ca="1">INDEX(Photobiology!$21:$421,1+$H123-380,R$14)</f>
        <v>0.97783299999999995</v>
      </c>
      <c r="S123" s="147">
        <f t="shared" si="47"/>
        <v>4732435341697612</v>
      </c>
      <c r="T123" s="147">
        <f ca="1">INDEX(Photobiology!$21:$421,1+$H123-380,T$14)</f>
        <v>0.28856849085500746</v>
      </c>
      <c r="U123" s="147">
        <f ca="1">INDEX(Photobiology!$21:$421,1+$H123-380,U$14)</f>
        <v>0.42073333239706273</v>
      </c>
      <c r="V123" s="147">
        <f ca="1">INDEX(Photobiology!$21:$421,1+$H123-380,V$14)</f>
        <v>0.26104261388592698</v>
      </c>
      <c r="W123" s="147">
        <f ca="1">INDEX(Photobiology!$21:$421,1+$H123-380,W$14)</f>
        <v>0.85686103955018567</v>
      </c>
      <c r="X123" s="147">
        <f ca="1">INDEX(Photobiology!$21:$421,1+$H123-380,X$14)</f>
        <v>0.9919812216142021</v>
      </c>
      <c r="Y123" s="147">
        <f t="shared" si="34"/>
        <v>1.9498122639230299E-3</v>
      </c>
      <c r="Z123" s="147">
        <f t="shared" ca="1" si="48"/>
        <v>6.0612643961216873E-4</v>
      </c>
      <c r="AA123" s="147">
        <f t="shared" ca="1" si="35"/>
        <v>7.3145647231261319E-4</v>
      </c>
      <c r="AB123" s="147">
        <f t="shared" ca="1" si="36"/>
        <v>4.3290121846071894E-4</v>
      </c>
      <c r="AC123" s="147">
        <f t="shared" ca="1" si="37"/>
        <v>1.5929966196251153E-3</v>
      </c>
      <c r="AD123" s="147">
        <f t="shared" ca="1" si="38"/>
        <v>1.906590775468648E-3</v>
      </c>
      <c r="AH123" s="147">
        <f t="shared" si="49"/>
        <v>482</v>
      </c>
      <c r="AI123" s="147">
        <f>IF($AH123&gt;$AH122,INDEX(Spectra!123:123,1,MATCH($AI$20,Spectra!$20:$20,0)),AI122)</f>
        <v>114.501</v>
      </c>
      <c r="AJ123" s="147">
        <f>((Physics!$C$9*Physics!$C$10)/(Physics!$C$11*Physics!$C$12*$AH123))^($AJ$17-$AJ$18)</f>
        <v>2.4271235899275418E+18</v>
      </c>
      <c r="AK123" s="147">
        <f t="shared" si="50"/>
        <v>1</v>
      </c>
      <c r="AL123" s="147">
        <f>INDEX(Photobiology!$21:$421,1+$AH123-380,10)</f>
        <v>0.1504693</v>
      </c>
      <c r="AM123" s="147">
        <f t="shared" si="51"/>
        <v>1.5864800992837487E-3</v>
      </c>
      <c r="AN123" s="147">
        <f ca="1">INDEX(Photobiology!$21:$421,1+$AH123-380,AN$14)</f>
        <v>0.31086399999999997</v>
      </c>
      <c r="AO123" s="147">
        <f ca="1">INDEX(Photobiology!$21:$421,1+$AH123-380,AO$14)</f>
        <v>0.37514199999999998</v>
      </c>
      <c r="AP123" s="147">
        <f ca="1">INDEX(Photobiology!$21:$421,1+$AH123-380,AP$14)</f>
        <v>0.222022</v>
      </c>
      <c r="AQ123" s="147">
        <f ca="1">INDEX(Photobiology!$21:$421,1+$AH123-380,AQ$14)</f>
        <v>0.81699999999999995</v>
      </c>
      <c r="AR123" s="147">
        <f ca="1">INDEX(Photobiology!$21:$421,1+$AH123-380,AR$14)</f>
        <v>0.97783299999999995</v>
      </c>
      <c r="AS123" s="147">
        <f t="shared" si="52"/>
        <v>3850583273922175</v>
      </c>
      <c r="AT123" s="147">
        <f ca="1">INDEX(Photobiology!$21:$421,1+$AH123-380,AT$14)</f>
        <v>0.28856849085500746</v>
      </c>
      <c r="AU123" s="147">
        <f ca="1">INDEX(Photobiology!$21:$421,1+$AH123-380,AU$14)</f>
        <v>0.42073333239706273</v>
      </c>
      <c r="AV123" s="147">
        <f ca="1">INDEX(Photobiology!$21:$421,1+$AH123-380,AV$14)</f>
        <v>0.26104261388592698</v>
      </c>
      <c r="AW123" s="147">
        <f ca="1">INDEX(Photobiology!$21:$421,1+$AH123-380,AW$14)</f>
        <v>0.85686103955018567</v>
      </c>
      <c r="AX123" s="147">
        <f ca="1">INDEX(Photobiology!$21:$421,1+$AH123-380,AX$14)</f>
        <v>0.9919812216142021</v>
      </c>
      <c r="AY123" s="147">
        <f t="shared" si="39"/>
        <v>1.5864800992837487E-3</v>
      </c>
      <c r="AZ123" s="147">
        <f t="shared" ca="1" si="53"/>
        <v>4.9317954958374315E-4</v>
      </c>
      <c r="BA123" s="147">
        <f t="shared" ca="1" si="40"/>
        <v>5.95155317405504E-4</v>
      </c>
      <c r="BB123" s="147">
        <f t="shared" ca="1" si="41"/>
        <v>3.5223348460317646E-4</v>
      </c>
      <c r="BC123" s="147">
        <f t="shared" ca="1" si="42"/>
        <v>1.2961542411148227E-3</v>
      </c>
      <c r="BD123" s="147">
        <f t="shared" ca="1" si="43"/>
        <v>1.5513125949229258E-3</v>
      </c>
    </row>
    <row r="124" spans="8:56" s="147" customFormat="1" ht="0.25" customHeight="1" x14ac:dyDescent="0.2">
      <c r="H124" s="147">
        <f t="shared" si="44"/>
        <v>483</v>
      </c>
      <c r="I124" s="147">
        <f>IF($H124&gt;$H123,INDEX(Spectra!124:124,1,MATCH($I$20,Spectra!$20:$20,0)),I123)</f>
        <v>1.9248146707958099E-3</v>
      </c>
      <c r="J124" s="147">
        <f>((Physics!$C$9*Physics!$C$10)/(Physics!$C$11*Physics!$C$12*$H124))^($J$17-$J$18)</f>
        <v>2.432159116047724E+18</v>
      </c>
      <c r="K124" s="147">
        <f t="shared" si="45"/>
        <v>1</v>
      </c>
      <c r="L124" s="147">
        <f>INDEX(Photobiology!$21:$421,1+$H124-380,10)</f>
        <v>0.15646189999999999</v>
      </c>
      <c r="M124" s="147">
        <f t="shared" si="46"/>
        <v>1.9248146707958099E-3</v>
      </c>
      <c r="N124" s="147">
        <f ca="1">INDEX(Photobiology!$21:$421,1+$H124-380,N$14)</f>
        <v>0.29274099999999997</v>
      </c>
      <c r="O124" s="147">
        <f ca="1">INDEX(Photobiology!$21:$421,1+$H124-380,O$14)</f>
        <v>0.38540999999999997</v>
      </c>
      <c r="P124" s="147">
        <f ca="1">INDEX(Photobiology!$21:$421,1+$H124-380,P$14)</f>
        <v>0.22931599999999999</v>
      </c>
      <c r="Q124" s="147">
        <f ca="1">INDEX(Photobiology!$21:$421,1+$H124-380,Q$14)</f>
        <v>0.82799999999999996</v>
      </c>
      <c r="R124" s="147">
        <f ca="1">INDEX(Photobiology!$21:$421,1+$H124-380,R$14)</f>
        <v>0.98300600000000005</v>
      </c>
      <c r="S124" s="147">
        <f t="shared" si="47"/>
        <v>4681455548278428</v>
      </c>
      <c r="T124" s="147">
        <f ca="1">INDEX(Photobiology!$21:$421,1+$H124-380,T$14)</f>
        <v>0.27118267276225316</v>
      </c>
      <c r="U124" s="147">
        <f ca="1">INDEX(Photobiology!$21:$421,1+$H124-380,U$14)</f>
        <v>0.4313542854329912</v>
      </c>
      <c r="V124" s="147">
        <f ca="1">INDEX(Photobiology!$21:$421,1+$H124-380,V$14)</f>
        <v>0.26906032606907121</v>
      </c>
      <c r="W124" s="147">
        <f ca="1">INDEX(Photobiology!$21:$421,1+$H124-380,W$14)</f>
        <v>0.86659979939819454</v>
      </c>
      <c r="X124" s="147">
        <f ca="1">INDEX(Photobiology!$21:$421,1+$H124-380,X$14)</f>
        <v>0.99516441305946868</v>
      </c>
      <c r="Y124" s="147">
        <f t="shared" si="34"/>
        <v>1.9248146707958099E-3</v>
      </c>
      <c r="Z124" s="147">
        <f t="shared" ca="1" si="48"/>
        <v>5.6347217154343611E-4</v>
      </c>
      <c r="AA124" s="147">
        <f t="shared" ca="1" si="35"/>
        <v>7.41842822271413E-4</v>
      </c>
      <c r="AB124" s="147">
        <f t="shared" ca="1" si="36"/>
        <v>4.4139080104821192E-4</v>
      </c>
      <c r="AC124" s="147">
        <f t="shared" ca="1" si="37"/>
        <v>1.5937465474189305E-3</v>
      </c>
      <c r="AD124" s="147">
        <f t="shared" ca="1" si="38"/>
        <v>1.8921043702803059E-3</v>
      </c>
      <c r="AH124" s="147">
        <f t="shared" si="49"/>
        <v>483</v>
      </c>
      <c r="AI124" s="147">
        <f>IF($AH124&gt;$AH123,INDEX(Spectra!124:124,1,MATCH($AI$20,Spectra!$20:$20,0)),AI123)</f>
        <v>113.789</v>
      </c>
      <c r="AJ124" s="147">
        <f>((Physics!$C$9*Physics!$C$10)/(Physics!$C$11*Physics!$C$12*$AH124))^($AJ$17-$AJ$18)</f>
        <v>2.432159116047724E+18</v>
      </c>
      <c r="AK124" s="147">
        <f t="shared" si="50"/>
        <v>1</v>
      </c>
      <c r="AL124" s="147">
        <f>INDEX(Photobiology!$21:$421,1+$AH124-380,10)</f>
        <v>0.15646189999999999</v>
      </c>
      <c r="AM124" s="147">
        <f t="shared" si="51"/>
        <v>1.5766149118121105E-3</v>
      </c>
      <c r="AN124" s="147">
        <f ca="1">INDEX(Photobiology!$21:$421,1+$AH124-380,AN$14)</f>
        <v>0.29274099999999997</v>
      </c>
      <c r="AO124" s="147">
        <f ca="1">INDEX(Photobiology!$21:$421,1+$AH124-380,AO$14)</f>
        <v>0.38540999999999997</v>
      </c>
      <c r="AP124" s="147">
        <f ca="1">INDEX(Photobiology!$21:$421,1+$AH124-380,AP$14)</f>
        <v>0.22931599999999999</v>
      </c>
      <c r="AQ124" s="147">
        <f ca="1">INDEX(Photobiology!$21:$421,1+$AH124-380,AQ$14)</f>
        <v>0.82799999999999996</v>
      </c>
      <c r="AR124" s="147">
        <f ca="1">INDEX(Photobiology!$21:$421,1+$AH124-380,AR$14)</f>
        <v>0.98300600000000005</v>
      </c>
      <c r="AS124" s="147">
        <f t="shared" si="52"/>
        <v>3834578330260603</v>
      </c>
      <c r="AT124" s="147">
        <f ca="1">INDEX(Photobiology!$21:$421,1+$AH124-380,AT$14)</f>
        <v>0.27118267276225316</v>
      </c>
      <c r="AU124" s="147">
        <f ca="1">INDEX(Photobiology!$21:$421,1+$AH124-380,AU$14)</f>
        <v>0.4313542854329912</v>
      </c>
      <c r="AV124" s="147">
        <f ca="1">INDEX(Photobiology!$21:$421,1+$AH124-380,AV$14)</f>
        <v>0.26906032606907121</v>
      </c>
      <c r="AW124" s="147">
        <f ca="1">INDEX(Photobiology!$21:$421,1+$AH124-380,AW$14)</f>
        <v>0.86659979939819454</v>
      </c>
      <c r="AX124" s="147">
        <f ca="1">INDEX(Photobiology!$21:$421,1+$AH124-380,AX$14)</f>
        <v>0.99516441305946868</v>
      </c>
      <c r="AY124" s="147">
        <f t="shared" si="39"/>
        <v>1.5766149118121105E-3</v>
      </c>
      <c r="AZ124" s="147">
        <f t="shared" ca="1" si="53"/>
        <v>4.6153982589878899E-4</v>
      </c>
      <c r="BA124" s="147">
        <f t="shared" ca="1" si="40"/>
        <v>6.0764315316150545E-4</v>
      </c>
      <c r="BB124" s="147">
        <f t="shared" ca="1" si="41"/>
        <v>3.6154302511710591E-4</v>
      </c>
      <c r="BC124" s="147">
        <f t="shared" ca="1" si="42"/>
        <v>1.3054371469804274E-3</v>
      </c>
      <c r="BD124" s="147">
        <f t="shared" ca="1" si="43"/>
        <v>1.5498219180007755E-3</v>
      </c>
    </row>
    <row r="125" spans="8:56" s="147" customFormat="1" ht="0.25" customHeight="1" x14ac:dyDescent="0.2">
      <c r="H125" s="147">
        <f t="shared" si="44"/>
        <v>484</v>
      </c>
      <c r="I125" s="147">
        <f>IF($H125&gt;$H124,INDEX(Spectra!125:125,1,MATCH($I$20,Spectra!$20:$20,0)),I124)</f>
        <v>1.8748194845413699E-3</v>
      </c>
      <c r="J125" s="147">
        <f>((Physics!$C$9*Physics!$C$10)/(Physics!$C$11*Physics!$C$12*$H125))^($J$17-$J$18)</f>
        <v>2.4371946421679048E+18</v>
      </c>
      <c r="K125" s="147">
        <f t="shared" si="45"/>
        <v>1</v>
      </c>
      <c r="L125" s="147">
        <f>INDEX(Photobiology!$21:$421,1+$H125-380,10)</f>
        <v>0.16271769999999999</v>
      </c>
      <c r="M125" s="147">
        <f t="shared" si="46"/>
        <v>1.8748194845413699E-3</v>
      </c>
      <c r="N125" s="147">
        <f ca="1">INDEX(Photobiology!$21:$421,1+$H125-380,N$14)</f>
        <v>0.27533800000000003</v>
      </c>
      <c r="O125" s="147">
        <f ca="1">INDEX(Photobiology!$21:$421,1+$H125-380,O$14)</f>
        <v>0.395646</v>
      </c>
      <c r="P125" s="147">
        <f ca="1">INDEX(Photobiology!$21:$421,1+$H125-380,P$14)</f>
        <v>0.23668400000000001</v>
      </c>
      <c r="Q125" s="147">
        <f ca="1">INDEX(Photobiology!$21:$421,1+$H125-380,Q$14)</f>
        <v>0.84</v>
      </c>
      <c r="R125" s="147">
        <f ca="1">INDEX(Photobiology!$21:$421,1+$H125-380,R$14)</f>
        <v>0.98732500000000001</v>
      </c>
      <c r="S125" s="147">
        <f t="shared" si="47"/>
        <v>4569300002756220</v>
      </c>
      <c r="T125" s="147">
        <f ca="1">INDEX(Photobiology!$21:$421,1+$H125-380,T$14)</f>
        <v>0.25453429587693116</v>
      </c>
      <c r="U125" s="147">
        <f ca="1">INDEX(Photobiology!$21:$421,1+$H125-380,U$14)</f>
        <v>0.44189560954710172</v>
      </c>
      <c r="V125" s="147">
        <f ca="1">INDEX(Photobiology!$21:$421,1+$H125-380,V$14)</f>
        <v>0.27713155326539002</v>
      </c>
      <c r="W125" s="147">
        <f ca="1">INDEX(Photobiology!$21:$421,1+$H125-380,W$14)</f>
        <v>0.87734277211800693</v>
      </c>
      <c r="X125" s="147">
        <f ca="1">INDEX(Photobiology!$21:$421,1+$H125-380,X$14)</f>
        <v>0.99747167431904504</v>
      </c>
      <c r="Y125" s="147">
        <f t="shared" si="34"/>
        <v>1.8748194845413699E-3</v>
      </c>
      <c r="Z125" s="147">
        <f t="shared" ca="1" si="48"/>
        <v>5.1620904723465174E-4</v>
      </c>
      <c r="AA125" s="147">
        <f t="shared" ca="1" si="35"/>
        <v>7.4176482978085482E-4</v>
      </c>
      <c r="AB125" s="147">
        <f t="shared" ca="1" si="36"/>
        <v>4.4373977487918964E-4</v>
      </c>
      <c r="AC125" s="147">
        <f t="shared" ca="1" si="37"/>
        <v>1.5748483670147506E-3</v>
      </c>
      <c r="AD125" s="147">
        <f t="shared" ca="1" si="38"/>
        <v>1.8510561475748081E-3</v>
      </c>
      <c r="AH125" s="147">
        <f t="shared" si="49"/>
        <v>484</v>
      </c>
      <c r="AI125" s="147">
        <f>IF($AH125&gt;$AH124,INDEX(Spectra!125:125,1,MATCH($AI$20,Spectra!$20:$20,0)),AI124)</f>
        <v>113.078</v>
      </c>
      <c r="AJ125" s="147">
        <f>((Physics!$C$9*Physics!$C$10)/(Physics!$C$11*Physics!$C$12*$AH125))^($AJ$17-$AJ$18)</f>
        <v>2.4371946421679048E+18</v>
      </c>
      <c r="AK125" s="147">
        <f t="shared" si="50"/>
        <v>1</v>
      </c>
      <c r="AL125" s="147">
        <f>INDEX(Photobiology!$21:$421,1+$AH125-380,10)</f>
        <v>0.16271769999999999</v>
      </c>
      <c r="AM125" s="147">
        <f t="shared" si="51"/>
        <v>1.5667635799408539E-3</v>
      </c>
      <c r="AN125" s="147">
        <f ca="1">INDEX(Photobiology!$21:$421,1+$AH125-380,AN$14)</f>
        <v>0.27533800000000003</v>
      </c>
      <c r="AO125" s="147">
        <f ca="1">INDEX(Photobiology!$21:$421,1+$AH125-380,AO$14)</f>
        <v>0.395646</v>
      </c>
      <c r="AP125" s="147">
        <f ca="1">INDEX(Photobiology!$21:$421,1+$AH125-380,AP$14)</f>
        <v>0.23668400000000001</v>
      </c>
      <c r="AQ125" s="147">
        <f ca="1">INDEX(Photobiology!$21:$421,1+$AH125-380,AQ$14)</f>
        <v>0.84</v>
      </c>
      <c r="AR125" s="147">
        <f ca="1">INDEX(Photobiology!$21:$421,1+$AH125-380,AR$14)</f>
        <v>0.98732500000000001</v>
      </c>
      <c r="AS125" s="147">
        <f t="shared" si="52"/>
        <v>3818507802575655</v>
      </c>
      <c r="AT125" s="147">
        <f ca="1">INDEX(Photobiology!$21:$421,1+$AH125-380,AT$14)</f>
        <v>0.25453429587693116</v>
      </c>
      <c r="AU125" s="147">
        <f ca="1">INDEX(Photobiology!$21:$421,1+$AH125-380,AU$14)</f>
        <v>0.44189560954710172</v>
      </c>
      <c r="AV125" s="147">
        <f ca="1">INDEX(Photobiology!$21:$421,1+$AH125-380,AV$14)</f>
        <v>0.27713155326539002</v>
      </c>
      <c r="AW125" s="147">
        <f ca="1">INDEX(Photobiology!$21:$421,1+$AH125-380,AW$14)</f>
        <v>0.87734277211800693</v>
      </c>
      <c r="AX125" s="147">
        <f ca="1">INDEX(Photobiology!$21:$421,1+$AH125-380,AX$14)</f>
        <v>0.99747167431904504</v>
      </c>
      <c r="AY125" s="147">
        <f t="shared" si="39"/>
        <v>1.5667635799408539E-3</v>
      </c>
      <c r="AZ125" s="147">
        <f t="shared" ca="1" si="53"/>
        <v>4.3138955057375489E-4</v>
      </c>
      <c r="BA125" s="147">
        <f t="shared" ca="1" si="40"/>
        <v>6.1988374334927905E-4</v>
      </c>
      <c r="BB125" s="147">
        <f t="shared" ca="1" si="41"/>
        <v>3.7082787115472107E-4</v>
      </c>
      <c r="BC125" s="147">
        <f t="shared" ca="1" si="42"/>
        <v>1.3160814071503171E-3</v>
      </c>
      <c r="BD125" s="147">
        <f t="shared" ca="1" si="43"/>
        <v>1.5469048515651036E-3</v>
      </c>
    </row>
    <row r="126" spans="8:56" s="147" customFormat="1" ht="0.25" customHeight="1" x14ac:dyDescent="0.2">
      <c r="H126" s="147">
        <f t="shared" si="44"/>
        <v>485</v>
      </c>
      <c r="I126" s="147">
        <f>IF($H126&gt;$H125,INDEX(Spectra!126:126,1,MATCH($I$20,Spectra!$20:$20,0)),I125)</f>
        <v>1.8148252610360499E-3</v>
      </c>
      <c r="J126" s="147">
        <f>((Physics!$C$9*Physics!$C$10)/(Physics!$C$11*Physics!$C$12*$H126))^($J$17-$J$18)</f>
        <v>2.442230168288087E+18</v>
      </c>
      <c r="K126" s="147">
        <f t="shared" si="45"/>
        <v>1</v>
      </c>
      <c r="L126" s="147">
        <f>INDEX(Photobiology!$21:$421,1+$H126-380,10)</f>
        <v>0.16930000000000001</v>
      </c>
      <c r="M126" s="147">
        <f t="shared" si="46"/>
        <v>1.8148252610360499E-3</v>
      </c>
      <c r="N126" s="147">
        <f ca="1">INDEX(Photobiology!$21:$421,1+$H126-380,N$14)</f>
        <v>0.25849699999999998</v>
      </c>
      <c r="O126" s="147">
        <f ca="1">INDEX(Photobiology!$21:$421,1+$H126-380,O$14)</f>
        <v>0.40568799999999999</v>
      </c>
      <c r="P126" s="147">
        <f ca="1">INDEX(Photobiology!$21:$421,1+$H126-380,P$14)</f>
        <v>0.24404600000000001</v>
      </c>
      <c r="Q126" s="147">
        <f ca="1">INDEX(Photobiology!$21:$421,1+$H126-380,Q$14)</f>
        <v>0.85099999999999998</v>
      </c>
      <c r="R126" s="147">
        <f ca="1">INDEX(Photobiology!$21:$421,1+$H126-380,R$14)</f>
        <v>0.99062099999999997</v>
      </c>
      <c r="S126" s="147">
        <f t="shared" si="47"/>
        <v>4432221002673543.5</v>
      </c>
      <c r="T126" s="147">
        <f ca="1">INDEX(Photobiology!$21:$421,1+$H126-380,T$14)</f>
        <v>0.23847303786655133</v>
      </c>
      <c r="U126" s="147">
        <f ca="1">INDEX(Photobiology!$21:$421,1+$H126-380,U$14)</f>
        <v>0.45217723313232155</v>
      </c>
      <c r="V126" s="147">
        <f ca="1">INDEX(Photobiology!$21:$421,1+$H126-380,V$14)</f>
        <v>0.28516248618002821</v>
      </c>
      <c r="W126" s="147">
        <f ca="1">INDEX(Photobiology!$21:$421,1+$H126-380,W$14)</f>
        <v>0.88699914175516226</v>
      </c>
      <c r="X126" s="147">
        <f ca="1">INDEX(Photobiology!$21:$421,1+$H126-380,X$14)</f>
        <v>0.99873803875051059</v>
      </c>
      <c r="Y126" s="147">
        <f t="shared" si="34"/>
        <v>1.8148252610360499E-3</v>
      </c>
      <c r="Z126" s="147">
        <f t="shared" ca="1" si="48"/>
        <v>4.6912688550203573E-4</v>
      </c>
      <c r="AA126" s="147">
        <f t="shared" ca="1" si="35"/>
        <v>7.3625283049919303E-4</v>
      </c>
      <c r="AB126" s="147">
        <f t="shared" ca="1" si="36"/>
        <v>4.4290084565480386E-4</v>
      </c>
      <c r="AC126" s="147">
        <f t="shared" ca="1" si="37"/>
        <v>1.5444162971416785E-3</v>
      </c>
      <c r="AD126" s="147">
        <f t="shared" ca="1" si="38"/>
        <v>1.7978040149127929E-3</v>
      </c>
      <c r="AH126" s="147">
        <f t="shared" si="49"/>
        <v>485</v>
      </c>
      <c r="AI126" s="147">
        <f>IF($AH126&gt;$AH125,INDEX(Spectra!126:126,1,MATCH($AI$20,Spectra!$20:$20,0)),AI125)</f>
        <v>112.367</v>
      </c>
      <c r="AJ126" s="147">
        <f>((Physics!$C$9*Physics!$C$10)/(Physics!$C$11*Physics!$C$12*$AH126))^($AJ$17-$AJ$18)</f>
        <v>2.442230168288087E+18</v>
      </c>
      <c r="AK126" s="147">
        <f t="shared" si="50"/>
        <v>1</v>
      </c>
      <c r="AL126" s="147">
        <f>INDEX(Photobiology!$21:$421,1+$AH126-380,10)</f>
        <v>0.16930000000000001</v>
      </c>
      <c r="AM126" s="147">
        <f t="shared" si="51"/>
        <v>1.5569122480695973E-3</v>
      </c>
      <c r="AN126" s="147">
        <f ca="1">INDEX(Photobiology!$21:$421,1+$AH126-380,AN$14)</f>
        <v>0.25849699999999998</v>
      </c>
      <c r="AO126" s="147">
        <f ca="1">INDEX(Photobiology!$21:$421,1+$AH126-380,AO$14)</f>
        <v>0.40568799999999999</v>
      </c>
      <c r="AP126" s="147">
        <f ca="1">INDEX(Photobiology!$21:$421,1+$AH126-380,AP$14)</f>
        <v>0.24404600000000001</v>
      </c>
      <c r="AQ126" s="147">
        <f ca="1">INDEX(Photobiology!$21:$421,1+$AH126-380,AQ$14)</f>
        <v>0.85099999999999998</v>
      </c>
      <c r="AR126" s="147">
        <f ca="1">INDEX(Photobiology!$21:$421,1+$AH126-380,AR$14)</f>
        <v>0.99062099999999997</v>
      </c>
      <c r="AS126" s="147">
        <f t="shared" si="52"/>
        <v>3802338061612796.5</v>
      </c>
      <c r="AT126" s="147">
        <f ca="1">INDEX(Photobiology!$21:$421,1+$AH126-380,AT$14)</f>
        <v>0.23847303786655133</v>
      </c>
      <c r="AU126" s="147">
        <f ca="1">INDEX(Photobiology!$21:$421,1+$AH126-380,AU$14)</f>
        <v>0.45217723313232155</v>
      </c>
      <c r="AV126" s="147">
        <f ca="1">INDEX(Photobiology!$21:$421,1+$AH126-380,AV$14)</f>
        <v>0.28516248618002821</v>
      </c>
      <c r="AW126" s="147">
        <f ca="1">INDEX(Photobiology!$21:$421,1+$AH126-380,AW$14)</f>
        <v>0.88699914175516226</v>
      </c>
      <c r="AX126" s="147">
        <f ca="1">INDEX(Photobiology!$21:$421,1+$AH126-380,AX$14)</f>
        <v>0.99873803875051059</v>
      </c>
      <c r="AY126" s="147">
        <f t="shared" si="39"/>
        <v>1.5569122480695973E-3</v>
      </c>
      <c r="AZ126" s="147">
        <f t="shared" ca="1" si="53"/>
        <v>4.0245714538924665E-4</v>
      </c>
      <c r="BA126" s="147">
        <f t="shared" ca="1" si="40"/>
        <v>6.3162061609485878E-4</v>
      </c>
      <c r="BB126" s="147">
        <f t="shared" ca="1" si="41"/>
        <v>3.7995820649239296E-4</v>
      </c>
      <c r="BC126" s="147">
        <f t="shared" ca="1" si="42"/>
        <v>1.3249323231072274E-3</v>
      </c>
      <c r="BD126" s="147">
        <f t="shared" ca="1" si="43"/>
        <v>1.5423099680949525E-3</v>
      </c>
    </row>
    <row r="127" spans="8:56" s="147" customFormat="1" ht="0.25" customHeight="1" x14ac:dyDescent="0.2">
      <c r="H127" s="147">
        <f t="shared" si="44"/>
        <v>486</v>
      </c>
      <c r="I127" s="147">
        <f>IF($H127&gt;$H126,INDEX(Spectra!127:127,1,MATCH($I$20,Spectra!$20:$20,0)),I126)</f>
        <v>1.7748291120324999E-3</v>
      </c>
      <c r="J127" s="147">
        <f>((Physics!$C$9*Physics!$C$10)/(Physics!$C$11*Physics!$C$12*$H127))^($J$17-$J$18)</f>
        <v>2.4472656944082688E+18</v>
      </c>
      <c r="K127" s="147">
        <f t="shared" si="45"/>
        <v>1</v>
      </c>
      <c r="L127" s="147">
        <f>INDEX(Photobiology!$21:$421,1+$H127-380,10)</f>
        <v>0.17624310000000001</v>
      </c>
      <c r="M127" s="147">
        <f t="shared" si="46"/>
        <v>1.7748291120324999E-3</v>
      </c>
      <c r="N127" s="147">
        <f ca="1">INDEX(Photobiology!$21:$421,1+$H127-380,N$14)</f>
        <v>0.24215800000000001</v>
      </c>
      <c r="O127" s="147">
        <f ca="1">INDEX(Photobiology!$21:$421,1+$H127-380,O$14)</f>
        <v>0.415435</v>
      </c>
      <c r="P127" s="147">
        <f ca="1">INDEX(Photobiology!$21:$421,1+$H127-380,P$14)</f>
        <v>0.25134699999999999</v>
      </c>
      <c r="Q127" s="147">
        <f ca="1">INDEX(Photobiology!$21:$421,1+$H127-380,Q$14)</f>
        <v>0.86199999999999999</v>
      </c>
      <c r="R127" s="147">
        <f ca="1">INDEX(Photobiology!$21:$421,1+$H127-380,R$14)</f>
        <v>0.99334299999999998</v>
      </c>
      <c r="S127" s="147">
        <f t="shared" si="47"/>
        <v>4343478399314227</v>
      </c>
      <c r="T127" s="147">
        <f ca="1">INDEX(Photobiology!$21:$421,1+$H127-380,T$14)</f>
        <v>0.22294003621607444</v>
      </c>
      <c r="U127" s="147">
        <f ca="1">INDEX(Photobiology!$21:$421,1+$H127-380,U$14)</f>
        <v>0.46208841696217701</v>
      </c>
      <c r="V127" s="147">
        <f ca="1">INDEX(Photobiology!$21:$421,1+$H127-380,V$14)</f>
        <v>0.29308923946485127</v>
      </c>
      <c r="W127" s="147">
        <f ca="1">INDEX(Photobiology!$21:$421,1+$H127-380,W$14)</f>
        <v>0.89661577324566288</v>
      </c>
      <c r="X127" s="147">
        <f ca="1">INDEX(Photobiology!$21:$421,1+$H127-380,X$14)</f>
        <v>0.9994216792608076</v>
      </c>
      <c r="Y127" s="147">
        <f t="shared" si="34"/>
        <v>1.7748291120324999E-3</v>
      </c>
      <c r="Z127" s="147">
        <f t="shared" ca="1" si="48"/>
        <v>4.2978906811156617E-4</v>
      </c>
      <c r="AA127" s="147">
        <f t="shared" ca="1" si="35"/>
        <v>7.3732613215722164E-4</v>
      </c>
      <c r="AB127" s="147">
        <f t="shared" ca="1" si="36"/>
        <v>4.4609797282203274E-4</v>
      </c>
      <c r="AC127" s="147">
        <f t="shared" ca="1" si="37"/>
        <v>1.529902694572015E-3</v>
      </c>
      <c r="AD127" s="147">
        <f t="shared" ca="1" si="38"/>
        <v>1.7630140746336996E-3</v>
      </c>
      <c r="AH127" s="147">
        <f t="shared" si="49"/>
        <v>486</v>
      </c>
      <c r="AI127" s="147">
        <f>IF($AH127&gt;$AH126,INDEX(Spectra!127:127,1,MATCH($AI$20,Spectra!$20:$20,0)),AI126)</f>
        <v>111.65600000000001</v>
      </c>
      <c r="AJ127" s="147">
        <f>((Physics!$C$9*Physics!$C$10)/(Physics!$C$11*Physics!$C$12*$AH127))^($AJ$17-$AJ$18)</f>
        <v>2.4472656944082688E+18</v>
      </c>
      <c r="AK127" s="147">
        <f t="shared" si="50"/>
        <v>1</v>
      </c>
      <c r="AL127" s="147">
        <f>INDEX(Photobiology!$21:$421,1+$AH127-380,10)</f>
        <v>0.17624310000000001</v>
      </c>
      <c r="AM127" s="147">
        <f t="shared" si="51"/>
        <v>1.547060916198341E-3</v>
      </c>
      <c r="AN127" s="147">
        <f ca="1">INDEX(Photobiology!$21:$421,1+$AH127-380,AN$14)</f>
        <v>0.24215800000000001</v>
      </c>
      <c r="AO127" s="147">
        <f ca="1">INDEX(Photobiology!$21:$421,1+$AH127-380,AO$14)</f>
        <v>0.415435</v>
      </c>
      <c r="AP127" s="147">
        <f ca="1">INDEX(Photobiology!$21:$421,1+$AH127-380,AP$14)</f>
        <v>0.25134699999999999</v>
      </c>
      <c r="AQ127" s="147">
        <f ca="1">INDEX(Photobiology!$21:$421,1+$AH127-380,AQ$14)</f>
        <v>0.86199999999999999</v>
      </c>
      <c r="AR127" s="147">
        <f ca="1">INDEX(Photobiology!$21:$421,1+$AH127-380,AR$14)</f>
        <v>0.99334299999999998</v>
      </c>
      <c r="AS127" s="147">
        <f t="shared" si="52"/>
        <v>3786069107372025.5</v>
      </c>
      <c r="AT127" s="147">
        <f ca="1">INDEX(Photobiology!$21:$421,1+$AH127-380,AT$14)</f>
        <v>0.22294003621607444</v>
      </c>
      <c r="AU127" s="147">
        <f ca="1">INDEX(Photobiology!$21:$421,1+$AH127-380,AU$14)</f>
        <v>0.46208841696217701</v>
      </c>
      <c r="AV127" s="147">
        <f ca="1">INDEX(Photobiology!$21:$421,1+$AH127-380,AV$14)</f>
        <v>0.29308923946485127</v>
      </c>
      <c r="AW127" s="147">
        <f ca="1">INDEX(Photobiology!$21:$421,1+$AH127-380,AW$14)</f>
        <v>0.89661577324566288</v>
      </c>
      <c r="AX127" s="147">
        <f ca="1">INDEX(Photobiology!$21:$421,1+$AH127-380,AX$14)</f>
        <v>0.9994216792608076</v>
      </c>
      <c r="AY127" s="147">
        <f t="shared" si="39"/>
        <v>1.547060916198341E-3</v>
      </c>
      <c r="AZ127" s="147">
        <f t="shared" ca="1" si="53"/>
        <v>3.7463317734475789E-4</v>
      </c>
      <c r="BA127" s="147">
        <f t="shared" ca="1" si="40"/>
        <v>6.4270325172085781E-4</v>
      </c>
      <c r="BB127" s="147">
        <f t="shared" ca="1" si="41"/>
        <v>3.8884912010370441E-4</v>
      </c>
      <c r="BC127" s="147">
        <f t="shared" ca="1" si="42"/>
        <v>1.3335665097629699E-3</v>
      </c>
      <c r="BD127" s="147">
        <f t="shared" ca="1" si="43"/>
        <v>1.5367621316792087E-3</v>
      </c>
    </row>
    <row r="128" spans="8:56" s="147" customFormat="1" ht="0.25" customHeight="1" x14ac:dyDescent="0.2">
      <c r="H128" s="147">
        <f t="shared" si="44"/>
        <v>487</v>
      </c>
      <c r="I128" s="147">
        <f>IF($H128&gt;$H127,INDEX(Spectra!128:128,1,MATCH($I$20,Spectra!$20:$20,0)),I127)</f>
        <v>1.7648300747816099E-3</v>
      </c>
      <c r="J128" s="147">
        <f>((Physics!$C$9*Physics!$C$10)/(Physics!$C$11*Physics!$C$12*$H128))^($J$17-$J$18)</f>
        <v>2.4523012205284506E+18</v>
      </c>
      <c r="K128" s="147">
        <f t="shared" si="45"/>
        <v>1</v>
      </c>
      <c r="L128" s="147">
        <f>INDEX(Photobiology!$21:$421,1+$H128-380,10)</f>
        <v>0.1835581</v>
      </c>
      <c r="M128" s="147">
        <f t="shared" si="46"/>
        <v>1.7648300747816099E-3</v>
      </c>
      <c r="N128" s="147">
        <f ca="1">INDEX(Photobiology!$21:$421,1+$H128-380,N$14)</f>
        <v>0.22650400000000001</v>
      </c>
      <c r="O128" s="147">
        <f ca="1">INDEX(Photobiology!$21:$421,1+$H128-380,O$14)</f>
        <v>0.425064</v>
      </c>
      <c r="P128" s="147">
        <f ca="1">INDEX(Photobiology!$21:$421,1+$H128-380,P$14)</f>
        <v>0.25869500000000001</v>
      </c>
      <c r="Q128" s="147">
        <f ca="1">INDEX(Photobiology!$21:$421,1+$H128-380,Q$14)</f>
        <v>0.873</v>
      </c>
      <c r="R128" s="147">
        <f ca="1">INDEX(Photobiology!$21:$421,1+$H128-380,R$14)</f>
        <v>0.99588699999999997</v>
      </c>
      <c r="S128" s="147">
        <f t="shared" si="47"/>
        <v>4327894946412258.5</v>
      </c>
      <c r="T128" s="147">
        <f ca="1">INDEX(Photobiology!$21:$421,1+$H128-380,T$14)</f>
        <v>0.20810016772069026</v>
      </c>
      <c r="U128" s="147">
        <f ca="1">INDEX(Photobiology!$21:$421,1+$H128-380,U$14)</f>
        <v>0.47182791586958001</v>
      </c>
      <c r="V128" s="147">
        <f ca="1">INDEX(Photobiology!$21:$421,1+$H128-380,V$14)</f>
        <v>0.30103813229622955</v>
      </c>
      <c r="W128" s="147">
        <f ca="1">INDEX(Photobiology!$21:$421,1+$H128-380,W$14)</f>
        <v>0.90619291138301972</v>
      </c>
      <c r="X128" s="147">
        <f ca="1">INDEX(Photobiology!$21:$421,1+$H128-380,X$14)</f>
        <v>0.9999237906962003</v>
      </c>
      <c r="Y128" s="147">
        <f t="shared" si="34"/>
        <v>1.7648300747816099E-3</v>
      </c>
      <c r="Z128" s="147">
        <f t="shared" ca="1" si="48"/>
        <v>3.9974107125833382E-4</v>
      </c>
      <c r="AA128" s="147">
        <f t="shared" ca="1" si="35"/>
        <v>7.5016573090697027E-4</v>
      </c>
      <c r="AB128" s="147">
        <f t="shared" ca="1" si="36"/>
        <v>4.5655271619562862E-4</v>
      </c>
      <c r="AC128" s="147">
        <f t="shared" ca="1" si="37"/>
        <v>1.5406966552843455E-3</v>
      </c>
      <c r="AD128" s="147">
        <f t="shared" ca="1" si="38"/>
        <v>1.7575713286840332E-3</v>
      </c>
      <c r="AH128" s="147">
        <f t="shared" si="49"/>
        <v>487</v>
      </c>
      <c r="AI128" s="147">
        <f>IF($AH128&gt;$AH127,INDEX(Spectra!128:128,1,MATCH($AI$20,Spectra!$20:$20,0)),AI127)</f>
        <v>110.94499999999999</v>
      </c>
      <c r="AJ128" s="147">
        <f>((Physics!$C$9*Physics!$C$10)/(Physics!$C$11*Physics!$C$12*$AH128))^($AJ$17-$AJ$18)</f>
        <v>2.4523012205284506E+18</v>
      </c>
      <c r="AK128" s="147">
        <f t="shared" si="50"/>
        <v>1</v>
      </c>
      <c r="AL128" s="147">
        <f>INDEX(Photobiology!$21:$421,1+$AH128-380,10)</f>
        <v>0.1835581</v>
      </c>
      <c r="AM128" s="147">
        <f t="shared" si="51"/>
        <v>1.5372095843270842E-3</v>
      </c>
      <c r="AN128" s="147">
        <f ca="1">INDEX(Photobiology!$21:$421,1+$AH128-380,AN$14)</f>
        <v>0.22650400000000001</v>
      </c>
      <c r="AO128" s="147">
        <f ca="1">INDEX(Photobiology!$21:$421,1+$AH128-380,AO$14)</f>
        <v>0.425064</v>
      </c>
      <c r="AP128" s="147">
        <f ca="1">INDEX(Photobiology!$21:$421,1+$AH128-380,AP$14)</f>
        <v>0.25869500000000001</v>
      </c>
      <c r="AQ128" s="147">
        <f ca="1">INDEX(Photobiology!$21:$421,1+$AH128-380,AQ$14)</f>
        <v>0.873</v>
      </c>
      <c r="AR128" s="147">
        <f ca="1">INDEX(Photobiology!$21:$421,1+$AH128-380,AR$14)</f>
        <v>0.99588699999999997</v>
      </c>
      <c r="AS128" s="147">
        <f t="shared" si="52"/>
        <v>3769700939853341</v>
      </c>
      <c r="AT128" s="147">
        <f ca="1">INDEX(Photobiology!$21:$421,1+$AH128-380,AT$14)</f>
        <v>0.20810016772069026</v>
      </c>
      <c r="AU128" s="147">
        <f ca="1">INDEX(Photobiology!$21:$421,1+$AH128-380,AU$14)</f>
        <v>0.47182791586958001</v>
      </c>
      <c r="AV128" s="147">
        <f ca="1">INDEX(Photobiology!$21:$421,1+$AH128-380,AV$14)</f>
        <v>0.30103813229622955</v>
      </c>
      <c r="AW128" s="147">
        <f ca="1">INDEX(Photobiology!$21:$421,1+$AH128-380,AW$14)</f>
        <v>0.90619291138301972</v>
      </c>
      <c r="AX128" s="147">
        <f ca="1">INDEX(Photobiology!$21:$421,1+$AH128-380,AX$14)</f>
        <v>0.9999237906962003</v>
      </c>
      <c r="AY128" s="147">
        <f t="shared" si="39"/>
        <v>1.5372095843270842E-3</v>
      </c>
      <c r="AZ128" s="147">
        <f t="shared" ca="1" si="53"/>
        <v>3.4818411968842191E-4</v>
      </c>
      <c r="BA128" s="147">
        <f t="shared" ca="1" si="40"/>
        <v>6.5341245475240774E-4</v>
      </c>
      <c r="BB128" s="147">
        <f t="shared" ca="1" si="41"/>
        <v>3.9766843341749504E-4</v>
      </c>
      <c r="BC128" s="147">
        <f t="shared" ca="1" si="42"/>
        <v>1.3419839671175446E-3</v>
      </c>
      <c r="BD128" s="147">
        <f t="shared" ca="1" si="43"/>
        <v>1.530887041306747E-3</v>
      </c>
    </row>
    <row r="129" spans="8:56" s="147" customFormat="1" ht="0.25" customHeight="1" x14ac:dyDescent="0.2">
      <c r="H129" s="147">
        <f t="shared" si="44"/>
        <v>488</v>
      </c>
      <c r="I129" s="147">
        <f>IF($H129&gt;$H128,INDEX(Spectra!129:129,1,MATCH($I$20,Spectra!$20:$20,0)),I128)</f>
        <v>1.7748291120324999E-3</v>
      </c>
      <c r="J129" s="147">
        <f>((Physics!$C$9*Physics!$C$10)/(Physics!$C$11*Physics!$C$12*$H129))^($J$17-$J$18)</f>
        <v>2.4573367466486318E+18</v>
      </c>
      <c r="K129" s="147">
        <f t="shared" si="45"/>
        <v>1</v>
      </c>
      <c r="L129" s="147">
        <f>INDEX(Photobiology!$21:$421,1+$H129-380,10)</f>
        <v>0.19127350000000001</v>
      </c>
      <c r="M129" s="147">
        <f t="shared" si="46"/>
        <v>1.7748291120324999E-3</v>
      </c>
      <c r="N129" s="147">
        <f ca="1">INDEX(Photobiology!$21:$421,1+$H129-380,N$14)</f>
        <v>0.211726</v>
      </c>
      <c r="O129" s="147">
        <f ca="1">INDEX(Photobiology!$21:$421,1+$H129-380,O$14)</f>
        <v>0.43485099999999999</v>
      </c>
      <c r="P129" s="147">
        <f ca="1">INDEX(Photobiology!$21:$421,1+$H129-380,P$14)</f>
        <v>0.26625199999999999</v>
      </c>
      <c r="Q129" s="147">
        <f ca="1">INDEX(Photobiology!$21:$421,1+$H129-380,Q$14)</f>
        <v>0.88400000000000001</v>
      </c>
      <c r="R129" s="147">
        <f ca="1">INDEX(Photobiology!$21:$421,1+$H129-380,R$14)</f>
        <v>0.99800800000000001</v>
      </c>
      <c r="S129" s="147">
        <f t="shared" si="47"/>
        <v>4361352796019223.5</v>
      </c>
      <c r="T129" s="147">
        <f ca="1">INDEX(Photobiology!$21:$421,1+$H129-380,T$14)</f>
        <v>0.19412429265149797</v>
      </c>
      <c r="U129" s="147">
        <f ca="1">INDEX(Photobiology!$21:$421,1+$H129-380,U$14)</f>
        <v>0.48170252196319174</v>
      </c>
      <c r="V129" s="147">
        <f ca="1">INDEX(Photobiology!$21:$421,1+$H129-380,V$14)</f>
        <v>0.30919715838597583</v>
      </c>
      <c r="W129" s="147">
        <f ca="1">INDEX(Photobiology!$21:$421,1+$H129-380,W$14)</f>
        <v>0.9157307989542397</v>
      </c>
      <c r="X129" s="147">
        <f ca="1">INDEX(Photobiology!$21:$421,1+$H129-380,X$14)</f>
        <v>1</v>
      </c>
      <c r="Y129" s="147">
        <f t="shared" si="34"/>
        <v>1.7748291120324999E-3</v>
      </c>
      <c r="Z129" s="147">
        <f t="shared" ca="1" si="48"/>
        <v>3.7577746857419305E-4</v>
      </c>
      <c r="AA129" s="147">
        <f t="shared" ca="1" si="35"/>
        <v>7.7178621419644465E-4</v>
      </c>
      <c r="AB129" s="147">
        <f t="shared" ca="1" si="36"/>
        <v>4.7255180073687718E-4</v>
      </c>
      <c r="AC129" s="147">
        <f t="shared" ca="1" si="37"/>
        <v>1.56894893503673E-3</v>
      </c>
      <c r="AD129" s="147">
        <f t="shared" ca="1" si="38"/>
        <v>1.7712936524413312E-3</v>
      </c>
      <c r="AH129" s="147">
        <f t="shared" si="49"/>
        <v>488</v>
      </c>
      <c r="AI129" s="147">
        <f>IF($AH129&gt;$AH128,INDEX(Spectra!129:129,1,MATCH($AI$20,Spectra!$20:$20,0)),AI128)</f>
        <v>110.233</v>
      </c>
      <c r="AJ129" s="147">
        <f>((Physics!$C$9*Physics!$C$10)/(Physics!$C$11*Physics!$C$12*$AH129))^($AJ$17-$AJ$18)</f>
        <v>2.4573367466486318E+18</v>
      </c>
      <c r="AK129" s="147">
        <f t="shared" si="50"/>
        <v>1</v>
      </c>
      <c r="AL129" s="147">
        <f>INDEX(Photobiology!$21:$421,1+$AH129-380,10)</f>
        <v>0.19127350000000001</v>
      </c>
      <c r="AM129" s="147">
        <f t="shared" si="51"/>
        <v>1.5273443968554462E-3</v>
      </c>
      <c r="AN129" s="147">
        <f ca="1">INDEX(Photobiology!$21:$421,1+$AH129-380,AN$14)</f>
        <v>0.211726</v>
      </c>
      <c r="AO129" s="147">
        <f ca="1">INDEX(Photobiology!$21:$421,1+$AH129-380,AO$14)</f>
        <v>0.43485099999999999</v>
      </c>
      <c r="AP129" s="147">
        <f ca="1">INDEX(Photobiology!$21:$421,1+$AH129-380,AP$14)</f>
        <v>0.26625199999999999</v>
      </c>
      <c r="AQ129" s="147">
        <f ca="1">INDEX(Photobiology!$21:$421,1+$AH129-380,AQ$14)</f>
        <v>0.88400000000000001</v>
      </c>
      <c r="AR129" s="147">
        <f ca="1">INDEX(Photobiology!$21:$421,1+$AH129-380,AR$14)</f>
        <v>0.99800800000000001</v>
      </c>
      <c r="AS129" s="147">
        <f t="shared" si="52"/>
        <v>3753199511180779</v>
      </c>
      <c r="AT129" s="147">
        <f ca="1">INDEX(Photobiology!$21:$421,1+$AH129-380,AT$14)</f>
        <v>0.19412429265149797</v>
      </c>
      <c r="AU129" s="147">
        <f ca="1">INDEX(Photobiology!$21:$421,1+$AH129-380,AU$14)</f>
        <v>0.48170252196319174</v>
      </c>
      <c r="AV129" s="147">
        <f ca="1">INDEX(Photobiology!$21:$421,1+$AH129-380,AV$14)</f>
        <v>0.30919715838597583</v>
      </c>
      <c r="AW129" s="147">
        <f ca="1">INDEX(Photobiology!$21:$421,1+$AH129-380,AW$14)</f>
        <v>0.9157307989542397</v>
      </c>
      <c r="AX129" s="147">
        <f ca="1">INDEX(Photobiology!$21:$421,1+$AH129-380,AX$14)</f>
        <v>1</v>
      </c>
      <c r="AY129" s="147">
        <f t="shared" si="39"/>
        <v>1.5273443968554462E-3</v>
      </c>
      <c r="AZ129" s="147">
        <f t="shared" ca="1" si="53"/>
        <v>3.233785197686162E-4</v>
      </c>
      <c r="BA129" s="147">
        <f t="shared" ca="1" si="40"/>
        <v>6.6416723831698758E-4</v>
      </c>
      <c r="BB129" s="147">
        <f t="shared" ca="1" si="41"/>
        <v>4.0665850035155626E-4</v>
      </c>
      <c r="BC129" s="147">
        <f t="shared" ca="1" si="42"/>
        <v>1.3501724468202145E-3</v>
      </c>
      <c r="BD129" s="147">
        <f t="shared" ca="1" si="43"/>
        <v>1.5243019268169102E-3</v>
      </c>
    </row>
    <row r="130" spans="8:56" s="147" customFormat="1" ht="0.25" customHeight="1" x14ac:dyDescent="0.2">
      <c r="H130" s="147">
        <f t="shared" si="44"/>
        <v>489</v>
      </c>
      <c r="I130" s="147">
        <f>IF($H130&gt;$H129,INDEX(Spectra!130:130,1,MATCH($I$20,Spectra!$20:$20,0)),I129)</f>
        <v>1.7998267051597199E-3</v>
      </c>
      <c r="J130" s="147">
        <f>((Physics!$C$9*Physics!$C$10)/(Physics!$C$11*Physics!$C$12*$H130))^($J$17-$J$18)</f>
        <v>2.4623722727688136E+18</v>
      </c>
      <c r="K130" s="147">
        <f t="shared" si="45"/>
        <v>1</v>
      </c>
      <c r="L130" s="147">
        <f>INDEX(Photobiology!$21:$421,1+$H130-380,10)</f>
        <v>0.19941800000000001</v>
      </c>
      <c r="M130" s="147">
        <f t="shared" si="46"/>
        <v>1.7998267051597199E-3</v>
      </c>
      <c r="N130" s="147">
        <f ca="1">INDEX(Photobiology!$21:$421,1+$H130-380,N$14)</f>
        <v>0.19796</v>
      </c>
      <c r="O130" s="147">
        <f ca="1">INDEX(Photobiology!$21:$421,1+$H130-380,O$14)</f>
        <v>0.44509700000000002</v>
      </c>
      <c r="P130" s="147">
        <f ca="1">INDEX(Photobiology!$21:$421,1+$H130-380,P$14)</f>
        <v>0.274202</v>
      </c>
      <c r="Q130" s="147">
        <f ca="1">INDEX(Photobiology!$21:$421,1+$H130-380,Q$14)</f>
        <v>0.89400000000000002</v>
      </c>
      <c r="R130" s="147">
        <f ca="1">INDEX(Photobiology!$21:$421,1+$H130-380,R$14)</f>
        <v>0.99946100000000004</v>
      </c>
      <c r="S130" s="147">
        <f t="shared" si="47"/>
        <v>4431843374574145</v>
      </c>
      <c r="T130" s="147">
        <f ca="1">INDEX(Photobiology!$21:$421,1+$H130-380,T$14)</f>
        <v>0.18113154916379251</v>
      </c>
      <c r="U130" s="147">
        <f ca="1">INDEX(Photobiology!$21:$421,1+$H130-380,U$14)</f>
        <v>0.4920441547105881</v>
      </c>
      <c r="V130" s="147">
        <f ca="1">INDEX(Photobiology!$21:$421,1+$H130-380,V$14)</f>
        <v>0.31777826991209568</v>
      </c>
      <c r="W130" s="147">
        <f ca="1">INDEX(Photobiology!$21:$421,1+$H130-380,W$14)</f>
        <v>0.92419590058519119</v>
      </c>
      <c r="X130" s="147">
        <f ca="1">INDEX(Photobiology!$21:$421,1+$H130-380,X$14)</f>
        <v>0.99940793307712716</v>
      </c>
      <c r="Y130" s="147">
        <f t="shared" si="34"/>
        <v>1.7998267051597199E-3</v>
      </c>
      <c r="Z130" s="147">
        <f t="shared" ca="1" si="48"/>
        <v>3.5629369455341813E-4</v>
      </c>
      <c r="AA130" s="147">
        <f t="shared" ca="1" si="35"/>
        <v>8.0109746698647593E-4</v>
      </c>
      <c r="AB130" s="147">
        <f t="shared" ca="1" si="36"/>
        <v>4.9351608220820557E-4</v>
      </c>
      <c r="AC130" s="147">
        <f t="shared" ca="1" si="37"/>
        <v>1.6090450744127897E-3</v>
      </c>
      <c r="AD130" s="147">
        <f t="shared" ca="1" si="38"/>
        <v>1.7988565985656388E-3</v>
      </c>
      <c r="AH130" s="147">
        <f t="shared" si="49"/>
        <v>489</v>
      </c>
      <c r="AI130" s="147">
        <f>IF($AH130&gt;$AH129,INDEX(Spectra!130:130,1,MATCH($AI$20,Spectra!$20:$20,0)),AI129)</f>
        <v>109.52200000000001</v>
      </c>
      <c r="AJ130" s="147">
        <f>((Physics!$C$9*Physics!$C$10)/(Physics!$C$11*Physics!$C$12*$AH130))^($AJ$17-$AJ$18)</f>
        <v>2.4623722727688136E+18</v>
      </c>
      <c r="AK130" s="147">
        <f t="shared" si="50"/>
        <v>1</v>
      </c>
      <c r="AL130" s="147">
        <f>INDEX(Photobiology!$21:$421,1+$AH130-380,10)</f>
        <v>0.19941800000000001</v>
      </c>
      <c r="AM130" s="147">
        <f t="shared" si="51"/>
        <v>1.5174930649841899E-3</v>
      </c>
      <c r="AN130" s="147">
        <f ca="1">INDEX(Photobiology!$21:$421,1+$AH130-380,AN$14)</f>
        <v>0.19796</v>
      </c>
      <c r="AO130" s="147">
        <f ca="1">INDEX(Photobiology!$21:$421,1+$AH130-380,AO$14)</f>
        <v>0.44509700000000002</v>
      </c>
      <c r="AP130" s="147">
        <f ca="1">INDEX(Photobiology!$21:$421,1+$AH130-380,AP$14)</f>
        <v>0.274202</v>
      </c>
      <c r="AQ130" s="147">
        <f ca="1">INDEX(Photobiology!$21:$421,1+$AH130-380,AQ$14)</f>
        <v>0.89400000000000002</v>
      </c>
      <c r="AR130" s="147">
        <f ca="1">INDEX(Photobiology!$21:$421,1+$AH130-380,AR$14)</f>
        <v>0.99946100000000004</v>
      </c>
      <c r="AS130" s="147">
        <f t="shared" si="52"/>
        <v>3736632847336032.5</v>
      </c>
      <c r="AT130" s="147">
        <f ca="1">INDEX(Photobiology!$21:$421,1+$AH130-380,AT$14)</f>
        <v>0.18113154916379251</v>
      </c>
      <c r="AU130" s="147">
        <f ca="1">INDEX(Photobiology!$21:$421,1+$AH130-380,AU$14)</f>
        <v>0.4920441547105881</v>
      </c>
      <c r="AV130" s="147">
        <f ca="1">INDEX(Photobiology!$21:$421,1+$AH130-380,AV$14)</f>
        <v>0.31777826991209568</v>
      </c>
      <c r="AW130" s="147">
        <f ca="1">INDEX(Photobiology!$21:$421,1+$AH130-380,AW$14)</f>
        <v>0.92419590058519119</v>
      </c>
      <c r="AX130" s="147">
        <f ca="1">INDEX(Photobiology!$21:$421,1+$AH130-380,AX$14)</f>
        <v>0.99940793307712716</v>
      </c>
      <c r="AY130" s="147">
        <f t="shared" si="39"/>
        <v>1.5174930649841899E-3</v>
      </c>
      <c r="AZ130" s="147">
        <f t="shared" ca="1" si="53"/>
        <v>3.0040292714427023E-4</v>
      </c>
      <c r="BA130" s="147">
        <f t="shared" ca="1" si="40"/>
        <v>6.7543161074526794E-4</v>
      </c>
      <c r="BB130" s="147">
        <f t="shared" ca="1" si="41"/>
        <v>4.1609963340479483E-4</v>
      </c>
      <c r="BC130" s="147">
        <f t="shared" ca="1" si="42"/>
        <v>1.3566388000958657E-3</v>
      </c>
      <c r="BD130" s="147">
        <f t="shared" ca="1" si="43"/>
        <v>1.5166751362221634E-3</v>
      </c>
    </row>
    <row r="131" spans="8:56" s="147" customFormat="1" ht="0.25" customHeight="1" x14ac:dyDescent="0.2">
      <c r="H131" s="147">
        <f t="shared" si="44"/>
        <v>490</v>
      </c>
      <c r="I131" s="147">
        <f>IF($H131&gt;$H130,INDEX(Spectra!131:131,1,MATCH($I$20,Spectra!$20:$20,0)),I130)</f>
        <v>1.8198247796614899E-3</v>
      </c>
      <c r="J131" s="147">
        <f>((Physics!$C$9*Physics!$C$10)/(Physics!$C$11*Physics!$C$12*$H131))^($J$17-$J$18)</f>
        <v>2.4674077988889948E+18</v>
      </c>
      <c r="K131" s="147">
        <f t="shared" si="45"/>
        <v>1</v>
      </c>
      <c r="L131" s="147">
        <f>INDEX(Photobiology!$21:$421,1+$H131-380,10)</f>
        <v>0.20802000000000001</v>
      </c>
      <c r="M131" s="147">
        <f t="shared" si="46"/>
        <v>1.8198247796614899E-3</v>
      </c>
      <c r="N131" s="147">
        <f ca="1">INDEX(Photobiology!$21:$421,1+$H131-380,N$14)</f>
        <v>0.18529699999999999</v>
      </c>
      <c r="O131" s="147">
        <f ca="1">INDEX(Photobiology!$21:$421,1+$H131-380,O$14)</f>
        <v>0.45613700000000001</v>
      </c>
      <c r="P131" s="147">
        <f ca="1">INDEX(Photobiology!$21:$421,1+$H131-380,P$14)</f>
        <v>0.282752</v>
      </c>
      <c r="Q131" s="147">
        <f ca="1">INDEX(Photobiology!$21:$421,1+$H131-380,Q$14)</f>
        <v>0.90400000000000003</v>
      </c>
      <c r="R131" s="147">
        <f ca="1">INDEX(Photobiology!$21:$421,1+$H131-380,R$14)</f>
        <v>1</v>
      </c>
      <c r="S131" s="147">
        <f t="shared" si="47"/>
        <v>4490249853948207</v>
      </c>
      <c r="T131" s="147">
        <f ca="1">INDEX(Photobiology!$21:$421,1+$H131-380,T$14)</f>
        <v>0.16919901230698217</v>
      </c>
      <c r="U131" s="147">
        <f ca="1">INDEX(Photobiology!$21:$421,1+$H131-380,U$14)</f>
        <v>0.50321953351806548</v>
      </c>
      <c r="V131" s="147">
        <f ca="1">INDEX(Photobiology!$21:$421,1+$H131-380,V$14)</f>
        <v>0.32701828959981982</v>
      </c>
      <c r="W131" s="147">
        <f ca="1">INDEX(Photobiology!$21:$421,1+$H131-380,W$14)</f>
        <v>0.93262645078091422</v>
      </c>
      <c r="X131" s="147">
        <f ca="1">INDEX(Photobiology!$21:$421,1+$H131-380,X$14)</f>
        <v>0.99790619649034751</v>
      </c>
      <c r="Y131" s="147">
        <f t="shared" si="34"/>
        <v>1.8198247796614899E-3</v>
      </c>
      <c r="Z131" s="147">
        <f t="shared" ca="1" si="48"/>
        <v>3.3720807219693509E-4</v>
      </c>
      <c r="AA131" s="147">
        <f t="shared" ca="1" si="35"/>
        <v>8.3008941552045301E-4</v>
      </c>
      <c r="AB131" s="147">
        <f t="shared" ca="1" si="36"/>
        <v>5.1455909609884561E-4</v>
      </c>
      <c r="AC131" s="147">
        <f t="shared" ca="1" si="37"/>
        <v>1.6451216008139869E-3</v>
      </c>
      <c r="AD131" s="147">
        <f t="shared" ca="1" si="38"/>
        <v>1.8198247796614899E-3</v>
      </c>
      <c r="AH131" s="147">
        <f t="shared" si="49"/>
        <v>490</v>
      </c>
      <c r="AI131" s="147">
        <f>IF($AH131&gt;$AH130,INDEX(Spectra!131:131,1,MATCH($AI$20,Spectra!$20:$20,0)),AI130)</f>
        <v>108.81100000000001</v>
      </c>
      <c r="AJ131" s="147">
        <f>((Physics!$C$9*Physics!$C$10)/(Physics!$C$11*Physics!$C$12*$AH131))^($AJ$17-$AJ$18)</f>
        <v>2.4674077988889948E+18</v>
      </c>
      <c r="AK131" s="147">
        <f t="shared" si="50"/>
        <v>1</v>
      </c>
      <c r="AL131" s="147">
        <f>INDEX(Photobiology!$21:$421,1+$AH131-380,10)</f>
        <v>0.20802000000000001</v>
      </c>
      <c r="AM131" s="147">
        <f t="shared" si="51"/>
        <v>1.5076417331129333E-3</v>
      </c>
      <c r="AN131" s="147">
        <f ca="1">INDEX(Photobiology!$21:$421,1+$AH131-380,AN$14)</f>
        <v>0.18529699999999999</v>
      </c>
      <c r="AO131" s="147">
        <f ca="1">INDEX(Photobiology!$21:$421,1+$AH131-380,AO$14)</f>
        <v>0.45613700000000001</v>
      </c>
      <c r="AP131" s="147">
        <f ca="1">INDEX(Photobiology!$21:$421,1+$AH131-380,AP$14)</f>
        <v>0.282752</v>
      </c>
      <c r="AQ131" s="147">
        <f ca="1">INDEX(Photobiology!$21:$421,1+$AH131-380,AQ$14)</f>
        <v>0.90400000000000003</v>
      </c>
      <c r="AR131" s="147">
        <f ca="1">INDEX(Photobiology!$21:$421,1+$AH131-380,AR$14)</f>
        <v>1</v>
      </c>
      <c r="AS131" s="147">
        <f t="shared" si="52"/>
        <v>3719966970213372</v>
      </c>
      <c r="AT131" s="147">
        <f ca="1">INDEX(Photobiology!$21:$421,1+$AH131-380,AT$14)</f>
        <v>0.16919901230698217</v>
      </c>
      <c r="AU131" s="147">
        <f ca="1">INDEX(Photobiology!$21:$421,1+$AH131-380,AU$14)</f>
        <v>0.50321953351806548</v>
      </c>
      <c r="AV131" s="147">
        <f ca="1">INDEX(Photobiology!$21:$421,1+$AH131-380,AV$14)</f>
        <v>0.32701828959981982</v>
      </c>
      <c r="AW131" s="147">
        <f ca="1">INDEX(Photobiology!$21:$421,1+$AH131-380,AW$14)</f>
        <v>0.93262645078091422</v>
      </c>
      <c r="AX131" s="147">
        <f ca="1">INDEX(Photobiology!$21:$421,1+$AH131-380,AX$14)</f>
        <v>0.99790619649034751</v>
      </c>
      <c r="AY131" s="147">
        <f t="shared" si="39"/>
        <v>1.5076417331129333E-3</v>
      </c>
      <c r="AZ131" s="147">
        <f t="shared" ca="1" si="53"/>
        <v>2.7936149022062716E-4</v>
      </c>
      <c r="BA131" s="147">
        <f t="shared" ca="1" si="40"/>
        <v>6.8769117721693409E-4</v>
      </c>
      <c r="BB131" s="147">
        <f t="shared" ca="1" si="41"/>
        <v>4.2628871532114811E-4</v>
      </c>
      <c r="BC131" s="147">
        <f t="shared" ca="1" si="42"/>
        <v>1.3629081267340917E-3</v>
      </c>
      <c r="BD131" s="147">
        <f t="shared" ca="1" si="43"/>
        <v>1.5076417331129333E-3</v>
      </c>
    </row>
    <row r="132" spans="8:56" s="147" customFormat="1" ht="0.25" customHeight="1" x14ac:dyDescent="0.2">
      <c r="H132" s="147">
        <f t="shared" si="44"/>
        <v>491</v>
      </c>
      <c r="I132" s="147">
        <f>IF($H132&gt;$H131,INDEX(Spectra!132:132,1,MATCH($I$20,Spectra!$20:$20,0)),I131)</f>
        <v>1.8298238169123799E-3</v>
      </c>
      <c r="J132" s="147">
        <f>((Physics!$C$9*Physics!$C$10)/(Physics!$C$11*Physics!$C$12*$H132))^($J$17-$J$18)</f>
        <v>2.4724433250091766E+18</v>
      </c>
      <c r="K132" s="147">
        <f t="shared" si="45"/>
        <v>1</v>
      </c>
      <c r="L132" s="147">
        <f>INDEX(Photobiology!$21:$421,1+$H132-380,10)</f>
        <v>0.2171199</v>
      </c>
      <c r="M132" s="147">
        <f t="shared" si="46"/>
        <v>1.8298238169123799E-3</v>
      </c>
      <c r="N132" s="147">
        <f ca="1">INDEX(Photobiology!$21:$421,1+$H132-380,N$14)</f>
        <v>0.17375099999999999</v>
      </c>
      <c r="O132" s="147">
        <f ca="1">INDEX(Photobiology!$21:$421,1+$H132-380,O$14)</f>
        <v>0.46823599999999999</v>
      </c>
      <c r="P132" s="147">
        <f ca="1">INDEX(Photobiology!$21:$421,1+$H132-380,P$14)</f>
        <v>0.29207100000000003</v>
      </c>
      <c r="Q132" s="147">
        <f ca="1">INDEX(Photobiology!$21:$421,1+$H132-380,Q$14)</f>
        <v>0.91400000000000003</v>
      </c>
      <c r="R132" s="147">
        <f ca="1">INDEX(Photobiology!$21:$421,1+$H132-380,R$14)</f>
        <v>0.99956100000000003</v>
      </c>
      <c r="S132" s="147">
        <f t="shared" si="47"/>
        <v>4524135682067827</v>
      </c>
      <c r="T132" s="147">
        <f ca="1">INDEX(Photobiology!$21:$421,1+$H132-380,T$14)</f>
        <v>0.15833296193055846</v>
      </c>
      <c r="U132" s="147">
        <f ca="1">INDEX(Photobiology!$21:$421,1+$H132-380,U$14)</f>
        <v>0.51551532213190487</v>
      </c>
      <c r="V132" s="147">
        <f ca="1">INDEX(Photobiology!$21:$421,1+$H132-380,V$14)</f>
        <v>0.3371082512776189</v>
      </c>
      <c r="W132" s="147">
        <f ca="1">INDEX(Photobiology!$21:$421,1+$H132-380,W$14)</f>
        <v>0.94102266064997442</v>
      </c>
      <c r="X132" s="147">
        <f ca="1">INDEX(Photobiology!$21:$421,1+$H132-380,X$14)</f>
        <v>0.99543661237951775</v>
      </c>
      <c r="Y132" s="147">
        <f t="shared" si="34"/>
        <v>1.8298238169123799E-3</v>
      </c>
      <c r="Z132" s="147">
        <f t="shared" ca="1" si="48"/>
        <v>3.1793371801234289E-4</v>
      </c>
      <c r="AA132" s="147">
        <f t="shared" ca="1" si="35"/>
        <v>8.5678938473578506E-4</v>
      </c>
      <c r="AB132" s="147">
        <f t="shared" ca="1" si="36"/>
        <v>5.3443847202941581E-4</v>
      </c>
      <c r="AC132" s="147">
        <f t="shared" ca="1" si="37"/>
        <v>1.6724589686579153E-3</v>
      </c>
      <c r="AD132" s="147">
        <f t="shared" ca="1" si="38"/>
        <v>1.8290205242567554E-3</v>
      </c>
      <c r="AH132" s="147">
        <f t="shared" si="49"/>
        <v>491</v>
      </c>
      <c r="AI132" s="147">
        <f>IF($AH132&gt;$AH131,INDEX(Spectra!132:132,1,MATCH($AI$20,Spectra!$20:$20,0)),AI131)</f>
        <v>108.86499999999999</v>
      </c>
      <c r="AJ132" s="147">
        <f>((Physics!$C$9*Physics!$C$10)/(Physics!$C$11*Physics!$C$12*$AH132))^($AJ$17-$AJ$18)</f>
        <v>2.4724433250091766E+18</v>
      </c>
      <c r="AK132" s="147">
        <f t="shared" si="50"/>
        <v>1</v>
      </c>
      <c r="AL132" s="147">
        <f>INDEX(Photobiology!$21:$421,1+$AH132-380,10)</f>
        <v>0.2171199</v>
      </c>
      <c r="AM132" s="147">
        <f t="shared" si="51"/>
        <v>1.5083899355335349E-3</v>
      </c>
      <c r="AN132" s="147">
        <f ca="1">INDEX(Photobiology!$21:$421,1+$AH132-380,AN$14)</f>
        <v>0.17375099999999999</v>
      </c>
      <c r="AO132" s="147">
        <f ca="1">INDEX(Photobiology!$21:$421,1+$AH132-380,AO$14)</f>
        <v>0.46823599999999999</v>
      </c>
      <c r="AP132" s="147">
        <f ca="1">INDEX(Photobiology!$21:$421,1+$AH132-380,AP$14)</f>
        <v>0.29207100000000003</v>
      </c>
      <c r="AQ132" s="147">
        <f ca="1">INDEX(Photobiology!$21:$421,1+$AH132-380,AQ$14)</f>
        <v>0.91400000000000003</v>
      </c>
      <c r="AR132" s="147">
        <f ca="1">INDEX(Photobiology!$21:$421,1+$AH132-380,AR$14)</f>
        <v>0.99956100000000003</v>
      </c>
      <c r="AS132" s="147">
        <f t="shared" si="52"/>
        <v>3729408627620910.5</v>
      </c>
      <c r="AT132" s="147">
        <f ca="1">INDEX(Photobiology!$21:$421,1+$AH132-380,AT$14)</f>
        <v>0.15833296193055846</v>
      </c>
      <c r="AU132" s="147">
        <f ca="1">INDEX(Photobiology!$21:$421,1+$AH132-380,AU$14)</f>
        <v>0.51551532213190487</v>
      </c>
      <c r="AV132" s="147">
        <f ca="1">INDEX(Photobiology!$21:$421,1+$AH132-380,AV$14)</f>
        <v>0.3371082512776189</v>
      </c>
      <c r="AW132" s="147">
        <f ca="1">INDEX(Photobiology!$21:$421,1+$AH132-380,AW$14)</f>
        <v>0.94102266064997442</v>
      </c>
      <c r="AX132" s="147">
        <f ca="1">INDEX(Photobiology!$21:$421,1+$AH132-380,AX$14)</f>
        <v>0.99543661237951775</v>
      </c>
      <c r="AY132" s="147">
        <f t="shared" si="39"/>
        <v>1.5083899355335349E-3</v>
      </c>
      <c r="AZ132" s="147">
        <f t="shared" ca="1" si="53"/>
        <v>2.620842596888872E-4</v>
      </c>
      <c r="BA132" s="147">
        <f t="shared" ca="1" si="40"/>
        <v>7.0628246985448022E-4</v>
      </c>
      <c r="BB132" s="147">
        <f t="shared" ca="1" si="41"/>
        <v>4.4055695686121514E-4</v>
      </c>
      <c r="BC132" s="147">
        <f t="shared" ca="1" si="42"/>
        <v>1.3786684010776509E-3</v>
      </c>
      <c r="BD132" s="147">
        <f t="shared" ca="1" si="43"/>
        <v>1.5077277523518357E-3</v>
      </c>
    </row>
    <row r="133" spans="8:56" s="147" customFormat="1" ht="0.25" customHeight="1" x14ac:dyDescent="0.2">
      <c r="H133" s="147">
        <f t="shared" si="44"/>
        <v>492</v>
      </c>
      <c r="I133" s="147">
        <f>IF($H133&gt;$H132,INDEX(Spectra!133:133,1,MATCH($I$20,Spectra!$20:$20,0)),I132)</f>
        <v>1.8248242982869299E-3</v>
      </c>
      <c r="J133" s="147">
        <f>((Physics!$C$9*Physics!$C$10)/(Physics!$C$11*Physics!$C$12*$H133))^($J$17-$J$18)</f>
        <v>2.4774788511293583E+18</v>
      </c>
      <c r="K133" s="147">
        <f t="shared" si="45"/>
        <v>1</v>
      </c>
      <c r="L133" s="147">
        <f>INDEX(Photobiology!$21:$421,1+$H133-380,10)</f>
        <v>0.22673450000000001</v>
      </c>
      <c r="M133" s="147">
        <f t="shared" si="46"/>
        <v>1.8248242982869299E-3</v>
      </c>
      <c r="N133" s="147">
        <f ca="1">INDEX(Photobiology!$21:$421,1+$H133-380,N$14)</f>
        <v>0.16314899999999999</v>
      </c>
      <c r="O133" s="147">
        <f ca="1">INDEX(Photobiology!$21:$421,1+$H133-380,O$14)</f>
        <v>0.48125499999999999</v>
      </c>
      <c r="P133" s="147">
        <f ca="1">INDEX(Photobiology!$21:$421,1+$H133-380,P$14)</f>
        <v>0.30209399999999997</v>
      </c>
      <c r="Q133" s="147">
        <f ca="1">INDEX(Photobiology!$21:$421,1+$H133-380,Q$14)</f>
        <v>0.92300000000000004</v>
      </c>
      <c r="R133" s="147">
        <f ca="1">INDEX(Photobiology!$21:$421,1+$H133-380,R$14)</f>
        <v>0.99836499999999995</v>
      </c>
      <c r="S133" s="147">
        <f t="shared" si="47"/>
        <v>4520963606032841</v>
      </c>
      <c r="T133" s="147">
        <f ca="1">INDEX(Photobiology!$21:$421,1+$H133-380,T$14)</f>
        <v>0.14836956688920105</v>
      </c>
      <c r="U133" s="147">
        <f ca="1">INDEX(Photobiology!$21:$421,1+$H133-380,U$14)</f>
        <v>0.52877196454717412</v>
      </c>
      <c r="V133" s="147">
        <f ca="1">INDEX(Photobiology!$21:$421,1+$H133-380,V$14)</f>
        <v>0.34796810187968097</v>
      </c>
      <c r="W133" s="147">
        <f ca="1">INDEX(Photobiology!$21:$421,1+$H133-380,W$14)</f>
        <v>0.94835726692271938</v>
      </c>
      <c r="X133" s="147">
        <f ca="1">INDEX(Photobiology!$21:$421,1+$H133-380,X$14)</f>
        <v>0.99222472303039011</v>
      </c>
      <c r="Y133" s="147">
        <f t="shared" si="34"/>
        <v>1.8248242982869299E-3</v>
      </c>
      <c r="Z133" s="147">
        <f t="shared" ca="1" si="48"/>
        <v>2.9771825944121432E-4</v>
      </c>
      <c r="AA133" s="147">
        <f t="shared" ca="1" si="35"/>
        <v>8.7820581767207649E-4</v>
      </c>
      <c r="AB133" s="147">
        <f t="shared" ca="1" si="36"/>
        <v>5.5126847156669178E-4</v>
      </c>
      <c r="AC133" s="147">
        <f t="shared" ca="1" si="37"/>
        <v>1.6843128273188364E-3</v>
      </c>
      <c r="AD133" s="147">
        <f t="shared" ca="1" si="38"/>
        <v>1.8218407105592307E-3</v>
      </c>
      <c r="AH133" s="147">
        <f t="shared" si="49"/>
        <v>492</v>
      </c>
      <c r="AI133" s="147">
        <f>IF($AH133&gt;$AH132,INDEX(Spectra!133:133,1,MATCH($AI$20,Spectra!$20:$20,0)),AI132)</f>
        <v>108.92</v>
      </c>
      <c r="AJ133" s="147">
        <f>((Physics!$C$9*Physics!$C$10)/(Physics!$C$11*Physics!$C$12*$AH133))^($AJ$17-$AJ$18)</f>
        <v>2.4774788511293583E+18</v>
      </c>
      <c r="AK133" s="147">
        <f t="shared" si="50"/>
        <v>1</v>
      </c>
      <c r="AL133" s="147">
        <f>INDEX(Photobiology!$21:$421,1+$AH133-380,10)</f>
        <v>0.22673450000000001</v>
      </c>
      <c r="AM133" s="147">
        <f t="shared" si="51"/>
        <v>1.5091519935545182E-3</v>
      </c>
      <c r="AN133" s="147">
        <f ca="1">INDEX(Photobiology!$21:$421,1+$AH133-380,AN$14)</f>
        <v>0.16314899999999999</v>
      </c>
      <c r="AO133" s="147">
        <f ca="1">INDEX(Photobiology!$21:$421,1+$AH133-380,AO$14)</f>
        <v>0.48125499999999999</v>
      </c>
      <c r="AP133" s="147">
        <f ca="1">INDEX(Photobiology!$21:$421,1+$AH133-380,AP$14)</f>
        <v>0.30209399999999997</v>
      </c>
      <c r="AQ133" s="147">
        <f ca="1">INDEX(Photobiology!$21:$421,1+$AH133-380,AQ$14)</f>
        <v>0.92300000000000004</v>
      </c>
      <c r="AR133" s="147">
        <f ca="1">INDEX(Photobiology!$21:$421,1+$AH133-380,AR$14)</f>
        <v>0.99836499999999995</v>
      </c>
      <c r="AS133" s="147">
        <f t="shared" si="52"/>
        <v>3738892147171028.5</v>
      </c>
      <c r="AT133" s="147">
        <f ca="1">INDEX(Photobiology!$21:$421,1+$AH133-380,AT$14)</f>
        <v>0.14836956688920105</v>
      </c>
      <c r="AU133" s="147">
        <f ca="1">INDEX(Photobiology!$21:$421,1+$AH133-380,AU$14)</f>
        <v>0.52877196454717412</v>
      </c>
      <c r="AV133" s="147">
        <f ca="1">INDEX(Photobiology!$21:$421,1+$AH133-380,AV$14)</f>
        <v>0.34796810187968097</v>
      </c>
      <c r="AW133" s="147">
        <f ca="1">INDEX(Photobiology!$21:$421,1+$AH133-380,AW$14)</f>
        <v>0.94835726692271938</v>
      </c>
      <c r="AX133" s="147">
        <f ca="1">INDEX(Photobiology!$21:$421,1+$AH133-380,AX$14)</f>
        <v>0.99222472303039011</v>
      </c>
      <c r="AY133" s="147">
        <f t="shared" si="39"/>
        <v>1.5091519935545182E-3</v>
      </c>
      <c r="AZ133" s="147">
        <f t="shared" ca="1" si="53"/>
        <v>2.4621663859642607E-4</v>
      </c>
      <c r="BA133" s="147">
        <f t="shared" ca="1" si="40"/>
        <v>7.2628694265807967E-4</v>
      </c>
      <c r="BB133" s="147">
        <f t="shared" ca="1" si="41"/>
        <v>4.5590576234085856E-4</v>
      </c>
      <c r="BC133" s="147">
        <f t="shared" ca="1" si="42"/>
        <v>1.3929472900508204E-3</v>
      </c>
      <c r="BD133" s="147">
        <f t="shared" ca="1" si="43"/>
        <v>1.5066845300450566E-3</v>
      </c>
    </row>
    <row r="134" spans="8:56" s="147" customFormat="1" ht="0.25" customHeight="1" x14ac:dyDescent="0.2">
      <c r="H134" s="147">
        <f t="shared" si="44"/>
        <v>493</v>
      </c>
      <c r="I134" s="147">
        <f>IF($H134&gt;$H133,INDEX(Spectra!134:134,1,MATCH($I$20,Spectra!$20:$20,0)),I133)</f>
        <v>1.8198247796614899E-3</v>
      </c>
      <c r="J134" s="147">
        <f>((Physics!$C$9*Physics!$C$10)/(Physics!$C$11*Physics!$C$12*$H134))^($J$17-$J$18)</f>
        <v>2.4825143772495401E+18</v>
      </c>
      <c r="K134" s="147">
        <f t="shared" si="45"/>
        <v>1</v>
      </c>
      <c r="L134" s="147">
        <f>INDEX(Photobiology!$21:$421,1+$H134-380,10)</f>
        <v>0.23685709999999999</v>
      </c>
      <c r="M134" s="147">
        <f t="shared" si="46"/>
        <v>1.8198247796614899E-3</v>
      </c>
      <c r="N134" s="147">
        <f ca="1">INDEX(Photobiology!$21:$421,1+$H134-380,N$14)</f>
        <v>0.153311</v>
      </c>
      <c r="O134" s="147">
        <f ca="1">INDEX(Photobiology!$21:$421,1+$H134-380,O$14)</f>
        <v>0.49492700000000001</v>
      </c>
      <c r="P134" s="147">
        <f ca="1">INDEX(Photobiology!$21:$421,1+$H134-380,P$14)</f>
        <v>0.31267299999999998</v>
      </c>
      <c r="Q134" s="147">
        <f ca="1">INDEX(Photobiology!$21:$421,1+$H134-380,Q$14)</f>
        <v>0.93200000000000005</v>
      </c>
      <c r="R134" s="147">
        <f ca="1">INDEX(Photobiology!$21:$421,1+$H134-380,R$14)</f>
        <v>0.99658999999999998</v>
      </c>
      <c r="S134" s="147">
        <f t="shared" si="47"/>
        <v>4517741179584625</v>
      </c>
      <c r="T134" s="147">
        <f ca="1">INDEX(Photobiology!$21:$421,1+$H134-380,T$14)</f>
        <v>0.13913997232883674</v>
      </c>
      <c r="U134" s="147">
        <f ca="1">INDEX(Photobiology!$21:$421,1+$H134-380,U$14)</f>
        <v>0.54269084645400734</v>
      </c>
      <c r="V134" s="147">
        <f ca="1">INDEX(Photobiology!$21:$421,1+$H134-380,V$14)</f>
        <v>0.35942302792069525</v>
      </c>
      <c r="W134" s="147">
        <f ca="1">INDEX(Photobiology!$21:$421,1+$H134-380,W$14)</f>
        <v>0.95566211820044322</v>
      </c>
      <c r="X134" s="147">
        <f ca="1">INDEX(Photobiology!$21:$421,1+$H134-380,X$14)</f>
        <v>0.98845159191998888</v>
      </c>
      <c r="Y134" s="147">
        <f t="shared" si="34"/>
        <v>1.8198247796614899E-3</v>
      </c>
      <c r="Z134" s="147">
        <f t="shared" ca="1" si="48"/>
        <v>2.789991567946827E-4</v>
      </c>
      <c r="AA134" s="147">
        <f t="shared" ca="1" si="35"/>
        <v>9.0068041872352228E-4</v>
      </c>
      <c r="AB134" s="147">
        <f t="shared" ca="1" si="36"/>
        <v>5.6901007333109706E-4</v>
      </c>
      <c r="AC134" s="147">
        <f t="shared" ca="1" si="37"/>
        <v>1.6960766946445087E-3</v>
      </c>
      <c r="AD134" s="147">
        <f t="shared" ca="1" si="38"/>
        <v>1.8136191771628441E-3</v>
      </c>
      <c r="AH134" s="147">
        <f t="shared" si="49"/>
        <v>493</v>
      </c>
      <c r="AI134" s="147">
        <f>IF($AH134&gt;$AH133,INDEX(Spectra!134:134,1,MATCH($AI$20,Spectra!$20:$20,0)),AI133)</f>
        <v>108.974</v>
      </c>
      <c r="AJ134" s="147">
        <f>((Physics!$C$9*Physics!$C$10)/(Physics!$C$11*Physics!$C$12*$AH134))^($AJ$17-$AJ$18)</f>
        <v>2.4825143772495401E+18</v>
      </c>
      <c r="AK134" s="147">
        <f t="shared" si="50"/>
        <v>1</v>
      </c>
      <c r="AL134" s="147">
        <f>INDEX(Photobiology!$21:$421,1+$AH134-380,10)</f>
        <v>0.23685709999999999</v>
      </c>
      <c r="AM134" s="147">
        <f t="shared" si="51"/>
        <v>1.50990019597512E-3</v>
      </c>
      <c r="AN134" s="147">
        <f ca="1">INDEX(Photobiology!$21:$421,1+$AH134-380,AN$14)</f>
        <v>0.153311</v>
      </c>
      <c r="AO134" s="147">
        <f ca="1">INDEX(Photobiology!$21:$421,1+$AH134-380,AO$14)</f>
        <v>0.49492700000000001</v>
      </c>
      <c r="AP134" s="147">
        <f ca="1">INDEX(Photobiology!$21:$421,1+$AH134-380,AP$14)</f>
        <v>0.31267299999999998</v>
      </c>
      <c r="AQ134" s="147">
        <f ca="1">INDEX(Photobiology!$21:$421,1+$AH134-380,AQ$14)</f>
        <v>0.93200000000000005</v>
      </c>
      <c r="AR134" s="147">
        <f ca="1">INDEX(Photobiology!$21:$421,1+$AH134-380,AR$14)</f>
        <v>0.99658999999999998</v>
      </c>
      <c r="AS134" s="147">
        <f t="shared" si="52"/>
        <v>3748348944720133.5</v>
      </c>
      <c r="AT134" s="147">
        <f ca="1">INDEX(Photobiology!$21:$421,1+$AH134-380,AT$14)</f>
        <v>0.13913997232883674</v>
      </c>
      <c r="AU134" s="147">
        <f ca="1">INDEX(Photobiology!$21:$421,1+$AH134-380,AU$14)</f>
        <v>0.54269084645400734</v>
      </c>
      <c r="AV134" s="147">
        <f ca="1">INDEX(Photobiology!$21:$421,1+$AH134-380,AV$14)</f>
        <v>0.35942302792069525</v>
      </c>
      <c r="AW134" s="147">
        <f ca="1">INDEX(Photobiology!$21:$421,1+$AH134-380,AW$14)</f>
        <v>0.95566211820044322</v>
      </c>
      <c r="AX134" s="147">
        <f ca="1">INDEX(Photobiology!$21:$421,1+$AH134-380,AX$14)</f>
        <v>0.98845159191998888</v>
      </c>
      <c r="AY134" s="147">
        <f t="shared" si="39"/>
        <v>1.50990019597512E-3</v>
      </c>
      <c r="AZ134" s="147">
        <f t="shared" ca="1" si="53"/>
        <v>2.3148430894514164E-4</v>
      </c>
      <c r="BA134" s="147">
        <f t="shared" ca="1" si="40"/>
        <v>7.4729037429337826E-4</v>
      </c>
      <c r="BB134" s="147">
        <f t="shared" ca="1" si="41"/>
        <v>4.7210502397612865E-4</v>
      </c>
      <c r="BC134" s="147">
        <f t="shared" ca="1" si="42"/>
        <v>1.4072269826488118E-3</v>
      </c>
      <c r="BD134" s="147">
        <f t="shared" ca="1" si="43"/>
        <v>1.5047514363068447E-3</v>
      </c>
    </row>
    <row r="135" spans="8:56" s="147" customFormat="1" ht="0.25" customHeight="1" x14ac:dyDescent="0.2">
      <c r="H135" s="147">
        <f t="shared" si="44"/>
        <v>494</v>
      </c>
      <c r="I135" s="147">
        <f>IF($H135&gt;$H134,INDEX(Spectra!135:135,1,MATCH($I$20,Spectra!$20:$20,0)),I134)</f>
        <v>1.8248242982869299E-3</v>
      </c>
      <c r="J135" s="147">
        <f>((Physics!$C$9*Physics!$C$10)/(Physics!$C$11*Physics!$C$12*$H135))^($J$17-$J$18)</f>
        <v>2.4875499033697213E+18</v>
      </c>
      <c r="K135" s="147">
        <f t="shared" si="45"/>
        <v>1</v>
      </c>
      <c r="L135" s="147">
        <f>INDEX(Photobiology!$21:$421,1+$H135-380,10)</f>
        <v>0.24748120000000001</v>
      </c>
      <c r="M135" s="147">
        <f t="shared" si="46"/>
        <v>1.8248242982869299E-3</v>
      </c>
      <c r="N135" s="147">
        <f ca="1">INDEX(Photobiology!$21:$421,1+$H135-380,N$14)</f>
        <v>0.14408599999999999</v>
      </c>
      <c r="O135" s="147">
        <f ca="1">INDEX(Photobiology!$21:$421,1+$H135-380,O$14)</f>
        <v>0.50894700000000004</v>
      </c>
      <c r="P135" s="147">
        <f ca="1">INDEX(Photobiology!$21:$421,1+$H135-380,P$14)</f>
        <v>0.32363700000000001</v>
      </c>
      <c r="Q135" s="147">
        <f ca="1">INDEX(Photobiology!$21:$421,1+$H135-380,Q$14)</f>
        <v>0.94099999999999995</v>
      </c>
      <c r="R135" s="147">
        <f ca="1">INDEX(Photobiology!$21:$421,1+$H135-380,R$14)</f>
        <v>0.99441599999999997</v>
      </c>
      <c r="S135" s="147">
        <f t="shared" si="47"/>
        <v>4539341506870372</v>
      </c>
      <c r="T135" s="147">
        <f ca="1">INDEX(Photobiology!$21:$421,1+$H135-380,T$14)</f>
        <v>0.13050295679990709</v>
      </c>
      <c r="U135" s="147">
        <f ca="1">INDEX(Photobiology!$21:$421,1+$H135-380,U$14)</f>
        <v>0.55693418855850019</v>
      </c>
      <c r="V135" s="147">
        <f ca="1">INDEX(Photobiology!$21:$421,1+$H135-380,V$14)</f>
        <v>0.37127324603091533</v>
      </c>
      <c r="W135" s="147">
        <f ca="1">INDEX(Photobiology!$21:$421,1+$H135-380,W$14)</f>
        <v>0.96293739518149579</v>
      </c>
      <c r="X135" s="147">
        <f ca="1">INDEX(Photobiology!$21:$421,1+$H135-380,X$14)</f>
        <v>0.98429879607627768</v>
      </c>
      <c r="Y135" s="147">
        <f t="shared" si="34"/>
        <v>1.8248242982869299E-3</v>
      </c>
      <c r="Z135" s="147">
        <f t="shared" ca="1" si="48"/>
        <v>2.6293163384297056E-4</v>
      </c>
      <c r="AA135" s="147">
        <f t="shared" ca="1" si="35"/>
        <v>9.2873885214023817E-4</v>
      </c>
      <c r="AB135" s="147">
        <f t="shared" ca="1" si="36"/>
        <v>5.9058066142468721E-4</v>
      </c>
      <c r="AC135" s="147">
        <f t="shared" ca="1" si="37"/>
        <v>1.717159664688001E-3</v>
      </c>
      <c r="AD135" s="147">
        <f t="shared" ca="1" si="38"/>
        <v>1.8146344794052957E-3</v>
      </c>
      <c r="AH135" s="147">
        <f t="shared" si="49"/>
        <v>494</v>
      </c>
      <c r="AI135" s="147">
        <f>IF($AH135&gt;$AH134,INDEX(Spectra!135:135,1,MATCH($AI$20,Spectra!$20:$20,0)),AI134)</f>
        <v>109.02800000000001</v>
      </c>
      <c r="AJ135" s="147">
        <f>((Physics!$C$9*Physics!$C$10)/(Physics!$C$11*Physics!$C$12*$AH135))^($AJ$17-$AJ$18)</f>
        <v>2.4875499033697213E+18</v>
      </c>
      <c r="AK135" s="147">
        <f t="shared" si="50"/>
        <v>1</v>
      </c>
      <c r="AL135" s="147">
        <f>INDEX(Photobiology!$21:$421,1+$AH135-380,10)</f>
        <v>0.24748120000000001</v>
      </c>
      <c r="AM135" s="147">
        <f t="shared" si="51"/>
        <v>1.5106483983957219E-3</v>
      </c>
      <c r="AN135" s="147">
        <f ca="1">INDEX(Photobiology!$21:$421,1+$AH135-380,AN$14)</f>
        <v>0.14408599999999999</v>
      </c>
      <c r="AO135" s="147">
        <f ca="1">INDEX(Photobiology!$21:$421,1+$AH135-380,AO$14)</f>
        <v>0.50894700000000004</v>
      </c>
      <c r="AP135" s="147">
        <f ca="1">INDEX(Photobiology!$21:$421,1+$AH135-380,AP$14)</f>
        <v>0.32363700000000001</v>
      </c>
      <c r="AQ135" s="147">
        <f ca="1">INDEX(Photobiology!$21:$421,1+$AH135-380,AQ$14)</f>
        <v>0.94099999999999995</v>
      </c>
      <c r="AR135" s="147">
        <f ca="1">INDEX(Photobiology!$21:$421,1+$AH135-380,AR$14)</f>
        <v>0.99441599999999997</v>
      </c>
      <c r="AS135" s="147">
        <f t="shared" si="52"/>
        <v>3757813277454902</v>
      </c>
      <c r="AT135" s="147">
        <f ca="1">INDEX(Photobiology!$21:$421,1+$AH135-380,AT$14)</f>
        <v>0.13050295679990709</v>
      </c>
      <c r="AU135" s="147">
        <f ca="1">INDEX(Photobiology!$21:$421,1+$AH135-380,AU$14)</f>
        <v>0.55693418855850019</v>
      </c>
      <c r="AV135" s="147">
        <f ca="1">INDEX(Photobiology!$21:$421,1+$AH135-380,AV$14)</f>
        <v>0.37127324603091533</v>
      </c>
      <c r="AW135" s="147">
        <f ca="1">INDEX(Photobiology!$21:$421,1+$AH135-380,AW$14)</f>
        <v>0.96293739518149579</v>
      </c>
      <c r="AX135" s="147">
        <f ca="1">INDEX(Photobiology!$21:$421,1+$AH135-380,AX$14)</f>
        <v>0.98429879607627768</v>
      </c>
      <c r="AY135" s="147">
        <f t="shared" si="39"/>
        <v>1.5106483983957219E-3</v>
      </c>
      <c r="AZ135" s="147">
        <f t="shared" ca="1" si="53"/>
        <v>2.1766328513124597E-4</v>
      </c>
      <c r="BA135" s="147">
        <f t="shared" ca="1" si="40"/>
        <v>7.6883997041830756E-4</v>
      </c>
      <c r="BB135" s="147">
        <f t="shared" ca="1" si="41"/>
        <v>4.8890171571159624E-4</v>
      </c>
      <c r="BC135" s="147">
        <f t="shared" ca="1" si="42"/>
        <v>1.4215201428903741E-3</v>
      </c>
      <c r="BD135" s="147">
        <f t="shared" ca="1" si="43"/>
        <v>1.5022129377390801E-3</v>
      </c>
    </row>
    <row r="136" spans="8:56" s="147" customFormat="1" ht="0.25" customHeight="1" x14ac:dyDescent="0.2">
      <c r="H136" s="147">
        <f t="shared" si="44"/>
        <v>495</v>
      </c>
      <c r="I136" s="147">
        <f>IF($H136&gt;$H135,INDEX(Spectra!136:136,1,MATCH($I$20,Spectra!$20:$20,0)),I135)</f>
        <v>1.8248242982869299E-3</v>
      </c>
      <c r="J136" s="147">
        <f>((Physics!$C$9*Physics!$C$10)/(Physics!$C$11*Physics!$C$12*$H136))^($J$17-$J$18)</f>
        <v>2.4925854294899031E+18</v>
      </c>
      <c r="K136" s="147">
        <f t="shared" si="45"/>
        <v>1</v>
      </c>
      <c r="L136" s="147">
        <f>INDEX(Photobiology!$21:$421,1+$H136-380,10)</f>
        <v>0.2586</v>
      </c>
      <c r="M136" s="147">
        <f t="shared" si="46"/>
        <v>1.8248242982869299E-3</v>
      </c>
      <c r="N136" s="147">
        <f ca="1">INDEX(Photobiology!$21:$421,1+$H136-380,N$14)</f>
        <v>0.135351</v>
      </c>
      <c r="O136" s="147">
        <f ca="1">INDEX(Photobiology!$21:$421,1+$H136-380,O$14)</f>
        <v>0.52297000000000005</v>
      </c>
      <c r="P136" s="147">
        <f ca="1">INDEX(Photobiology!$21:$421,1+$H136-380,P$14)</f>
        <v>0.33478599999999997</v>
      </c>
      <c r="Q136" s="147">
        <f ca="1">INDEX(Photobiology!$21:$421,1+$H136-380,Q$14)</f>
        <v>0.94899999999999995</v>
      </c>
      <c r="R136" s="147">
        <f ca="1">INDEX(Photobiology!$21:$421,1+$H136-380,R$14)</f>
        <v>0.99202199999999996</v>
      </c>
      <c r="S136" s="147">
        <f t="shared" si="47"/>
        <v>4548530457289138</v>
      </c>
      <c r="T136" s="147">
        <f ca="1">INDEX(Photobiology!$21:$421,1+$H136-380,T$14)</f>
        <v>0.12234374923221596</v>
      </c>
      <c r="U136" s="147">
        <f ca="1">INDEX(Photobiology!$21:$421,1+$H136-380,U$14)</f>
        <v>0.57112325803556729</v>
      </c>
      <c r="V136" s="147">
        <f ca="1">INDEX(Photobiology!$21:$421,1+$H136-380,V$14)</f>
        <v>0.38328738594040068</v>
      </c>
      <c r="W136" s="147">
        <f ca="1">INDEX(Photobiology!$21:$421,1+$H136-380,W$14)</f>
        <v>0.96916203154919289</v>
      </c>
      <c r="X136" s="147">
        <f ca="1">INDEX(Photobiology!$21:$421,1+$H136-380,X$14)</f>
        <v>0.97994545741177019</v>
      </c>
      <c r="Y136" s="147">
        <f t="shared" si="34"/>
        <v>1.8248242982869299E-3</v>
      </c>
      <c r="Z136" s="147">
        <f t="shared" ca="1" si="48"/>
        <v>2.4699179359743425E-4</v>
      </c>
      <c r="AA136" s="147">
        <f t="shared" ca="1" si="35"/>
        <v>9.5432836327511588E-4</v>
      </c>
      <c r="AB136" s="147">
        <f t="shared" ca="1" si="36"/>
        <v>6.109256275262881E-4</v>
      </c>
      <c r="AC136" s="147">
        <f t="shared" ca="1" si="37"/>
        <v>1.7317582590742964E-3</v>
      </c>
      <c r="AD136" s="147">
        <f t="shared" ca="1" si="38"/>
        <v>1.8102658500351967E-3</v>
      </c>
      <c r="AH136" s="147">
        <f t="shared" si="49"/>
        <v>495</v>
      </c>
      <c r="AI136" s="147">
        <f>IF($AH136&gt;$AH135,INDEX(Spectra!136:136,1,MATCH($AI$20,Spectra!$20:$20,0)),AI135)</f>
        <v>109.08199999999999</v>
      </c>
      <c r="AJ136" s="147">
        <f>((Physics!$C$9*Physics!$C$10)/(Physics!$C$11*Physics!$C$12*$AH136))^($AJ$17-$AJ$18)</f>
        <v>2.4925854294899031E+18</v>
      </c>
      <c r="AK136" s="147">
        <f t="shared" si="50"/>
        <v>1</v>
      </c>
      <c r="AL136" s="147">
        <f>INDEX(Photobiology!$21:$421,1+$AH136-380,10)</f>
        <v>0.2586</v>
      </c>
      <c r="AM136" s="147">
        <f t="shared" si="51"/>
        <v>1.5113966008163235E-3</v>
      </c>
      <c r="AN136" s="147">
        <f ca="1">INDEX(Photobiology!$21:$421,1+$AH136-380,AN$14)</f>
        <v>0.135351</v>
      </c>
      <c r="AO136" s="147">
        <f ca="1">INDEX(Photobiology!$21:$421,1+$AH136-380,AO$14)</f>
        <v>0.52297000000000005</v>
      </c>
      <c r="AP136" s="147">
        <f ca="1">INDEX(Photobiology!$21:$421,1+$AH136-380,AP$14)</f>
        <v>0.33478599999999997</v>
      </c>
      <c r="AQ136" s="147">
        <f ca="1">INDEX(Photobiology!$21:$421,1+$AH136-380,AQ$14)</f>
        <v>0.94899999999999995</v>
      </c>
      <c r="AR136" s="147">
        <f ca="1">INDEX(Photobiology!$21:$421,1+$AH136-380,AR$14)</f>
        <v>0.99202199999999996</v>
      </c>
      <c r="AS136" s="147">
        <f t="shared" si="52"/>
        <v>3767285145375335.5</v>
      </c>
      <c r="AT136" s="147">
        <f ca="1">INDEX(Photobiology!$21:$421,1+$AH136-380,AT$14)</f>
        <v>0.12234374923221596</v>
      </c>
      <c r="AU136" s="147">
        <f ca="1">INDEX(Photobiology!$21:$421,1+$AH136-380,AU$14)</f>
        <v>0.57112325803556729</v>
      </c>
      <c r="AV136" s="147">
        <f ca="1">INDEX(Photobiology!$21:$421,1+$AH136-380,AV$14)</f>
        <v>0.38328738594040068</v>
      </c>
      <c r="AW136" s="147">
        <f ca="1">INDEX(Photobiology!$21:$421,1+$AH136-380,AW$14)</f>
        <v>0.96916203154919289</v>
      </c>
      <c r="AX136" s="147">
        <f ca="1">INDEX(Photobiology!$21:$421,1+$AH136-380,AX$14)</f>
        <v>0.97994545741177019</v>
      </c>
      <c r="AY136" s="147">
        <f t="shared" si="39"/>
        <v>1.5113966008163235E-3</v>
      </c>
      <c r="AZ136" s="147">
        <f t="shared" ca="1" si="53"/>
        <v>2.045690413170902E-4</v>
      </c>
      <c r="BA136" s="147">
        <f t="shared" ca="1" si="40"/>
        <v>7.9041508032891273E-4</v>
      </c>
      <c r="BB136" s="147">
        <f t="shared" ca="1" si="41"/>
        <v>5.0599442240089362E-4</v>
      </c>
      <c r="BC136" s="147">
        <f t="shared" ca="1" si="42"/>
        <v>1.4343153741746908E-3</v>
      </c>
      <c r="BD136" s="147">
        <f t="shared" ca="1" si="43"/>
        <v>1.4993386787350107E-3</v>
      </c>
    </row>
    <row r="137" spans="8:56" s="147" customFormat="1" ht="0.25" customHeight="1" x14ac:dyDescent="0.2">
      <c r="H137" s="147">
        <f t="shared" si="44"/>
        <v>496</v>
      </c>
      <c r="I137" s="147">
        <f>IF($H137&gt;$H136,INDEX(Spectra!137:137,1,MATCH($I$20,Spectra!$20:$20,0)),I136)</f>
        <v>1.8248242982869299E-3</v>
      </c>
      <c r="J137" s="147">
        <f>((Physics!$C$9*Physics!$C$10)/(Physics!$C$11*Physics!$C$12*$H137))^($J$17-$J$18)</f>
        <v>2.4976209556100849E+18</v>
      </c>
      <c r="K137" s="147">
        <f t="shared" si="45"/>
        <v>1</v>
      </c>
      <c r="L137" s="147">
        <f>INDEX(Photobiology!$21:$421,1+$H137-380,10)</f>
        <v>0.27018490000000001</v>
      </c>
      <c r="M137" s="147">
        <f t="shared" si="46"/>
        <v>1.8248242982869299E-3</v>
      </c>
      <c r="N137" s="147">
        <f ca="1">INDEX(Photobiology!$21:$421,1+$H137-380,N$14)</f>
        <v>0.12701100000000001</v>
      </c>
      <c r="O137" s="147">
        <f ca="1">INDEX(Photobiology!$21:$421,1+$H137-380,O$14)</f>
        <v>0.53670099999999998</v>
      </c>
      <c r="P137" s="147">
        <f ca="1">INDEX(Photobiology!$21:$421,1+$H137-380,P$14)</f>
        <v>0.345943</v>
      </c>
      <c r="Q137" s="147">
        <f ca="1">INDEX(Photobiology!$21:$421,1+$H137-380,Q$14)</f>
        <v>0.95699999999999996</v>
      </c>
      <c r="R137" s="147">
        <f ca="1">INDEX(Photobiology!$21:$421,1+$H137-380,R$14)</f>
        <v>0.988792</v>
      </c>
      <c r="S137" s="147">
        <f t="shared" si="47"/>
        <v>4557719407707905</v>
      </c>
      <c r="T137" s="147">
        <f ca="1">INDEX(Photobiology!$21:$421,1+$H137-380,T$14)</f>
        <v>0.11457376229804041</v>
      </c>
      <c r="U137" s="147">
        <f ca="1">INDEX(Photobiology!$21:$421,1+$H137-380,U$14)</f>
        <v>0.58493687009477646</v>
      </c>
      <c r="V137" s="147">
        <f ca="1">INDEX(Photobiology!$21:$421,1+$H137-380,V$14)</f>
        <v>0.39526222225407476</v>
      </c>
      <c r="W137" s="147">
        <f ca="1">INDEX(Photobiology!$21:$421,1+$H137-380,W$14)</f>
        <v>0.97536156857669776</v>
      </c>
      <c r="X137" s="147">
        <f ca="1">INDEX(Photobiology!$21:$421,1+$H137-380,X$14)</f>
        <v>0.97478551468072772</v>
      </c>
      <c r="Y137" s="147">
        <f t="shared" si="34"/>
        <v>1.8248242982869299E-3</v>
      </c>
      <c r="Z137" s="147">
        <f t="shared" ca="1" si="48"/>
        <v>2.3177275894972128E-4</v>
      </c>
      <c r="AA137" s="147">
        <f t="shared" ca="1" si="35"/>
        <v>9.7938502571489347E-4</v>
      </c>
      <c r="AB137" s="147">
        <f t="shared" ca="1" si="36"/>
        <v>6.3128519222227541E-4</v>
      </c>
      <c r="AC137" s="147">
        <f t="shared" ca="1" si="37"/>
        <v>1.7463568534605918E-3</v>
      </c>
      <c r="AD137" s="147">
        <f t="shared" ca="1" si="38"/>
        <v>1.80437166755173E-3</v>
      </c>
      <c r="AH137" s="147">
        <f t="shared" si="49"/>
        <v>496</v>
      </c>
      <c r="AI137" s="147">
        <f>IF($AH137&gt;$AH136,INDEX(Spectra!137:137,1,MATCH($AI$20,Spectra!$20:$20,0)),AI136)</f>
        <v>109.137</v>
      </c>
      <c r="AJ137" s="147">
        <f>((Physics!$C$9*Physics!$C$10)/(Physics!$C$11*Physics!$C$12*$AH137))^($AJ$17-$AJ$18)</f>
        <v>2.4976209556100849E+18</v>
      </c>
      <c r="AK137" s="147">
        <f t="shared" si="50"/>
        <v>1</v>
      </c>
      <c r="AL137" s="147">
        <f>INDEX(Photobiology!$21:$421,1+$AH137-380,10)</f>
        <v>0.27018490000000001</v>
      </c>
      <c r="AM137" s="147">
        <f t="shared" si="51"/>
        <v>1.5121586588373068E-3</v>
      </c>
      <c r="AN137" s="147">
        <f ca="1">INDEX(Photobiology!$21:$421,1+$AH137-380,AN$14)</f>
        <v>0.12701100000000001</v>
      </c>
      <c r="AO137" s="147">
        <f ca="1">INDEX(Photobiology!$21:$421,1+$AH137-380,AO$14)</f>
        <v>0.53670099999999998</v>
      </c>
      <c r="AP137" s="147">
        <f ca="1">INDEX(Photobiology!$21:$421,1+$AH137-380,AP$14)</f>
        <v>0.345943</v>
      </c>
      <c r="AQ137" s="147">
        <f ca="1">INDEX(Photobiology!$21:$421,1+$AH137-380,AQ$14)</f>
        <v>0.95699999999999996</v>
      </c>
      <c r="AR137" s="147">
        <f ca="1">INDEX(Photobiology!$21:$421,1+$AH137-380,AR$14)</f>
        <v>0.988792</v>
      </c>
      <c r="AS137" s="147">
        <f t="shared" si="52"/>
        <v>3776799154519298.5</v>
      </c>
      <c r="AT137" s="147">
        <f ca="1">INDEX(Photobiology!$21:$421,1+$AH137-380,AT$14)</f>
        <v>0.11457376229804041</v>
      </c>
      <c r="AU137" s="147">
        <f ca="1">INDEX(Photobiology!$21:$421,1+$AH137-380,AU$14)</f>
        <v>0.58493687009477646</v>
      </c>
      <c r="AV137" s="147">
        <f ca="1">INDEX(Photobiology!$21:$421,1+$AH137-380,AV$14)</f>
        <v>0.39526222225407476</v>
      </c>
      <c r="AW137" s="147">
        <f ca="1">INDEX(Photobiology!$21:$421,1+$AH137-380,AW$14)</f>
        <v>0.97536156857669776</v>
      </c>
      <c r="AX137" s="147">
        <f ca="1">INDEX(Photobiology!$21:$421,1+$AH137-380,AX$14)</f>
        <v>0.97478551468072772</v>
      </c>
      <c r="AY137" s="147">
        <f t="shared" si="39"/>
        <v>1.5121586588373068E-3</v>
      </c>
      <c r="AZ137" s="147">
        <f t="shared" ca="1" si="53"/>
        <v>1.920607834175852E-4</v>
      </c>
      <c r="BA137" s="147">
        <f t="shared" ca="1" si="40"/>
        <v>8.1157706435664139E-4</v>
      </c>
      <c r="BB137" s="147">
        <f t="shared" ca="1" si="41"/>
        <v>5.2312070291415436E-4</v>
      </c>
      <c r="BC137" s="147">
        <f t="shared" ca="1" si="42"/>
        <v>1.4471358365073024E-3</v>
      </c>
      <c r="BD137" s="147">
        <f t="shared" ca="1" si="43"/>
        <v>1.4952103845890582E-3</v>
      </c>
    </row>
    <row r="138" spans="8:56" s="147" customFormat="1" ht="0.25" customHeight="1" x14ac:dyDescent="0.2">
      <c r="H138" s="147">
        <f t="shared" si="44"/>
        <v>497</v>
      </c>
      <c r="I138" s="147">
        <f>IF($H138&gt;$H137,INDEX(Spectra!138:138,1,MATCH($I$20,Spectra!$20:$20,0)),I137)</f>
        <v>1.8098257424105999E-3</v>
      </c>
      <c r="J138" s="147">
        <f>((Physics!$C$9*Physics!$C$10)/(Physics!$C$11*Physics!$C$12*$H138))^($J$17-$J$18)</f>
        <v>2.5026564817302666E+18</v>
      </c>
      <c r="K138" s="147">
        <f t="shared" si="45"/>
        <v>1</v>
      </c>
      <c r="L138" s="147">
        <f>INDEX(Photobiology!$21:$421,1+$H138-380,10)</f>
        <v>0.28229389999999999</v>
      </c>
      <c r="M138" s="147">
        <f t="shared" si="46"/>
        <v>1.8098257424105999E-3</v>
      </c>
      <c r="N138" s="147">
        <f ca="1">INDEX(Photobiology!$21:$421,1+$H138-380,N$14)</f>
        <v>0.119017</v>
      </c>
      <c r="O138" s="147">
        <f ca="1">INDEX(Photobiology!$21:$421,1+$H138-380,O$14)</f>
        <v>0.55019499999999999</v>
      </c>
      <c r="P138" s="147">
        <f ca="1">INDEX(Photobiology!$21:$421,1+$H138-380,P$14)</f>
        <v>0.357126</v>
      </c>
      <c r="Q138" s="147">
        <f ca="1">INDEX(Photobiology!$21:$421,1+$H138-380,Q$14)</f>
        <v>0.96399999999999997</v>
      </c>
      <c r="R138" s="147">
        <f ca="1">INDEX(Photobiology!$21:$421,1+$H138-380,R$14)</f>
        <v>0.98421999999999998</v>
      </c>
      <c r="S138" s="147">
        <f t="shared" si="47"/>
        <v>4529372125046180</v>
      </c>
      <c r="T138" s="147">
        <f ca="1">INDEX(Photobiology!$21:$421,1+$H138-380,T$14)</f>
        <v>0.10714653371795177</v>
      </c>
      <c r="U138" s="147">
        <f ca="1">INDEX(Photobiology!$21:$421,1+$H138-380,U$14)</f>
        <v>0.59843711358025231</v>
      </c>
      <c r="V138" s="147">
        <f ca="1">INDEX(Photobiology!$21:$421,1+$H138-380,V$14)</f>
        <v>0.40721851699900896</v>
      </c>
      <c r="W138" s="147">
        <f ca="1">INDEX(Photobiology!$21:$421,1+$H138-380,W$14)</f>
        <v>0.98051902185429518</v>
      </c>
      <c r="X138" s="147">
        <f ca="1">INDEX(Photobiology!$21:$421,1+$H138-380,X$14)</f>
        <v>0.96832600802367719</v>
      </c>
      <c r="Y138" s="147">
        <f t="shared" si="34"/>
        <v>1.8098257424105999E-3</v>
      </c>
      <c r="Z138" s="147">
        <f t="shared" ca="1" si="48"/>
        <v>2.1540003038448237E-4</v>
      </c>
      <c r="AA138" s="147">
        <f t="shared" ca="1" si="35"/>
        <v>9.957570743456001E-4</v>
      </c>
      <c r="AB138" s="147">
        <f t="shared" ca="1" si="36"/>
        <v>6.463358280841279E-4</v>
      </c>
      <c r="AC138" s="147">
        <f t="shared" ca="1" si="37"/>
        <v>1.7446720156838182E-3</v>
      </c>
      <c r="AD138" s="147">
        <f t="shared" ca="1" si="38"/>
        <v>1.7812666921953606E-3</v>
      </c>
      <c r="AH138" s="147">
        <f t="shared" si="49"/>
        <v>497</v>
      </c>
      <c r="AI138" s="147">
        <f>IF($AH138&gt;$AH137,INDEX(Spectra!138:138,1,MATCH($AI$20,Spectra!$20:$20,0)),AI137)</f>
        <v>109.191</v>
      </c>
      <c r="AJ138" s="147">
        <f>((Physics!$C$9*Physics!$C$10)/(Physics!$C$11*Physics!$C$12*$AH138))^($AJ$17-$AJ$18)</f>
        <v>2.5026564817302666E+18</v>
      </c>
      <c r="AK138" s="147">
        <f t="shared" si="50"/>
        <v>1</v>
      </c>
      <c r="AL138" s="147">
        <f>INDEX(Photobiology!$21:$421,1+$AH138-380,10)</f>
        <v>0.28229389999999999</v>
      </c>
      <c r="AM138" s="147">
        <f t="shared" si="51"/>
        <v>1.5129068612579086E-3</v>
      </c>
      <c r="AN138" s="147">
        <f ca="1">INDEX(Photobiology!$21:$421,1+$AH138-380,AN$14)</f>
        <v>0.119017</v>
      </c>
      <c r="AO138" s="147">
        <f ca="1">INDEX(Photobiology!$21:$421,1+$AH138-380,AO$14)</f>
        <v>0.55019499999999999</v>
      </c>
      <c r="AP138" s="147">
        <f ca="1">INDEX(Photobiology!$21:$421,1+$AH138-380,AP$14)</f>
        <v>0.357126</v>
      </c>
      <c r="AQ138" s="147">
        <f ca="1">INDEX(Photobiology!$21:$421,1+$AH138-380,AQ$14)</f>
        <v>0.96399999999999997</v>
      </c>
      <c r="AR138" s="147">
        <f ca="1">INDEX(Photobiology!$21:$421,1+$AH138-380,AR$14)</f>
        <v>0.98421999999999998</v>
      </c>
      <c r="AS138" s="147">
        <f t="shared" si="52"/>
        <v>3786286162581298</v>
      </c>
      <c r="AT138" s="147">
        <f ca="1">INDEX(Photobiology!$21:$421,1+$AH138-380,AT$14)</f>
        <v>0.10714653371795177</v>
      </c>
      <c r="AU138" s="147">
        <f ca="1">INDEX(Photobiology!$21:$421,1+$AH138-380,AU$14)</f>
        <v>0.59843711358025231</v>
      </c>
      <c r="AV138" s="147">
        <f ca="1">INDEX(Photobiology!$21:$421,1+$AH138-380,AV$14)</f>
        <v>0.40721851699900896</v>
      </c>
      <c r="AW138" s="147">
        <f ca="1">INDEX(Photobiology!$21:$421,1+$AH138-380,AW$14)</f>
        <v>0.98051902185429518</v>
      </c>
      <c r="AX138" s="147">
        <f ca="1">INDEX(Photobiology!$21:$421,1+$AH138-380,AX$14)</f>
        <v>0.96832600802367719</v>
      </c>
      <c r="AY138" s="147">
        <f t="shared" si="39"/>
        <v>1.5129068612579086E-3</v>
      </c>
      <c r="AZ138" s="147">
        <f t="shared" ca="1" si="53"/>
        <v>1.800616359063325E-4</v>
      </c>
      <c r="BA138" s="147">
        <f t="shared" ca="1" si="40"/>
        <v>8.3239379052979501E-4</v>
      </c>
      <c r="BB138" s="147">
        <f t="shared" ca="1" si="41"/>
        <v>5.4029837573359185E-4</v>
      </c>
      <c r="BC138" s="147">
        <f t="shared" ca="1" si="42"/>
        <v>1.4584422142526238E-3</v>
      </c>
      <c r="BD138" s="147">
        <f t="shared" ca="1" si="43"/>
        <v>1.4890331909872588E-3</v>
      </c>
    </row>
    <row r="139" spans="8:56" s="147" customFormat="1" ht="0.25" customHeight="1" x14ac:dyDescent="0.2">
      <c r="H139" s="147">
        <f t="shared" si="44"/>
        <v>498</v>
      </c>
      <c r="I139" s="147">
        <f>IF($H139&gt;$H138,INDEX(Spectra!139:139,1,MATCH($I$20,Spectra!$20:$20,0)),I138)</f>
        <v>1.7898276679088299E-3</v>
      </c>
      <c r="J139" s="147">
        <f>((Physics!$C$9*Physics!$C$10)/(Physics!$C$11*Physics!$C$12*$H139))^($J$17-$J$18)</f>
        <v>2.5076920078504479E+18</v>
      </c>
      <c r="K139" s="147">
        <f t="shared" si="45"/>
        <v>1</v>
      </c>
      <c r="L139" s="147">
        <f>INDEX(Photobiology!$21:$421,1+$H139-380,10)</f>
        <v>0.29505049999999999</v>
      </c>
      <c r="M139" s="147">
        <f t="shared" si="46"/>
        <v>1.7898276679088299E-3</v>
      </c>
      <c r="N139" s="147">
        <f ca="1">INDEX(Photobiology!$21:$421,1+$H139-380,N$14)</f>
        <v>0.111333</v>
      </c>
      <c r="O139" s="147">
        <f ca="1">INDEX(Photobiology!$21:$421,1+$H139-380,O$14)</f>
        <v>0.56361600000000001</v>
      </c>
      <c r="P139" s="147">
        <f ca="1">INDEX(Photobiology!$21:$421,1+$H139-380,P$14)</f>
        <v>0.36841600000000002</v>
      </c>
      <c r="Q139" s="147">
        <f ca="1">INDEX(Photobiology!$21:$421,1+$H139-380,Q$14)</f>
        <v>0.97</v>
      </c>
      <c r="R139" s="147">
        <f ca="1">INDEX(Photobiology!$21:$421,1+$H139-380,R$14)</f>
        <v>0.978657</v>
      </c>
      <c r="S139" s="147">
        <f t="shared" si="47"/>
        <v>4488336538244578.5</v>
      </c>
      <c r="T139" s="147">
        <f ca="1">INDEX(Photobiology!$21:$421,1+$H139-380,T$14)</f>
        <v>0.10002765431429374</v>
      </c>
      <c r="U139" s="147">
        <f ca="1">INDEX(Photobiology!$21:$421,1+$H139-380,U$14)</f>
        <v>0.6118038978849113</v>
      </c>
      <c r="V139" s="147">
        <f ca="1">INDEX(Photobiology!$21:$421,1+$H139-380,V$14)</f>
        <v>0.41924855792562188</v>
      </c>
      <c r="W139" s="147">
        <f ca="1">INDEX(Photobiology!$21:$421,1+$H139-380,W$14)</f>
        <v>0.98464066899493663</v>
      </c>
      <c r="X139" s="147">
        <f ca="1">INDEX(Photobiology!$21:$421,1+$H139-380,X$14)</f>
        <v>0.96091940446574386</v>
      </c>
      <c r="Y139" s="147">
        <f t="shared" si="34"/>
        <v>1.7898276679088299E-3</v>
      </c>
      <c r="Z139" s="147">
        <f t="shared" ca="1" si="48"/>
        <v>1.9926688375129377E-4</v>
      </c>
      <c r="AA139" s="147">
        <f t="shared" ca="1" si="35"/>
        <v>1.0087755108761031E-3</v>
      </c>
      <c r="AB139" s="147">
        <f t="shared" ca="1" si="36"/>
        <v>6.5940115010029948E-4</v>
      </c>
      <c r="AC139" s="147">
        <f t="shared" ca="1" si="37"/>
        <v>1.7361328378715649E-3</v>
      </c>
      <c r="AD139" s="147">
        <f t="shared" ca="1" si="38"/>
        <v>1.7516273759926517E-3</v>
      </c>
      <c r="AH139" s="147">
        <f t="shared" si="49"/>
        <v>498</v>
      </c>
      <c r="AI139" s="147">
        <f>IF($AH139&gt;$AH138,INDEX(Spectra!139:139,1,MATCH($AI$20,Spectra!$20:$20,0)),AI138)</f>
        <v>109.245</v>
      </c>
      <c r="AJ139" s="147">
        <f>((Physics!$C$9*Physics!$C$10)/(Physics!$C$11*Physics!$C$12*$AH139))^($AJ$17-$AJ$18)</f>
        <v>2.5076920078504479E+18</v>
      </c>
      <c r="AK139" s="147">
        <f t="shared" si="50"/>
        <v>1</v>
      </c>
      <c r="AL139" s="147">
        <f>INDEX(Photobiology!$21:$421,1+$AH139-380,10)</f>
        <v>0.29505049999999999</v>
      </c>
      <c r="AM139" s="147">
        <f t="shared" si="51"/>
        <v>1.5136550636785104E-3</v>
      </c>
      <c r="AN139" s="147">
        <f ca="1">INDEX(Photobiology!$21:$421,1+$AH139-380,AN$14)</f>
        <v>0.111333</v>
      </c>
      <c r="AO139" s="147">
        <f ca="1">INDEX(Photobiology!$21:$421,1+$AH139-380,AO$14)</f>
        <v>0.56361600000000001</v>
      </c>
      <c r="AP139" s="147">
        <f ca="1">INDEX(Photobiology!$21:$421,1+$AH139-380,AP$14)</f>
        <v>0.36841600000000002</v>
      </c>
      <c r="AQ139" s="147">
        <f ca="1">INDEX(Photobiology!$21:$421,1+$AH139-380,AQ$14)</f>
        <v>0.97</v>
      </c>
      <c r="AR139" s="147">
        <f ca="1">INDEX(Photobiology!$21:$421,1+$AH139-380,AR$14)</f>
        <v>0.978657</v>
      </c>
      <c r="AS139" s="147">
        <f t="shared" si="52"/>
        <v>3795780705828961.5</v>
      </c>
      <c r="AT139" s="147">
        <f ca="1">INDEX(Photobiology!$21:$421,1+$AH139-380,AT$14)</f>
        <v>0.10002765431429374</v>
      </c>
      <c r="AU139" s="147">
        <f ca="1">INDEX(Photobiology!$21:$421,1+$AH139-380,AU$14)</f>
        <v>0.6118038978849113</v>
      </c>
      <c r="AV139" s="147">
        <f ca="1">INDEX(Photobiology!$21:$421,1+$AH139-380,AV$14)</f>
        <v>0.41924855792562188</v>
      </c>
      <c r="AW139" s="147">
        <f ca="1">INDEX(Photobiology!$21:$421,1+$AH139-380,AW$14)</f>
        <v>0.98464066899493663</v>
      </c>
      <c r="AX139" s="147">
        <f ca="1">INDEX(Photobiology!$21:$421,1+$AH139-380,AX$14)</f>
        <v>0.96091940446574386</v>
      </c>
      <c r="AY139" s="147">
        <f t="shared" si="39"/>
        <v>1.5136550636785104E-3</v>
      </c>
      <c r="AZ139" s="147">
        <f t="shared" ca="1" si="53"/>
        <v>1.6851975920451959E-4</v>
      </c>
      <c r="BA139" s="147">
        <f t="shared" ca="1" si="40"/>
        <v>8.5312021237022738E-4</v>
      </c>
      <c r="BB139" s="147">
        <f t="shared" ca="1" si="41"/>
        <v>5.5765474394018212E-4</v>
      </c>
      <c r="BC139" s="147">
        <f t="shared" ca="1" si="42"/>
        <v>1.4682454117681551E-3</v>
      </c>
      <c r="BD139" s="147">
        <f t="shared" ca="1" si="43"/>
        <v>1.4813491236544199E-3</v>
      </c>
    </row>
    <row r="140" spans="8:56" s="147" customFormat="1" ht="0.25" customHeight="1" x14ac:dyDescent="0.2">
      <c r="H140" s="147">
        <f t="shared" si="44"/>
        <v>499</v>
      </c>
      <c r="I140" s="147">
        <f>IF($H140&gt;$H139,INDEX(Spectra!140:140,1,MATCH($I$20,Spectra!$20:$20,0)),I139)</f>
        <v>1.7648300747816099E-3</v>
      </c>
      <c r="J140" s="147">
        <f>((Physics!$C$9*Physics!$C$10)/(Physics!$C$11*Physics!$C$12*$H140))^($J$17-$J$18)</f>
        <v>2.5127275339706296E+18</v>
      </c>
      <c r="K140" s="147">
        <f t="shared" si="45"/>
        <v>1</v>
      </c>
      <c r="L140" s="147">
        <f>INDEX(Photobiology!$21:$421,1+$H140-380,10)</f>
        <v>0.30857800000000002</v>
      </c>
      <c r="M140" s="147">
        <f t="shared" si="46"/>
        <v>1.7648300747816099E-3</v>
      </c>
      <c r="N140" s="147">
        <f ca="1">INDEX(Photobiology!$21:$421,1+$H140-380,N$14)</f>
        <v>0.103934</v>
      </c>
      <c r="O140" s="147">
        <f ca="1">INDEX(Photobiology!$21:$421,1+$H140-380,O$14)</f>
        <v>0.57715000000000005</v>
      </c>
      <c r="P140" s="147">
        <f ca="1">INDEX(Photobiology!$21:$421,1+$H140-380,P$14)</f>
        <v>0.37990699999999999</v>
      </c>
      <c r="Q140" s="147">
        <f ca="1">INDEX(Photobiology!$21:$421,1+$H140-380,Q$14)</f>
        <v>0.97599999999999998</v>
      </c>
      <c r="R140" s="147">
        <f ca="1">INDEX(Photobiology!$21:$421,1+$H140-380,R$14)</f>
        <v>0.97245099999999995</v>
      </c>
      <c r="S140" s="147">
        <f t="shared" si="47"/>
        <v>4434537121683196.5</v>
      </c>
      <c r="T140" s="147">
        <f ca="1">INDEX(Photobiology!$21:$421,1+$H140-380,T$14)</f>
        <v>9.3192853930290573E-2</v>
      </c>
      <c r="U140" s="147">
        <f ca="1">INDEX(Photobiology!$21:$421,1+$H140-380,U$14)</f>
        <v>0.62523952333501431</v>
      </c>
      <c r="V140" s="147">
        <f ca="1">INDEX(Photobiology!$21:$421,1+$H140-380,V$14)</f>
        <v>0.43145865704381109</v>
      </c>
      <c r="W140" s="147">
        <f ca="1">INDEX(Photobiology!$21:$421,1+$H140-380,W$14)</f>
        <v>0.98874579650775984</v>
      </c>
      <c r="X140" s="147">
        <f ca="1">INDEX(Photobiology!$21:$421,1+$H140-380,X$14)</f>
        <v>0.95291240592141291</v>
      </c>
      <c r="Y140" s="147">
        <f t="shared" si="34"/>
        <v>1.7648300747816099E-3</v>
      </c>
      <c r="Z140" s="147">
        <f t="shared" ca="1" si="48"/>
        <v>1.8342584899235184E-4</v>
      </c>
      <c r="AA140" s="147">
        <f t="shared" ca="1" si="35"/>
        <v>1.0185716776602062E-3</v>
      </c>
      <c r="AB140" s="147">
        <f t="shared" ca="1" si="36"/>
        <v>6.7047129922005711E-4</v>
      </c>
      <c r="AC140" s="147">
        <f t="shared" ca="1" si="37"/>
        <v>1.7224741529868514E-3</v>
      </c>
      <c r="AD140" s="147">
        <f t="shared" ca="1" si="38"/>
        <v>1.7162107710514513E-3</v>
      </c>
      <c r="AH140" s="147">
        <f t="shared" si="49"/>
        <v>499</v>
      </c>
      <c r="AI140" s="147">
        <f>IF($AH140&gt;$AH139,INDEX(Spectra!140:140,1,MATCH($AI$20,Spectra!$20:$20,0)),AI139)</f>
        <v>109.3</v>
      </c>
      <c r="AJ140" s="147">
        <f>((Physics!$C$9*Physics!$C$10)/(Physics!$C$11*Physics!$C$12*$AH140))^($AJ$17-$AJ$18)</f>
        <v>2.5127275339706296E+18</v>
      </c>
      <c r="AK140" s="147">
        <f t="shared" si="50"/>
        <v>1</v>
      </c>
      <c r="AL140" s="147">
        <f>INDEX(Photobiology!$21:$421,1+$AH140-380,10)</f>
        <v>0.30857800000000002</v>
      </c>
      <c r="AM140" s="147">
        <f t="shared" si="51"/>
        <v>1.5144171216994935E-3</v>
      </c>
      <c r="AN140" s="147">
        <f ca="1">INDEX(Photobiology!$21:$421,1+$AH140-380,AN$14)</f>
        <v>0.103934</v>
      </c>
      <c r="AO140" s="147">
        <f ca="1">INDEX(Photobiology!$21:$421,1+$AH140-380,AO$14)</f>
        <v>0.57715000000000005</v>
      </c>
      <c r="AP140" s="147">
        <f ca="1">INDEX(Photobiology!$21:$421,1+$AH140-380,AP$14)</f>
        <v>0.37990699999999999</v>
      </c>
      <c r="AQ140" s="147">
        <f ca="1">INDEX(Photobiology!$21:$421,1+$AH140-380,AQ$14)</f>
        <v>0.97599999999999998</v>
      </c>
      <c r="AR140" s="147">
        <f ca="1">INDEX(Photobiology!$21:$421,1+$AH140-380,AR$14)</f>
        <v>0.97245099999999995</v>
      </c>
      <c r="AS140" s="147">
        <f t="shared" si="52"/>
        <v>3805317599610867</v>
      </c>
      <c r="AT140" s="147">
        <f ca="1">INDEX(Photobiology!$21:$421,1+$AH140-380,AT$14)</f>
        <v>9.3192853930290573E-2</v>
      </c>
      <c r="AU140" s="147">
        <f ca="1">INDEX(Photobiology!$21:$421,1+$AH140-380,AU$14)</f>
        <v>0.62523952333501431</v>
      </c>
      <c r="AV140" s="147">
        <f ca="1">INDEX(Photobiology!$21:$421,1+$AH140-380,AV$14)</f>
        <v>0.43145865704381109</v>
      </c>
      <c r="AW140" s="147">
        <f ca="1">INDEX(Photobiology!$21:$421,1+$AH140-380,AW$14)</f>
        <v>0.98874579650775984</v>
      </c>
      <c r="AX140" s="147">
        <f ca="1">INDEX(Photobiology!$21:$421,1+$AH140-380,AX$14)</f>
        <v>0.95291240592141291</v>
      </c>
      <c r="AY140" s="147">
        <f t="shared" si="39"/>
        <v>1.5144171216994935E-3</v>
      </c>
      <c r="AZ140" s="147">
        <f t="shared" ca="1" si="53"/>
        <v>1.5739942912671516E-4</v>
      </c>
      <c r="BA140" s="147">
        <f t="shared" ca="1" si="40"/>
        <v>8.7404584178886273E-4</v>
      </c>
      <c r="BB140" s="147">
        <f t="shared" ca="1" si="41"/>
        <v>5.753376654534895E-4</v>
      </c>
      <c r="BC140" s="147">
        <f t="shared" ca="1" si="42"/>
        <v>1.4780711107787055E-3</v>
      </c>
      <c r="BD140" s="147">
        <f t="shared" ca="1" si="43"/>
        <v>1.4726964444137941E-3</v>
      </c>
    </row>
    <row r="141" spans="8:56" s="147" customFormat="1" ht="0.25" customHeight="1" x14ac:dyDescent="0.2">
      <c r="H141" s="147">
        <f t="shared" si="44"/>
        <v>500</v>
      </c>
      <c r="I141" s="147">
        <f>IF($H141&gt;$H140,INDEX(Spectra!141:141,1,MATCH($I$20,Spectra!$20:$20,0)),I140)</f>
        <v>1.7348329630289499E-3</v>
      </c>
      <c r="J141" s="147">
        <f>((Physics!$C$9*Physics!$C$10)/(Physics!$C$11*Physics!$C$12*$H141))^($J$17-$J$18)</f>
        <v>2.5177630600908114E+18</v>
      </c>
      <c r="K141" s="147">
        <f t="shared" si="45"/>
        <v>1</v>
      </c>
      <c r="L141" s="147">
        <f>INDEX(Photobiology!$21:$421,1+$H141-380,10)</f>
        <v>0.32300000000000001</v>
      </c>
      <c r="M141" s="147">
        <f t="shared" si="46"/>
        <v>1.7348329630289499E-3</v>
      </c>
      <c r="N141" s="147">
        <f ca="1">INDEX(Photobiology!$21:$421,1+$H141-380,N$14)</f>
        <v>9.6798999999999996E-2</v>
      </c>
      <c r="O141" s="147">
        <f ca="1">INDEX(Photobiology!$21:$421,1+$H141-380,O$14)</f>
        <v>0.59100299999999995</v>
      </c>
      <c r="P141" s="147">
        <f ca="1">INDEX(Photobiology!$21:$421,1+$H141-380,P$14)</f>
        <v>0.39170500000000003</v>
      </c>
      <c r="Q141" s="147">
        <f ca="1">INDEX(Photobiology!$21:$421,1+$H141-380,Q$14)</f>
        <v>0.98199999999999998</v>
      </c>
      <c r="R141" s="147">
        <f ca="1">INDEX(Photobiology!$21:$421,1+$H141-380,R$14)</f>
        <v>0.96595200000000003</v>
      </c>
      <c r="S141" s="147">
        <f t="shared" si="47"/>
        <v>4367898349742178.5</v>
      </c>
      <c r="T141" s="147">
        <f ca="1">INDEX(Photobiology!$21:$421,1+$H141-380,T$14)</f>
        <v>8.6621636013845316E-2</v>
      </c>
      <c r="U141" s="147">
        <f ca="1">INDEX(Photobiology!$21:$421,1+$H141-380,U$14)</f>
        <v>0.63896629496932222</v>
      </c>
      <c r="V141" s="147">
        <f ca="1">INDEX(Photobiology!$21:$421,1+$H141-380,V$14)</f>
        <v>0.44396787695628498</v>
      </c>
      <c r="W141" s="147">
        <f ca="1">INDEX(Photobiology!$21:$421,1+$H141-380,W$14)</f>
        <v>0.9928345035105316</v>
      </c>
      <c r="X141" s="147">
        <f ca="1">INDEX(Photobiology!$21:$421,1+$H141-380,X$14)</f>
        <v>0.94465089658599932</v>
      </c>
      <c r="Y141" s="147">
        <f t="shared" si="34"/>
        <v>1.7348329630289499E-3</v>
      </c>
      <c r="Z141" s="147">
        <f t="shared" ca="1" si="48"/>
        <v>1.6793009598823933E-4</v>
      </c>
      <c r="AA141" s="147">
        <f t="shared" ca="1" si="35"/>
        <v>1.0252914856489985E-3</v>
      </c>
      <c r="AB141" s="147">
        <f t="shared" ca="1" si="36"/>
        <v>6.7954274578325492E-4</v>
      </c>
      <c r="AC141" s="147">
        <f t="shared" ca="1" si="37"/>
        <v>1.7036059696944289E-3</v>
      </c>
      <c r="AD141" s="147">
        <f t="shared" ca="1" si="38"/>
        <v>1.6757653703037402E-3</v>
      </c>
      <c r="AH141" s="147">
        <f t="shared" si="49"/>
        <v>500</v>
      </c>
      <c r="AI141" s="147">
        <f>IF($AH141&gt;$AH140,INDEX(Spectra!141:141,1,MATCH($AI$20,Spectra!$20:$20,0)),AI140)</f>
        <v>109.354</v>
      </c>
      <c r="AJ141" s="147">
        <f>((Physics!$C$9*Physics!$C$10)/(Physics!$C$11*Physics!$C$12*$AH141))^($AJ$17-$AJ$18)</f>
        <v>2.5177630600908114E+18</v>
      </c>
      <c r="AK141" s="147">
        <f t="shared" si="50"/>
        <v>1</v>
      </c>
      <c r="AL141" s="147">
        <f>INDEX(Photobiology!$21:$421,1+$AH141-380,10)</f>
        <v>0.32300000000000001</v>
      </c>
      <c r="AM141" s="147">
        <f t="shared" si="51"/>
        <v>1.5151653241200953E-3</v>
      </c>
      <c r="AN141" s="147">
        <f ca="1">INDEX(Photobiology!$21:$421,1+$AH141-380,AN$14)</f>
        <v>9.6798999999999996E-2</v>
      </c>
      <c r="AO141" s="147">
        <f ca="1">INDEX(Photobiology!$21:$421,1+$AH141-380,AO$14)</f>
        <v>0.59100299999999995</v>
      </c>
      <c r="AP141" s="147">
        <f ca="1">INDEX(Photobiology!$21:$421,1+$AH141-380,AP$14)</f>
        <v>0.39170500000000003</v>
      </c>
      <c r="AQ141" s="147">
        <f ca="1">INDEX(Photobiology!$21:$421,1+$AH141-380,AQ$14)</f>
        <v>0.98199999999999998</v>
      </c>
      <c r="AR141" s="147">
        <f ca="1">INDEX(Photobiology!$21:$421,1+$AH141-380,AR$14)</f>
        <v>0.96595200000000003</v>
      </c>
      <c r="AS141" s="147">
        <f t="shared" si="52"/>
        <v>3814827283000097</v>
      </c>
      <c r="AT141" s="147">
        <f ca="1">INDEX(Photobiology!$21:$421,1+$AH141-380,AT$14)</f>
        <v>8.6621636013845316E-2</v>
      </c>
      <c r="AU141" s="147">
        <f ca="1">INDEX(Photobiology!$21:$421,1+$AH141-380,AU$14)</f>
        <v>0.63896629496932222</v>
      </c>
      <c r="AV141" s="147">
        <f ca="1">INDEX(Photobiology!$21:$421,1+$AH141-380,AV$14)</f>
        <v>0.44396787695628498</v>
      </c>
      <c r="AW141" s="147">
        <f ca="1">INDEX(Photobiology!$21:$421,1+$AH141-380,AW$14)</f>
        <v>0.9928345035105316</v>
      </c>
      <c r="AX141" s="147">
        <f ca="1">INDEX(Photobiology!$21:$421,1+$AH141-380,AX$14)</f>
        <v>0.94465089658599932</v>
      </c>
      <c r="AY141" s="147">
        <f t="shared" si="39"/>
        <v>1.5151653241200953E-3</v>
      </c>
      <c r="AZ141" s="147">
        <f t="shared" ca="1" si="53"/>
        <v>1.4666648820950109E-4</v>
      </c>
      <c r="BA141" s="147">
        <f t="shared" ca="1" si="40"/>
        <v>8.9546725205094863E-4</v>
      </c>
      <c r="BB141" s="147">
        <f t="shared" ca="1" si="41"/>
        <v>5.9349783328446195E-4</v>
      </c>
      <c r="BC141" s="147">
        <f t="shared" ca="1" si="42"/>
        <v>1.4878923482859335E-3</v>
      </c>
      <c r="BD141" s="147">
        <f t="shared" ca="1" si="43"/>
        <v>1.4635769751644542E-3</v>
      </c>
    </row>
    <row r="142" spans="8:56" s="147" customFormat="1" ht="0.25" customHeight="1" x14ac:dyDescent="0.2">
      <c r="H142" s="147">
        <f t="shared" si="44"/>
        <v>501</v>
      </c>
      <c r="I142" s="147">
        <f>IF($H142&gt;$H141,INDEX(Spectra!142:142,1,MATCH($I$20,Spectra!$20:$20,0)),I141)</f>
        <v>1.70983536990173E-3</v>
      </c>
      <c r="J142" s="147">
        <f>((Physics!$C$9*Physics!$C$10)/(Physics!$C$11*Physics!$C$12*$H142))^($J$17-$J$18)</f>
        <v>2.5227985862109926E+18</v>
      </c>
      <c r="K142" s="147">
        <f t="shared" si="45"/>
        <v>1</v>
      </c>
      <c r="L142" s="147">
        <f>INDEX(Photobiology!$21:$421,1+$H142-380,10)</f>
        <v>0.33840209999999998</v>
      </c>
      <c r="M142" s="147">
        <f t="shared" si="46"/>
        <v>1.70983536990173E-3</v>
      </c>
      <c r="N142" s="147">
        <f ca="1">INDEX(Photobiology!$21:$421,1+$H142-380,N$14)</f>
        <v>8.9916899999999994E-2</v>
      </c>
      <c r="O142" s="147">
        <f ca="1">INDEX(Photobiology!$21:$421,1+$H142-380,O$14)</f>
        <v>0.60535000000000005</v>
      </c>
      <c r="P142" s="147">
        <f ca="1">INDEX(Photobiology!$21:$421,1+$H142-380,P$14)</f>
        <v>0.40390500000000001</v>
      </c>
      <c r="Q142" s="147">
        <f ca="1">INDEX(Photobiology!$21:$421,1+$H142-380,Q$14)</f>
        <v>0.98599999999999999</v>
      </c>
      <c r="R142" s="147">
        <f ca="1">INDEX(Photobiology!$21:$421,1+$H142-380,R$14)</f>
        <v>0.95884400000000003</v>
      </c>
      <c r="S142" s="147">
        <f t="shared" si="47"/>
        <v>4313570253841634</v>
      </c>
      <c r="T142" s="147">
        <f ca="1">INDEX(Photobiology!$21:$421,1+$H142-380,T$14)</f>
        <v>8.0302509097584213E-2</v>
      </c>
      <c r="U142" s="147">
        <f ca="1">INDEX(Photobiology!$21:$421,1+$H142-380,U$14)</f>
        <v>0.65317129400550744</v>
      </c>
      <c r="V142" s="147">
        <f ca="1">INDEX(Photobiology!$21:$421,1+$H142-380,V$14)</f>
        <v>0.45688188688687209</v>
      </c>
      <c r="W142" s="147">
        <f ca="1">INDEX(Photobiology!$21:$421,1+$H142-380,W$14)</f>
        <v>0.99488885819134054</v>
      </c>
      <c r="X142" s="147">
        <f ca="1">INDEX(Photobiology!$21:$421,1+$H142-380,X$14)</f>
        <v>0.93582798571480941</v>
      </c>
      <c r="Y142" s="147">
        <f t="shared" si="34"/>
        <v>1.70983536990173E-3</v>
      </c>
      <c r="Z142" s="147">
        <f t="shared" ca="1" si="48"/>
        <v>1.5374309597191685E-4</v>
      </c>
      <c r="AA142" s="147">
        <f t="shared" ca="1" si="35"/>
        <v>1.0350488411700123E-3</v>
      </c>
      <c r="AB142" s="147">
        <f t="shared" ca="1" si="36"/>
        <v>6.9061105508015825E-4</v>
      </c>
      <c r="AC142" s="147">
        <f t="shared" ca="1" si="37"/>
        <v>1.6858976747231057E-3</v>
      </c>
      <c r="AD142" s="147">
        <f t="shared" ca="1" si="38"/>
        <v>1.6394653854180543E-3</v>
      </c>
      <c r="AH142" s="147">
        <f t="shared" si="49"/>
        <v>501</v>
      </c>
      <c r="AI142" s="147">
        <f>IF($AH142&gt;$AH141,INDEX(Spectra!142:142,1,MATCH($AI$20,Spectra!$20:$20,0)),AI141)</f>
        <v>109.199</v>
      </c>
      <c r="AJ142" s="147">
        <f>((Physics!$C$9*Physics!$C$10)/(Physics!$C$11*Physics!$C$12*$AH142))^($AJ$17-$AJ$18)</f>
        <v>2.5227985862109926E+18</v>
      </c>
      <c r="AK142" s="147">
        <f t="shared" si="50"/>
        <v>1</v>
      </c>
      <c r="AL142" s="147">
        <f>INDEX(Photobiology!$21:$421,1+$AH142-380,10)</f>
        <v>0.33840209999999998</v>
      </c>
      <c r="AM142" s="147">
        <f t="shared" si="51"/>
        <v>1.5130177060609605E-3</v>
      </c>
      <c r="AN142" s="147">
        <f ca="1">INDEX(Photobiology!$21:$421,1+$AH142-380,AN$14)</f>
        <v>8.9916899999999994E-2</v>
      </c>
      <c r="AO142" s="147">
        <f ca="1">INDEX(Photobiology!$21:$421,1+$AH142-380,AO$14)</f>
        <v>0.60535000000000005</v>
      </c>
      <c r="AP142" s="147">
        <f ca="1">INDEX(Photobiology!$21:$421,1+$AH142-380,AP$14)</f>
        <v>0.40390500000000001</v>
      </c>
      <c r="AQ142" s="147">
        <f ca="1">INDEX(Photobiology!$21:$421,1+$AH142-380,AQ$14)</f>
        <v>0.98599999999999999</v>
      </c>
      <c r="AR142" s="147">
        <f ca="1">INDEX(Photobiology!$21:$421,1+$AH142-380,AR$14)</f>
        <v>0.95884400000000003</v>
      </c>
      <c r="AS142" s="147">
        <f t="shared" si="52"/>
        <v>3817038929762790.5</v>
      </c>
      <c r="AT142" s="147">
        <f ca="1">INDEX(Photobiology!$21:$421,1+$AH142-380,AT$14)</f>
        <v>8.0302509097584213E-2</v>
      </c>
      <c r="AU142" s="147">
        <f ca="1">INDEX(Photobiology!$21:$421,1+$AH142-380,AU$14)</f>
        <v>0.65317129400550744</v>
      </c>
      <c r="AV142" s="147">
        <f ca="1">INDEX(Photobiology!$21:$421,1+$AH142-380,AV$14)</f>
        <v>0.45688188688687209</v>
      </c>
      <c r="AW142" s="147">
        <f ca="1">INDEX(Photobiology!$21:$421,1+$AH142-380,AW$14)</f>
        <v>0.99488885819134054</v>
      </c>
      <c r="AX142" s="147">
        <f ca="1">INDEX(Photobiology!$21:$421,1+$AH142-380,AX$14)</f>
        <v>0.93582798571480941</v>
      </c>
      <c r="AY142" s="147">
        <f t="shared" si="39"/>
        <v>1.5130177060609605E-3</v>
      </c>
      <c r="AZ142" s="147">
        <f t="shared" ca="1" si="53"/>
        <v>1.3604586177411277E-4</v>
      </c>
      <c r="BA142" s="147">
        <f t="shared" ca="1" si="40"/>
        <v>9.1590526836400252E-4</v>
      </c>
      <c r="BB142" s="147">
        <f t="shared" ca="1" si="41"/>
        <v>6.1111541656655227E-4</v>
      </c>
      <c r="BC142" s="147">
        <f t="shared" ca="1" si="42"/>
        <v>1.491835458176107E-3</v>
      </c>
      <c r="BD142" s="147">
        <f t="shared" ca="1" si="43"/>
        <v>1.4507479493503157E-3</v>
      </c>
    </row>
    <row r="143" spans="8:56" s="147" customFormat="1" ht="0.25" customHeight="1" x14ac:dyDescent="0.2">
      <c r="H143" s="147">
        <f t="shared" si="44"/>
        <v>502</v>
      </c>
      <c r="I143" s="147">
        <f>IF($H143&gt;$H142,INDEX(Spectra!143:143,1,MATCH($I$20,Spectra!$20:$20,0)),I142)</f>
        <v>1.6948368140254E-3</v>
      </c>
      <c r="J143" s="147">
        <f>((Physics!$C$9*Physics!$C$10)/(Physics!$C$11*Physics!$C$12*$H143))^($J$17-$J$18)</f>
        <v>2.5278341123311744E+18</v>
      </c>
      <c r="K143" s="147">
        <f t="shared" si="45"/>
        <v>1</v>
      </c>
      <c r="L143" s="147">
        <f>INDEX(Photobiology!$21:$421,1+$H143-380,10)</f>
        <v>0.3546858</v>
      </c>
      <c r="M143" s="147">
        <f t="shared" si="46"/>
        <v>1.6948368140254E-3</v>
      </c>
      <c r="N143" s="147">
        <f ca="1">INDEX(Photobiology!$21:$421,1+$H143-380,N$14)</f>
        <v>8.3287799999999995E-2</v>
      </c>
      <c r="O143" s="147">
        <f ca="1">INDEX(Photobiology!$21:$421,1+$H143-380,O$14)</f>
        <v>0.62016000000000004</v>
      </c>
      <c r="P143" s="147">
        <f ca="1">INDEX(Photobiology!$21:$421,1+$H143-380,P$14)</f>
        <v>0.41649999999999998</v>
      </c>
      <c r="Q143" s="147">
        <f ca="1">INDEX(Photobiology!$21:$421,1+$H143-380,Q$14)</f>
        <v>0.99</v>
      </c>
      <c r="R143" s="147">
        <f ca="1">INDEX(Photobiology!$21:$421,1+$H143-380,R$14)</f>
        <v>0.95071600000000001</v>
      </c>
      <c r="S143" s="147">
        <f t="shared" si="47"/>
        <v>4284266313328092.5</v>
      </c>
      <c r="T143" s="147">
        <f ca="1">INDEX(Photobiology!$21:$421,1+$H143-380,T$14)</f>
        <v>7.4234055791153164E-2</v>
      </c>
      <c r="U143" s="147">
        <f ca="1">INDEX(Photobiology!$21:$421,1+$H143-380,U$14)</f>
        <v>0.66781828021166578</v>
      </c>
      <c r="V143" s="147">
        <f ca="1">INDEX(Photobiology!$21:$421,1+$H143-380,V$14)</f>
        <v>0.47019036541263665</v>
      </c>
      <c r="W143" s="147">
        <f ca="1">INDEX(Photobiology!$21:$421,1+$H143-380,W$14)</f>
        <v>0.99693502819214597</v>
      </c>
      <c r="X143" s="147">
        <f ca="1">INDEX(Photobiology!$21:$421,1+$H143-380,X$14)</f>
        <v>0.92604669298054465</v>
      </c>
      <c r="Y143" s="147">
        <f t="shared" si="34"/>
        <v>1.6948368140254E-3</v>
      </c>
      <c r="Z143" s="147">
        <f t="shared" ca="1" si="48"/>
        <v>1.4115922959918468E-4</v>
      </c>
      <c r="AA143" s="147">
        <f t="shared" ca="1" si="35"/>
        <v>1.0510699985859921E-3</v>
      </c>
      <c r="AB143" s="147">
        <f t="shared" ca="1" si="36"/>
        <v>7.0589953304157904E-4</v>
      </c>
      <c r="AC143" s="147">
        <f t="shared" ca="1" si="37"/>
        <v>1.6778884458851459E-3</v>
      </c>
      <c r="AD143" s="147">
        <f t="shared" ca="1" si="38"/>
        <v>1.6113084764829721E-3</v>
      </c>
      <c r="AH143" s="147">
        <f t="shared" si="49"/>
        <v>502</v>
      </c>
      <c r="AI143" s="147">
        <f>IF($AH143&gt;$AH142,INDEX(Spectra!143:143,1,MATCH($AI$20,Spectra!$20:$20,0)),AI142)</f>
        <v>109.044</v>
      </c>
      <c r="AJ143" s="147">
        <f>((Physics!$C$9*Physics!$C$10)/(Physics!$C$11*Physics!$C$12*$AH143))^($AJ$17-$AJ$18)</f>
        <v>2.5278341123311744E+18</v>
      </c>
      <c r="AK143" s="147">
        <f t="shared" si="50"/>
        <v>1</v>
      </c>
      <c r="AL143" s="147">
        <f>INDEX(Photobiology!$21:$421,1+$AH143-380,10)</f>
        <v>0.3546858</v>
      </c>
      <c r="AM143" s="147">
        <f t="shared" si="51"/>
        <v>1.510870088001826E-3</v>
      </c>
      <c r="AN143" s="147">
        <f ca="1">INDEX(Photobiology!$21:$421,1+$AH143-380,AN$14)</f>
        <v>8.3287799999999995E-2</v>
      </c>
      <c r="AO143" s="147">
        <f ca="1">INDEX(Photobiology!$21:$421,1+$AH143-380,AO$14)</f>
        <v>0.62016000000000004</v>
      </c>
      <c r="AP143" s="147">
        <f ca="1">INDEX(Photobiology!$21:$421,1+$AH143-380,AP$14)</f>
        <v>0.41649999999999998</v>
      </c>
      <c r="AQ143" s="147">
        <f ca="1">INDEX(Photobiology!$21:$421,1+$AH143-380,AQ$14)</f>
        <v>0.99</v>
      </c>
      <c r="AR143" s="147">
        <f ca="1">INDEX(Photobiology!$21:$421,1+$AH143-380,AR$14)</f>
        <v>0.95071600000000001</v>
      </c>
      <c r="AS143" s="147">
        <f t="shared" si="52"/>
        <v>3819228947751819</v>
      </c>
      <c r="AT143" s="147">
        <f ca="1">INDEX(Photobiology!$21:$421,1+$AH143-380,AT$14)</f>
        <v>7.4234055791153164E-2</v>
      </c>
      <c r="AU143" s="147">
        <f ca="1">INDEX(Photobiology!$21:$421,1+$AH143-380,AU$14)</f>
        <v>0.66781828021166578</v>
      </c>
      <c r="AV143" s="147">
        <f ca="1">INDEX(Photobiology!$21:$421,1+$AH143-380,AV$14)</f>
        <v>0.47019036541263665</v>
      </c>
      <c r="AW143" s="147">
        <f ca="1">INDEX(Photobiology!$21:$421,1+$AH143-380,AW$14)</f>
        <v>0.99693502819214597</v>
      </c>
      <c r="AX143" s="147">
        <f ca="1">INDEX(Photobiology!$21:$421,1+$AH143-380,AX$14)</f>
        <v>0.92604669298054465</v>
      </c>
      <c r="AY143" s="147">
        <f t="shared" si="39"/>
        <v>1.510870088001826E-3</v>
      </c>
      <c r="AZ143" s="147">
        <f t="shared" ca="1" si="53"/>
        <v>1.2583704571547848E-4</v>
      </c>
      <c r="BA143" s="147">
        <f t="shared" ca="1" si="40"/>
        <v>9.3698119377521249E-4</v>
      </c>
      <c r="BB143" s="147">
        <f t="shared" ca="1" si="41"/>
        <v>6.2927739165276049E-4</v>
      </c>
      <c r="BC143" s="147">
        <f t="shared" ca="1" si="42"/>
        <v>1.4957613871218077E-3</v>
      </c>
      <c r="BD143" s="147">
        <f t="shared" ca="1" si="43"/>
        <v>1.436408366584744E-3</v>
      </c>
    </row>
    <row r="144" spans="8:56" s="147" customFormat="1" ht="0.25" customHeight="1" x14ac:dyDescent="0.2">
      <c r="H144" s="147">
        <f t="shared" si="44"/>
        <v>503</v>
      </c>
      <c r="I144" s="147">
        <f>IF($H144&gt;$H143,INDEX(Spectra!144:144,1,MATCH($I$20,Spectra!$20:$20,0)),I143)</f>
        <v>1.6898372953999599E-3</v>
      </c>
      <c r="J144" s="147">
        <f>((Physics!$C$9*Physics!$C$10)/(Physics!$C$11*Physics!$C$12*$H144))^($J$17-$J$18)</f>
        <v>2.5328696384513562E+18</v>
      </c>
      <c r="K144" s="147">
        <f t="shared" si="45"/>
        <v>1</v>
      </c>
      <c r="L144" s="147">
        <f>INDEX(Photobiology!$21:$421,1+$H144-380,10)</f>
        <v>0.37169859999999999</v>
      </c>
      <c r="M144" s="147">
        <f t="shared" si="46"/>
        <v>1.6898372953999599E-3</v>
      </c>
      <c r="N144" s="147">
        <f ca="1">INDEX(Photobiology!$21:$421,1+$H144-380,N$14)</f>
        <v>7.6915700000000004E-2</v>
      </c>
      <c r="O144" s="147">
        <f ca="1">INDEX(Photobiology!$21:$421,1+$H144-380,O$14)</f>
        <v>0.63534299999999999</v>
      </c>
      <c r="P144" s="147">
        <f ca="1">INDEX(Photobiology!$21:$421,1+$H144-380,P$14)</f>
        <v>0.42945299999999997</v>
      </c>
      <c r="Q144" s="147">
        <f ca="1">INDEX(Photobiology!$21:$421,1+$H144-380,Q$14)</f>
        <v>0.99399999999999999</v>
      </c>
      <c r="R144" s="147">
        <f ca="1">INDEX(Photobiology!$21:$421,1+$H144-380,R$14)</f>
        <v>0.941778</v>
      </c>
      <c r="S144" s="147">
        <f t="shared" si="47"/>
        <v>4280137579441314</v>
      </c>
      <c r="T144" s="147">
        <f ca="1">INDEX(Photobiology!$21:$421,1+$H144-380,T$14)</f>
        <v>6.8418339118176019E-2</v>
      </c>
      <c r="U144" s="147">
        <f ca="1">INDEX(Photobiology!$21:$421,1+$H144-380,U$14)</f>
        <v>0.68280789380547613</v>
      </c>
      <c r="V144" s="147">
        <f ca="1">INDEX(Photobiology!$21:$421,1+$H144-380,V$14)</f>
        <v>0.48384927326686522</v>
      </c>
      <c r="W144" s="147">
        <f ca="1">INDEX(Photobiology!$21:$421,1+$H144-380,W$14)</f>
        <v>0.99897306232813743</v>
      </c>
      <c r="X144" s="147">
        <f ca="1">INDEX(Photobiology!$21:$421,1+$H144-380,X$14)</f>
        <v>0.91551687860827102</v>
      </c>
      <c r="Y144" s="147">
        <f t="shared" si="34"/>
        <v>1.6898372953999599E-3</v>
      </c>
      <c r="Z144" s="147">
        <f t="shared" ca="1" si="48"/>
        <v>1.299750184617947E-4</v>
      </c>
      <c r="AA144" s="147">
        <f t="shared" ca="1" si="35"/>
        <v>1.0736262967712968E-3</v>
      </c>
      <c r="AB144" s="147">
        <f t="shared" ca="1" si="36"/>
        <v>7.2570569602139893E-4</v>
      </c>
      <c r="AC144" s="147">
        <f t="shared" ca="1" si="37"/>
        <v>1.6796982716275602E-3</v>
      </c>
      <c r="AD144" s="147">
        <f t="shared" ca="1" si="38"/>
        <v>1.5914515883871834E-3</v>
      </c>
      <c r="AH144" s="147">
        <f t="shared" si="49"/>
        <v>503</v>
      </c>
      <c r="AI144" s="147">
        <f>IF($AH144&gt;$AH143,INDEX(Spectra!144:144,1,MATCH($AI$20,Spectra!$20:$20,0)),AI143)</f>
        <v>108.88800000000001</v>
      </c>
      <c r="AJ144" s="147">
        <f>((Physics!$C$9*Physics!$C$10)/(Physics!$C$11*Physics!$C$12*$AH144))^($AJ$17-$AJ$18)</f>
        <v>2.5328696384513562E+18</v>
      </c>
      <c r="AK144" s="147">
        <f t="shared" si="50"/>
        <v>1</v>
      </c>
      <c r="AL144" s="147">
        <f>INDEX(Photobiology!$21:$421,1+$AH144-380,10)</f>
        <v>0.37169859999999999</v>
      </c>
      <c r="AM144" s="147">
        <f t="shared" si="51"/>
        <v>1.5087086143423098E-3</v>
      </c>
      <c r="AN144" s="147">
        <f ca="1">INDEX(Photobiology!$21:$421,1+$AH144-380,AN$14)</f>
        <v>7.6915700000000004E-2</v>
      </c>
      <c r="AO144" s="147">
        <f ca="1">INDEX(Photobiology!$21:$421,1+$AH144-380,AO$14)</f>
        <v>0.63534299999999999</v>
      </c>
      <c r="AP144" s="147">
        <f ca="1">INDEX(Photobiology!$21:$421,1+$AH144-380,AP$14)</f>
        <v>0.42945299999999997</v>
      </c>
      <c r="AQ144" s="147">
        <f ca="1">INDEX(Photobiology!$21:$421,1+$AH144-380,AQ$14)</f>
        <v>0.99399999999999999</v>
      </c>
      <c r="AR144" s="147">
        <f ca="1">INDEX(Photobiology!$21:$421,1+$AH144-380,AR$14)</f>
        <v>0.941778</v>
      </c>
      <c r="AS144" s="147">
        <f t="shared" si="52"/>
        <v>3821362242537652.5</v>
      </c>
      <c r="AT144" s="147">
        <f ca="1">INDEX(Photobiology!$21:$421,1+$AH144-380,AT$14)</f>
        <v>6.8418339118176019E-2</v>
      </c>
      <c r="AU144" s="147">
        <f ca="1">INDEX(Photobiology!$21:$421,1+$AH144-380,AU$14)</f>
        <v>0.68280789380547613</v>
      </c>
      <c r="AV144" s="147">
        <f ca="1">INDEX(Photobiology!$21:$421,1+$AH144-380,AV$14)</f>
        <v>0.48384927326686522</v>
      </c>
      <c r="AW144" s="147">
        <f ca="1">INDEX(Photobiology!$21:$421,1+$AH144-380,AW$14)</f>
        <v>0.99897306232813743</v>
      </c>
      <c r="AX144" s="147">
        <f ca="1">INDEX(Photobiology!$21:$421,1+$AH144-380,AX$14)</f>
        <v>0.91551687860827102</v>
      </c>
      <c r="AY144" s="147">
        <f t="shared" si="39"/>
        <v>1.5087086143423098E-3</v>
      </c>
      <c r="AZ144" s="147">
        <f t="shared" ca="1" si="53"/>
        <v>1.160433791681688E-4</v>
      </c>
      <c r="BA144" s="147">
        <f t="shared" ca="1" si="40"/>
        <v>9.585474571620861E-4</v>
      </c>
      <c r="BB144" s="147">
        <f t="shared" ca="1" si="41"/>
        <v>6.4791944055514787E-4</v>
      </c>
      <c r="BC144" s="147">
        <f t="shared" ca="1" si="42"/>
        <v>1.499656362656256E-3</v>
      </c>
      <c r="BD144" s="147">
        <f t="shared" ca="1" si="43"/>
        <v>1.4208685813980719E-3</v>
      </c>
    </row>
    <row r="145" spans="8:56" s="147" customFormat="1" ht="0.25" customHeight="1" x14ac:dyDescent="0.2">
      <c r="H145" s="147">
        <f t="shared" si="44"/>
        <v>504</v>
      </c>
      <c r="I145" s="147">
        <f>IF($H145&gt;$H144,INDEX(Spectra!145:145,1,MATCH($I$20,Spectra!$20:$20,0)),I144)</f>
        <v>1.6898372953999599E-3</v>
      </c>
      <c r="J145" s="147">
        <f>((Physics!$C$9*Physics!$C$10)/(Physics!$C$11*Physics!$C$12*$H145))^($J$17-$J$18)</f>
        <v>2.5379051645715374E+18</v>
      </c>
      <c r="K145" s="147">
        <f t="shared" si="45"/>
        <v>1</v>
      </c>
      <c r="L145" s="147">
        <f>INDEX(Photobiology!$21:$421,1+$H145-380,10)</f>
        <v>0.38928750000000001</v>
      </c>
      <c r="M145" s="147">
        <f t="shared" si="46"/>
        <v>1.6898372953999599E-3</v>
      </c>
      <c r="N145" s="147">
        <f ca="1">INDEX(Photobiology!$21:$421,1+$H145-380,N$14)</f>
        <v>7.0805199999999999E-2</v>
      </c>
      <c r="O145" s="147">
        <f ca="1">INDEX(Photobiology!$21:$421,1+$H145-380,O$14)</f>
        <v>0.65079600000000004</v>
      </c>
      <c r="P145" s="147">
        <f ca="1">INDEX(Photobiology!$21:$421,1+$H145-380,P$14)</f>
        <v>0.44272</v>
      </c>
      <c r="Q145" s="147">
        <f ca="1">INDEX(Photobiology!$21:$421,1+$H145-380,Q$14)</f>
        <v>0.997</v>
      </c>
      <c r="R145" s="147">
        <f ca="1">INDEX(Photobiology!$21:$421,1+$H145-380,R$14)</f>
        <v>0.93223599999999995</v>
      </c>
      <c r="S145" s="147">
        <f t="shared" si="47"/>
        <v>4288646799281157</v>
      </c>
      <c r="T145" s="147">
        <f ca="1">INDEX(Photobiology!$21:$421,1+$H145-380,T$14)</f>
        <v>6.2857938384344794E-2</v>
      </c>
      <c r="U145" s="147">
        <f ca="1">INDEX(Photobiology!$21:$421,1+$H145-380,U$14)</f>
        <v>0.69802762009731267</v>
      </c>
      <c r="V145" s="147">
        <f ca="1">INDEX(Photobiology!$21:$421,1+$H145-380,V$14)</f>
        <v>0.4978070497003193</v>
      </c>
      <c r="W145" s="147">
        <f ca="1">INDEX(Photobiology!$21:$421,1+$H145-380,W$14)</f>
        <v>1</v>
      </c>
      <c r="X145" s="147">
        <f ca="1">INDEX(Photobiology!$21:$421,1+$H145-380,X$14)</f>
        <v>0.90444285651939282</v>
      </c>
      <c r="Y145" s="147">
        <f t="shared" si="34"/>
        <v>1.6898372953999599E-3</v>
      </c>
      <c r="Z145" s="147">
        <f t="shared" ca="1" si="48"/>
        <v>1.1964926766825324E-4</v>
      </c>
      <c r="AA145" s="147">
        <f t="shared" ca="1" si="35"/>
        <v>1.0997393524971124E-3</v>
      </c>
      <c r="AB145" s="147">
        <f t="shared" ca="1" si="36"/>
        <v>7.4812476741947028E-4</v>
      </c>
      <c r="AC145" s="147">
        <f t="shared" ca="1" si="37"/>
        <v>1.6847677835137602E-3</v>
      </c>
      <c r="AD145" s="147">
        <f t="shared" ca="1" si="38"/>
        <v>1.5753271609144769E-3</v>
      </c>
      <c r="AH145" s="147">
        <f t="shared" si="49"/>
        <v>504</v>
      </c>
      <c r="AI145" s="147">
        <f>IF($AH145&gt;$AH144,INDEX(Spectra!145:145,1,MATCH($AI$20,Spectra!$20:$20,0)),AI144)</f>
        <v>108.733</v>
      </c>
      <c r="AJ145" s="147">
        <f>((Physics!$C$9*Physics!$C$10)/(Physics!$C$11*Physics!$C$12*$AH145))^($AJ$17-$AJ$18)</f>
        <v>2.5379051645715374E+18</v>
      </c>
      <c r="AK145" s="147">
        <f t="shared" si="50"/>
        <v>1</v>
      </c>
      <c r="AL145" s="147">
        <f>INDEX(Photobiology!$21:$421,1+$AH145-380,10)</f>
        <v>0.38928750000000001</v>
      </c>
      <c r="AM145" s="147">
        <f t="shared" si="51"/>
        <v>1.5065609962831752E-3</v>
      </c>
      <c r="AN145" s="147">
        <f ca="1">INDEX(Photobiology!$21:$421,1+$AH145-380,AN$14)</f>
        <v>7.0805199999999999E-2</v>
      </c>
      <c r="AO145" s="147">
        <f ca="1">INDEX(Photobiology!$21:$421,1+$AH145-380,AO$14)</f>
        <v>0.65079600000000004</v>
      </c>
      <c r="AP145" s="147">
        <f ca="1">INDEX(Photobiology!$21:$421,1+$AH145-380,AP$14)</f>
        <v>0.44272</v>
      </c>
      <c r="AQ145" s="147">
        <f ca="1">INDEX(Photobiology!$21:$421,1+$AH145-380,AQ$14)</f>
        <v>0.997</v>
      </c>
      <c r="AR145" s="147">
        <f ca="1">INDEX(Photobiology!$21:$421,1+$AH145-380,AR$14)</f>
        <v>0.93223599999999995</v>
      </c>
      <c r="AS145" s="147">
        <f t="shared" si="52"/>
        <v>3823508933209111</v>
      </c>
      <c r="AT145" s="147">
        <f ca="1">INDEX(Photobiology!$21:$421,1+$AH145-380,AT$14)</f>
        <v>6.2857938384344794E-2</v>
      </c>
      <c r="AU145" s="147">
        <f ca="1">INDEX(Photobiology!$21:$421,1+$AH145-380,AU$14)</f>
        <v>0.69802762009731267</v>
      </c>
      <c r="AV145" s="147">
        <f ca="1">INDEX(Photobiology!$21:$421,1+$AH145-380,AV$14)</f>
        <v>0.4978070497003193</v>
      </c>
      <c r="AW145" s="147">
        <f ca="1">INDEX(Photobiology!$21:$421,1+$AH145-380,AW$14)</f>
        <v>1</v>
      </c>
      <c r="AX145" s="147">
        <f ca="1">INDEX(Photobiology!$21:$421,1+$AH145-380,AX$14)</f>
        <v>0.90444285651939282</v>
      </c>
      <c r="AY145" s="147">
        <f t="shared" si="39"/>
        <v>1.5065609962831752E-3</v>
      </c>
      <c r="AZ145" s="147">
        <f t="shared" ca="1" si="53"/>
        <v>1.0667235265402947E-4</v>
      </c>
      <c r="BA145" s="147">
        <f t="shared" ca="1" si="40"/>
        <v>9.8046387013710538E-4</v>
      </c>
      <c r="BB145" s="147">
        <f t="shared" ca="1" si="41"/>
        <v>6.6698468427448736E-4</v>
      </c>
      <c r="BC145" s="147">
        <f t="shared" ca="1" si="42"/>
        <v>1.5020413132943258E-3</v>
      </c>
      <c r="BD145" s="147">
        <f t="shared" ca="1" si="43"/>
        <v>1.404470396931042E-3</v>
      </c>
    </row>
    <row r="146" spans="8:56" s="147" customFormat="1" ht="0.25" customHeight="1" x14ac:dyDescent="0.2">
      <c r="H146" s="147">
        <f t="shared" si="44"/>
        <v>505</v>
      </c>
      <c r="I146" s="147">
        <f>IF($H146&gt;$H145,INDEX(Spectra!146:146,1,MATCH($I$20,Spectra!$20:$20,0)),I145)</f>
        <v>1.6948368140254E-3</v>
      </c>
      <c r="J146" s="147">
        <f>((Physics!$C$9*Physics!$C$10)/(Physics!$C$11*Physics!$C$12*$H146))^($J$17-$J$18)</f>
        <v>2.5429406906917192E+18</v>
      </c>
      <c r="K146" s="147">
        <f t="shared" si="45"/>
        <v>1</v>
      </c>
      <c r="L146" s="147">
        <f>INDEX(Photobiology!$21:$421,1+$H146-380,10)</f>
        <v>0.4073</v>
      </c>
      <c r="M146" s="147">
        <f t="shared" si="46"/>
        <v>1.6948368140254E-3</v>
      </c>
      <c r="N146" s="147">
        <f ca="1">INDEX(Photobiology!$21:$421,1+$H146-380,N$14)</f>
        <v>6.4961400000000002E-2</v>
      </c>
      <c r="O146" s="147">
        <f ca="1">INDEX(Photobiology!$21:$421,1+$H146-380,O$14)</f>
        <v>0.666404</v>
      </c>
      <c r="P146" s="147">
        <f ca="1">INDEX(Photobiology!$21:$421,1+$H146-380,P$14)</f>
        <v>0.45625199999999999</v>
      </c>
      <c r="Q146" s="147">
        <f ca="1">INDEX(Photobiology!$21:$421,1+$H146-380,Q$14)</f>
        <v>0.998</v>
      </c>
      <c r="R146" s="147">
        <f ca="1">INDEX(Photobiology!$21:$421,1+$H146-380,R$14)</f>
        <v>0.92229899999999998</v>
      </c>
      <c r="S146" s="147">
        <f t="shared" si="47"/>
        <v>4309869498467503.5</v>
      </c>
      <c r="T146" s="147">
        <f ca="1">INDEX(Photobiology!$21:$421,1+$H146-380,T$14)</f>
        <v>5.755585546563121E-2</v>
      </c>
      <c r="U146" s="147">
        <f ca="1">INDEX(Photobiology!$21:$421,1+$H146-380,U$14)</f>
        <v>0.71335299018809528</v>
      </c>
      <c r="V146" s="147">
        <f ca="1">INDEX(Photobiology!$21:$421,1+$H146-380,V$14)</f>
        <v>0.51200693135546649</v>
      </c>
      <c r="W146" s="147">
        <f ca="1">INDEX(Photobiology!$21:$421,1+$H146-380,W$14)</f>
        <v>0.99902082485079002</v>
      </c>
      <c r="X146" s="147">
        <f ca="1">INDEX(Photobiology!$21:$421,1+$H146-380,X$14)</f>
        <v>0.89303022710347912</v>
      </c>
      <c r="Y146" s="147">
        <f t="shared" si="34"/>
        <v>1.6948368140254E-3</v>
      </c>
      <c r="Z146" s="147">
        <f t="shared" ca="1" si="48"/>
        <v>1.1009897221062962E-4</v>
      </c>
      <c r="AA146" s="147">
        <f t="shared" ca="1" si="35"/>
        <v>1.1294460322137825E-3</v>
      </c>
      <c r="AB146" s="147">
        <f t="shared" ca="1" si="36"/>
        <v>7.7327268607271674E-4</v>
      </c>
      <c r="AC146" s="147">
        <f t="shared" ca="1" si="37"/>
        <v>1.6914471403973491E-3</v>
      </c>
      <c r="AD146" s="147">
        <f t="shared" ca="1" si="38"/>
        <v>1.5631462987388124E-3</v>
      </c>
      <c r="AH146" s="147">
        <f t="shared" si="49"/>
        <v>505</v>
      </c>
      <c r="AI146" s="147">
        <f>IF($AH146&gt;$AH145,INDEX(Spectra!146:146,1,MATCH($AI$20,Spectra!$20:$20,0)),AI145)</f>
        <v>108.578</v>
      </c>
      <c r="AJ146" s="147">
        <f>((Physics!$C$9*Physics!$C$10)/(Physics!$C$11*Physics!$C$12*$AH146))^($AJ$17-$AJ$18)</f>
        <v>2.5429406906917192E+18</v>
      </c>
      <c r="AK146" s="147">
        <f t="shared" si="50"/>
        <v>1</v>
      </c>
      <c r="AL146" s="147">
        <f>INDEX(Photobiology!$21:$421,1+$AH146-380,10)</f>
        <v>0.4073</v>
      </c>
      <c r="AM146" s="147">
        <f t="shared" si="51"/>
        <v>1.5044133782240404E-3</v>
      </c>
      <c r="AN146" s="147">
        <f ca="1">INDEX(Photobiology!$21:$421,1+$AH146-380,AN$14)</f>
        <v>6.4961400000000002E-2</v>
      </c>
      <c r="AO146" s="147">
        <f ca="1">INDEX(Photobiology!$21:$421,1+$AH146-380,AO$14)</f>
        <v>0.666404</v>
      </c>
      <c r="AP146" s="147">
        <f ca="1">INDEX(Photobiology!$21:$421,1+$AH146-380,AP$14)</f>
        <v>0.45625199999999999</v>
      </c>
      <c r="AQ146" s="147">
        <f ca="1">INDEX(Photobiology!$21:$421,1+$AH146-380,AQ$14)</f>
        <v>0.998</v>
      </c>
      <c r="AR146" s="147">
        <f ca="1">INDEX(Photobiology!$21:$421,1+$AH146-380,AR$14)</f>
        <v>0.92229899999999998</v>
      </c>
      <c r="AS146" s="147">
        <f t="shared" si="52"/>
        <v>3825633995106904</v>
      </c>
      <c r="AT146" s="147">
        <f ca="1">INDEX(Photobiology!$21:$421,1+$AH146-380,AT$14)</f>
        <v>5.755585546563121E-2</v>
      </c>
      <c r="AU146" s="147">
        <f ca="1">INDEX(Photobiology!$21:$421,1+$AH146-380,AU$14)</f>
        <v>0.71335299018809528</v>
      </c>
      <c r="AV146" s="147">
        <f ca="1">INDEX(Photobiology!$21:$421,1+$AH146-380,AV$14)</f>
        <v>0.51200693135546649</v>
      </c>
      <c r="AW146" s="147">
        <f ca="1">INDEX(Photobiology!$21:$421,1+$AH146-380,AW$14)</f>
        <v>0.99902082485079002</v>
      </c>
      <c r="AX146" s="147">
        <f ca="1">INDEX(Photobiology!$21:$421,1+$AH146-380,AX$14)</f>
        <v>0.89303022710347912</v>
      </c>
      <c r="AY146" s="147">
        <f t="shared" si="39"/>
        <v>1.5044133782240404E-3</v>
      </c>
      <c r="AZ146" s="147">
        <f t="shared" ca="1" si="53"/>
        <v>9.772879922816318E-5</v>
      </c>
      <c r="BA146" s="147">
        <f t="shared" ca="1" si="40"/>
        <v>1.0025470929020135E-3</v>
      </c>
      <c r="BB146" s="147">
        <f t="shared" ca="1" si="41"/>
        <v>6.8639161264147483E-4</v>
      </c>
      <c r="BC146" s="147">
        <f t="shared" ca="1" si="42"/>
        <v>1.5014045514675923E-3</v>
      </c>
      <c r="BD146" s="147">
        <f t="shared" ca="1" si="43"/>
        <v>1.3875189543226542E-3</v>
      </c>
    </row>
    <row r="147" spans="8:56" s="147" customFormat="1" ht="0.25" customHeight="1" x14ac:dyDescent="0.2">
      <c r="H147" s="147">
        <f t="shared" si="44"/>
        <v>506</v>
      </c>
      <c r="I147" s="147">
        <f>IF($H147&gt;$H146,INDEX(Spectra!147:147,1,MATCH($I$20,Spectra!$20:$20,0)),I146)</f>
        <v>1.69983633265084E-3</v>
      </c>
      <c r="J147" s="147">
        <f>((Physics!$C$9*Physics!$C$10)/(Physics!$C$11*Physics!$C$12*$H147))^($J$17-$J$18)</f>
        <v>2.5479762168119009E+18</v>
      </c>
      <c r="K147" s="147">
        <f t="shared" si="45"/>
        <v>1</v>
      </c>
      <c r="L147" s="147">
        <f>INDEX(Photobiology!$21:$421,1+$H147-380,10)</f>
        <v>0.42562990000000001</v>
      </c>
      <c r="M147" s="147">
        <f t="shared" si="46"/>
        <v>1.69983633265084E-3</v>
      </c>
      <c r="N147" s="147">
        <f ca="1">INDEX(Photobiology!$21:$421,1+$H147-380,N$14)</f>
        <v>5.9404899999999997E-2</v>
      </c>
      <c r="O147" s="147">
        <f ca="1">INDEX(Photobiology!$21:$421,1+$H147-380,O$14)</f>
        <v>0.68205499999999997</v>
      </c>
      <c r="P147" s="147">
        <f ca="1">INDEX(Photobiology!$21:$421,1+$H147-380,P$14)</f>
        <v>0.469997</v>
      </c>
      <c r="Q147" s="147">
        <f ca="1">INDEX(Photobiology!$21:$421,1+$H147-380,Q$14)</f>
        <v>1</v>
      </c>
      <c r="R147" s="147">
        <f ca="1">INDEX(Photobiology!$21:$421,1+$H147-380,R$14)</f>
        <v>0.91183199999999998</v>
      </c>
      <c r="S147" s="147">
        <f t="shared" si="47"/>
        <v>4331142548067103</v>
      </c>
      <c r="T147" s="147">
        <f ca="1">INDEX(Photobiology!$21:$421,1+$H147-380,T$14)</f>
        <v>5.2528774380558842E-2</v>
      </c>
      <c r="U147" s="147">
        <f ca="1">INDEX(Photobiology!$21:$421,1+$H147-380,U$14)</f>
        <v>0.72866372412979041</v>
      </c>
      <c r="V147" s="147">
        <f ca="1">INDEX(Photobiology!$21:$421,1+$H147-380,V$14)</f>
        <v>0.52638924364417961</v>
      </c>
      <c r="W147" s="147">
        <f ca="1">INDEX(Photobiology!$21:$421,1+$H147-380,W$14)</f>
        <v>0.99904456452361023</v>
      </c>
      <c r="X147" s="147">
        <f ca="1">INDEX(Photobiology!$21:$421,1+$H147-380,X$14)</f>
        <v>0.88115054041405416</v>
      </c>
      <c r="Y147" s="147">
        <f t="shared" si="34"/>
        <v>1.69983633265084E-3</v>
      </c>
      <c r="Z147" s="147">
        <f t="shared" ca="1" si="48"/>
        <v>1.0097860735748987E-4</v>
      </c>
      <c r="AA147" s="147">
        <f t="shared" ca="1" si="35"/>
        <v>1.1593818698661686E-3</v>
      </c>
      <c r="AB147" s="147">
        <f t="shared" ca="1" si="36"/>
        <v>7.9891797683689686E-4</v>
      </c>
      <c r="AC147" s="147">
        <f t="shared" ca="1" si="37"/>
        <v>1.69983633265084E-3</v>
      </c>
      <c r="AD147" s="147">
        <f t="shared" ca="1" si="38"/>
        <v>1.5499651628736806E-3</v>
      </c>
      <c r="AH147" s="147">
        <f t="shared" si="49"/>
        <v>506</v>
      </c>
      <c r="AI147" s="147">
        <f>IF($AH147&gt;$AH146,INDEX(Spectra!147:147,1,MATCH($AI$20,Spectra!$20:$20,0)),AI146)</f>
        <v>108.423</v>
      </c>
      <c r="AJ147" s="147">
        <f>((Physics!$C$9*Physics!$C$10)/(Physics!$C$11*Physics!$C$12*$AH147))^($AJ$17-$AJ$18)</f>
        <v>2.5479762168119009E+18</v>
      </c>
      <c r="AK147" s="147">
        <f t="shared" si="50"/>
        <v>1</v>
      </c>
      <c r="AL147" s="147">
        <f>INDEX(Photobiology!$21:$421,1+$AH147-380,10)</f>
        <v>0.42562990000000001</v>
      </c>
      <c r="AM147" s="147">
        <f t="shared" si="51"/>
        <v>1.5022657601649057E-3</v>
      </c>
      <c r="AN147" s="147">
        <f ca="1">INDEX(Photobiology!$21:$421,1+$AH147-380,AN$14)</f>
        <v>5.9404899999999997E-2</v>
      </c>
      <c r="AO147" s="147">
        <f ca="1">INDEX(Photobiology!$21:$421,1+$AH147-380,AO$14)</f>
        <v>0.68205499999999997</v>
      </c>
      <c r="AP147" s="147">
        <f ca="1">INDEX(Photobiology!$21:$421,1+$AH147-380,AP$14)</f>
        <v>0.469997</v>
      </c>
      <c r="AQ147" s="147">
        <f ca="1">INDEX(Photobiology!$21:$421,1+$AH147-380,AQ$14)</f>
        <v>1</v>
      </c>
      <c r="AR147" s="147">
        <f ca="1">INDEX(Photobiology!$21:$421,1+$AH147-380,AR$14)</f>
        <v>0.91183199999999998</v>
      </c>
      <c r="AS147" s="147">
        <f t="shared" si="52"/>
        <v>3827737428231031</v>
      </c>
      <c r="AT147" s="147">
        <f ca="1">INDEX(Photobiology!$21:$421,1+$AH147-380,AT$14)</f>
        <v>5.2528774380558842E-2</v>
      </c>
      <c r="AU147" s="147">
        <f ca="1">INDEX(Photobiology!$21:$421,1+$AH147-380,AU$14)</f>
        <v>0.72866372412979041</v>
      </c>
      <c r="AV147" s="147">
        <f ca="1">INDEX(Photobiology!$21:$421,1+$AH147-380,AV$14)</f>
        <v>0.52638924364417961</v>
      </c>
      <c r="AW147" s="147">
        <f ca="1">INDEX(Photobiology!$21:$421,1+$AH147-380,AW$14)</f>
        <v>0.99904456452361023</v>
      </c>
      <c r="AX147" s="147">
        <f ca="1">INDEX(Photobiology!$21:$421,1+$AH147-380,AX$14)</f>
        <v>0.88115054041405416</v>
      </c>
      <c r="AY147" s="147">
        <f t="shared" si="39"/>
        <v>1.5022657601649057E-3</v>
      </c>
      <c r="AZ147" s="147">
        <f t="shared" ca="1" si="53"/>
        <v>8.92419472560202E-5</v>
      </c>
      <c r="BA147" s="147">
        <f t="shared" ca="1" si="40"/>
        <v>1.0246278730492748E-3</v>
      </c>
      <c r="BB147" s="147">
        <f t="shared" ca="1" si="41"/>
        <v>7.0606040048022515E-4</v>
      </c>
      <c r="BC147" s="147">
        <f t="shared" ca="1" si="42"/>
        <v>1.5022657601649057E-3</v>
      </c>
      <c r="BD147" s="147">
        <f t="shared" ca="1" si="43"/>
        <v>1.3698139926226862E-3</v>
      </c>
    </row>
    <row r="148" spans="8:56" s="147" customFormat="1" ht="0.25" customHeight="1" x14ac:dyDescent="0.2">
      <c r="H148" s="147">
        <f t="shared" si="44"/>
        <v>507</v>
      </c>
      <c r="I148" s="147">
        <f>IF($H148&gt;$H147,INDEX(Spectra!148:148,1,MATCH($I$20,Spectra!$20:$20,0)),I147)</f>
        <v>1.69983633265084E-3</v>
      </c>
      <c r="J148" s="147">
        <f>((Physics!$C$9*Physics!$C$10)/(Physics!$C$11*Physics!$C$12*$H148))^($J$17-$J$18)</f>
        <v>2.5530117429320832E+18</v>
      </c>
      <c r="K148" s="147">
        <f t="shared" si="45"/>
        <v>1</v>
      </c>
      <c r="L148" s="147">
        <f>INDEX(Photobiology!$21:$421,1+$H148-380,10)</f>
        <v>0.44430960000000003</v>
      </c>
      <c r="M148" s="147">
        <f t="shared" si="46"/>
        <v>1.69983633265084E-3</v>
      </c>
      <c r="N148" s="147">
        <f ca="1">INDEX(Photobiology!$21:$421,1+$H148-380,N$14)</f>
        <v>5.4207600000000002E-2</v>
      </c>
      <c r="O148" s="147">
        <f ca="1">INDEX(Photobiology!$21:$421,1+$H148-380,O$14)</f>
        <v>0.69767199999999996</v>
      </c>
      <c r="P148" s="147">
        <f ca="1">INDEX(Photobiology!$21:$421,1+$H148-380,P$14)</f>
        <v>0.48392600000000002</v>
      </c>
      <c r="Q148" s="147">
        <f ca="1">INDEX(Photobiology!$21:$421,1+$H148-380,Q$14)</f>
        <v>1</v>
      </c>
      <c r="R148" s="147">
        <f ca="1">INDEX(Photobiology!$21:$421,1+$H148-380,R$14)</f>
        <v>0.90060200000000001</v>
      </c>
      <c r="S148" s="147">
        <f t="shared" si="47"/>
        <v>4339702118320201.5</v>
      </c>
      <c r="T148" s="147">
        <f ca="1">INDEX(Photobiology!$21:$421,1+$H148-380,T$14)</f>
        <v>4.7838520064586165E-2</v>
      </c>
      <c r="U148" s="147">
        <f ca="1">INDEX(Photobiology!$21:$421,1+$H148-380,U$14)</f>
        <v>0.7438778089280399</v>
      </c>
      <c r="V148" s="147">
        <f ca="1">INDEX(Photobiology!$21:$421,1+$H148-380,V$14)</f>
        <v>0.54092049161384403</v>
      </c>
      <c r="W148" s="147">
        <f ca="1">INDEX(Photobiology!$21:$421,1+$H148-380,W$14)</f>
        <v>0.99707406242395824</v>
      </c>
      <c r="X148" s="147">
        <f ca="1">INDEX(Photobiology!$21:$421,1+$H148-380,X$14)</f>
        <v>0.86858184422501772</v>
      </c>
      <c r="Y148" s="147">
        <f t="shared" si="34"/>
        <v>1.69983633265084E-3</v>
      </c>
      <c r="Z148" s="147">
        <f t="shared" ca="1" si="48"/>
        <v>9.2144047985803676E-5</v>
      </c>
      <c r="AA148" s="147">
        <f t="shared" ca="1" si="35"/>
        <v>1.1859282138731767E-3</v>
      </c>
      <c r="AB148" s="147">
        <f t="shared" ca="1" si="36"/>
        <v>8.2259499711439046E-4</v>
      </c>
      <c r="AC148" s="147">
        <f t="shared" ca="1" si="37"/>
        <v>1.69983633265084E-3</v>
      </c>
      <c r="AD148" s="147">
        <f t="shared" ca="1" si="38"/>
        <v>1.5308760008580118E-3</v>
      </c>
      <c r="AH148" s="147">
        <f t="shared" si="49"/>
        <v>507</v>
      </c>
      <c r="AI148" s="147">
        <f>IF($AH148&gt;$AH147,INDEX(Spectra!148:148,1,MATCH($AI$20,Spectra!$20:$20,0)),AI147)</f>
        <v>108.268</v>
      </c>
      <c r="AJ148" s="147">
        <f>((Physics!$C$9*Physics!$C$10)/(Physics!$C$11*Physics!$C$12*$AH148))^($AJ$17-$AJ$18)</f>
        <v>2.5530117429320832E+18</v>
      </c>
      <c r="AK148" s="147">
        <f t="shared" si="50"/>
        <v>1</v>
      </c>
      <c r="AL148" s="147">
        <f>INDEX(Photobiology!$21:$421,1+$AH148-380,10)</f>
        <v>0.44430960000000003</v>
      </c>
      <c r="AM148" s="147">
        <f t="shared" si="51"/>
        <v>1.5001181421057711E-3</v>
      </c>
      <c r="AN148" s="147">
        <f ca="1">INDEX(Photobiology!$21:$421,1+$AH148-380,AN$14)</f>
        <v>5.4207600000000002E-2</v>
      </c>
      <c r="AO148" s="147">
        <f ca="1">INDEX(Photobiology!$21:$421,1+$AH148-380,AO$14)</f>
        <v>0.69767199999999996</v>
      </c>
      <c r="AP148" s="147">
        <f ca="1">INDEX(Photobiology!$21:$421,1+$AH148-380,AP$14)</f>
        <v>0.48392600000000002</v>
      </c>
      <c r="AQ148" s="147">
        <f ca="1">INDEX(Photobiology!$21:$421,1+$AH148-380,AQ$14)</f>
        <v>1</v>
      </c>
      <c r="AR148" s="147">
        <f ca="1">INDEX(Photobiology!$21:$421,1+$AH148-380,AR$14)</f>
        <v>0.90060200000000001</v>
      </c>
      <c r="AS148" s="147">
        <f t="shared" si="52"/>
        <v>3829819232581493</v>
      </c>
      <c r="AT148" s="147">
        <f ca="1">INDEX(Photobiology!$21:$421,1+$AH148-380,AT$14)</f>
        <v>4.7838520064586165E-2</v>
      </c>
      <c r="AU148" s="147">
        <f ca="1">INDEX(Photobiology!$21:$421,1+$AH148-380,AU$14)</f>
        <v>0.7438778089280399</v>
      </c>
      <c r="AV148" s="147">
        <f ca="1">INDEX(Photobiology!$21:$421,1+$AH148-380,AV$14)</f>
        <v>0.54092049161384403</v>
      </c>
      <c r="AW148" s="147">
        <f ca="1">INDEX(Photobiology!$21:$421,1+$AH148-380,AW$14)</f>
        <v>0.99707406242395824</v>
      </c>
      <c r="AX148" s="147">
        <f ca="1">INDEX(Photobiology!$21:$421,1+$AH148-380,AX$14)</f>
        <v>0.86858184422501772</v>
      </c>
      <c r="AY148" s="147">
        <f t="shared" si="39"/>
        <v>1.5001181421057711E-3</v>
      </c>
      <c r="AZ148" s="147">
        <f t="shared" ca="1" si="53"/>
        <v>8.1317804200012797E-5</v>
      </c>
      <c r="BA148" s="147">
        <f t="shared" ca="1" si="40"/>
        <v>1.0465904244392175E-3</v>
      </c>
      <c r="BB148" s="147">
        <f t="shared" ca="1" si="41"/>
        <v>7.2594617203667743E-4</v>
      </c>
      <c r="BC148" s="147">
        <f t="shared" ca="1" si="42"/>
        <v>1.5001181421057711E-3</v>
      </c>
      <c r="BD148" s="147">
        <f t="shared" ca="1" si="43"/>
        <v>1.3510093990167418E-3</v>
      </c>
    </row>
    <row r="149" spans="8:56" s="147" customFormat="1" ht="0.25" customHeight="1" x14ac:dyDescent="0.2">
      <c r="H149" s="147">
        <f t="shared" si="44"/>
        <v>508</v>
      </c>
      <c r="I149" s="147">
        <f>IF($H149&gt;$H148,INDEX(Spectra!149:149,1,MATCH($I$20,Spectra!$20:$20,0)),I148)</f>
        <v>1.6948368140254E-3</v>
      </c>
      <c r="J149" s="147">
        <f>((Physics!$C$9*Physics!$C$10)/(Physics!$C$11*Physics!$C$12*$H149))^($J$17-$J$18)</f>
        <v>2.5580472690522639E+18</v>
      </c>
      <c r="K149" s="147">
        <f t="shared" si="45"/>
        <v>1</v>
      </c>
      <c r="L149" s="147">
        <f>INDEX(Photobiology!$21:$421,1+$H149-380,10)</f>
        <v>0.46339439999999998</v>
      </c>
      <c r="M149" s="147">
        <f t="shared" si="46"/>
        <v>1.6948368140254E-3</v>
      </c>
      <c r="N149" s="147">
        <f ca="1">INDEX(Photobiology!$21:$421,1+$H149-380,N$14)</f>
        <v>4.9428100000000003E-2</v>
      </c>
      <c r="O149" s="147">
        <f ca="1">INDEX(Photobiology!$21:$421,1+$H149-380,O$14)</f>
        <v>0.71318599999999999</v>
      </c>
      <c r="P149" s="147">
        <f ca="1">INDEX(Photobiology!$21:$421,1+$H149-380,P$14)</f>
        <v>0.49801200000000001</v>
      </c>
      <c r="Q149" s="147">
        <f ca="1">INDEX(Photobiology!$21:$421,1+$H149-380,Q$14)</f>
        <v>1</v>
      </c>
      <c r="R149" s="147">
        <f ca="1">INDEX(Photobiology!$21:$421,1+$H149-380,R$14)</f>
        <v>0.88866299999999998</v>
      </c>
      <c r="S149" s="147">
        <f t="shared" si="47"/>
        <v>4335472683606914</v>
      </c>
      <c r="T149" s="147">
        <f ca="1">INDEX(Photobiology!$21:$421,1+$H149-380,T$14)</f>
        <v>4.3534716420818881E-2</v>
      </c>
      <c r="U149" s="147">
        <f ca="1">INDEX(Photobiology!$21:$421,1+$H149-380,U$14)</f>
        <v>0.75892239039753973</v>
      </c>
      <c r="V149" s="147">
        <f ca="1">INDEX(Photobiology!$21:$421,1+$H149-380,V$14)</f>
        <v>0.55556967520138179</v>
      </c>
      <c r="W149" s="147">
        <f ca="1">INDEX(Photobiology!$21:$421,1+$H149-380,W$14)</f>
        <v>0.99511131820658827</v>
      </c>
      <c r="X149" s="147">
        <f ca="1">INDEX(Photobiology!$21:$421,1+$H149-380,X$14)</f>
        <v>0.85538018504514524</v>
      </c>
      <c r="Y149" s="147">
        <f t="shared" ref="Y149:Y212" si="54">IF(TRUE,M149,S149)</f>
        <v>1.6948368140254E-3</v>
      </c>
      <c r="Z149" s="147">
        <f t="shared" ca="1" si="48"/>
        <v>8.3772563527328869E-5</v>
      </c>
      <c r="AA149" s="147">
        <f t="shared" ref="AA149:AA212" ca="1" si="55">$Y149*O149</f>
        <v>1.2087338880475188E-3</v>
      </c>
      <c r="AB149" s="147">
        <f t="shared" ref="AB149:AB212" ca="1" si="56">$Y149*P149</f>
        <v>8.4404907142641755E-4</v>
      </c>
      <c r="AC149" s="147">
        <f t="shared" ref="AC149:AC212" ca="1" si="57">$Y149*Q149</f>
        <v>1.6948368140254E-3</v>
      </c>
      <c r="AD149" s="147">
        <f t="shared" ref="AD149:AD212" ca="1" si="58">$Y149*R149</f>
        <v>1.506138767662254E-3</v>
      </c>
      <c r="AH149" s="147">
        <f t="shared" si="49"/>
        <v>508</v>
      </c>
      <c r="AI149" s="147">
        <f>IF($AH149&gt;$AH148,INDEX(Spectra!149:149,1,MATCH($AI$20,Spectra!$20:$20,0)),AI148)</f>
        <v>108.11199999999999</v>
      </c>
      <c r="AJ149" s="147">
        <f>((Physics!$C$9*Physics!$C$10)/(Physics!$C$11*Physics!$C$12*$AH149))^($AJ$17-$AJ$18)</f>
        <v>2.5580472690522639E+18</v>
      </c>
      <c r="AK149" s="147">
        <f t="shared" si="50"/>
        <v>1</v>
      </c>
      <c r="AL149" s="147">
        <f>INDEX(Photobiology!$21:$421,1+$AH149-380,10)</f>
        <v>0.46339439999999998</v>
      </c>
      <c r="AM149" s="147">
        <f t="shared" si="51"/>
        <v>1.4979566684462547E-3</v>
      </c>
      <c r="AN149" s="147">
        <f ca="1">INDEX(Photobiology!$21:$421,1+$AH149-380,AN$14)</f>
        <v>4.9428100000000003E-2</v>
      </c>
      <c r="AO149" s="147">
        <f ca="1">INDEX(Photobiology!$21:$421,1+$AH149-380,AO$14)</f>
        <v>0.71318599999999999</v>
      </c>
      <c r="AP149" s="147">
        <f ca="1">INDEX(Photobiology!$21:$421,1+$AH149-380,AP$14)</f>
        <v>0.49801200000000001</v>
      </c>
      <c r="AQ149" s="147">
        <f ca="1">INDEX(Photobiology!$21:$421,1+$AH149-380,AQ$14)</f>
        <v>1</v>
      </c>
      <c r="AR149" s="147">
        <f ca="1">INDEX(Photobiology!$21:$421,1+$AH149-380,AR$14)</f>
        <v>0.88866299999999998</v>
      </c>
      <c r="AS149" s="147">
        <f t="shared" si="52"/>
        <v>3831843964877569.5</v>
      </c>
      <c r="AT149" s="147">
        <f ca="1">INDEX(Photobiology!$21:$421,1+$AH149-380,AT$14)</f>
        <v>4.3534716420818881E-2</v>
      </c>
      <c r="AU149" s="147">
        <f ca="1">INDEX(Photobiology!$21:$421,1+$AH149-380,AU$14)</f>
        <v>0.75892239039753973</v>
      </c>
      <c r="AV149" s="147">
        <f ca="1">INDEX(Photobiology!$21:$421,1+$AH149-380,AV$14)</f>
        <v>0.55556967520138179</v>
      </c>
      <c r="AW149" s="147">
        <f ca="1">INDEX(Photobiology!$21:$421,1+$AH149-380,AW$14)</f>
        <v>0.99511131820658827</v>
      </c>
      <c r="AX149" s="147">
        <f ca="1">INDEX(Photobiology!$21:$421,1+$AH149-380,AX$14)</f>
        <v>0.85538018504514524</v>
      </c>
      <c r="AY149" s="147">
        <f t="shared" ref="AY149:AY212" si="59">IF(TRUE,AM149,AS149)</f>
        <v>1.4979566684462547E-3</v>
      </c>
      <c r="AZ149" s="147">
        <f t="shared" ca="1" si="53"/>
        <v>7.4041152003628331E-5</v>
      </c>
      <c r="BA149" s="147">
        <f t="shared" ref="BA149:BA212" ca="1" si="60">$AY149*AO149</f>
        <v>1.0683217245425105E-3</v>
      </c>
      <c r="BB149" s="147">
        <f t="shared" ref="BB149:BB212" ca="1" si="61">$AY149*AP149</f>
        <v>7.4600039636625614E-4</v>
      </c>
      <c r="BC149" s="147">
        <f t="shared" ref="BC149:BC212" ca="1" si="62">$AY149*AQ149</f>
        <v>1.4979566684462547E-3</v>
      </c>
      <c r="BD149" s="147">
        <f t="shared" ref="BD149:BD212" ca="1" si="63">$AY149*AR149</f>
        <v>1.331178666851454E-3</v>
      </c>
    </row>
    <row r="150" spans="8:56" s="147" customFormat="1" ht="0.25" customHeight="1" x14ac:dyDescent="0.2">
      <c r="H150" s="147">
        <f t="shared" ref="H150:H213" si="64">MIN(780,H149+$J$14)</f>
        <v>509</v>
      </c>
      <c r="I150" s="147">
        <f>IF($H150&gt;$H149,INDEX(Spectra!150:150,1,MATCH($I$20,Spectra!$20:$20,0)),I149)</f>
        <v>1.6948368140254E-3</v>
      </c>
      <c r="J150" s="147">
        <f>((Physics!$C$9*Physics!$C$10)/(Physics!$C$11*Physics!$C$12*$H150))^($J$17-$J$18)</f>
        <v>2.5630827951724457E+18</v>
      </c>
      <c r="K150" s="147">
        <f t="shared" ref="K150:K213" si="65">(H150&lt;&gt;H149)*1</f>
        <v>1</v>
      </c>
      <c r="L150" s="147">
        <f>INDEX(Photobiology!$21:$421,1+$H150-380,10)</f>
        <v>0.48293950000000002</v>
      </c>
      <c r="M150" s="147">
        <f t="shared" ref="M150:M213" si="66">$I150*$J$15*IF($J$18,1,$J150)</f>
        <v>1.6948368140254E-3</v>
      </c>
      <c r="N150" s="147">
        <f ca="1">INDEX(Photobiology!$21:$421,1+$H150-380,N$14)</f>
        <v>4.5099300000000002E-2</v>
      </c>
      <c r="O150" s="147">
        <f ca="1">INDEX(Photobiology!$21:$421,1+$H150-380,O$14)</f>
        <v>0.72852600000000001</v>
      </c>
      <c r="P150" s="147">
        <f ca="1">INDEX(Photobiology!$21:$421,1+$H150-380,P$14)</f>
        <v>0.51222699999999999</v>
      </c>
      <c r="Q150" s="147">
        <f ca="1">INDEX(Photobiology!$21:$421,1+$H150-380,Q$14)</f>
        <v>0.998</v>
      </c>
      <c r="R150" s="147">
        <f ca="1">INDEX(Photobiology!$21:$421,1+$H150-380,R$14)</f>
        <v>0.87607299999999999</v>
      </c>
      <c r="S150" s="147">
        <f t="shared" ref="S150:S213" si="67">$I150*$J$15*IF($J$17,1,$J150)</f>
        <v>4344007078653384.5</v>
      </c>
      <c r="T150" s="147">
        <f ca="1">INDEX(Photobiology!$21:$421,1+$H150-380,T$14)</f>
        <v>3.9644006099683222E-2</v>
      </c>
      <c r="U150" s="147">
        <f ca="1">INDEX(Photobiology!$21:$421,1+$H150-380,U$14)</f>
        <v>0.77372306280285919</v>
      </c>
      <c r="V150" s="147">
        <f ca="1">INDEX(Photobiology!$21:$421,1+$H150-380,V$14)</f>
        <v>0.57030492457596527</v>
      </c>
      <c r="W150" s="147">
        <f ca="1">INDEX(Photobiology!$21:$421,1+$H150-380,W$14)</f>
        <v>0.99116997357494874</v>
      </c>
      <c r="X150" s="147">
        <f ca="1">INDEX(Photobiology!$21:$421,1+$H150-380,X$14)</f>
        <v>0.84160501156417522</v>
      </c>
      <c r="Y150" s="147">
        <f t="shared" si="54"/>
        <v>1.6948368140254E-3</v>
      </c>
      <c r="Z150" s="147">
        <f t="shared" ref="Z150:Z213" ca="1" si="68">$Y150*N150</f>
        <v>7.6435953926775728E-5</v>
      </c>
      <c r="AA150" s="147">
        <f t="shared" ca="1" si="55"/>
        <v>1.2347326847746685E-3</v>
      </c>
      <c r="AB150" s="147">
        <f t="shared" ca="1" si="56"/>
        <v>8.6814117673778847E-4</v>
      </c>
      <c r="AC150" s="147">
        <f t="shared" ca="1" si="57"/>
        <v>1.6914471403973491E-3</v>
      </c>
      <c r="AD150" s="147">
        <f t="shared" ca="1" si="58"/>
        <v>1.4848007721736743E-3</v>
      </c>
      <c r="AH150" s="147">
        <f t="shared" ref="AH150:AH213" si="69">MIN(780,AH149+$AJ$14)</f>
        <v>509</v>
      </c>
      <c r="AI150" s="147">
        <f>IF($AH150&gt;$AH149,INDEX(Spectra!150:150,1,MATCH($AI$20,Spectra!$20:$20,0)),AI149)</f>
        <v>107.95699999999999</v>
      </c>
      <c r="AJ150" s="147">
        <f>((Physics!$C$9*Physics!$C$10)/(Physics!$C$11*Physics!$C$12*$AH150))^($AJ$17-$AJ$18)</f>
        <v>2.5630827951724457E+18</v>
      </c>
      <c r="AK150" s="147">
        <f t="shared" ref="AK150:AK213" si="70">(AH150&lt;&gt;AH149)*1</f>
        <v>1</v>
      </c>
      <c r="AL150" s="147">
        <f>INDEX(Photobiology!$21:$421,1+$AH150-380,10)</f>
        <v>0.48293950000000002</v>
      </c>
      <c r="AM150" s="147">
        <f t="shared" ref="AM150:AM213" si="71">$AI150*$AJ$15*IF($AJ$18,1,$AJ150)</f>
        <v>1.4958090503871201E-3</v>
      </c>
      <c r="AN150" s="147">
        <f ca="1">INDEX(Photobiology!$21:$421,1+$AH150-380,AN$14)</f>
        <v>4.5099300000000002E-2</v>
      </c>
      <c r="AO150" s="147">
        <f ca="1">INDEX(Photobiology!$21:$421,1+$AH150-380,AO$14)</f>
        <v>0.72852600000000001</v>
      </c>
      <c r="AP150" s="147">
        <f ca="1">INDEX(Photobiology!$21:$421,1+$AH150-380,AP$14)</f>
        <v>0.51222699999999999</v>
      </c>
      <c r="AQ150" s="147">
        <f ca="1">INDEX(Photobiology!$21:$421,1+$AH150-380,AQ$14)</f>
        <v>0.998</v>
      </c>
      <c r="AR150" s="147">
        <f ca="1">INDEX(Photobiology!$21:$421,1+$AH150-380,AR$14)</f>
        <v>0.87607299999999999</v>
      </c>
      <c r="AS150" s="147">
        <f t="shared" ref="AS150:AS213" si="72">$AI150*$AJ$15*IF($AJ$17,1,$AJ150)</f>
        <v>3833882441910461.5</v>
      </c>
      <c r="AT150" s="147">
        <f ca="1">INDEX(Photobiology!$21:$421,1+$AH150-380,AT$14)</f>
        <v>3.9644006099683222E-2</v>
      </c>
      <c r="AU150" s="147">
        <f ca="1">INDEX(Photobiology!$21:$421,1+$AH150-380,AU$14)</f>
        <v>0.77372306280285919</v>
      </c>
      <c r="AV150" s="147">
        <f ca="1">INDEX(Photobiology!$21:$421,1+$AH150-380,AV$14)</f>
        <v>0.57030492457596527</v>
      </c>
      <c r="AW150" s="147">
        <f ca="1">INDEX(Photobiology!$21:$421,1+$AH150-380,AW$14)</f>
        <v>0.99116997357494874</v>
      </c>
      <c r="AX150" s="147">
        <f ca="1">INDEX(Photobiology!$21:$421,1+$AH150-380,AX$14)</f>
        <v>0.84160501156417522</v>
      </c>
      <c r="AY150" s="147">
        <f t="shared" si="59"/>
        <v>1.4958090503871201E-3</v>
      </c>
      <c r="AZ150" s="147">
        <f t="shared" ref="AZ150:AZ213" ca="1" si="73">$AY150*AN150</f>
        <v>6.745994110612385E-5</v>
      </c>
      <c r="BA150" s="147">
        <f t="shared" ca="1" si="60"/>
        <v>1.089735784242327E-3</v>
      </c>
      <c r="BB150" s="147">
        <f t="shared" ca="1" si="61"/>
        <v>7.6619378245264334E-4</v>
      </c>
      <c r="BC150" s="147">
        <f t="shared" ca="1" si="62"/>
        <v>1.4928174322863458E-3</v>
      </c>
      <c r="BD150" s="147">
        <f t="shared" ca="1" si="63"/>
        <v>1.3104379221997955E-3</v>
      </c>
    </row>
    <row r="151" spans="8:56" s="147" customFormat="1" ht="0.25" customHeight="1" x14ac:dyDescent="0.2">
      <c r="H151" s="147">
        <f t="shared" si="64"/>
        <v>510</v>
      </c>
      <c r="I151" s="147">
        <f>IF($H151&gt;$H150,INDEX(Spectra!151:151,1,MATCH($I$20,Spectra!$20:$20,0)),I150)</f>
        <v>1.6898372953999599E-3</v>
      </c>
      <c r="J151" s="147">
        <f>((Physics!$C$9*Physics!$C$10)/(Physics!$C$11*Physics!$C$12*$H151))^($J$17-$J$18)</f>
        <v>2.5681183212926275E+18</v>
      </c>
      <c r="K151" s="147">
        <f t="shared" si="65"/>
        <v>1</v>
      </c>
      <c r="L151" s="147">
        <f>INDEX(Photobiology!$21:$421,1+$H151-380,10)</f>
        <v>0.503</v>
      </c>
      <c r="M151" s="147">
        <f t="shared" si="66"/>
        <v>1.6898372953999599E-3</v>
      </c>
      <c r="N151" s="147">
        <f ca="1">INDEX(Photobiology!$21:$421,1+$H151-380,N$14)</f>
        <v>4.1233699999999998E-2</v>
      </c>
      <c r="O151" s="147">
        <f ca="1">INDEX(Photobiology!$21:$421,1+$H151-380,O$14)</f>
        <v>0.74361200000000005</v>
      </c>
      <c r="P151" s="147">
        <f ca="1">INDEX(Photobiology!$21:$421,1+$H151-380,P$14)</f>
        <v>0.52653799999999995</v>
      </c>
      <c r="Q151" s="147">
        <f ca="1">INDEX(Photobiology!$21:$421,1+$H151-380,Q$14)</f>
        <v>0.997</v>
      </c>
      <c r="R151" s="147">
        <f ca="1">INDEX(Photobiology!$21:$421,1+$H151-380,R$14)</f>
        <v>0.86288799999999999</v>
      </c>
      <c r="S151" s="147">
        <f t="shared" si="67"/>
        <v>4339702118320219</v>
      </c>
      <c r="T151" s="147">
        <f ca="1">INDEX(Photobiology!$21:$421,1+$H151-380,T$14)</f>
        <v>3.6174925572518411E-2</v>
      </c>
      <c r="U151" s="147">
        <f ca="1">INDEX(Photobiology!$21:$421,1+$H151-380,U$14)</f>
        <v>0.78819646437335633</v>
      </c>
      <c r="V151" s="147">
        <f ca="1">INDEX(Photobiology!$21:$421,1+$H151-380,V$14)</f>
        <v>0.58508906386586024</v>
      </c>
      <c r="W151" s="147">
        <f ca="1">INDEX(Photobiology!$21:$421,1+$H151-380,W$14)</f>
        <v>0.9882352941176471</v>
      </c>
      <c r="X151" s="147">
        <f ca="1">INDEX(Photobiology!$21:$421,1+$H151-380,X$14)</f>
        <v>0.82731338866237225</v>
      </c>
      <c r="Y151" s="147">
        <f t="shared" si="54"/>
        <v>1.6898372953999599E-3</v>
      </c>
      <c r="Z151" s="147">
        <f t="shared" ca="1" si="68"/>
        <v>6.9678244087333319E-5</v>
      </c>
      <c r="AA151" s="147">
        <f t="shared" ca="1" si="55"/>
        <v>1.2565832909069551E-3</v>
      </c>
      <c r="AB151" s="147">
        <f t="shared" ca="1" si="56"/>
        <v>8.8976354984530407E-4</v>
      </c>
      <c r="AC151" s="147">
        <f t="shared" ca="1" si="57"/>
        <v>1.6847677835137602E-3</v>
      </c>
      <c r="AD151" s="147">
        <f t="shared" ca="1" si="58"/>
        <v>1.4581403241530806E-3</v>
      </c>
      <c r="AH151" s="147">
        <f t="shared" si="69"/>
        <v>510</v>
      </c>
      <c r="AI151" s="147">
        <f>IF($AH151&gt;$AH150,INDEX(Spectra!151:151,1,MATCH($AI$20,Spectra!$20:$20,0)),AI150)</f>
        <v>107.80200000000001</v>
      </c>
      <c r="AJ151" s="147">
        <f>((Physics!$C$9*Physics!$C$10)/(Physics!$C$11*Physics!$C$12*$AH151))^($AJ$17-$AJ$18)</f>
        <v>2.5681183212926275E+18</v>
      </c>
      <c r="AK151" s="147">
        <f t="shared" si="70"/>
        <v>1</v>
      </c>
      <c r="AL151" s="147">
        <f>INDEX(Photobiology!$21:$421,1+$AH151-380,10)</f>
        <v>0.503</v>
      </c>
      <c r="AM151" s="147">
        <f t="shared" si="71"/>
        <v>1.4936614323279856E-3</v>
      </c>
      <c r="AN151" s="147">
        <f ca="1">INDEX(Photobiology!$21:$421,1+$AH151-380,AN$14)</f>
        <v>4.1233699999999998E-2</v>
      </c>
      <c r="AO151" s="147">
        <f ca="1">INDEX(Photobiology!$21:$421,1+$AH151-380,AO$14)</f>
        <v>0.74361200000000005</v>
      </c>
      <c r="AP151" s="147">
        <f ca="1">INDEX(Photobiology!$21:$421,1+$AH151-380,AP$14)</f>
        <v>0.52653799999999995</v>
      </c>
      <c r="AQ151" s="147">
        <f ca="1">INDEX(Photobiology!$21:$421,1+$AH151-380,AQ$14)</f>
        <v>0.997</v>
      </c>
      <c r="AR151" s="147">
        <f ca="1">INDEX(Photobiology!$21:$421,1+$AH151-380,AR$14)</f>
        <v>0.86288799999999999</v>
      </c>
      <c r="AS151" s="147">
        <f t="shared" si="72"/>
        <v>3835899290169687.5</v>
      </c>
      <c r="AT151" s="147">
        <f ca="1">INDEX(Photobiology!$21:$421,1+$AH151-380,AT$14)</f>
        <v>3.6174925572518411E-2</v>
      </c>
      <c r="AU151" s="147">
        <f ca="1">INDEX(Photobiology!$21:$421,1+$AH151-380,AU$14)</f>
        <v>0.78819646437335633</v>
      </c>
      <c r="AV151" s="147">
        <f ca="1">INDEX(Photobiology!$21:$421,1+$AH151-380,AV$14)</f>
        <v>0.58508906386586024</v>
      </c>
      <c r="AW151" s="147">
        <f ca="1">INDEX(Photobiology!$21:$421,1+$AH151-380,AW$14)</f>
        <v>0.9882352941176471</v>
      </c>
      <c r="AX151" s="147">
        <f ca="1">INDEX(Photobiology!$21:$421,1+$AH151-380,AX$14)</f>
        <v>0.82731338866237225</v>
      </c>
      <c r="AY151" s="147">
        <f t="shared" si="59"/>
        <v>1.4936614323279856E-3</v>
      </c>
      <c r="AZ151" s="147">
        <f t="shared" ca="1" si="73"/>
        <v>6.1589187402182459E-5</v>
      </c>
      <c r="BA151" s="147">
        <f t="shared" ca="1" si="60"/>
        <v>1.110704565016278E-3</v>
      </c>
      <c r="BB151" s="147">
        <f t="shared" ca="1" si="61"/>
        <v>7.8646950325511275E-4</v>
      </c>
      <c r="BC151" s="147">
        <f t="shared" ca="1" si="62"/>
        <v>1.4891804480310015E-3</v>
      </c>
      <c r="BD151" s="147">
        <f t="shared" ca="1" si="63"/>
        <v>1.2888625260186308E-3</v>
      </c>
    </row>
    <row r="152" spans="8:56" s="147" customFormat="1" ht="0.25" customHeight="1" x14ac:dyDescent="0.2">
      <c r="H152" s="147">
        <f t="shared" si="64"/>
        <v>511</v>
      </c>
      <c r="I152" s="147">
        <f>IF($H152&gt;$H151,INDEX(Spectra!152:152,1,MATCH($I$20,Spectra!$20:$20,0)),I151)</f>
        <v>1.68483777677451E-3</v>
      </c>
      <c r="J152" s="147">
        <f>((Physics!$C$9*Physics!$C$10)/(Physics!$C$11*Physics!$C$12*$H152))^($J$17-$J$18)</f>
        <v>2.5731538474128092E+18</v>
      </c>
      <c r="K152" s="147">
        <f t="shared" si="65"/>
        <v>1</v>
      </c>
      <c r="L152" s="147">
        <f>INDEX(Photobiology!$21:$421,1+$H152-380,10)</f>
        <v>0.52356930000000002</v>
      </c>
      <c r="M152" s="147">
        <f t="shared" si="66"/>
        <v>1.68483777677451E-3</v>
      </c>
      <c r="N152" s="147">
        <f ca="1">INDEX(Photobiology!$21:$421,1+$H152-380,N$14)</f>
        <v>3.7814199999999999E-2</v>
      </c>
      <c r="O152" s="147">
        <f ca="1">INDEX(Photobiology!$21:$421,1+$H152-380,O$14)</f>
        <v>0.75839599999999996</v>
      </c>
      <c r="P152" s="147">
        <f ca="1">INDEX(Photobiology!$21:$421,1+$H152-380,P$14)</f>
        <v>0.54092300000000004</v>
      </c>
      <c r="Q152" s="147">
        <f ca="1">INDEX(Photobiology!$21:$421,1+$H152-380,Q$14)</f>
        <v>0.99399999999999999</v>
      </c>
      <c r="R152" s="147">
        <f ca="1">INDEX(Photobiology!$21:$421,1+$H152-380,R$14)</f>
        <v>0.84880100000000003</v>
      </c>
      <c r="S152" s="147">
        <f t="shared" si="67"/>
        <v>4335346807573774</v>
      </c>
      <c r="T152" s="147">
        <f ca="1">INDEX(Photobiology!$21:$421,1+$H152-380,T$14)</f>
        <v>3.3110026796854895E-2</v>
      </c>
      <c r="U152" s="147">
        <f ca="1">INDEX(Photobiology!$21:$421,1+$H152-380,U$14)</f>
        <v>0.80229373811171656</v>
      </c>
      <c r="V152" s="147">
        <f ca="1">INDEX(Photobiology!$21:$421,1+$H152-380,V$14)</f>
        <v>0.59989740748484155</v>
      </c>
      <c r="W152" s="147">
        <f ca="1">INDEX(Photobiology!$21:$421,1+$H152-380,W$14)</f>
        <v>0.98333356233082814</v>
      </c>
      <c r="X152" s="147">
        <f ca="1">INDEX(Photobiology!$21:$421,1+$H152-380,X$14)</f>
        <v>0.81221458115211287</v>
      </c>
      <c r="Y152" s="147">
        <f t="shared" si="54"/>
        <v>1.68483777677451E-3</v>
      </c>
      <c r="Z152" s="147">
        <f t="shared" ca="1" si="68"/>
        <v>6.3710792658506674E-5</v>
      </c>
      <c r="AA152" s="147">
        <f t="shared" ca="1" si="55"/>
        <v>1.2777742305546812E-3</v>
      </c>
      <c r="AB152" s="147">
        <f t="shared" ca="1" si="56"/>
        <v>9.1136750472619829E-4</v>
      </c>
      <c r="AC152" s="147">
        <f t="shared" ca="1" si="57"/>
        <v>1.6747287501138628E-3</v>
      </c>
      <c r="AD152" s="147">
        <f t="shared" ca="1" si="58"/>
        <v>1.4300919897639809E-3</v>
      </c>
      <c r="AH152" s="147">
        <f t="shared" si="69"/>
        <v>511</v>
      </c>
      <c r="AI152" s="147">
        <f>IF($AH152&gt;$AH151,INDEX(Spectra!152:152,1,MATCH($AI$20,Spectra!$20:$20,0)),AI151)</f>
        <v>107.501</v>
      </c>
      <c r="AJ152" s="147">
        <f>((Physics!$C$9*Physics!$C$10)/(Physics!$C$11*Physics!$C$12*$AH152))^($AJ$17-$AJ$18)</f>
        <v>2.5731538474128092E+18</v>
      </c>
      <c r="AK152" s="147">
        <f t="shared" si="70"/>
        <v>1</v>
      </c>
      <c r="AL152" s="147">
        <f>INDEX(Photobiology!$21:$421,1+$AH152-380,10)</f>
        <v>0.52356930000000002</v>
      </c>
      <c r="AM152" s="147">
        <f t="shared" si="71"/>
        <v>1.4894908966131498E-3</v>
      </c>
      <c r="AN152" s="147">
        <f ca="1">INDEX(Photobiology!$21:$421,1+$AH152-380,AN$14)</f>
        <v>3.7814199999999999E-2</v>
      </c>
      <c r="AO152" s="147">
        <f ca="1">INDEX(Photobiology!$21:$421,1+$AH152-380,AO$14)</f>
        <v>0.75839599999999996</v>
      </c>
      <c r="AP152" s="147">
        <f ca="1">INDEX(Photobiology!$21:$421,1+$AH152-380,AP$14)</f>
        <v>0.54092300000000004</v>
      </c>
      <c r="AQ152" s="147">
        <f ca="1">INDEX(Photobiology!$21:$421,1+$AH152-380,AQ$14)</f>
        <v>0.99399999999999999</v>
      </c>
      <c r="AR152" s="147">
        <f ca="1">INDEX(Photobiology!$21:$421,1+$AH152-380,AR$14)</f>
        <v>0.84880100000000003</v>
      </c>
      <c r="AS152" s="147">
        <f t="shared" si="72"/>
        <v>3832689231306481.5</v>
      </c>
      <c r="AT152" s="147">
        <f ca="1">INDEX(Photobiology!$21:$421,1+$AH152-380,AT$14)</f>
        <v>3.3110026796854895E-2</v>
      </c>
      <c r="AU152" s="147">
        <f ca="1">INDEX(Photobiology!$21:$421,1+$AH152-380,AU$14)</f>
        <v>0.80229373811171656</v>
      </c>
      <c r="AV152" s="147">
        <f ca="1">INDEX(Photobiology!$21:$421,1+$AH152-380,AV$14)</f>
        <v>0.59989740748484155</v>
      </c>
      <c r="AW152" s="147">
        <f ca="1">INDEX(Photobiology!$21:$421,1+$AH152-380,AW$14)</f>
        <v>0.98333356233082814</v>
      </c>
      <c r="AX152" s="147">
        <f ca="1">INDEX(Photobiology!$21:$421,1+$AH152-380,AX$14)</f>
        <v>0.81221458115211287</v>
      </c>
      <c r="AY152" s="147">
        <f t="shared" si="59"/>
        <v>1.4894908966131498E-3</v>
      </c>
      <c r="AZ152" s="147">
        <f t="shared" ca="1" si="73"/>
        <v>5.632390666270897E-5</v>
      </c>
      <c r="BA152" s="147">
        <f t="shared" ca="1" si="60"/>
        <v>1.1296239380278264E-3</v>
      </c>
      <c r="BB152" s="147">
        <f t="shared" ca="1" si="61"/>
        <v>8.0569988426867488E-4</v>
      </c>
      <c r="BC152" s="147">
        <f t="shared" ca="1" si="62"/>
        <v>1.480553951233471E-3</v>
      </c>
      <c r="BD152" s="147">
        <f t="shared" ca="1" si="63"/>
        <v>1.2642813625361382E-3</v>
      </c>
    </row>
    <row r="153" spans="8:56" s="147" customFormat="1" ht="0.25" customHeight="1" x14ac:dyDescent="0.2">
      <c r="H153" s="147">
        <f t="shared" si="64"/>
        <v>512</v>
      </c>
      <c r="I153" s="147">
        <f>IF($H153&gt;$H152,INDEX(Spectra!153:153,1,MATCH($I$20,Spectra!$20:$20,0)),I152)</f>
        <v>1.66983922089818E-3</v>
      </c>
      <c r="J153" s="147">
        <f>((Physics!$C$9*Physics!$C$10)/(Physics!$C$11*Physics!$C$12*$H153))^($J$17-$J$18)</f>
        <v>2.578189373532991E+18</v>
      </c>
      <c r="K153" s="147">
        <f t="shared" si="65"/>
        <v>1</v>
      </c>
      <c r="L153" s="147">
        <f>INDEX(Photobiology!$21:$421,1+$H153-380,10)</f>
        <v>0.544512</v>
      </c>
      <c r="M153" s="147">
        <f t="shared" si="66"/>
        <v>1.66983922089818E-3</v>
      </c>
      <c r="N153" s="147">
        <f ca="1">INDEX(Photobiology!$21:$421,1+$H153-380,N$14)</f>
        <v>3.4762700000000001E-2</v>
      </c>
      <c r="O153" s="147">
        <f ca="1">INDEX(Photobiology!$21:$421,1+$H153-380,O$14)</f>
        <v>0.77296600000000004</v>
      </c>
      <c r="P153" s="147">
        <f ca="1">INDEX(Photobiology!$21:$421,1+$H153-380,P$14)</f>
        <v>0.55540599999999996</v>
      </c>
      <c r="Q153" s="147">
        <f ca="1">INDEX(Photobiology!$21:$421,1+$H153-380,Q$14)</f>
        <v>0.99</v>
      </c>
      <c r="R153" s="147">
        <f ca="1">INDEX(Photobiology!$21:$421,1+$H153-380,R$14)</f>
        <v>0.83367800000000003</v>
      </c>
      <c r="S153" s="147">
        <f t="shared" si="67"/>
        <v>4305161734828296.5</v>
      </c>
      <c r="T153" s="147">
        <f ca="1">INDEX(Photobiology!$21:$421,1+$H153-380,T$14)</f>
        <v>3.0378690902210428E-2</v>
      </c>
      <c r="U153" s="147">
        <f ca="1">INDEX(Photobiology!$21:$421,1+$H153-380,U$14)</f>
        <v>0.81610999971469511</v>
      </c>
      <c r="V153" s="147">
        <f ca="1">INDEX(Photobiology!$21:$421,1+$H153-380,V$14)</f>
        <v>0.61475637823740514</v>
      </c>
      <c r="W153" s="147">
        <f ca="1">INDEX(Photobiology!$21:$421,1+$H153-380,W$14)</f>
        <v>0.97746364092276827</v>
      </c>
      <c r="X153" s="147">
        <f ca="1">INDEX(Photobiology!$21:$421,1+$H153-380,X$14)</f>
        <v>0.79618534495715465</v>
      </c>
      <c r="Y153" s="147">
        <f t="shared" si="54"/>
        <v>1.66983922089818E-3</v>
      </c>
      <c r="Z153" s="147">
        <f t="shared" ca="1" si="68"/>
        <v>5.8048119884317158E-5</v>
      </c>
      <c r="AA153" s="147">
        <f t="shared" ca="1" si="55"/>
        <v>1.2907289432207826E-3</v>
      </c>
      <c r="AB153" s="147">
        <f t="shared" ca="1" si="56"/>
        <v>9.2743872232217445E-4</v>
      </c>
      <c r="AC153" s="147">
        <f t="shared" ca="1" si="57"/>
        <v>1.6531408286891982E-3</v>
      </c>
      <c r="AD153" s="147">
        <f t="shared" ca="1" si="58"/>
        <v>1.3921082219999529E-3</v>
      </c>
      <c r="AH153" s="147">
        <f t="shared" si="69"/>
        <v>512</v>
      </c>
      <c r="AI153" s="147">
        <f>IF($AH153&gt;$AH152,INDEX(Spectra!153:153,1,MATCH($AI$20,Spectra!$20:$20,0)),AI152)</f>
        <v>107.2</v>
      </c>
      <c r="AJ153" s="147">
        <f>((Physics!$C$9*Physics!$C$10)/(Physics!$C$11*Physics!$C$12*$AH153))^($AJ$17-$AJ$18)</f>
        <v>2.578189373532991E+18</v>
      </c>
      <c r="AK153" s="147">
        <f t="shared" si="70"/>
        <v>1</v>
      </c>
      <c r="AL153" s="147">
        <f>INDEX(Photobiology!$21:$421,1+$AH153-380,10)</f>
        <v>0.544512</v>
      </c>
      <c r="AM153" s="147">
        <f t="shared" si="71"/>
        <v>1.4853203608983139E-3</v>
      </c>
      <c r="AN153" s="147">
        <f ca="1">INDEX(Photobiology!$21:$421,1+$AH153-380,AN$14)</f>
        <v>3.4762700000000001E-2</v>
      </c>
      <c r="AO153" s="147">
        <f ca="1">INDEX(Photobiology!$21:$421,1+$AH153-380,AO$14)</f>
        <v>0.77296600000000004</v>
      </c>
      <c r="AP153" s="147">
        <f ca="1">INDEX(Photobiology!$21:$421,1+$AH153-380,AP$14)</f>
        <v>0.55540599999999996</v>
      </c>
      <c r="AQ153" s="147">
        <f ca="1">INDEX(Photobiology!$21:$421,1+$AH153-380,AQ$14)</f>
        <v>0.99</v>
      </c>
      <c r="AR153" s="147">
        <f ca="1">INDEX(Photobiology!$21:$421,1+$AH153-380,AR$14)</f>
        <v>0.83367800000000003</v>
      </c>
      <c r="AS153" s="147">
        <f t="shared" si="72"/>
        <v>3829437170760220</v>
      </c>
      <c r="AT153" s="147">
        <f ca="1">INDEX(Photobiology!$21:$421,1+$AH153-380,AT$14)</f>
        <v>3.0378690902210428E-2</v>
      </c>
      <c r="AU153" s="147">
        <f ca="1">INDEX(Photobiology!$21:$421,1+$AH153-380,AU$14)</f>
        <v>0.81610999971469511</v>
      </c>
      <c r="AV153" s="147">
        <f ca="1">INDEX(Photobiology!$21:$421,1+$AH153-380,AV$14)</f>
        <v>0.61475637823740514</v>
      </c>
      <c r="AW153" s="147">
        <f ca="1">INDEX(Photobiology!$21:$421,1+$AH153-380,AW$14)</f>
        <v>0.97746364092276827</v>
      </c>
      <c r="AX153" s="147">
        <f ca="1">INDEX(Photobiology!$21:$421,1+$AH153-380,AX$14)</f>
        <v>0.79618534495715465</v>
      </c>
      <c r="AY153" s="147">
        <f t="shared" si="59"/>
        <v>1.4853203608983139E-3</v>
      </c>
      <c r="AZ153" s="147">
        <f t="shared" ca="1" si="73"/>
        <v>5.1633746109799816E-5</v>
      </c>
      <c r="BA153" s="147">
        <f t="shared" ca="1" si="60"/>
        <v>1.148102138082126E-3</v>
      </c>
      <c r="BB153" s="147">
        <f t="shared" ca="1" si="61"/>
        <v>8.2495584036508887E-4</v>
      </c>
      <c r="BC153" s="147">
        <f t="shared" ca="1" si="62"/>
        <v>1.4704671572893307E-3</v>
      </c>
      <c r="BD153" s="147">
        <f t="shared" ca="1" si="63"/>
        <v>1.2382789078329846E-3</v>
      </c>
    </row>
    <row r="154" spans="8:56" s="147" customFormat="1" ht="0.25" customHeight="1" x14ac:dyDescent="0.2">
      <c r="H154" s="147">
        <f t="shared" si="64"/>
        <v>513</v>
      </c>
      <c r="I154" s="147">
        <f>IF($H154&gt;$H153,INDEX(Spectra!154:154,1,MATCH($I$20,Spectra!$20:$20,0)),I153)</f>
        <v>1.64484162777096E-3</v>
      </c>
      <c r="J154" s="147">
        <f>((Physics!$C$9*Physics!$C$10)/(Physics!$C$11*Physics!$C$12*$H154))^($J$17-$J$18)</f>
        <v>2.5832248996531722E+18</v>
      </c>
      <c r="K154" s="147">
        <f t="shared" si="65"/>
        <v>1</v>
      </c>
      <c r="L154" s="147">
        <f>INDEX(Photobiology!$21:$421,1+$H154-380,10)</f>
        <v>0.56569000000000003</v>
      </c>
      <c r="M154" s="147">
        <f t="shared" si="66"/>
        <v>1.64484162777096E-3</v>
      </c>
      <c r="N154" s="147">
        <f ca="1">INDEX(Photobiology!$21:$421,1+$H154-380,N$14)</f>
        <v>3.2002900000000001E-2</v>
      </c>
      <c r="O154" s="147">
        <f ca="1">INDEX(Photobiology!$21:$421,1+$H154-380,O$14)</f>
        <v>0.78745699999999996</v>
      </c>
      <c r="P154" s="147">
        <f ca="1">INDEX(Photobiology!$21:$421,1+$H154-380,P$14)</f>
        <v>0.570025</v>
      </c>
      <c r="Q154" s="147">
        <f ca="1">INDEX(Photobiology!$21:$421,1+$H154-380,Q$14)</f>
        <v>0.98599999999999999</v>
      </c>
      <c r="R154" s="147">
        <f ca="1">INDEX(Photobiology!$21:$421,1+$H154-380,R$14)</f>
        <v>0.817832</v>
      </c>
      <c r="S154" s="147">
        <f t="shared" si="67"/>
        <v>4248995848843998.5</v>
      </c>
      <c r="T154" s="147">
        <f ca="1">INDEX(Photobiology!$21:$421,1+$H154-380,T$14)</f>
        <v>2.7912419583897022E-2</v>
      </c>
      <c r="U154" s="147">
        <f ca="1">INDEX(Photobiology!$21:$421,1+$H154-380,U$14)</f>
        <v>0.82978914986436292</v>
      </c>
      <c r="V154" s="147">
        <f ca="1">INDEX(Photobiology!$21:$421,1+$H154-380,V$14)</f>
        <v>0.62970765872785506</v>
      </c>
      <c r="W154" s="147">
        <f ca="1">INDEX(Photobiology!$21:$421,1+$H154-380,W$14)</f>
        <v>0.97161660419856055</v>
      </c>
      <c r="X154" s="147">
        <f ca="1">INDEX(Photobiology!$21:$421,1+$H154-380,X$14)</f>
        <v>0.77952946206465112</v>
      </c>
      <c r="Y154" s="147">
        <f t="shared" si="54"/>
        <v>1.64484162777096E-3</v>
      </c>
      <c r="Z154" s="147">
        <f t="shared" ca="1" si="68"/>
        <v>5.2639702129391258E-5</v>
      </c>
      <c r="AA154" s="147">
        <f t="shared" ca="1" si="55"/>
        <v>1.2952420536796367E-3</v>
      </c>
      <c r="AB154" s="147">
        <f t="shared" ca="1" si="56"/>
        <v>9.3760084887014141E-4</v>
      </c>
      <c r="AC154" s="147">
        <f t="shared" ca="1" si="57"/>
        <v>1.6218138449821664E-3</v>
      </c>
      <c r="AD154" s="147">
        <f t="shared" ca="1" si="58"/>
        <v>1.3452041181231797E-3</v>
      </c>
      <c r="AH154" s="147">
        <f t="shared" si="69"/>
        <v>513</v>
      </c>
      <c r="AI154" s="147">
        <f>IF($AH154&gt;$AH153,INDEX(Spectra!154:154,1,MATCH($AI$20,Spectra!$20:$20,0)),AI153)</f>
        <v>106.898</v>
      </c>
      <c r="AJ154" s="147">
        <f>((Physics!$C$9*Physics!$C$10)/(Physics!$C$11*Physics!$C$12*$AH154))^($AJ$17-$AJ$18)</f>
        <v>2.5832248996531722E+18</v>
      </c>
      <c r="AK154" s="147">
        <f t="shared" si="70"/>
        <v>1</v>
      </c>
      <c r="AL154" s="147">
        <f>INDEX(Photobiology!$21:$421,1+$AH154-380,10)</f>
        <v>0.56569000000000003</v>
      </c>
      <c r="AM154" s="147">
        <f t="shared" si="71"/>
        <v>1.4811359695830965E-3</v>
      </c>
      <c r="AN154" s="147">
        <f ca="1">INDEX(Photobiology!$21:$421,1+$AH154-380,AN$14)</f>
        <v>3.2002900000000001E-2</v>
      </c>
      <c r="AO154" s="147">
        <f ca="1">INDEX(Photobiology!$21:$421,1+$AH154-380,AO$14)</f>
        <v>0.78745699999999996</v>
      </c>
      <c r="AP154" s="147">
        <f ca="1">INDEX(Photobiology!$21:$421,1+$AH154-380,AP$14)</f>
        <v>0.570025</v>
      </c>
      <c r="AQ154" s="147">
        <f ca="1">INDEX(Photobiology!$21:$421,1+$AH154-380,AQ$14)</f>
        <v>0.98599999999999999</v>
      </c>
      <c r="AR154" s="147">
        <f ca="1">INDEX(Photobiology!$21:$421,1+$AH154-380,AR$14)</f>
        <v>0.817832</v>
      </c>
      <c r="AS154" s="147">
        <f t="shared" si="72"/>
        <v>3826107316398998.5</v>
      </c>
      <c r="AT154" s="147">
        <f ca="1">INDEX(Photobiology!$21:$421,1+$AH154-380,AT$14)</f>
        <v>2.7912419583897022E-2</v>
      </c>
      <c r="AU154" s="147">
        <f ca="1">INDEX(Photobiology!$21:$421,1+$AH154-380,AU$14)</f>
        <v>0.82978914986436292</v>
      </c>
      <c r="AV154" s="147">
        <f ca="1">INDEX(Photobiology!$21:$421,1+$AH154-380,AV$14)</f>
        <v>0.62970765872785506</v>
      </c>
      <c r="AW154" s="147">
        <f ca="1">INDEX(Photobiology!$21:$421,1+$AH154-380,AW$14)</f>
        <v>0.97161660419856055</v>
      </c>
      <c r="AX154" s="147">
        <f ca="1">INDEX(Photobiology!$21:$421,1+$AH154-380,AX$14)</f>
        <v>0.77952946206465112</v>
      </c>
      <c r="AY154" s="147">
        <f t="shared" si="59"/>
        <v>1.4811359695830965E-3</v>
      </c>
      <c r="AZ154" s="147">
        <f t="shared" ca="1" si="73"/>
        <v>4.7400646320970878E-5</v>
      </c>
      <c r="BA154" s="147">
        <f t="shared" ca="1" si="60"/>
        <v>1.1663308871999963E-3</v>
      </c>
      <c r="BB154" s="147">
        <f t="shared" ca="1" si="61"/>
        <v>8.4428453106160457E-4</v>
      </c>
      <c r="BC154" s="147">
        <f t="shared" ca="1" si="62"/>
        <v>1.4604000660089331E-3</v>
      </c>
      <c r="BD154" s="147">
        <f t="shared" ca="1" si="63"/>
        <v>1.211320392276083E-3</v>
      </c>
    </row>
    <row r="155" spans="8:56" s="147" customFormat="1" ht="0.25" customHeight="1" x14ac:dyDescent="0.2">
      <c r="H155" s="147">
        <f t="shared" si="64"/>
        <v>514</v>
      </c>
      <c r="I155" s="147">
        <f>IF($H155&gt;$H154,INDEX(Spectra!155:155,1,MATCH($I$20,Spectra!$20:$20,0)),I154)</f>
        <v>1.6148445160183E-3</v>
      </c>
      <c r="J155" s="147">
        <f>((Physics!$C$9*Physics!$C$10)/(Physics!$C$11*Physics!$C$12*$H155))^($J$17-$J$18)</f>
        <v>2.5882604257733535E+18</v>
      </c>
      <c r="K155" s="147">
        <f t="shared" si="65"/>
        <v>1</v>
      </c>
      <c r="L155" s="147">
        <f>INDEX(Photobiology!$21:$421,1+$H155-380,10)</f>
        <v>0.58696530000000002</v>
      </c>
      <c r="M155" s="147">
        <f t="shared" si="66"/>
        <v>1.6148445160183E-3</v>
      </c>
      <c r="N155" s="147">
        <f ca="1">INDEX(Photobiology!$21:$421,1+$H155-380,N$14)</f>
        <v>2.94746E-2</v>
      </c>
      <c r="O155" s="147">
        <f ca="1">INDEX(Photobiology!$21:$421,1+$H155-380,O$14)</f>
        <v>0.80201699999999998</v>
      </c>
      <c r="P155" s="147">
        <f ca="1">INDEX(Photobiology!$21:$421,1+$H155-380,P$14)</f>
        <v>0.58482800000000001</v>
      </c>
      <c r="Q155" s="147">
        <f ca="1">INDEX(Photobiology!$21:$421,1+$H155-380,Q$14)</f>
        <v>0.98099999999999998</v>
      </c>
      <c r="R155" s="147">
        <f ca="1">INDEX(Photobiology!$21:$421,1+$H155-380,R$14)</f>
        <v>0.80157900000000004</v>
      </c>
      <c r="S155" s="147">
        <f t="shared" si="67"/>
        <v>4179638154587290</v>
      </c>
      <c r="T155" s="147">
        <f ca="1">INDEX(Photobiology!$21:$421,1+$H155-380,T$14)</f>
        <v>2.5657262442111337E-2</v>
      </c>
      <c r="U155" s="147">
        <f ca="1">INDEX(Photobiology!$21:$421,1+$H155-380,U$14)</f>
        <v>0.84348764159625944</v>
      </c>
      <c r="V155" s="147">
        <f ca="1">INDEX(Photobiology!$21:$421,1+$H155-380,V$14)</f>
        <v>0.64480363270826391</v>
      </c>
      <c r="W155" s="147">
        <f ca="1">INDEX(Photobiology!$21:$421,1+$H155-380,W$14)</f>
        <v>0.96480882335723117</v>
      </c>
      <c r="X155" s="147">
        <f ca="1">INDEX(Photobiology!$21:$421,1+$H155-380,X$14)</f>
        <v>0.76255120433366308</v>
      </c>
      <c r="Y155" s="147">
        <f t="shared" si="54"/>
        <v>1.6148445160183E-3</v>
      </c>
      <c r="Z155" s="147">
        <f t="shared" ca="1" si="68"/>
        <v>4.7596896171832987E-5</v>
      </c>
      <c r="AA155" s="147">
        <f t="shared" ca="1" si="55"/>
        <v>1.2951327542034489E-3</v>
      </c>
      <c r="AB155" s="147">
        <f t="shared" ca="1" si="56"/>
        <v>9.444062886139504E-4</v>
      </c>
      <c r="AC155" s="147">
        <f t="shared" ca="1" si="57"/>
        <v>1.5841624702139523E-3</v>
      </c>
      <c r="AD155" s="147">
        <f t="shared" ca="1" si="58"/>
        <v>1.294425452305433E-3</v>
      </c>
      <c r="AH155" s="147">
        <f t="shared" si="69"/>
        <v>514</v>
      </c>
      <c r="AI155" s="147">
        <f>IF($AH155&gt;$AH154,INDEX(Spectra!155:155,1,MATCH($AI$20,Spectra!$20:$20,0)),AI154)</f>
        <v>106.59699999999999</v>
      </c>
      <c r="AJ155" s="147">
        <f>((Physics!$C$9*Physics!$C$10)/(Physics!$C$11*Physics!$C$12*$AH155))^($AJ$17-$AJ$18)</f>
        <v>2.5882604257733535E+18</v>
      </c>
      <c r="AK155" s="147">
        <f t="shared" si="70"/>
        <v>1</v>
      </c>
      <c r="AL155" s="147">
        <f>INDEX(Photobiology!$21:$421,1+$AH155-380,10)</f>
        <v>0.58696530000000002</v>
      </c>
      <c r="AM155" s="147">
        <f t="shared" si="71"/>
        <v>1.4769654338682608E-3</v>
      </c>
      <c r="AN155" s="147">
        <f ca="1">INDEX(Photobiology!$21:$421,1+$AH155-380,AN$14)</f>
        <v>2.94746E-2</v>
      </c>
      <c r="AO155" s="147">
        <f ca="1">INDEX(Photobiology!$21:$421,1+$AH155-380,AO$14)</f>
        <v>0.80201699999999998</v>
      </c>
      <c r="AP155" s="147">
        <f ca="1">INDEX(Photobiology!$21:$421,1+$AH155-380,AP$14)</f>
        <v>0.58482800000000001</v>
      </c>
      <c r="AQ155" s="147">
        <f ca="1">INDEX(Photobiology!$21:$421,1+$AH155-380,AQ$14)</f>
        <v>0.98099999999999998</v>
      </c>
      <c r="AR155" s="147">
        <f ca="1">INDEX(Photobiology!$21:$421,1+$AH155-380,AR$14)</f>
        <v>0.80157900000000004</v>
      </c>
      <c r="AS155" s="147">
        <f t="shared" si="72"/>
        <v>3822771182716390.5</v>
      </c>
      <c r="AT155" s="147">
        <f ca="1">INDEX(Photobiology!$21:$421,1+$AH155-380,AT$14)</f>
        <v>2.5657262442111337E-2</v>
      </c>
      <c r="AU155" s="147">
        <f ca="1">INDEX(Photobiology!$21:$421,1+$AH155-380,AU$14)</f>
        <v>0.84348764159625944</v>
      </c>
      <c r="AV155" s="147">
        <f ca="1">INDEX(Photobiology!$21:$421,1+$AH155-380,AV$14)</f>
        <v>0.64480363270826391</v>
      </c>
      <c r="AW155" s="147">
        <f ca="1">INDEX(Photobiology!$21:$421,1+$AH155-380,AW$14)</f>
        <v>0.96480882335723117</v>
      </c>
      <c r="AX155" s="147">
        <f ca="1">INDEX(Photobiology!$21:$421,1+$AH155-380,AX$14)</f>
        <v>0.76255120433366308</v>
      </c>
      <c r="AY155" s="147">
        <f t="shared" si="59"/>
        <v>1.4769654338682608E-3</v>
      </c>
      <c r="AZ155" s="147">
        <f t="shared" ca="1" si="73"/>
        <v>4.3532965377093439E-5</v>
      </c>
      <c r="BA155" s="147">
        <f t="shared" ca="1" si="60"/>
        <v>1.1845513863747209E-3</v>
      </c>
      <c r="BB155" s="147">
        <f t="shared" ca="1" si="61"/>
        <v>8.6377074075830727E-4</v>
      </c>
      <c r="BC155" s="147">
        <f t="shared" ca="1" si="62"/>
        <v>1.4489030906247639E-3</v>
      </c>
      <c r="BD155" s="147">
        <f t="shared" ca="1" si="63"/>
        <v>1.1839044755146866E-3</v>
      </c>
    </row>
    <row r="156" spans="8:56" s="147" customFormat="1" ht="0.25" customHeight="1" x14ac:dyDescent="0.2">
      <c r="H156" s="147">
        <f t="shared" si="64"/>
        <v>515</v>
      </c>
      <c r="I156" s="147">
        <f>IF($H156&gt;$H155,INDEX(Spectra!156:156,1,MATCH($I$20,Spectra!$20:$20,0)),I155)</f>
        <v>1.57984788564019E-3</v>
      </c>
      <c r="J156" s="147">
        <f>((Physics!$C$9*Physics!$C$10)/(Physics!$C$11*Physics!$C$12*$H156))^($J$17-$J$18)</f>
        <v>2.5932959518935357E+18</v>
      </c>
      <c r="K156" s="147">
        <f t="shared" si="65"/>
        <v>1</v>
      </c>
      <c r="L156" s="147">
        <f>INDEX(Photobiology!$21:$421,1+$H156-380,10)</f>
        <v>0.60819999999999996</v>
      </c>
      <c r="M156" s="147">
        <f t="shared" si="66"/>
        <v>1.57984788564019E-3</v>
      </c>
      <c r="N156" s="147">
        <f ca="1">INDEX(Photobiology!$21:$421,1+$H156-380,N$14)</f>
        <v>2.7130000000000001E-2</v>
      </c>
      <c r="O156" s="147">
        <f ca="1">INDEX(Photobiology!$21:$421,1+$H156-380,O$14)</f>
        <v>0.81680799999999998</v>
      </c>
      <c r="P156" s="147">
        <f ca="1">INDEX(Photobiology!$21:$421,1+$H156-380,P$14)</f>
        <v>0.59986700000000004</v>
      </c>
      <c r="Q156" s="147">
        <f ca="1">INDEX(Photobiology!$21:$421,1+$H156-380,Q$14)</f>
        <v>0.97499999999999998</v>
      </c>
      <c r="R156" s="147">
        <f ca="1">INDEX(Photobiology!$21:$421,1+$H156-380,R$14)</f>
        <v>0.78523299999999996</v>
      </c>
      <c r="S156" s="147">
        <f t="shared" si="67"/>
        <v>4097013126438266.5</v>
      </c>
      <c r="T156" s="147">
        <f ca="1">INDEX(Photobiology!$21:$421,1+$H156-380,T$14)</f>
        <v>2.3570461191433151E-2</v>
      </c>
      <c r="U156" s="147">
        <f ca="1">INDEX(Photobiology!$21:$421,1+$H156-380,U$14)</f>
        <v>0.85737540809766422</v>
      </c>
      <c r="V156" s="147">
        <f ca="1">INDEX(Photobiology!$21:$421,1+$H156-380,V$14)</f>
        <v>0.66010067871350031</v>
      </c>
      <c r="W156" s="147">
        <f ca="1">INDEX(Photobiology!$21:$421,1+$H156-380,W$14)</f>
        <v>0.95704589496645265</v>
      </c>
      <c r="X156" s="147">
        <f ca="1">INDEX(Photobiology!$21:$421,1+$H156-380,X$14)</f>
        <v>0.74555058141837949</v>
      </c>
      <c r="Y156" s="147">
        <f t="shared" si="54"/>
        <v>1.57984788564019E-3</v>
      </c>
      <c r="Z156" s="147">
        <f t="shared" ca="1" si="68"/>
        <v>4.2861273137418358E-5</v>
      </c>
      <c r="AA156" s="147">
        <f t="shared" ca="1" si="55"/>
        <v>1.2904323917739924E-3</v>
      </c>
      <c r="AB156" s="147">
        <f t="shared" ca="1" si="56"/>
        <v>9.4769861161532389E-4</v>
      </c>
      <c r="AC156" s="147">
        <f t="shared" ca="1" si="57"/>
        <v>1.5403516884991851E-3</v>
      </c>
      <c r="AD156" s="147">
        <f t="shared" ca="1" si="58"/>
        <v>1.2405486947849032E-3</v>
      </c>
      <c r="AH156" s="147">
        <f t="shared" si="69"/>
        <v>515</v>
      </c>
      <c r="AI156" s="147">
        <f>IF($AH156&gt;$AH155,INDEX(Spectra!156:156,1,MATCH($AI$20,Spectra!$20:$20,0)),AI155)</f>
        <v>106.29600000000001</v>
      </c>
      <c r="AJ156" s="147">
        <f>((Physics!$C$9*Physics!$C$10)/(Physics!$C$11*Physics!$C$12*$AH156))^($AJ$17-$AJ$18)</f>
        <v>2.5932959518935357E+18</v>
      </c>
      <c r="AK156" s="147">
        <f t="shared" si="70"/>
        <v>1</v>
      </c>
      <c r="AL156" s="147">
        <f>INDEX(Photobiology!$21:$421,1+$AH156-380,10)</f>
        <v>0.60819999999999996</v>
      </c>
      <c r="AM156" s="147">
        <f t="shared" si="71"/>
        <v>1.4727948981534253E-3</v>
      </c>
      <c r="AN156" s="147">
        <f ca="1">INDEX(Photobiology!$21:$421,1+$AH156-380,AN$14)</f>
        <v>2.7130000000000001E-2</v>
      </c>
      <c r="AO156" s="147">
        <f ca="1">INDEX(Photobiology!$21:$421,1+$AH156-380,AO$14)</f>
        <v>0.81680799999999998</v>
      </c>
      <c r="AP156" s="147">
        <f ca="1">INDEX(Photobiology!$21:$421,1+$AH156-380,AP$14)</f>
        <v>0.59986700000000004</v>
      </c>
      <c r="AQ156" s="147">
        <f ca="1">INDEX(Photobiology!$21:$421,1+$AH156-380,AQ$14)</f>
        <v>0.97499999999999998</v>
      </c>
      <c r="AR156" s="147">
        <f ca="1">INDEX(Photobiology!$21:$421,1+$AH156-380,AR$14)</f>
        <v>0.78523299999999996</v>
      </c>
      <c r="AS156" s="147">
        <f t="shared" si="72"/>
        <v>3819393047350730</v>
      </c>
      <c r="AT156" s="147">
        <f ca="1">INDEX(Photobiology!$21:$421,1+$AH156-380,AT$14)</f>
        <v>2.3570461191433151E-2</v>
      </c>
      <c r="AU156" s="147">
        <f ca="1">INDEX(Photobiology!$21:$421,1+$AH156-380,AU$14)</f>
        <v>0.85737540809766422</v>
      </c>
      <c r="AV156" s="147">
        <f ca="1">INDEX(Photobiology!$21:$421,1+$AH156-380,AV$14)</f>
        <v>0.66010067871350031</v>
      </c>
      <c r="AW156" s="147">
        <f ca="1">INDEX(Photobiology!$21:$421,1+$AH156-380,AW$14)</f>
        <v>0.95704589496645265</v>
      </c>
      <c r="AX156" s="147">
        <f ca="1">INDEX(Photobiology!$21:$421,1+$AH156-380,AX$14)</f>
        <v>0.74555058141837949</v>
      </c>
      <c r="AY156" s="147">
        <f t="shared" si="59"/>
        <v>1.4727948981534253E-3</v>
      </c>
      <c r="AZ156" s="147">
        <f t="shared" ca="1" si="73"/>
        <v>3.9956925586902426E-5</v>
      </c>
      <c r="BA156" s="147">
        <f t="shared" ca="1" si="60"/>
        <v>1.2029906551709029E-3</v>
      </c>
      <c r="BB156" s="147">
        <f t="shared" ca="1" si="61"/>
        <v>8.8348105717060081E-4</v>
      </c>
      <c r="BC156" s="147">
        <f t="shared" ca="1" si="62"/>
        <v>1.4359750256995895E-3</v>
      </c>
      <c r="BD156" s="147">
        <f t="shared" ca="1" si="63"/>
        <v>1.1564871562617085E-3</v>
      </c>
    </row>
    <row r="157" spans="8:56" s="147" customFormat="1" ht="0.25" customHeight="1" x14ac:dyDescent="0.2">
      <c r="H157" s="147">
        <f t="shared" si="64"/>
        <v>516</v>
      </c>
      <c r="I157" s="147">
        <f>IF($H157&gt;$H156,INDEX(Spectra!157:157,1,MATCH($I$20,Spectra!$20:$20,0)),I156)</f>
        <v>1.53985173663664E-3</v>
      </c>
      <c r="J157" s="147">
        <f>((Physics!$C$9*Physics!$C$10)/(Physics!$C$11*Physics!$C$12*$H157))^($J$17-$J$18)</f>
        <v>2.598331478013717E+18</v>
      </c>
      <c r="K157" s="147">
        <f t="shared" si="65"/>
        <v>1</v>
      </c>
      <c r="L157" s="147">
        <f>INDEX(Photobiology!$21:$421,1+$H157-380,10)</f>
        <v>0.62934559999999995</v>
      </c>
      <c r="M157" s="147">
        <f t="shared" si="66"/>
        <v>1.53985173663664E-3</v>
      </c>
      <c r="N157" s="147">
        <f ca="1">INDEX(Photobiology!$21:$421,1+$H157-380,N$14)</f>
        <v>2.4937600000000001E-2</v>
      </c>
      <c r="O157" s="147">
        <f ca="1">INDEX(Photobiology!$21:$421,1+$H157-380,O$14)</f>
        <v>0.83191899999999996</v>
      </c>
      <c r="P157" s="147">
        <f ca="1">INDEX(Photobiology!$21:$421,1+$H157-380,P$14)</f>
        <v>0.61516199999999999</v>
      </c>
      <c r="Q157" s="147">
        <f ca="1">INDEX(Photobiology!$21:$421,1+$H157-380,Q$14)</f>
        <v>0.96799999999999997</v>
      </c>
      <c r="R157" s="147">
        <f ca="1">INDEX(Photobiology!$21:$421,1+$H157-380,R$14)</f>
        <v>0.76871800000000001</v>
      </c>
      <c r="S157" s="147">
        <f t="shared" si="67"/>
        <v>4001045238777069.5</v>
      </c>
      <c r="T157" s="147">
        <f ca="1">INDEX(Photobiology!$21:$421,1+$H157-380,T$14)</f>
        <v>2.1623722951712106E-2</v>
      </c>
      <c r="U157" s="147">
        <f ca="1">INDEX(Photobiology!$21:$421,1+$H157-380,U$14)</f>
        <v>0.87154458814146729</v>
      </c>
      <c r="V157" s="147">
        <f ca="1">INDEX(Photobiology!$21:$421,1+$H157-380,V$14)</f>
        <v>0.67561959330299637</v>
      </c>
      <c r="W157" s="147">
        <f ca="1">INDEX(Photobiology!$21:$421,1+$H157-380,W$14)</f>
        <v>0.94833337220965219</v>
      </c>
      <c r="X157" s="147">
        <f ca="1">INDEX(Photobiology!$21:$421,1+$H157-380,X$14)</f>
        <v>0.72845570391724179</v>
      </c>
      <c r="Y157" s="147">
        <f t="shared" si="54"/>
        <v>1.53985173663664E-3</v>
      </c>
      <c r="Z157" s="147">
        <f t="shared" ca="1" si="68"/>
        <v>3.8400206667549873E-5</v>
      </c>
      <c r="AA157" s="147">
        <f t="shared" ca="1" si="55"/>
        <v>1.2810319168910169E-3</v>
      </c>
      <c r="AB157" s="147">
        <f t="shared" ca="1" si="56"/>
        <v>9.4725827401286869E-4</v>
      </c>
      <c r="AC157" s="147">
        <f t="shared" ca="1" si="57"/>
        <v>1.4905764810642674E-3</v>
      </c>
      <c r="AD157" s="147">
        <f t="shared" ca="1" si="58"/>
        <v>1.1837117472838447E-3</v>
      </c>
      <c r="AH157" s="147">
        <f t="shared" si="69"/>
        <v>516</v>
      </c>
      <c r="AI157" s="147">
        <f>IF($AH157&gt;$AH156,INDEX(Spectra!157:157,1,MATCH($AI$20,Spectra!$20:$20,0)),AI156)</f>
        <v>105.995</v>
      </c>
      <c r="AJ157" s="147">
        <f>((Physics!$C$9*Physics!$C$10)/(Physics!$C$11*Physics!$C$12*$AH157))^($AJ$17-$AJ$18)</f>
        <v>2.598331478013717E+18</v>
      </c>
      <c r="AK157" s="147">
        <f t="shared" si="70"/>
        <v>1</v>
      </c>
      <c r="AL157" s="147">
        <f>INDEX(Photobiology!$21:$421,1+$AH157-380,10)</f>
        <v>0.62934559999999995</v>
      </c>
      <c r="AM157" s="147">
        <f t="shared" si="71"/>
        <v>1.4686243624385895E-3</v>
      </c>
      <c r="AN157" s="147">
        <f ca="1">INDEX(Photobiology!$21:$421,1+$AH157-380,AN$14)</f>
        <v>2.4937600000000001E-2</v>
      </c>
      <c r="AO157" s="147">
        <f ca="1">INDEX(Photobiology!$21:$421,1+$AH157-380,AO$14)</f>
        <v>0.83191899999999996</v>
      </c>
      <c r="AP157" s="147">
        <f ca="1">INDEX(Photobiology!$21:$421,1+$AH157-380,AP$14)</f>
        <v>0.61516199999999999</v>
      </c>
      <c r="AQ157" s="147">
        <f ca="1">INDEX(Photobiology!$21:$421,1+$AH157-380,AQ$14)</f>
        <v>0.96799999999999997</v>
      </c>
      <c r="AR157" s="147">
        <f ca="1">INDEX(Photobiology!$21:$421,1+$AH157-380,AR$14)</f>
        <v>0.76871800000000001</v>
      </c>
      <c r="AS157" s="147">
        <f t="shared" si="72"/>
        <v>3815972910302013</v>
      </c>
      <c r="AT157" s="147">
        <f ca="1">INDEX(Photobiology!$21:$421,1+$AH157-380,AT$14)</f>
        <v>2.1623722951712106E-2</v>
      </c>
      <c r="AU157" s="147">
        <f ca="1">INDEX(Photobiology!$21:$421,1+$AH157-380,AU$14)</f>
        <v>0.87154458814146729</v>
      </c>
      <c r="AV157" s="147">
        <f ca="1">INDEX(Photobiology!$21:$421,1+$AH157-380,AV$14)</f>
        <v>0.67561959330299637</v>
      </c>
      <c r="AW157" s="147">
        <f ca="1">INDEX(Photobiology!$21:$421,1+$AH157-380,AW$14)</f>
        <v>0.94833337220965219</v>
      </c>
      <c r="AX157" s="147">
        <f ca="1">INDEX(Photobiology!$21:$421,1+$AH157-380,AX$14)</f>
        <v>0.72845570391724179</v>
      </c>
      <c r="AY157" s="147">
        <f t="shared" si="59"/>
        <v>1.4686243624385895E-3</v>
      </c>
      <c r="AZ157" s="147">
        <f t="shared" ca="1" si="73"/>
        <v>3.6623966900748572E-5</v>
      </c>
      <c r="BA157" s="147">
        <f t="shared" ca="1" si="60"/>
        <v>1.2217765109755489E-3</v>
      </c>
      <c r="BB157" s="147">
        <f t="shared" ca="1" si="61"/>
        <v>9.0344190004644758E-4</v>
      </c>
      <c r="BC157" s="147">
        <f t="shared" ca="1" si="62"/>
        <v>1.4216283828405547E-3</v>
      </c>
      <c r="BD157" s="147">
        <f t="shared" ca="1" si="63"/>
        <v>1.1289579826450676E-3</v>
      </c>
    </row>
    <row r="158" spans="8:56" s="147" customFormat="1" ht="0.25" customHeight="1" x14ac:dyDescent="0.2">
      <c r="H158" s="147">
        <f t="shared" si="64"/>
        <v>517</v>
      </c>
      <c r="I158" s="147">
        <f>IF($H158&gt;$H157,INDEX(Spectra!158:158,1,MATCH($I$20,Spectra!$20:$20,0)),I157)</f>
        <v>1.51485414350943E-3</v>
      </c>
      <c r="J158" s="147">
        <f>((Physics!$C$9*Physics!$C$10)/(Physics!$C$11*Physics!$C$12*$H158))^($J$17-$J$18)</f>
        <v>2.6033670041338988E+18</v>
      </c>
      <c r="K158" s="147">
        <f t="shared" si="65"/>
        <v>1</v>
      </c>
      <c r="L158" s="147">
        <f>INDEX(Photobiology!$21:$421,1+$H158-380,10)</f>
        <v>0.65030679999999996</v>
      </c>
      <c r="M158" s="147">
        <f t="shared" si="66"/>
        <v>1.51485414350943E-3</v>
      </c>
      <c r="N158" s="147">
        <f ca="1">INDEX(Photobiology!$21:$421,1+$H158-380,N$14)</f>
        <v>2.28931E-2</v>
      </c>
      <c r="O158" s="147">
        <f ca="1">INDEX(Photobiology!$21:$421,1+$H158-380,O$14)</f>
        <v>0.84709599999999996</v>
      </c>
      <c r="P158" s="147">
        <f ca="1">INDEX(Photobiology!$21:$421,1+$H158-380,P$14)</f>
        <v>0.63056900000000005</v>
      </c>
      <c r="Q158" s="147">
        <f ca="1">INDEX(Photobiology!$21:$421,1+$H158-380,Q$14)</f>
        <v>0.96099999999999997</v>
      </c>
      <c r="R158" s="147">
        <f ca="1">INDEX(Photobiology!$21:$421,1+$H158-380,R$14)</f>
        <v>0.751807</v>
      </c>
      <c r="S158" s="147">
        <f t="shared" si="67"/>
        <v>3943721293287968</v>
      </c>
      <c r="T158" s="147">
        <f ca="1">INDEX(Photobiology!$21:$421,1+$H158-380,T$14)</f>
        <v>1.9812513603270101E-2</v>
      </c>
      <c r="U158" s="147">
        <f ca="1">INDEX(Photobiology!$21:$421,1+$H158-380,U$14)</f>
        <v>0.88572796505150653</v>
      </c>
      <c r="V158" s="147">
        <f ca="1">INDEX(Photobiology!$21:$421,1+$H158-380,V$14)</f>
        <v>0.69120124274543659</v>
      </c>
      <c r="W158" s="147">
        <f ca="1">INDEX(Photobiology!$21:$421,1+$H158-380,W$14)</f>
        <v>0.93965455360278127</v>
      </c>
      <c r="X158" s="147">
        <f ca="1">INDEX(Photobiology!$21:$421,1+$H158-380,X$14)</f>
        <v>0.71105242416588221</v>
      </c>
      <c r="Y158" s="147">
        <f t="shared" si="54"/>
        <v>1.51485414350943E-3</v>
      </c>
      <c r="Z158" s="147">
        <f t="shared" ca="1" si="68"/>
        <v>3.4679707392775729E-5</v>
      </c>
      <c r="AA158" s="147">
        <f t="shared" ca="1" si="55"/>
        <v>1.2832268855502641E-3</v>
      </c>
      <c r="AB158" s="147">
        <f t="shared" ca="1" si="56"/>
        <v>9.5522006241859786E-4</v>
      </c>
      <c r="AC158" s="147">
        <f t="shared" ca="1" si="57"/>
        <v>1.4557748319125622E-3</v>
      </c>
      <c r="AD158" s="147">
        <f t="shared" ca="1" si="58"/>
        <v>1.138877949069394E-3</v>
      </c>
      <c r="AH158" s="147">
        <f t="shared" si="69"/>
        <v>517</v>
      </c>
      <c r="AI158" s="147">
        <f>IF($AH158&gt;$AH157,INDEX(Spectra!158:158,1,MATCH($AI$20,Spectra!$20:$20,0)),AI157)</f>
        <v>105.694</v>
      </c>
      <c r="AJ158" s="147">
        <f>((Physics!$C$9*Physics!$C$10)/(Physics!$C$11*Physics!$C$12*$AH158))^($AJ$17-$AJ$18)</f>
        <v>2.6033670041338988E+18</v>
      </c>
      <c r="AK158" s="147">
        <f t="shared" si="70"/>
        <v>1</v>
      </c>
      <c r="AL158" s="147">
        <f>INDEX(Photobiology!$21:$421,1+$AH158-380,10)</f>
        <v>0.65030679999999996</v>
      </c>
      <c r="AM158" s="147">
        <f t="shared" si="71"/>
        <v>1.4644538267237536E-3</v>
      </c>
      <c r="AN158" s="147">
        <f ca="1">INDEX(Photobiology!$21:$421,1+$AH158-380,AN$14)</f>
        <v>2.28931E-2</v>
      </c>
      <c r="AO158" s="147">
        <f ca="1">INDEX(Photobiology!$21:$421,1+$AH158-380,AO$14)</f>
        <v>0.84709599999999996</v>
      </c>
      <c r="AP158" s="147">
        <f ca="1">INDEX(Photobiology!$21:$421,1+$AH158-380,AP$14)</f>
        <v>0.63056900000000005</v>
      </c>
      <c r="AQ158" s="147">
        <f ca="1">INDEX(Photobiology!$21:$421,1+$AH158-380,AQ$14)</f>
        <v>0.96099999999999997</v>
      </c>
      <c r="AR158" s="147">
        <f ca="1">INDEX(Photobiology!$21:$421,1+$AH158-380,AR$14)</f>
        <v>0.751807</v>
      </c>
      <c r="AS158" s="147">
        <f t="shared" si="72"/>
        <v>3812510771570242</v>
      </c>
      <c r="AT158" s="147">
        <f ca="1">INDEX(Photobiology!$21:$421,1+$AH158-380,AT$14)</f>
        <v>1.9812513603270101E-2</v>
      </c>
      <c r="AU158" s="147">
        <f ca="1">INDEX(Photobiology!$21:$421,1+$AH158-380,AU$14)</f>
        <v>0.88572796505150653</v>
      </c>
      <c r="AV158" s="147">
        <f ca="1">INDEX(Photobiology!$21:$421,1+$AH158-380,AV$14)</f>
        <v>0.69120124274543659</v>
      </c>
      <c r="AW158" s="147">
        <f ca="1">INDEX(Photobiology!$21:$421,1+$AH158-380,AW$14)</f>
        <v>0.93965455360278127</v>
      </c>
      <c r="AX158" s="147">
        <f ca="1">INDEX(Photobiology!$21:$421,1+$AH158-380,AX$14)</f>
        <v>0.71105242416588221</v>
      </c>
      <c r="AY158" s="147">
        <f t="shared" si="59"/>
        <v>1.4644538267237536E-3</v>
      </c>
      <c r="AZ158" s="147">
        <f t="shared" ca="1" si="73"/>
        <v>3.3525887900569564E-5</v>
      </c>
      <c r="BA158" s="147">
        <f t="shared" ca="1" si="60"/>
        <v>1.2405329788023848E-3</v>
      </c>
      <c r="BB158" s="147">
        <f t="shared" ca="1" si="61"/>
        <v>9.2343918506337063E-4</v>
      </c>
      <c r="BC158" s="147">
        <f t="shared" ca="1" si="62"/>
        <v>1.4073401274815271E-3</v>
      </c>
      <c r="BD158" s="147">
        <f t="shared" ca="1" si="63"/>
        <v>1.1009866381077051E-3</v>
      </c>
    </row>
    <row r="159" spans="8:56" s="147" customFormat="1" ht="0.25" customHeight="1" x14ac:dyDescent="0.2">
      <c r="H159" s="147">
        <f t="shared" si="64"/>
        <v>518</v>
      </c>
      <c r="I159" s="147">
        <f>IF($H159&gt;$H158,INDEX(Spectra!159:159,1,MATCH($I$20,Spectra!$20:$20,0)),I158)</f>
        <v>1.50985462488398E-3</v>
      </c>
      <c r="J159" s="147">
        <f>((Physics!$C$9*Physics!$C$10)/(Physics!$C$11*Physics!$C$12*$H159))^($J$17-$J$18)</f>
        <v>2.60840253025408E+18</v>
      </c>
      <c r="K159" s="147">
        <f t="shared" si="65"/>
        <v>1</v>
      </c>
      <c r="L159" s="147">
        <f>INDEX(Photobiology!$21:$421,1+$H159-380,10)</f>
        <v>0.6708752</v>
      </c>
      <c r="M159" s="147">
        <f t="shared" si="66"/>
        <v>1.50985462488398E-3</v>
      </c>
      <c r="N159" s="147">
        <f ca="1">INDEX(Photobiology!$21:$421,1+$H159-380,N$14)</f>
        <v>2.09956E-2</v>
      </c>
      <c r="O159" s="147">
        <f ca="1">INDEX(Photobiology!$21:$421,1+$H159-380,O$14)</f>
        <v>0.86197199999999996</v>
      </c>
      <c r="P159" s="147">
        <f ca="1">INDEX(Photobiology!$21:$421,1+$H159-380,P$14)</f>
        <v>0.64588299999999998</v>
      </c>
      <c r="Q159" s="147">
        <f ca="1">INDEX(Photobiology!$21:$421,1+$H159-380,Q$14)</f>
        <v>0.95299999999999996</v>
      </c>
      <c r="R159" s="147">
        <f ca="1">INDEX(Photobiology!$21:$421,1+$H159-380,R$14)</f>
        <v>0.73459300000000005</v>
      </c>
      <c r="S159" s="147">
        <f t="shared" si="67"/>
        <v>3938308623863198</v>
      </c>
      <c r="T159" s="147">
        <f ca="1">INDEX(Photobiology!$21:$421,1+$H159-380,T$14)</f>
        <v>1.8135270840973727E-2</v>
      </c>
      <c r="U159" s="147">
        <f ca="1">INDEX(Photobiology!$21:$421,1+$H159-380,U$14)</f>
        <v>0.89954246031092178</v>
      </c>
      <c r="V159" s="147">
        <f ca="1">INDEX(Photobiology!$21:$421,1+$H159-380,V$14)</f>
        <v>0.70662098578183075</v>
      </c>
      <c r="W159" s="147">
        <f ca="1">INDEX(Photobiology!$21:$421,1+$H159-380,W$14)</f>
        <v>0.93003334327306231</v>
      </c>
      <c r="X159" s="147">
        <f ca="1">INDEX(Photobiology!$21:$421,1+$H159-380,X$14)</f>
        <v>0.69343031705257252</v>
      </c>
      <c r="Y159" s="147">
        <f t="shared" si="54"/>
        <v>1.50985462488398E-3</v>
      </c>
      <c r="Z159" s="147">
        <f t="shared" ca="1" si="68"/>
        <v>3.170030376221409E-5</v>
      </c>
      <c r="AA159" s="147">
        <f t="shared" ca="1" si="55"/>
        <v>1.3014524107204939E-3</v>
      </c>
      <c r="AB159" s="147">
        <f t="shared" ca="1" si="56"/>
        <v>9.7518943468393967E-4</v>
      </c>
      <c r="AC159" s="147">
        <f t="shared" ca="1" si="57"/>
        <v>1.4388914575144329E-3</v>
      </c>
      <c r="AD159" s="147">
        <f t="shared" ca="1" si="58"/>
        <v>1.1091286384573977E-3</v>
      </c>
      <c r="AH159" s="147">
        <f t="shared" si="69"/>
        <v>518</v>
      </c>
      <c r="AI159" s="147">
        <f>IF($AH159&gt;$AH158,INDEX(Spectra!159:159,1,MATCH($AI$20,Spectra!$20:$20,0)),AI158)</f>
        <v>105.392</v>
      </c>
      <c r="AJ159" s="147">
        <f>((Physics!$C$9*Physics!$C$10)/(Physics!$C$11*Physics!$C$12*$AH159))^($AJ$17-$AJ$18)</f>
        <v>2.60840253025408E+18</v>
      </c>
      <c r="AK159" s="147">
        <f t="shared" si="70"/>
        <v>1</v>
      </c>
      <c r="AL159" s="147">
        <f>INDEX(Photobiology!$21:$421,1+$AH159-380,10)</f>
        <v>0.6708752</v>
      </c>
      <c r="AM159" s="147">
        <f t="shared" si="71"/>
        <v>1.4602694354085364E-3</v>
      </c>
      <c r="AN159" s="147">
        <f ca="1">INDEX(Photobiology!$21:$421,1+$AH159-380,AN$14)</f>
        <v>2.09956E-2</v>
      </c>
      <c r="AO159" s="147">
        <f ca="1">INDEX(Photobiology!$21:$421,1+$AH159-380,AO$14)</f>
        <v>0.86197199999999996</v>
      </c>
      <c r="AP159" s="147">
        <f ca="1">INDEX(Photobiology!$21:$421,1+$AH159-380,AP$14)</f>
        <v>0.64588299999999998</v>
      </c>
      <c r="AQ159" s="147">
        <f ca="1">INDEX(Photobiology!$21:$421,1+$AH159-380,AQ$14)</f>
        <v>0.95299999999999996</v>
      </c>
      <c r="AR159" s="147">
        <f ca="1">INDEX(Photobiology!$21:$421,1+$AH159-380,AR$14)</f>
        <v>0.73459300000000005</v>
      </c>
      <c r="AS159" s="147">
        <f t="shared" si="72"/>
        <v>3808970490172323</v>
      </c>
      <c r="AT159" s="147">
        <f ca="1">INDEX(Photobiology!$21:$421,1+$AH159-380,AT$14)</f>
        <v>1.8135270840973727E-2</v>
      </c>
      <c r="AU159" s="147">
        <f ca="1">INDEX(Photobiology!$21:$421,1+$AH159-380,AU$14)</f>
        <v>0.89954246031092178</v>
      </c>
      <c r="AV159" s="147">
        <f ca="1">INDEX(Photobiology!$21:$421,1+$AH159-380,AV$14)</f>
        <v>0.70662098578183075</v>
      </c>
      <c r="AW159" s="147">
        <f ca="1">INDEX(Photobiology!$21:$421,1+$AH159-380,AW$14)</f>
        <v>0.93003334327306231</v>
      </c>
      <c r="AX159" s="147">
        <f ca="1">INDEX(Photobiology!$21:$421,1+$AH159-380,AX$14)</f>
        <v>0.69343031705257252</v>
      </c>
      <c r="AY159" s="147">
        <f t="shared" si="59"/>
        <v>1.4602694354085364E-3</v>
      </c>
      <c r="AZ159" s="147">
        <f t="shared" ca="1" si="73"/>
        <v>3.065923295806347E-5</v>
      </c>
      <c r="BA159" s="147">
        <f t="shared" ca="1" si="60"/>
        <v>1.258711365777967E-3</v>
      </c>
      <c r="BB159" s="147">
        <f t="shared" ca="1" si="61"/>
        <v>9.4316320374997166E-4</v>
      </c>
      <c r="BC159" s="147">
        <f t="shared" ca="1" si="62"/>
        <v>1.3916367719443352E-3</v>
      </c>
      <c r="BD159" s="147">
        <f t="shared" ca="1" si="63"/>
        <v>1.0727037053650632E-3</v>
      </c>
    </row>
    <row r="160" spans="8:56" s="147" customFormat="1" ht="0.25" customHeight="1" x14ac:dyDescent="0.2">
      <c r="H160" s="147">
        <f t="shared" si="64"/>
        <v>519</v>
      </c>
      <c r="I160" s="147">
        <f>IF($H160&gt;$H159,INDEX(Spectra!160:160,1,MATCH($I$20,Spectra!$20:$20,0)),I159)</f>
        <v>1.52485318076031E-3</v>
      </c>
      <c r="J160" s="147">
        <f>((Physics!$C$9*Physics!$C$10)/(Physics!$C$11*Physics!$C$12*$H160))^($J$17-$J$18)</f>
        <v>2.6134380563742618E+18</v>
      </c>
      <c r="K160" s="147">
        <f t="shared" si="65"/>
        <v>1</v>
      </c>
      <c r="L160" s="147">
        <f>INDEX(Photobiology!$21:$421,1+$H160-380,10)</f>
        <v>0.69084239999999997</v>
      </c>
      <c r="M160" s="147">
        <f t="shared" si="66"/>
        <v>1.52485318076031E-3</v>
      </c>
      <c r="N160" s="147">
        <f ca="1">INDEX(Photobiology!$21:$421,1+$H160-380,N$14)</f>
        <v>1.9242700000000001E-2</v>
      </c>
      <c r="O160" s="147">
        <f ca="1">INDEX(Photobiology!$21:$421,1+$H160-380,O$14)</f>
        <v>0.87615200000000004</v>
      </c>
      <c r="P160" s="147">
        <f ca="1">INDEX(Photobiology!$21:$421,1+$H160-380,P$14)</f>
        <v>0.66088000000000002</v>
      </c>
      <c r="Q160" s="147">
        <f ca="1">INDEX(Photobiology!$21:$421,1+$H160-380,Q$14)</f>
        <v>0.94399999999999995</v>
      </c>
      <c r="R160" s="147">
        <f ca="1">INDEX(Photobiology!$21:$421,1+$H160-380,R$14)</f>
        <v>0.71716899999999995</v>
      </c>
      <c r="S160" s="147">
        <f t="shared" si="67"/>
        <v>3985109332982335.5</v>
      </c>
      <c r="T160" s="147">
        <f ca="1">INDEX(Photobiology!$21:$421,1+$H160-380,T$14)</f>
        <v>1.6589151249050721E-2</v>
      </c>
      <c r="U160" s="147">
        <f ca="1">INDEX(Photobiology!$21:$421,1+$H160-380,U$14)</f>
        <v>0.91257878371400991</v>
      </c>
      <c r="V160" s="147">
        <f ca="1">INDEX(Photobiology!$21:$421,1+$H160-380,V$14)</f>
        <v>0.72163516580893394</v>
      </c>
      <c r="W160" s="147">
        <f ca="1">INDEX(Photobiology!$21:$421,1+$H160-380,W$14)</f>
        <v>0.91947518857149479</v>
      </c>
      <c r="X160" s="147">
        <f ca="1">INDEX(Photobiology!$21:$421,1+$H160-380,X$14)</f>
        <v>0.67567826710035672</v>
      </c>
      <c r="Y160" s="147">
        <f t="shared" si="54"/>
        <v>1.52485318076031E-3</v>
      </c>
      <c r="Z160" s="147">
        <f t="shared" ca="1" si="68"/>
        <v>2.934229230141642E-5</v>
      </c>
      <c r="AA160" s="147">
        <f t="shared" ca="1" si="55"/>
        <v>1.3360031640295071E-3</v>
      </c>
      <c r="AB160" s="147">
        <f t="shared" ca="1" si="56"/>
        <v>1.0077449701008736E-3</v>
      </c>
      <c r="AC160" s="147">
        <f t="shared" ca="1" si="57"/>
        <v>1.4394614026377326E-3</v>
      </c>
      <c r="AD160" s="147">
        <f t="shared" ca="1" si="58"/>
        <v>1.0935774307926907E-3</v>
      </c>
      <c r="AH160" s="147">
        <f t="shared" si="69"/>
        <v>519</v>
      </c>
      <c r="AI160" s="147">
        <f>IF($AH160&gt;$AH159,INDEX(Spectra!160:160,1,MATCH($AI$20,Spectra!$20:$20,0)),AI159)</f>
        <v>105.09099999999999</v>
      </c>
      <c r="AJ160" s="147">
        <f>((Physics!$C$9*Physics!$C$10)/(Physics!$C$11*Physics!$C$12*$AH160))^($AJ$17-$AJ$18)</f>
        <v>2.6134380563742618E+18</v>
      </c>
      <c r="AK160" s="147">
        <f t="shared" si="70"/>
        <v>1</v>
      </c>
      <c r="AL160" s="147">
        <f>INDEX(Photobiology!$21:$421,1+$AH160-380,10)</f>
        <v>0.69084239999999997</v>
      </c>
      <c r="AM160" s="147">
        <f t="shared" si="71"/>
        <v>1.4560988996937005E-3</v>
      </c>
      <c r="AN160" s="147">
        <f ca="1">INDEX(Photobiology!$21:$421,1+$AH160-380,AN$14)</f>
        <v>1.9242700000000001E-2</v>
      </c>
      <c r="AO160" s="147">
        <f ca="1">INDEX(Photobiology!$21:$421,1+$AH160-380,AO$14)</f>
        <v>0.87615200000000004</v>
      </c>
      <c r="AP160" s="147">
        <f ca="1">INDEX(Photobiology!$21:$421,1+$AH160-380,AP$14)</f>
        <v>0.66088000000000002</v>
      </c>
      <c r="AQ160" s="147">
        <f ca="1">INDEX(Photobiology!$21:$421,1+$AH160-380,AQ$14)</f>
        <v>0.94399999999999995</v>
      </c>
      <c r="AR160" s="147">
        <f ca="1">INDEX(Photobiology!$21:$421,1+$AH160-380,AR$14)</f>
        <v>0.71716899999999995</v>
      </c>
      <c r="AS160" s="147">
        <f t="shared" si="72"/>
        <v>3805424278304205.5</v>
      </c>
      <c r="AT160" s="147">
        <f ca="1">INDEX(Photobiology!$21:$421,1+$AH160-380,AT$14)</f>
        <v>1.6589151249050721E-2</v>
      </c>
      <c r="AU160" s="147">
        <f ca="1">INDEX(Photobiology!$21:$421,1+$AH160-380,AU$14)</f>
        <v>0.91257878371400991</v>
      </c>
      <c r="AV160" s="147">
        <f ca="1">INDEX(Photobiology!$21:$421,1+$AH160-380,AV$14)</f>
        <v>0.72163516580893394</v>
      </c>
      <c r="AW160" s="147">
        <f ca="1">INDEX(Photobiology!$21:$421,1+$AH160-380,AW$14)</f>
        <v>0.91947518857149479</v>
      </c>
      <c r="AX160" s="147">
        <f ca="1">INDEX(Photobiology!$21:$421,1+$AH160-380,AX$14)</f>
        <v>0.67567826710035672</v>
      </c>
      <c r="AY160" s="147">
        <f t="shared" si="59"/>
        <v>1.4560988996937005E-3</v>
      </c>
      <c r="AZ160" s="147">
        <f t="shared" ca="1" si="73"/>
        <v>2.8019274297135973E-5</v>
      </c>
      <c r="BA160" s="147">
        <f t="shared" ca="1" si="60"/>
        <v>1.2757639631644352E-3</v>
      </c>
      <c r="BB160" s="147">
        <f t="shared" ca="1" si="61"/>
        <v>9.623066408295728E-4</v>
      </c>
      <c r="BC160" s="147">
        <f t="shared" ca="1" si="62"/>
        <v>1.3745573613108532E-3</v>
      </c>
      <c r="BD160" s="147">
        <f t="shared" ca="1" si="63"/>
        <v>1.0442689917944314E-3</v>
      </c>
    </row>
    <row r="161" spans="8:56" s="147" customFormat="1" ht="0.25" customHeight="1" x14ac:dyDescent="0.2">
      <c r="H161" s="147">
        <f t="shared" si="64"/>
        <v>520</v>
      </c>
      <c r="I161" s="147">
        <f>IF($H161&gt;$H160,INDEX(Spectra!161:161,1,MATCH($I$20,Spectra!$20:$20,0)),I160)</f>
        <v>1.54485125526209E-3</v>
      </c>
      <c r="J161" s="147">
        <f>((Physics!$C$9*Physics!$C$10)/(Physics!$C$11*Physics!$C$12*$H161))^($J$17-$J$18)</f>
        <v>2.618473582494444E+18</v>
      </c>
      <c r="K161" s="147">
        <f t="shared" si="65"/>
        <v>1</v>
      </c>
      <c r="L161" s="147">
        <f>INDEX(Photobiology!$21:$421,1+$H161-380,10)</f>
        <v>0.71</v>
      </c>
      <c r="M161" s="147">
        <f t="shared" si="66"/>
        <v>1.54485125526209E-3</v>
      </c>
      <c r="N161" s="147">
        <f ca="1">INDEX(Photobiology!$21:$421,1+$H161-380,N$14)</f>
        <v>1.7629800000000001E-2</v>
      </c>
      <c r="O161" s="147">
        <f ca="1">INDEX(Photobiology!$21:$421,1+$H161-380,O$14)</f>
        <v>0.88921399999999995</v>
      </c>
      <c r="P161" s="147">
        <f ca="1">INDEX(Photobiology!$21:$421,1+$H161-380,P$14)</f>
        <v>0.67531300000000005</v>
      </c>
      <c r="Q161" s="147">
        <f ca="1">INDEX(Photobiology!$21:$421,1+$H161-380,Q$14)</f>
        <v>0.93500000000000005</v>
      </c>
      <c r="R161" s="147">
        <f ca="1">INDEX(Photobiology!$21:$421,1+$H161-380,R$14)</f>
        <v>0.69962800000000003</v>
      </c>
      <c r="S161" s="147">
        <f t="shared" si="67"/>
        <v>4045152200787163.5</v>
      </c>
      <c r="T161" s="147">
        <f ca="1">INDEX(Photobiology!$21:$421,1+$H161-380,T$14)</f>
        <v>1.5169440309269828E-2</v>
      </c>
      <c r="U161" s="147">
        <f ca="1">INDEX(Photobiology!$21:$421,1+$H161-380,U$14)</f>
        <v>0.92440272497453624</v>
      </c>
      <c r="V161" s="147">
        <f ca="1">INDEX(Photobiology!$21:$421,1+$H161-380,V$14)</f>
        <v>0.73597693439573264</v>
      </c>
      <c r="W161" s="147">
        <f ca="1">INDEX(Photobiology!$21:$421,1+$H161-380,W$14)</f>
        <v>0.90895764215724095</v>
      </c>
      <c r="X161" s="147">
        <f ca="1">INDEX(Photobiology!$21:$421,1+$H161-380,X$14)</f>
        <v>0.65788447510517867</v>
      </c>
      <c r="Y161" s="147">
        <f t="shared" si="54"/>
        <v>1.54485125526209E-3</v>
      </c>
      <c r="Z161" s="147">
        <f t="shared" ca="1" si="68"/>
        <v>2.7235418660019595E-5</v>
      </c>
      <c r="AA161" s="147">
        <f t="shared" ca="1" si="55"/>
        <v>1.3737033640966239E-3</v>
      </c>
      <c r="AB161" s="147">
        <f t="shared" ca="1" si="56"/>
        <v>1.0432581357448078E-3</v>
      </c>
      <c r="AC161" s="147">
        <f t="shared" ca="1" si="57"/>
        <v>1.4444359236700543E-3</v>
      </c>
      <c r="AD161" s="147">
        <f t="shared" ca="1" si="58"/>
        <v>1.0808211940165056E-3</v>
      </c>
      <c r="AH161" s="147">
        <f t="shared" si="69"/>
        <v>520</v>
      </c>
      <c r="AI161" s="147">
        <f>IF($AH161&gt;$AH160,INDEX(Spectra!161:161,1,MATCH($AI$20,Spectra!$20:$20,0)),AI160)</f>
        <v>104.79</v>
      </c>
      <c r="AJ161" s="147">
        <f>((Physics!$C$9*Physics!$C$10)/(Physics!$C$11*Physics!$C$12*$AH161))^($AJ$17-$AJ$18)</f>
        <v>2.618473582494444E+18</v>
      </c>
      <c r="AK161" s="147">
        <f t="shared" si="70"/>
        <v>1</v>
      </c>
      <c r="AL161" s="147">
        <f>INDEX(Photobiology!$21:$421,1+$AH161-380,10)</f>
        <v>0.71</v>
      </c>
      <c r="AM161" s="147">
        <f t="shared" si="71"/>
        <v>1.451928363978865E-3</v>
      </c>
      <c r="AN161" s="147">
        <f ca="1">INDEX(Photobiology!$21:$421,1+$AH161-380,AN$14)</f>
        <v>1.7629800000000001E-2</v>
      </c>
      <c r="AO161" s="147">
        <f ca="1">INDEX(Photobiology!$21:$421,1+$AH161-380,AO$14)</f>
        <v>0.88921399999999995</v>
      </c>
      <c r="AP161" s="147">
        <f ca="1">INDEX(Photobiology!$21:$421,1+$AH161-380,AP$14)</f>
        <v>0.67531300000000005</v>
      </c>
      <c r="AQ161" s="147">
        <f ca="1">INDEX(Photobiology!$21:$421,1+$AH161-380,AQ$14)</f>
        <v>0.93500000000000005</v>
      </c>
      <c r="AR161" s="147">
        <f ca="1">INDEX(Photobiology!$21:$421,1+$AH161-380,AR$14)</f>
        <v>0.69962800000000003</v>
      </c>
      <c r="AS161" s="147">
        <f t="shared" si="72"/>
        <v>3801836064753035.5</v>
      </c>
      <c r="AT161" s="147">
        <f ca="1">INDEX(Photobiology!$21:$421,1+$AH161-380,AT$14)</f>
        <v>1.5169440309269828E-2</v>
      </c>
      <c r="AU161" s="147">
        <f ca="1">INDEX(Photobiology!$21:$421,1+$AH161-380,AU$14)</f>
        <v>0.92440272497453624</v>
      </c>
      <c r="AV161" s="147">
        <f ca="1">INDEX(Photobiology!$21:$421,1+$AH161-380,AV$14)</f>
        <v>0.73597693439573264</v>
      </c>
      <c r="AW161" s="147">
        <f ca="1">INDEX(Photobiology!$21:$421,1+$AH161-380,AW$14)</f>
        <v>0.90895764215724095</v>
      </c>
      <c r="AX161" s="147">
        <f ca="1">INDEX(Photobiology!$21:$421,1+$AH161-380,AX$14)</f>
        <v>0.65788447510517867</v>
      </c>
      <c r="AY161" s="147">
        <f t="shared" si="59"/>
        <v>1.451928363978865E-3</v>
      </c>
      <c r="AZ161" s="147">
        <f t="shared" ca="1" si="73"/>
        <v>2.5597206671274596E-5</v>
      </c>
      <c r="BA161" s="147">
        <f t="shared" ca="1" si="60"/>
        <v>1.2910750282471024E-3</v>
      </c>
      <c r="BB161" s="147">
        <f t="shared" ca="1" si="61"/>
        <v>9.8050609926365927E-4</v>
      </c>
      <c r="BC161" s="147">
        <f t="shared" ca="1" si="62"/>
        <v>1.3575530203202388E-3</v>
      </c>
      <c r="BD161" s="147">
        <f t="shared" ca="1" si="63"/>
        <v>1.0158097374338053E-3</v>
      </c>
    </row>
    <row r="162" spans="8:56" s="147" customFormat="1" ht="0.25" customHeight="1" x14ac:dyDescent="0.2">
      <c r="H162" s="147">
        <f t="shared" si="64"/>
        <v>521</v>
      </c>
      <c r="I162" s="147">
        <f>IF($H162&gt;$H161,INDEX(Spectra!162:162,1,MATCH($I$20,Spectra!$20:$20,0)),I161)</f>
        <v>1.55984981113842E-3</v>
      </c>
      <c r="J162" s="147">
        <f>((Physics!$C$9*Physics!$C$10)/(Physics!$C$11*Physics!$C$12*$H162))^($J$17-$J$18)</f>
        <v>2.6235091086146253E+18</v>
      </c>
      <c r="K162" s="147">
        <f t="shared" si="65"/>
        <v>1</v>
      </c>
      <c r="L162" s="147">
        <f>INDEX(Photobiology!$21:$421,1+$H162-380,10)</f>
        <v>0.72818519999999998</v>
      </c>
      <c r="M162" s="147">
        <f t="shared" si="66"/>
        <v>1.55984981113842E-3</v>
      </c>
      <c r="N162" s="147">
        <f ca="1">INDEX(Photobiology!$21:$421,1+$H162-380,N$14)</f>
        <v>1.6150100000000001E-2</v>
      </c>
      <c r="O162" s="147">
        <f ca="1">INDEX(Photobiology!$21:$421,1+$H162-380,O$14)</f>
        <v>0.90081199999999995</v>
      </c>
      <c r="P162" s="147">
        <f ca="1">INDEX(Photobiology!$21:$421,1+$H162-380,P$14)</f>
        <v>0.688975</v>
      </c>
      <c r="Q162" s="147">
        <f ca="1">INDEX(Photobiology!$21:$421,1+$H162-380,Q$14)</f>
        <v>0.92500000000000004</v>
      </c>
      <c r="R162" s="147">
        <f ca="1">INDEX(Photobiology!$21:$421,1+$H162-380,R$14)</f>
        <v>0.68188800000000005</v>
      </c>
      <c r="S162" s="147">
        <f t="shared" si="67"/>
        <v>4092280187592448</v>
      </c>
      <c r="T162" s="147">
        <f ca="1">INDEX(Photobiology!$21:$421,1+$H162-380,T$14)</f>
        <v>1.3869570357778234E-2</v>
      </c>
      <c r="U162" s="147">
        <f ca="1">INDEX(Photobiology!$21:$421,1+$H162-380,U$14)</f>
        <v>0.93466226336452707</v>
      </c>
      <c r="V162" s="147">
        <f ca="1">INDEX(Photobiology!$21:$421,1+$H162-380,V$14)</f>
        <v>0.74942500141295387</v>
      </c>
      <c r="W162" s="147">
        <f ca="1">INDEX(Photobiology!$21:$421,1+$H162-380,W$14)</f>
        <v>0.89751018891607648</v>
      </c>
      <c r="X162" s="147">
        <f ca="1">INDEX(Photobiology!$21:$421,1+$H162-380,X$14)</f>
        <v>0.63997222197904213</v>
      </c>
      <c r="Y162" s="147">
        <f t="shared" si="54"/>
        <v>1.55984981113842E-3</v>
      </c>
      <c r="Z162" s="147">
        <f t="shared" ca="1" si="68"/>
        <v>2.5191730434866597E-5</v>
      </c>
      <c r="AA162" s="147">
        <f t="shared" ca="1" si="55"/>
        <v>1.4051314280712224E-3</v>
      </c>
      <c r="AB162" s="147">
        <f t="shared" ca="1" si="56"/>
        <v>1.0746975236290929E-3</v>
      </c>
      <c r="AC162" s="147">
        <f t="shared" ca="1" si="57"/>
        <v>1.4428610753030385E-3</v>
      </c>
      <c r="AD162" s="147">
        <f t="shared" ca="1" si="58"/>
        <v>1.063642868017555E-3</v>
      </c>
      <c r="AH162" s="147">
        <f t="shared" si="69"/>
        <v>521</v>
      </c>
      <c r="AI162" s="147">
        <f>IF($AH162&gt;$AH161,INDEX(Spectra!162:162,1,MATCH($AI$20,Spectra!$20:$20,0)),AI161)</f>
        <v>105.08</v>
      </c>
      <c r="AJ162" s="147">
        <f>((Physics!$C$9*Physics!$C$10)/(Physics!$C$11*Physics!$C$12*$AH162))^($AJ$17-$AJ$18)</f>
        <v>2.6235091086146253E+18</v>
      </c>
      <c r="AK162" s="147">
        <f t="shared" si="70"/>
        <v>1</v>
      </c>
      <c r="AL162" s="147">
        <f>INDEX(Photobiology!$21:$421,1+$AH162-380,10)</f>
        <v>0.72818519999999998</v>
      </c>
      <c r="AM162" s="147">
        <f t="shared" si="71"/>
        <v>1.455946488089504E-3</v>
      </c>
      <c r="AN162" s="147">
        <f ca="1">INDEX(Photobiology!$21:$421,1+$AH162-380,AN$14)</f>
        <v>1.6150100000000001E-2</v>
      </c>
      <c r="AO162" s="147">
        <f ca="1">INDEX(Photobiology!$21:$421,1+$AH162-380,AO$14)</f>
        <v>0.90081199999999995</v>
      </c>
      <c r="AP162" s="147">
        <f ca="1">INDEX(Photobiology!$21:$421,1+$AH162-380,AP$14)</f>
        <v>0.688975</v>
      </c>
      <c r="AQ162" s="147">
        <f ca="1">INDEX(Photobiology!$21:$421,1+$AH162-380,AQ$14)</f>
        <v>0.92500000000000004</v>
      </c>
      <c r="AR162" s="147">
        <f ca="1">INDEX(Photobiology!$21:$421,1+$AH162-380,AR$14)</f>
        <v>0.68188800000000005</v>
      </c>
      <c r="AS162" s="147">
        <f t="shared" si="72"/>
        <v>3819688873158289</v>
      </c>
      <c r="AT162" s="147">
        <f ca="1">INDEX(Photobiology!$21:$421,1+$AH162-380,AT$14)</f>
        <v>1.3869570357778234E-2</v>
      </c>
      <c r="AU162" s="147">
        <f ca="1">INDEX(Photobiology!$21:$421,1+$AH162-380,AU$14)</f>
        <v>0.93466226336452707</v>
      </c>
      <c r="AV162" s="147">
        <f ca="1">INDEX(Photobiology!$21:$421,1+$AH162-380,AV$14)</f>
        <v>0.74942500141295387</v>
      </c>
      <c r="AW162" s="147">
        <f ca="1">INDEX(Photobiology!$21:$421,1+$AH162-380,AW$14)</f>
        <v>0.89751018891607648</v>
      </c>
      <c r="AX162" s="147">
        <f ca="1">INDEX(Photobiology!$21:$421,1+$AH162-380,AX$14)</f>
        <v>0.63997222197904213</v>
      </c>
      <c r="AY162" s="147">
        <f t="shared" si="59"/>
        <v>1.455946488089504E-3</v>
      </c>
      <c r="AZ162" s="147">
        <f t="shared" ca="1" si="73"/>
        <v>2.3513681377294299E-5</v>
      </c>
      <c r="BA162" s="147">
        <f t="shared" ca="1" si="60"/>
        <v>1.3115340678288821E-3</v>
      </c>
      <c r="BB162" s="147">
        <f t="shared" ca="1" si="61"/>
        <v>1.0031107316314661E-3</v>
      </c>
      <c r="BC162" s="147">
        <f t="shared" ca="1" si="62"/>
        <v>1.3467505014827913E-3</v>
      </c>
      <c r="BD162" s="147">
        <f t="shared" ca="1" si="63"/>
        <v>9.9279243887037574E-4</v>
      </c>
    </row>
    <row r="163" spans="8:56" s="147" customFormat="1" ht="0.25" customHeight="1" x14ac:dyDescent="0.2">
      <c r="H163" s="147">
        <f t="shared" si="64"/>
        <v>522</v>
      </c>
      <c r="I163" s="147">
        <f>IF($H163&gt;$H162,INDEX(Spectra!163:163,1,MATCH($I$20,Spectra!$20:$20,0)),I162)</f>
        <v>1.56984884838931E-3</v>
      </c>
      <c r="J163" s="147">
        <f>((Physics!$C$9*Physics!$C$10)/(Physics!$C$11*Physics!$C$12*$H163))^($J$17-$J$18)</f>
        <v>2.628544634734807E+18</v>
      </c>
      <c r="K163" s="147">
        <f t="shared" si="65"/>
        <v>1</v>
      </c>
      <c r="L163" s="147">
        <f>INDEX(Photobiology!$21:$421,1+$H163-380,10)</f>
        <v>0.7454636</v>
      </c>
      <c r="M163" s="147">
        <f t="shared" si="66"/>
        <v>1.56984884838931E-3</v>
      </c>
      <c r="N163" s="147">
        <f ca="1">INDEX(Photobiology!$21:$421,1+$H163-380,N$14)</f>
        <v>1.47911E-2</v>
      </c>
      <c r="O163" s="147">
        <f ca="1">INDEX(Photobiology!$21:$421,1+$H163-380,O$14)</f>
        <v>0.91100599999999998</v>
      </c>
      <c r="P163" s="147">
        <f ca="1">INDEX(Photobiology!$21:$421,1+$H163-380,P$14)</f>
        <v>0.70188600000000001</v>
      </c>
      <c r="Q163" s="147">
        <f ca="1">INDEX(Photobiology!$21:$421,1+$H163-380,Q$14)</f>
        <v>0.91500000000000004</v>
      </c>
      <c r="R163" s="147">
        <f ca="1">INDEX(Photobiology!$21:$421,1+$H163-380,R$14)</f>
        <v>0.66388100000000005</v>
      </c>
      <c r="S163" s="147">
        <f t="shared" si="67"/>
        <v>4126417767778336</v>
      </c>
      <c r="T163" s="147">
        <f ca="1">INDEX(Photobiology!$21:$421,1+$H163-380,T$14)</f>
        <v>1.2678138323089802E-2</v>
      </c>
      <c r="U163" s="147">
        <f ca="1">INDEX(Photobiology!$21:$421,1+$H163-380,U$14)</f>
        <v>0.94342852509332475</v>
      </c>
      <c r="V163" s="147">
        <f ca="1">INDEX(Photobiology!$21:$421,1+$H163-380,V$14)</f>
        <v>0.76200621618138287</v>
      </c>
      <c r="W163" s="147">
        <f ca="1">INDEX(Photobiology!$21:$421,1+$H163-380,W$14)</f>
        <v>0.88610659564901595</v>
      </c>
      <c r="X163" s="147">
        <f ca="1">INDEX(Photobiology!$21:$421,1+$H163-380,X$14)</f>
        <v>0.6218784907658661</v>
      </c>
      <c r="Y163" s="147">
        <f t="shared" si="54"/>
        <v>1.56984884838931E-3</v>
      </c>
      <c r="Z163" s="147">
        <f t="shared" ca="1" si="68"/>
        <v>2.3219791301411121E-5</v>
      </c>
      <c r="AA163" s="147">
        <f t="shared" ca="1" si="55"/>
        <v>1.4301417199757518E-3</v>
      </c>
      <c r="AB163" s="147">
        <f t="shared" ca="1" si="56"/>
        <v>1.1018549288005792E-3</v>
      </c>
      <c r="AC163" s="147">
        <f t="shared" ca="1" si="57"/>
        <v>1.4364116962762186E-3</v>
      </c>
      <c r="AD163" s="147">
        <f t="shared" ca="1" si="58"/>
        <v>1.0421928233175436E-3</v>
      </c>
      <c r="AH163" s="147">
        <f t="shared" si="69"/>
        <v>522</v>
      </c>
      <c r="AI163" s="147">
        <f>IF($AH163&gt;$AH162,INDEX(Spectra!163:163,1,MATCH($AI$20,Spectra!$20:$20,0)),AI162)</f>
        <v>105.37</v>
      </c>
      <c r="AJ163" s="147">
        <f>((Physics!$C$9*Physics!$C$10)/(Physics!$C$11*Physics!$C$12*$AH163))^($AJ$17-$AJ$18)</f>
        <v>2.628544634734807E+18</v>
      </c>
      <c r="AK163" s="147">
        <f t="shared" si="70"/>
        <v>1</v>
      </c>
      <c r="AL163" s="147">
        <f>INDEX(Photobiology!$21:$421,1+$AH163-380,10)</f>
        <v>0.7454636</v>
      </c>
      <c r="AM163" s="147">
        <f t="shared" si="71"/>
        <v>1.459964612200143E-3</v>
      </c>
      <c r="AN163" s="147">
        <f ca="1">INDEX(Photobiology!$21:$421,1+$AH163-380,AN$14)</f>
        <v>1.47911E-2</v>
      </c>
      <c r="AO163" s="147">
        <f ca="1">INDEX(Photobiology!$21:$421,1+$AH163-380,AO$14)</f>
        <v>0.91100599999999998</v>
      </c>
      <c r="AP163" s="147">
        <f ca="1">INDEX(Photobiology!$21:$421,1+$AH163-380,AP$14)</f>
        <v>0.70188600000000001</v>
      </c>
      <c r="AQ163" s="147">
        <f ca="1">INDEX(Photobiology!$21:$421,1+$AH163-380,AQ$14)</f>
        <v>0.91500000000000004</v>
      </c>
      <c r="AR163" s="147">
        <f ca="1">INDEX(Photobiology!$21:$421,1+$AH163-380,AR$14)</f>
        <v>0.66388100000000005</v>
      </c>
      <c r="AS163" s="147">
        <f t="shared" si="72"/>
        <v>3837582148301369</v>
      </c>
      <c r="AT163" s="147">
        <f ca="1">INDEX(Photobiology!$21:$421,1+$AH163-380,AT$14)</f>
        <v>1.2678138323089802E-2</v>
      </c>
      <c r="AU163" s="147">
        <f ca="1">INDEX(Photobiology!$21:$421,1+$AH163-380,AU$14)</f>
        <v>0.94342852509332475</v>
      </c>
      <c r="AV163" s="147">
        <f ca="1">INDEX(Photobiology!$21:$421,1+$AH163-380,AV$14)</f>
        <v>0.76200621618138287</v>
      </c>
      <c r="AW163" s="147">
        <f ca="1">INDEX(Photobiology!$21:$421,1+$AH163-380,AW$14)</f>
        <v>0.88610659564901595</v>
      </c>
      <c r="AX163" s="147">
        <f ca="1">INDEX(Photobiology!$21:$421,1+$AH163-380,AX$14)</f>
        <v>0.6218784907658661</v>
      </c>
      <c r="AY163" s="147">
        <f t="shared" si="59"/>
        <v>1.459964612200143E-3</v>
      </c>
      <c r="AZ163" s="147">
        <f t="shared" ca="1" si="73"/>
        <v>2.1594482575513536E-5</v>
      </c>
      <c r="BA163" s="147">
        <f t="shared" ca="1" si="60"/>
        <v>1.3300365215020034E-3</v>
      </c>
      <c r="BB163" s="147">
        <f t="shared" ca="1" si="61"/>
        <v>1.0247287217987097E-3</v>
      </c>
      <c r="BC163" s="147">
        <f t="shared" ca="1" si="62"/>
        <v>1.3358676201631308E-3</v>
      </c>
      <c r="BD163" s="147">
        <f t="shared" ca="1" si="63"/>
        <v>9.6924276671204318E-4</v>
      </c>
    </row>
    <row r="164" spans="8:56" s="147" customFormat="1" ht="0.25" customHeight="1" x14ac:dyDescent="0.2">
      <c r="H164" s="147">
        <f t="shared" si="64"/>
        <v>523</v>
      </c>
      <c r="I164" s="147">
        <f>IF($H164&gt;$H163,INDEX(Spectra!164:164,1,MATCH($I$20,Spectra!$20:$20,0)),I163)</f>
        <v>1.57484836701475E-3</v>
      </c>
      <c r="J164" s="147">
        <f>((Physics!$C$9*Physics!$C$10)/(Physics!$C$11*Physics!$C$12*$H164))^($J$17-$J$18)</f>
        <v>2.6335801608549888E+18</v>
      </c>
      <c r="K164" s="147">
        <f t="shared" si="65"/>
        <v>1</v>
      </c>
      <c r="L164" s="147">
        <f>INDEX(Photobiology!$21:$421,1+$H164-380,10)</f>
        <v>0.76196940000000002</v>
      </c>
      <c r="M164" s="147">
        <f t="shared" si="66"/>
        <v>1.57484836701475E-3</v>
      </c>
      <c r="N164" s="147">
        <f ca="1">INDEX(Photobiology!$21:$421,1+$H164-380,N$14)</f>
        <v>1.3540699999999999E-2</v>
      </c>
      <c r="O164" s="147">
        <f ca="1">INDEX(Photobiology!$21:$421,1+$H164-380,O$14)</f>
        <v>0.91996800000000001</v>
      </c>
      <c r="P164" s="147">
        <f ca="1">INDEX(Photobiology!$21:$421,1+$H164-380,P$14)</f>
        <v>0.71414</v>
      </c>
      <c r="Q164" s="147">
        <f ca="1">INDEX(Photobiology!$21:$421,1+$H164-380,Q$14)</f>
        <v>0.90400000000000003</v>
      </c>
      <c r="R164" s="147">
        <f ca="1">INDEX(Photobiology!$21:$421,1+$H164-380,R$14)</f>
        <v>0.64572399999999996</v>
      </c>
      <c r="S164" s="147">
        <f t="shared" si="67"/>
        <v>4147489415724921.5</v>
      </c>
      <c r="T164" s="147">
        <f ca="1">INDEX(Photobiology!$21:$421,1+$H164-380,T$14)</f>
        <v>1.1584170549506485E-2</v>
      </c>
      <c r="U164" s="147">
        <f ca="1">INDEX(Photobiology!$21:$421,1+$H164-380,U$14)</f>
        <v>0.95088785667136289</v>
      </c>
      <c r="V164" s="147">
        <f ca="1">INDEX(Photobiology!$21:$421,1+$H164-380,V$14)</f>
        <v>0.77382740755040869</v>
      </c>
      <c r="W164" s="147">
        <f ca="1">INDEX(Photobiology!$21:$421,1+$H164-380,W$14)</f>
        <v>0.87378003992858122</v>
      </c>
      <c r="X164" s="147">
        <f ca="1">INDEX(Photobiology!$21:$421,1+$H164-380,X$14)</f>
        <v>0.60371371052206735</v>
      </c>
      <c r="Y164" s="147">
        <f t="shared" si="54"/>
        <v>1.57484836701475E-3</v>
      </c>
      <c r="Z164" s="147">
        <f t="shared" ca="1" si="68"/>
        <v>2.1324549283236623E-5</v>
      </c>
      <c r="AA164" s="147">
        <f t="shared" ca="1" si="55"/>
        <v>1.4488101025058255E-3</v>
      </c>
      <c r="AB164" s="147">
        <f t="shared" ca="1" si="56"/>
        <v>1.1246622128199136E-3</v>
      </c>
      <c r="AC164" s="147">
        <f t="shared" ca="1" si="57"/>
        <v>1.423662923781334E-3</v>
      </c>
      <c r="AD164" s="147">
        <f t="shared" ca="1" si="58"/>
        <v>1.0169173869422324E-3</v>
      </c>
      <c r="AH164" s="147">
        <f t="shared" si="69"/>
        <v>523</v>
      </c>
      <c r="AI164" s="147">
        <f>IF($AH164&gt;$AH163,INDEX(Spectra!164:164,1,MATCH($AI$20,Spectra!$20:$20,0)),AI163)</f>
        <v>105.66</v>
      </c>
      <c r="AJ164" s="147">
        <f>((Physics!$C$9*Physics!$C$10)/(Physics!$C$11*Physics!$C$12*$AH164))^($AJ$17-$AJ$18)</f>
        <v>2.6335801608549888E+18</v>
      </c>
      <c r="AK164" s="147">
        <f t="shared" si="70"/>
        <v>1</v>
      </c>
      <c r="AL164" s="147">
        <f>INDEX(Photobiology!$21:$421,1+$AH164-380,10)</f>
        <v>0.76196940000000002</v>
      </c>
      <c r="AM164" s="147">
        <f t="shared" si="71"/>
        <v>1.4639827363107821E-3</v>
      </c>
      <c r="AN164" s="147">
        <f ca="1">INDEX(Photobiology!$21:$421,1+$AH164-380,AN$14)</f>
        <v>1.3540699999999999E-2</v>
      </c>
      <c r="AO164" s="147">
        <f ca="1">INDEX(Photobiology!$21:$421,1+$AH164-380,AO$14)</f>
        <v>0.91996800000000001</v>
      </c>
      <c r="AP164" s="147">
        <f ca="1">INDEX(Photobiology!$21:$421,1+$AH164-380,AP$14)</f>
        <v>0.71414</v>
      </c>
      <c r="AQ164" s="147">
        <f ca="1">INDEX(Photobiology!$21:$421,1+$AH164-380,AQ$14)</f>
        <v>0.90400000000000003</v>
      </c>
      <c r="AR164" s="147">
        <f ca="1">INDEX(Photobiology!$21:$421,1+$AH164-380,AR$14)</f>
        <v>0.64572399999999996</v>
      </c>
      <c r="AS164" s="147">
        <f t="shared" si="72"/>
        <v>3855515890182276</v>
      </c>
      <c r="AT164" s="147">
        <f ca="1">INDEX(Photobiology!$21:$421,1+$AH164-380,AT$14)</f>
        <v>1.1584170549506485E-2</v>
      </c>
      <c r="AU164" s="147">
        <f ca="1">INDEX(Photobiology!$21:$421,1+$AH164-380,AU$14)</f>
        <v>0.95088785667136289</v>
      </c>
      <c r="AV164" s="147">
        <f ca="1">INDEX(Photobiology!$21:$421,1+$AH164-380,AV$14)</f>
        <v>0.77382740755040869</v>
      </c>
      <c r="AW164" s="147">
        <f ca="1">INDEX(Photobiology!$21:$421,1+$AH164-380,AW$14)</f>
        <v>0.87378003992858122</v>
      </c>
      <c r="AX164" s="147">
        <f ca="1">INDEX(Photobiology!$21:$421,1+$AH164-380,AX$14)</f>
        <v>0.60371371052206735</v>
      </c>
      <c r="AY164" s="147">
        <f t="shared" si="59"/>
        <v>1.4639827363107821E-3</v>
      </c>
      <c r="AZ164" s="147">
        <f t="shared" ca="1" si="73"/>
        <v>1.9823351037563404E-5</v>
      </c>
      <c r="BA164" s="147">
        <f t="shared" ca="1" si="60"/>
        <v>1.3468172699583575E-3</v>
      </c>
      <c r="BB164" s="147">
        <f t="shared" ca="1" si="61"/>
        <v>1.0454886313089819E-3</v>
      </c>
      <c r="BC164" s="147">
        <f t="shared" ca="1" si="62"/>
        <v>1.323440393624947E-3</v>
      </c>
      <c r="BD164" s="147">
        <f t="shared" ca="1" si="63"/>
        <v>9.4532878842154338E-4</v>
      </c>
    </row>
    <row r="165" spans="8:56" s="147" customFormat="1" ht="0.25" customHeight="1" x14ac:dyDescent="0.2">
      <c r="H165" s="147">
        <f t="shared" si="64"/>
        <v>524</v>
      </c>
      <c r="I165" s="147">
        <f>IF($H165&gt;$H164,INDEX(Spectra!165:165,1,MATCH($I$20,Spectra!$20:$20,0)),I164)</f>
        <v>1.56984884838931E-3</v>
      </c>
      <c r="J165" s="147">
        <f>((Physics!$C$9*Physics!$C$10)/(Physics!$C$11*Physics!$C$12*$H165))^($J$17-$J$18)</f>
        <v>2.63861568697517E+18</v>
      </c>
      <c r="K165" s="147">
        <f t="shared" si="65"/>
        <v>1</v>
      </c>
      <c r="L165" s="147">
        <f>INDEX(Photobiology!$21:$421,1+$H165-380,10)</f>
        <v>0.77783679999999999</v>
      </c>
      <c r="M165" s="147">
        <f t="shared" si="66"/>
        <v>1.56984884838931E-3</v>
      </c>
      <c r="N165" s="147">
        <f ca="1">INDEX(Photobiology!$21:$421,1+$H165-380,N$14)</f>
        <v>1.2388400000000001E-2</v>
      </c>
      <c r="O165" s="147">
        <f ca="1">INDEX(Photobiology!$21:$421,1+$H165-380,O$14)</f>
        <v>0.92788999999999999</v>
      </c>
      <c r="P165" s="147">
        <f ca="1">INDEX(Photobiology!$21:$421,1+$H165-380,P$14)</f>
        <v>0.72584099999999996</v>
      </c>
      <c r="Q165" s="147">
        <f ca="1">INDEX(Photobiology!$21:$421,1+$H165-380,Q$14)</f>
        <v>0.89200000000000002</v>
      </c>
      <c r="R165" s="147">
        <f ca="1">INDEX(Photobiology!$21:$421,1+$H165-380,R$14)</f>
        <v>0.62753300000000001</v>
      </c>
      <c r="S165" s="147">
        <f t="shared" si="67"/>
        <v>4142227797539938.5</v>
      </c>
      <c r="T165" s="147">
        <f ca="1">INDEX(Photobiology!$21:$421,1+$H165-380,T$14)</f>
        <v>1.0578143349474716E-2</v>
      </c>
      <c r="U165" s="147">
        <f ca="1">INDEX(Photobiology!$21:$421,1+$H165-380,U$14)</f>
        <v>0.95724581486005478</v>
      </c>
      <c r="V165" s="147">
        <f ca="1">INDEX(Photobiology!$21:$421,1+$H165-380,V$14)</f>
        <v>0.78500540399723129</v>
      </c>
      <c r="W165" s="147">
        <f ca="1">INDEX(Photobiology!$21:$421,1+$H165-380,W$14)</f>
        <v>0.86053580589095535</v>
      </c>
      <c r="X165" s="147">
        <f ca="1">INDEX(Photobiology!$21:$421,1+$H165-380,X$14)</f>
        <v>0.58558653417760853</v>
      </c>
      <c r="Y165" s="147">
        <f t="shared" si="54"/>
        <v>1.56984884838931E-3</v>
      </c>
      <c r="Z165" s="147">
        <f t="shared" ca="1" si="68"/>
        <v>1.944791547338613E-5</v>
      </c>
      <c r="AA165" s="147">
        <f t="shared" ca="1" si="55"/>
        <v>1.4566470479319567E-3</v>
      </c>
      <c r="AB165" s="147">
        <f t="shared" ca="1" si="56"/>
        <v>1.139460657963745E-3</v>
      </c>
      <c r="AC165" s="147">
        <f t="shared" ca="1" si="57"/>
        <v>1.4003051727632645E-3</v>
      </c>
      <c r="AD165" s="147">
        <f t="shared" ca="1" si="58"/>
        <v>9.8513195737628891E-4</v>
      </c>
      <c r="AH165" s="147">
        <f t="shared" si="69"/>
        <v>524</v>
      </c>
      <c r="AI165" s="147">
        <f>IF($AH165&gt;$AH164,INDEX(Spectra!165:165,1,MATCH($AI$20,Spectra!$20:$20,0)),AI164)</f>
        <v>105.95</v>
      </c>
      <c r="AJ165" s="147">
        <f>((Physics!$C$9*Physics!$C$10)/(Physics!$C$11*Physics!$C$12*$AH165))^($AJ$17-$AJ$18)</f>
        <v>2.63861568697517E+18</v>
      </c>
      <c r="AK165" s="147">
        <f t="shared" si="70"/>
        <v>1</v>
      </c>
      <c r="AL165" s="147">
        <f>INDEX(Photobiology!$21:$421,1+$AH165-380,10)</f>
        <v>0.77783679999999999</v>
      </c>
      <c r="AM165" s="147">
        <f t="shared" si="71"/>
        <v>1.4680008604214213E-3</v>
      </c>
      <c r="AN165" s="147">
        <f ca="1">INDEX(Photobiology!$21:$421,1+$AH165-380,AN$14)</f>
        <v>1.2388400000000001E-2</v>
      </c>
      <c r="AO165" s="147">
        <f ca="1">INDEX(Photobiology!$21:$421,1+$AH165-380,AO$14)</f>
        <v>0.92788999999999999</v>
      </c>
      <c r="AP165" s="147">
        <f ca="1">INDEX(Photobiology!$21:$421,1+$AH165-380,AP$14)</f>
        <v>0.72584099999999996</v>
      </c>
      <c r="AQ165" s="147">
        <f ca="1">INDEX(Photobiology!$21:$421,1+$AH165-380,AQ$14)</f>
        <v>0.89200000000000002</v>
      </c>
      <c r="AR165" s="147">
        <f ca="1">INDEX(Photobiology!$21:$421,1+$AH165-380,AR$14)</f>
        <v>0.62753300000000001</v>
      </c>
      <c r="AS165" s="147">
        <f t="shared" si="72"/>
        <v>3873490098801009.5</v>
      </c>
      <c r="AT165" s="147">
        <f ca="1">INDEX(Photobiology!$21:$421,1+$AH165-380,AT$14)</f>
        <v>1.0578143349474716E-2</v>
      </c>
      <c r="AU165" s="147">
        <f ca="1">INDEX(Photobiology!$21:$421,1+$AH165-380,AU$14)</f>
        <v>0.95724581486005478</v>
      </c>
      <c r="AV165" s="147">
        <f ca="1">INDEX(Photobiology!$21:$421,1+$AH165-380,AV$14)</f>
        <v>0.78500540399723129</v>
      </c>
      <c r="AW165" s="147">
        <f ca="1">INDEX(Photobiology!$21:$421,1+$AH165-380,AW$14)</f>
        <v>0.86053580589095535</v>
      </c>
      <c r="AX165" s="147">
        <f ca="1">INDEX(Photobiology!$21:$421,1+$AH165-380,AX$14)</f>
        <v>0.58558653417760853</v>
      </c>
      <c r="AY165" s="147">
        <f t="shared" si="59"/>
        <v>1.4680008604214213E-3</v>
      </c>
      <c r="AZ165" s="147">
        <f t="shared" ca="1" si="73"/>
        <v>1.8186181859244737E-5</v>
      </c>
      <c r="BA165" s="147">
        <f t="shared" ca="1" si="60"/>
        <v>1.3621433183764325E-3</v>
      </c>
      <c r="BB165" s="147">
        <f t="shared" ca="1" si="61"/>
        <v>1.0655352125291447E-3</v>
      </c>
      <c r="BC165" s="147">
        <f t="shared" ca="1" si="62"/>
        <v>1.3094567674959078E-3</v>
      </c>
      <c r="BD165" s="147">
        <f t="shared" ca="1" si="63"/>
        <v>9.2121898394283575E-4</v>
      </c>
    </row>
    <row r="166" spans="8:56" s="147" customFormat="1" ht="0.25" customHeight="1" x14ac:dyDescent="0.2">
      <c r="H166" s="147">
        <f t="shared" si="64"/>
        <v>525</v>
      </c>
      <c r="I166" s="147">
        <f>IF($H166&gt;$H165,INDEX(Spectra!166:166,1,MATCH($I$20,Spectra!$20:$20,0)),I165)</f>
        <v>1.55485029251298E-3</v>
      </c>
      <c r="J166" s="147">
        <f>((Physics!$C$9*Physics!$C$10)/(Physics!$C$11*Physics!$C$12*$H166))^($J$17-$J$18)</f>
        <v>2.6436512130953518E+18</v>
      </c>
      <c r="K166" s="147">
        <f t="shared" si="65"/>
        <v>1</v>
      </c>
      <c r="L166" s="147">
        <f>INDEX(Photobiology!$21:$421,1+$H166-380,10)</f>
        <v>0.79320000000000002</v>
      </c>
      <c r="M166" s="147">
        <f t="shared" si="66"/>
        <v>1.55485029251298E-3</v>
      </c>
      <c r="N166" s="147">
        <f ca="1">INDEX(Photobiology!$21:$421,1+$H166-380,N$14)</f>
        <v>1.1325200000000001E-2</v>
      </c>
      <c r="O166" s="147">
        <f ca="1">INDEX(Photobiology!$21:$421,1+$H166-380,O$14)</f>
        <v>0.93497699999999995</v>
      </c>
      <c r="P166" s="147">
        <f ca="1">INDEX(Photobiology!$21:$421,1+$H166-380,P$14)</f>
        <v>0.73710799999999999</v>
      </c>
      <c r="Q166" s="147">
        <f ca="1">INDEX(Photobiology!$21:$421,1+$H166-380,Q$14)</f>
        <v>0.88</v>
      </c>
      <c r="R166" s="147">
        <f ca="1">INDEX(Photobiology!$21:$421,1+$H166-380,R$14)</f>
        <v>0.60942200000000002</v>
      </c>
      <c r="S166" s="147">
        <f t="shared" si="67"/>
        <v>4110481861983602</v>
      </c>
      <c r="T166" s="147">
        <f ca="1">INDEX(Photobiology!$21:$421,1+$H166-380,T$14)</f>
        <v>9.6518839695215377E-3</v>
      </c>
      <c r="U166" s="147">
        <f ca="1">INDEX(Photobiology!$21:$421,1+$H166-380,U$14)</f>
        <v>0.96271977601198533</v>
      </c>
      <c r="V166" s="147">
        <f ca="1">INDEX(Photobiology!$21:$421,1+$H166-380,V$14)</f>
        <v>0.79567233564980755</v>
      </c>
      <c r="W166" s="147">
        <f ca="1">INDEX(Photobiology!$21:$421,1+$H166-380,W$14)</f>
        <v>0.84734202607823472</v>
      </c>
      <c r="X166" s="147">
        <f ca="1">INDEX(Photobiology!$21:$421,1+$H166-380,X$14)</f>
        <v>0.56760292407237112</v>
      </c>
      <c r="Y166" s="147">
        <f t="shared" si="54"/>
        <v>1.55485029251298E-3</v>
      </c>
      <c r="Z166" s="147">
        <f t="shared" ca="1" si="68"/>
        <v>1.7608990532768002E-5</v>
      </c>
      <c r="AA166" s="147">
        <f t="shared" ca="1" si="55"/>
        <v>1.4537492619429084E-3</v>
      </c>
      <c r="AB166" s="147">
        <f t="shared" ca="1" si="56"/>
        <v>1.1460925894136577E-3</v>
      </c>
      <c r="AC166" s="147">
        <f t="shared" ca="1" si="57"/>
        <v>1.3682682574114224E-3</v>
      </c>
      <c r="AD166" s="147">
        <f t="shared" ca="1" si="58"/>
        <v>9.4755997496384528E-4</v>
      </c>
      <c r="AH166" s="147">
        <f t="shared" si="69"/>
        <v>525</v>
      </c>
      <c r="AI166" s="147">
        <f>IF($AH166&gt;$AH165,INDEX(Spectra!166:166,1,MATCH($AI$20,Spectra!$20:$20,0)),AI165)</f>
        <v>106.239</v>
      </c>
      <c r="AJ166" s="147">
        <f>((Physics!$C$9*Physics!$C$10)/(Physics!$C$11*Physics!$C$12*$AH166))^($AJ$17-$AJ$18)</f>
        <v>2.6436512130953518E+18</v>
      </c>
      <c r="AK166" s="147">
        <f t="shared" si="70"/>
        <v>1</v>
      </c>
      <c r="AL166" s="147">
        <f>INDEX(Photobiology!$21:$421,1+$AH166-380,10)</f>
        <v>0.79320000000000002</v>
      </c>
      <c r="AM166" s="147">
        <f t="shared" si="71"/>
        <v>1.4720051289316789E-3</v>
      </c>
      <c r="AN166" s="147">
        <f ca="1">INDEX(Photobiology!$21:$421,1+$AH166-380,AN$14)</f>
        <v>1.1325200000000001E-2</v>
      </c>
      <c r="AO166" s="147">
        <f ca="1">INDEX(Photobiology!$21:$421,1+$AH166-380,AO$14)</f>
        <v>0.93497699999999995</v>
      </c>
      <c r="AP166" s="147">
        <f ca="1">INDEX(Photobiology!$21:$421,1+$AH166-380,AP$14)</f>
        <v>0.73710799999999999</v>
      </c>
      <c r="AQ166" s="147">
        <f ca="1">INDEX(Photobiology!$21:$421,1+$AH166-380,AQ$14)</f>
        <v>0.88</v>
      </c>
      <c r="AR166" s="147">
        <f ca="1">INDEX(Photobiology!$21:$421,1+$AH166-380,AR$14)</f>
        <v>0.60942200000000002</v>
      </c>
      <c r="AS166" s="147">
        <f t="shared" si="72"/>
        <v>3891468144782812.5</v>
      </c>
      <c r="AT166" s="147">
        <f ca="1">INDEX(Photobiology!$21:$421,1+$AH166-380,AT$14)</f>
        <v>9.6518839695215377E-3</v>
      </c>
      <c r="AU166" s="147">
        <f ca="1">INDEX(Photobiology!$21:$421,1+$AH166-380,AU$14)</f>
        <v>0.96271977601198533</v>
      </c>
      <c r="AV166" s="147">
        <f ca="1">INDEX(Photobiology!$21:$421,1+$AH166-380,AV$14)</f>
        <v>0.79567233564980755</v>
      </c>
      <c r="AW166" s="147">
        <f ca="1">INDEX(Photobiology!$21:$421,1+$AH166-380,AW$14)</f>
        <v>0.84734202607823472</v>
      </c>
      <c r="AX166" s="147">
        <f ca="1">INDEX(Photobiology!$21:$421,1+$AH166-380,AX$14)</f>
        <v>0.56760292407237112</v>
      </c>
      <c r="AY166" s="147">
        <f t="shared" si="59"/>
        <v>1.4720051289316789E-3</v>
      </c>
      <c r="AZ166" s="147">
        <f t="shared" ca="1" si="73"/>
        <v>1.6670752486177052E-5</v>
      </c>
      <c r="BA166" s="147">
        <f t="shared" ca="1" si="60"/>
        <v>1.3762909394331542E-3</v>
      </c>
      <c r="BB166" s="147">
        <f t="shared" ca="1" si="61"/>
        <v>1.085026756576572E-3</v>
      </c>
      <c r="BC166" s="147">
        <f t="shared" ca="1" si="62"/>
        <v>1.2953645134598775E-3</v>
      </c>
      <c r="BD166" s="147">
        <f t="shared" ca="1" si="63"/>
        <v>8.9707230968380167E-4</v>
      </c>
    </row>
    <row r="167" spans="8:56" s="147" customFormat="1" ht="0.25" customHeight="1" x14ac:dyDescent="0.2">
      <c r="H167" s="147">
        <f t="shared" si="64"/>
        <v>526</v>
      </c>
      <c r="I167" s="147">
        <f>IF($H167&gt;$H166,INDEX(Spectra!167:167,1,MATCH($I$20,Spectra!$20:$20,0)),I166)</f>
        <v>1.53985173663664E-3</v>
      </c>
      <c r="J167" s="147">
        <f>((Physics!$C$9*Physics!$C$10)/(Physics!$C$11*Physics!$C$12*$H167))^($J$17-$J$18)</f>
        <v>2.6486867392155336E+18</v>
      </c>
      <c r="K167" s="147">
        <f t="shared" si="65"/>
        <v>1</v>
      </c>
      <c r="L167" s="147">
        <f>INDEX(Photobiology!$21:$421,1+$H167-380,10)</f>
        <v>0.80811040000000001</v>
      </c>
      <c r="M167" s="147">
        <f t="shared" si="66"/>
        <v>1.53985173663664E-3</v>
      </c>
      <c r="N167" s="147">
        <f ca="1">INDEX(Photobiology!$21:$421,1+$H167-380,N$14)</f>
        <v>1.0343700000000001E-2</v>
      </c>
      <c r="O167" s="147">
        <f ca="1">INDEX(Photobiology!$21:$421,1+$H167-380,O$14)</f>
        <v>0.94141399999999997</v>
      </c>
      <c r="P167" s="147">
        <f ca="1">INDEX(Photobiology!$21:$421,1+$H167-380,P$14)</f>
        <v>0.74804599999999999</v>
      </c>
      <c r="Q167" s="147">
        <f ca="1">INDEX(Photobiology!$21:$421,1+$H167-380,Q$14)</f>
        <v>0.86699999999999999</v>
      </c>
      <c r="R167" s="147">
        <f ca="1">INDEX(Photobiology!$21:$421,1+$H167-380,R$14)</f>
        <v>0.59133899999999995</v>
      </c>
      <c r="S167" s="147">
        <f t="shared" si="67"/>
        <v>4078584875187478.5</v>
      </c>
      <c r="T167" s="147">
        <f ca="1">INDEX(Photobiology!$21:$421,1+$H167-380,T$14)</f>
        <v>8.7986428114949257E-3</v>
      </c>
      <c r="U167" s="147">
        <f ca="1">INDEX(Photobiology!$21:$421,1+$H167-380,U$14)</f>
        <v>0.96750490913569875</v>
      </c>
      <c r="V167" s="147">
        <f ca="1">INDEX(Photobiology!$21:$421,1+$H167-380,V$14)</f>
        <v>0.80594424425390632</v>
      </c>
      <c r="W167" s="147">
        <f ca="1">INDEX(Photobiology!$21:$421,1+$H167-380,W$14)</f>
        <v>0.83323735464949977</v>
      </c>
      <c r="X167" s="147">
        <f ca="1">INDEX(Photobiology!$21:$421,1+$H167-380,X$14)</f>
        <v>0.54971372174893296</v>
      </c>
      <c r="Y167" s="147">
        <f t="shared" si="54"/>
        <v>1.53985173663664E-3</v>
      </c>
      <c r="Z167" s="147">
        <f t="shared" ca="1" si="68"/>
        <v>1.5927764408248415E-5</v>
      </c>
      <c r="AA167" s="147">
        <f t="shared" ca="1" si="55"/>
        <v>1.4496379827940457E-3</v>
      </c>
      <c r="AB167" s="147">
        <f t="shared" ca="1" si="56"/>
        <v>1.151879932184092E-3</v>
      </c>
      <c r="AC167" s="147">
        <f t="shared" ca="1" si="57"/>
        <v>1.3350514556639669E-3</v>
      </c>
      <c r="AD167" s="147">
        <f t="shared" ca="1" si="58"/>
        <v>9.1057438609097401E-4</v>
      </c>
      <c r="AH167" s="147">
        <f t="shared" si="69"/>
        <v>526</v>
      </c>
      <c r="AI167" s="147">
        <f>IF($AH167&gt;$AH166,INDEX(Spectra!167:167,1,MATCH($AI$20,Spectra!$20:$20,0)),AI166)</f>
        <v>106.529</v>
      </c>
      <c r="AJ167" s="147">
        <f>((Physics!$C$9*Physics!$C$10)/(Physics!$C$11*Physics!$C$12*$AH167))^($AJ$17-$AJ$18)</f>
        <v>2.6486867392155336E+18</v>
      </c>
      <c r="AK167" s="147">
        <f t="shared" si="70"/>
        <v>1</v>
      </c>
      <c r="AL167" s="147">
        <f>INDEX(Photobiology!$21:$421,1+$AH167-380,10)</f>
        <v>0.80811040000000001</v>
      </c>
      <c r="AM167" s="147">
        <f t="shared" si="71"/>
        <v>1.4760232530423179E-3</v>
      </c>
      <c r="AN167" s="147">
        <f ca="1">INDEX(Photobiology!$21:$421,1+$AH167-380,AN$14)</f>
        <v>1.0343700000000001E-2</v>
      </c>
      <c r="AO167" s="147">
        <f ca="1">INDEX(Photobiology!$21:$421,1+$AH167-380,AO$14)</f>
        <v>0.94141399999999997</v>
      </c>
      <c r="AP167" s="147">
        <f ca="1">INDEX(Photobiology!$21:$421,1+$AH167-380,AP$14)</f>
        <v>0.74804599999999999</v>
      </c>
      <c r="AQ167" s="147">
        <f ca="1">INDEX(Photobiology!$21:$421,1+$AH167-380,AQ$14)</f>
        <v>0.86699999999999999</v>
      </c>
      <c r="AR167" s="147">
        <f ca="1">INDEX(Photobiology!$21:$421,1+$AH167-380,AR$14)</f>
        <v>0.59133899999999995</v>
      </c>
      <c r="AS167" s="147">
        <f t="shared" si="72"/>
        <v>3909523217106961.5</v>
      </c>
      <c r="AT167" s="147">
        <f ca="1">INDEX(Photobiology!$21:$421,1+$AH167-380,AT$14)</f>
        <v>8.7986428114949257E-3</v>
      </c>
      <c r="AU167" s="147">
        <f ca="1">INDEX(Photobiology!$21:$421,1+$AH167-380,AU$14)</f>
        <v>0.96750490913569875</v>
      </c>
      <c r="AV167" s="147">
        <f ca="1">INDEX(Photobiology!$21:$421,1+$AH167-380,AV$14)</f>
        <v>0.80594424425390632</v>
      </c>
      <c r="AW167" s="147">
        <f ca="1">INDEX(Photobiology!$21:$421,1+$AH167-380,AW$14)</f>
        <v>0.83323735464949977</v>
      </c>
      <c r="AX167" s="147">
        <f ca="1">INDEX(Photobiology!$21:$421,1+$AH167-380,AX$14)</f>
        <v>0.54971372174893296</v>
      </c>
      <c r="AY167" s="147">
        <f t="shared" si="59"/>
        <v>1.4760232530423179E-3</v>
      </c>
      <c r="AZ167" s="147">
        <f t="shared" ca="1" si="73"/>
        <v>1.5267541722493826E-5</v>
      </c>
      <c r="BA167" s="147">
        <f t="shared" ca="1" si="60"/>
        <v>1.3895489547395806E-3</v>
      </c>
      <c r="BB167" s="147">
        <f t="shared" ca="1" si="61"/>
        <v>1.1041332903452938E-3</v>
      </c>
      <c r="BC167" s="147">
        <f t="shared" ca="1" si="62"/>
        <v>1.2797121603876896E-3</v>
      </c>
      <c r="BD167" s="147">
        <f t="shared" ca="1" si="63"/>
        <v>8.7283011443079113E-4</v>
      </c>
    </row>
    <row r="168" spans="8:56" s="147" customFormat="1" ht="0.25" customHeight="1" x14ac:dyDescent="0.2">
      <c r="H168" s="147">
        <f t="shared" si="64"/>
        <v>527</v>
      </c>
      <c r="I168" s="147">
        <f>IF($H168&gt;$H167,INDEX(Spectra!168:168,1,MATCH($I$20,Spectra!$20:$20,0)),I167)</f>
        <v>1.5348522180112E-3</v>
      </c>
      <c r="J168" s="147">
        <f>((Physics!$C$9*Physics!$C$10)/(Physics!$C$11*Physics!$C$12*$H168))^($J$17-$J$18)</f>
        <v>2.6537222653357148E+18</v>
      </c>
      <c r="K168" s="147">
        <f t="shared" si="65"/>
        <v>1</v>
      </c>
      <c r="L168" s="147">
        <f>INDEX(Photobiology!$21:$421,1+$H168-380,10)</f>
        <v>0.82249620000000001</v>
      </c>
      <c r="M168" s="147">
        <f t="shared" si="66"/>
        <v>1.5348522180112E-3</v>
      </c>
      <c r="N168" s="147">
        <f ca="1">INDEX(Photobiology!$21:$421,1+$H168-380,N$14)</f>
        <v>9.4409200000000002E-3</v>
      </c>
      <c r="O168" s="147">
        <f ca="1">INDEX(Photobiology!$21:$421,1+$H168-380,O$14)</f>
        <v>0.94727899999999998</v>
      </c>
      <c r="P168" s="147">
        <f ca="1">INDEX(Photobiology!$21:$421,1+$H168-380,P$14)</f>
        <v>0.75868400000000003</v>
      </c>
      <c r="Q168" s="147">
        <f ca="1">INDEX(Photobiology!$21:$421,1+$H168-380,Q$14)</f>
        <v>0.85399999999999998</v>
      </c>
      <c r="R168" s="147">
        <f ca="1">INDEX(Photobiology!$21:$421,1+$H168-380,R$14)</f>
        <v>0.57320700000000002</v>
      </c>
      <c r="S168" s="147">
        <f t="shared" si="67"/>
        <v>4073071504936228</v>
      </c>
      <c r="T168" s="147">
        <f ca="1">INDEX(Photobiology!$21:$421,1+$H168-380,T$14)</f>
        <v>8.0154741498893109E-3</v>
      </c>
      <c r="U168" s="147">
        <f ca="1">INDEX(Photobiology!$21:$421,1+$H168-380,U$14)</f>
        <v>0.97168514508233217</v>
      </c>
      <c r="V168" s="147">
        <f ca="1">INDEX(Photobiology!$21:$421,1+$H168-380,V$14)</f>
        <v>0.81585456380994548</v>
      </c>
      <c r="W168" s="147">
        <f ca="1">INDEX(Photobiology!$21:$421,1+$H168-380,W$14)</f>
        <v>0.8191862113855799</v>
      </c>
      <c r="X168" s="147">
        <f ca="1">INDEX(Photobiology!$21:$421,1+$H168-380,X$14)</f>
        <v>0.53184694575731473</v>
      </c>
      <c r="Y168" s="147">
        <f t="shared" si="54"/>
        <v>1.5348522180112E-3</v>
      </c>
      <c r="Z168" s="147">
        <f t="shared" ca="1" si="68"/>
        <v>1.4490417002066299E-5</v>
      </c>
      <c r="AA168" s="147">
        <f t="shared" ca="1" si="55"/>
        <v>1.4539332742254316E-3</v>
      </c>
      <c r="AB168" s="147">
        <f t="shared" ca="1" si="56"/>
        <v>1.1644678201696093E-3</v>
      </c>
      <c r="AC168" s="147">
        <f t="shared" ca="1" si="57"/>
        <v>1.3107637941815649E-3</v>
      </c>
      <c r="AD168" s="147">
        <f t="shared" ca="1" si="58"/>
        <v>8.7978803532954598E-4</v>
      </c>
      <c r="AH168" s="147">
        <f t="shared" si="69"/>
        <v>527</v>
      </c>
      <c r="AI168" s="147">
        <f>IF($AH168&gt;$AH167,INDEX(Spectra!168:168,1,MATCH($AI$20,Spectra!$20:$20,0)),AI167)</f>
        <v>106.819</v>
      </c>
      <c r="AJ168" s="147">
        <f>((Physics!$C$9*Physics!$C$10)/(Physics!$C$11*Physics!$C$12*$AH168))^($AJ$17-$AJ$18)</f>
        <v>2.6537222653357148E+18</v>
      </c>
      <c r="AK168" s="147">
        <f t="shared" si="70"/>
        <v>1</v>
      </c>
      <c r="AL168" s="147">
        <f>INDEX(Photobiology!$21:$421,1+$AH168-380,10)</f>
        <v>0.82249620000000001</v>
      </c>
      <c r="AM168" s="147">
        <f t="shared" si="71"/>
        <v>1.4800413771529572E-3</v>
      </c>
      <c r="AN168" s="147">
        <f ca="1">INDEX(Photobiology!$21:$421,1+$AH168-380,AN$14)</f>
        <v>9.4409200000000002E-3</v>
      </c>
      <c r="AO168" s="147">
        <f ca="1">INDEX(Photobiology!$21:$421,1+$AH168-380,AO$14)</f>
        <v>0.94727899999999998</v>
      </c>
      <c r="AP168" s="147">
        <f ca="1">INDEX(Photobiology!$21:$421,1+$AH168-380,AP$14)</f>
        <v>0.75868400000000003</v>
      </c>
      <c r="AQ168" s="147">
        <f ca="1">INDEX(Photobiology!$21:$421,1+$AH168-380,AQ$14)</f>
        <v>0.85399999999999998</v>
      </c>
      <c r="AR168" s="147">
        <f ca="1">INDEX(Photobiology!$21:$421,1+$AH168-380,AR$14)</f>
        <v>0.57320700000000002</v>
      </c>
      <c r="AS168" s="147">
        <f t="shared" si="72"/>
        <v>3927618756168936.5</v>
      </c>
      <c r="AT168" s="147">
        <f ca="1">INDEX(Photobiology!$21:$421,1+$AH168-380,AT$14)</f>
        <v>8.0154741498893109E-3</v>
      </c>
      <c r="AU168" s="147">
        <f ca="1">INDEX(Photobiology!$21:$421,1+$AH168-380,AU$14)</f>
        <v>0.97168514508233217</v>
      </c>
      <c r="AV168" s="147">
        <f ca="1">INDEX(Photobiology!$21:$421,1+$AH168-380,AV$14)</f>
        <v>0.81585456380994548</v>
      </c>
      <c r="AW168" s="147">
        <f ca="1">INDEX(Photobiology!$21:$421,1+$AH168-380,AW$14)</f>
        <v>0.8191862113855799</v>
      </c>
      <c r="AX168" s="147">
        <f ca="1">INDEX(Photobiology!$21:$421,1+$AH168-380,AX$14)</f>
        <v>0.53184694575731473</v>
      </c>
      <c r="AY168" s="147">
        <f t="shared" si="59"/>
        <v>1.4800413771529572E-3</v>
      </c>
      <c r="AZ168" s="147">
        <f t="shared" ca="1" si="73"/>
        <v>1.3972952238390896E-5</v>
      </c>
      <c r="BA168" s="147">
        <f t="shared" ca="1" si="60"/>
        <v>1.4020121157080762E-3</v>
      </c>
      <c r="BB168" s="147">
        <f t="shared" ca="1" si="61"/>
        <v>1.1228837121839141E-3</v>
      </c>
      <c r="BC168" s="147">
        <f t="shared" ca="1" si="62"/>
        <v>1.2639553360886254E-3</v>
      </c>
      <c r="BD168" s="147">
        <f t="shared" ca="1" si="63"/>
        <v>8.483700776737151E-4</v>
      </c>
    </row>
    <row r="169" spans="8:56" s="147" customFormat="1" ht="0.25" customHeight="1" x14ac:dyDescent="0.2">
      <c r="H169" s="147">
        <f t="shared" si="64"/>
        <v>528</v>
      </c>
      <c r="I169" s="147">
        <f>IF($H169&gt;$H168,INDEX(Spectra!169:169,1,MATCH($I$20,Spectra!$20:$20,0)),I168)</f>
        <v>1.5348522180112E-3</v>
      </c>
      <c r="J169" s="147">
        <f>((Physics!$C$9*Physics!$C$10)/(Physics!$C$11*Physics!$C$12*$H169))^($J$17-$J$18)</f>
        <v>2.6587577914558966E+18</v>
      </c>
      <c r="K169" s="147">
        <f t="shared" si="65"/>
        <v>1</v>
      </c>
      <c r="L169" s="147">
        <f>INDEX(Photobiology!$21:$421,1+$H169-380,10)</f>
        <v>0.83630680000000002</v>
      </c>
      <c r="M169" s="147">
        <f t="shared" si="66"/>
        <v>1.5348522180112E-3</v>
      </c>
      <c r="N169" s="147">
        <f ca="1">INDEX(Photobiology!$21:$421,1+$H169-380,N$14)</f>
        <v>8.6136500000000005E-3</v>
      </c>
      <c r="O169" s="147">
        <f ca="1">INDEX(Photobiology!$21:$421,1+$H169-380,O$14)</f>
        <v>0.95262199999999997</v>
      </c>
      <c r="P169" s="147">
        <f ca="1">INDEX(Photobiology!$21:$421,1+$H169-380,P$14)</f>
        <v>0.76903200000000005</v>
      </c>
      <c r="Q169" s="147">
        <f ca="1">INDEX(Photobiology!$21:$421,1+$H169-380,Q$14)</f>
        <v>0.84</v>
      </c>
      <c r="R169" s="147">
        <f ca="1">INDEX(Photobiology!$21:$421,1+$H169-380,R$14)</f>
        <v>0.55510499999999996</v>
      </c>
      <c r="S169" s="147">
        <f t="shared" si="67"/>
        <v>4080800293370642.5</v>
      </c>
      <c r="T169" s="147">
        <f ca="1">INDEX(Photobiology!$21:$421,1+$H169-380,T$14)</f>
        <v>7.2992596718952736E-3</v>
      </c>
      <c r="U169" s="147">
        <f ca="1">INDEX(Photobiology!$21:$421,1+$H169-380,U$14)</f>
        <v>0.97531511185457254</v>
      </c>
      <c r="V169" s="147">
        <f ca="1">INDEX(Photobiology!$21:$421,1+$H169-380,V$14)</f>
        <v>0.82541608198367278</v>
      </c>
      <c r="W169" s="147">
        <f ca="1">INDEX(Photobiology!$21:$421,1+$H169-380,W$14)</f>
        <v>0.8042308744415062</v>
      </c>
      <c r="X169" s="147">
        <f ca="1">INDEX(Photobiology!$21:$421,1+$H169-380,X$14)</f>
        <v>0.51407562956318065</v>
      </c>
      <c r="Y169" s="147">
        <f t="shared" si="54"/>
        <v>1.5348522180112E-3</v>
      </c>
      <c r="Z169" s="147">
        <f t="shared" ca="1" si="68"/>
        <v>1.3220679807672173E-5</v>
      </c>
      <c r="AA169" s="147">
        <f t="shared" ca="1" si="55"/>
        <v>1.4621339896262653E-3</v>
      </c>
      <c r="AB169" s="147">
        <f t="shared" ca="1" si="56"/>
        <v>1.1803504709215892E-3</v>
      </c>
      <c r="AC169" s="147">
        <f t="shared" ca="1" si="57"/>
        <v>1.2892758631294079E-3</v>
      </c>
      <c r="AD169" s="147">
        <f t="shared" ca="1" si="58"/>
        <v>8.5200414047910714E-4</v>
      </c>
      <c r="AH169" s="147">
        <f t="shared" si="69"/>
        <v>528</v>
      </c>
      <c r="AI169" s="147">
        <f>IF($AH169&gt;$AH168,INDEX(Spectra!169:169,1,MATCH($AI$20,Spectra!$20:$20,0)),AI168)</f>
        <v>107.10899999999999</v>
      </c>
      <c r="AJ169" s="147">
        <f>((Physics!$C$9*Physics!$C$10)/(Physics!$C$11*Physics!$C$12*$AH169))^($AJ$17-$AJ$18)</f>
        <v>2.6587577914558966E+18</v>
      </c>
      <c r="AK169" s="147">
        <f t="shared" si="70"/>
        <v>1</v>
      </c>
      <c r="AL169" s="147">
        <f>INDEX(Photobiology!$21:$421,1+$AH169-380,10)</f>
        <v>0.83630680000000002</v>
      </c>
      <c r="AM169" s="147">
        <f t="shared" si="71"/>
        <v>1.484059501263596E-3</v>
      </c>
      <c r="AN169" s="147">
        <f ca="1">INDEX(Photobiology!$21:$421,1+$AH169-380,AN$14)</f>
        <v>8.6136500000000005E-3</v>
      </c>
      <c r="AO169" s="147">
        <f ca="1">INDEX(Photobiology!$21:$421,1+$AH169-380,AO$14)</f>
        <v>0.95262199999999997</v>
      </c>
      <c r="AP169" s="147">
        <f ca="1">INDEX(Photobiology!$21:$421,1+$AH169-380,AP$14)</f>
        <v>0.76903200000000005</v>
      </c>
      <c r="AQ169" s="147">
        <f ca="1">INDEX(Photobiology!$21:$421,1+$AH169-380,AQ$14)</f>
        <v>0.84</v>
      </c>
      <c r="AR169" s="147">
        <f ca="1">INDEX(Photobiology!$21:$421,1+$AH169-380,AR$14)</f>
        <v>0.55510499999999996</v>
      </c>
      <c r="AS169" s="147">
        <f t="shared" si="72"/>
        <v>3945754761968738</v>
      </c>
      <c r="AT169" s="147">
        <f ca="1">INDEX(Photobiology!$21:$421,1+$AH169-380,AT$14)</f>
        <v>7.2992596718952736E-3</v>
      </c>
      <c r="AU169" s="147">
        <f ca="1">INDEX(Photobiology!$21:$421,1+$AH169-380,AU$14)</f>
        <v>0.97531511185457254</v>
      </c>
      <c r="AV169" s="147">
        <f ca="1">INDEX(Photobiology!$21:$421,1+$AH169-380,AV$14)</f>
        <v>0.82541608198367278</v>
      </c>
      <c r="AW169" s="147">
        <f ca="1">INDEX(Photobiology!$21:$421,1+$AH169-380,AW$14)</f>
        <v>0.8042308744415062</v>
      </c>
      <c r="AX169" s="147">
        <f ca="1">INDEX(Photobiology!$21:$421,1+$AH169-380,AX$14)</f>
        <v>0.51407562956318065</v>
      </c>
      <c r="AY169" s="147">
        <f t="shared" si="59"/>
        <v>1.484059501263596E-3</v>
      </c>
      <c r="AZ169" s="147">
        <f t="shared" ca="1" si="73"/>
        <v>1.2783169123059174E-5</v>
      </c>
      <c r="BA169" s="147">
        <f t="shared" ca="1" si="60"/>
        <v>1.4137477302127292E-3</v>
      </c>
      <c r="BB169" s="147">
        <f t="shared" ca="1" si="61"/>
        <v>1.1412892463757457E-3</v>
      </c>
      <c r="BC169" s="147">
        <f t="shared" ca="1" si="62"/>
        <v>1.2466099810614206E-3</v>
      </c>
      <c r="BD169" s="147">
        <f t="shared" ca="1" si="63"/>
        <v>8.2380884944892839E-4</v>
      </c>
    </row>
    <row r="170" spans="8:56" s="147" customFormat="1" ht="0.25" customHeight="1" x14ac:dyDescent="0.2">
      <c r="H170" s="147">
        <f t="shared" si="64"/>
        <v>529</v>
      </c>
      <c r="I170" s="147">
        <f>IF($H170&gt;$H169,INDEX(Spectra!170:170,1,MATCH($I$20,Spectra!$20:$20,0)),I169)</f>
        <v>1.53985173663664E-3</v>
      </c>
      <c r="J170" s="147">
        <f>((Physics!$C$9*Physics!$C$10)/(Physics!$C$11*Physics!$C$12*$H170))^($J$17-$J$18)</f>
        <v>2.6637933175760783E+18</v>
      </c>
      <c r="K170" s="147">
        <f t="shared" si="65"/>
        <v>1</v>
      </c>
      <c r="L170" s="147">
        <f>INDEX(Photobiology!$21:$421,1+$H170-380,10)</f>
        <v>0.84949160000000001</v>
      </c>
      <c r="M170" s="147">
        <f t="shared" si="66"/>
        <v>1.53985173663664E-3</v>
      </c>
      <c r="N170" s="147">
        <f ca="1">INDEX(Photobiology!$21:$421,1+$H170-380,N$14)</f>
        <v>7.8583100000000003E-3</v>
      </c>
      <c r="O170" s="147">
        <f ca="1">INDEX(Photobiology!$21:$421,1+$H170-380,O$14)</f>
        <v>0.95749799999999996</v>
      </c>
      <c r="P170" s="147">
        <f ca="1">INDEX(Photobiology!$21:$421,1+$H170-380,P$14)</f>
        <v>0.77909899999999999</v>
      </c>
      <c r="Q170" s="147">
        <f ca="1">INDEX(Photobiology!$21:$421,1+$H170-380,Q$14)</f>
        <v>0.82599999999999996</v>
      </c>
      <c r="R170" s="147">
        <f ca="1">INDEX(Photobiology!$21:$421,1+$H170-380,R$14)</f>
        <v>0.53711200000000003</v>
      </c>
      <c r="S170" s="147">
        <f t="shared" si="67"/>
        <v>4101846766110601</v>
      </c>
      <c r="T170" s="147">
        <f ca="1">INDEX(Photobiology!$21:$421,1+$H170-380,T$14)</f>
        <v>6.6465916960698427E-3</v>
      </c>
      <c r="U170" s="147">
        <f ca="1">INDEX(Photobiology!$21:$421,1+$H170-380,U$14)</f>
        <v>0.97845413382066115</v>
      </c>
      <c r="V170" s="147">
        <f ca="1">INDEX(Photobiology!$21:$421,1+$H170-380,V$14)</f>
        <v>0.8346404184584163</v>
      </c>
      <c r="W170" s="147">
        <f ca="1">INDEX(Photobiology!$21:$421,1+$H170-380,W$14)</f>
        <v>0.78933207941404548</v>
      </c>
      <c r="X170" s="147">
        <f ca="1">INDEX(Photobiology!$21:$421,1+$H170-380,X$14)</f>
        <v>0.49647225439426945</v>
      </c>
      <c r="Y170" s="147">
        <f t="shared" si="54"/>
        <v>1.53985173663664E-3</v>
      </c>
      <c r="Z170" s="147">
        <f t="shared" ca="1" si="68"/>
        <v>1.2100632300529075E-5</v>
      </c>
      <c r="AA170" s="147">
        <f t="shared" ca="1" si="55"/>
        <v>1.4744049581261094E-3</v>
      </c>
      <c r="AB170" s="147">
        <f t="shared" ca="1" si="56"/>
        <v>1.1996969481618696E-3</v>
      </c>
      <c r="AC170" s="147">
        <f t="shared" ca="1" si="57"/>
        <v>1.2719175344618645E-3</v>
      </c>
      <c r="AD170" s="147">
        <f t="shared" ca="1" si="58"/>
        <v>8.2707284596837899E-4</v>
      </c>
      <c r="AH170" s="147">
        <f t="shared" si="69"/>
        <v>529</v>
      </c>
      <c r="AI170" s="147">
        <f>IF($AH170&gt;$AH169,INDEX(Spectra!170:170,1,MATCH($AI$20,Spectra!$20:$20,0)),AI169)</f>
        <v>107.399</v>
      </c>
      <c r="AJ170" s="147">
        <f>((Physics!$C$9*Physics!$C$10)/(Physics!$C$11*Physics!$C$12*$AH170))^($AJ$17-$AJ$18)</f>
        <v>2.6637933175760783E+18</v>
      </c>
      <c r="AK170" s="147">
        <f t="shared" si="70"/>
        <v>1</v>
      </c>
      <c r="AL170" s="147">
        <f>INDEX(Photobiology!$21:$421,1+$AH170-380,10)</f>
        <v>0.84949160000000001</v>
      </c>
      <c r="AM170" s="147">
        <f t="shared" si="71"/>
        <v>1.4880776253742352E-3</v>
      </c>
      <c r="AN170" s="147">
        <f ca="1">INDEX(Photobiology!$21:$421,1+$AH170-380,AN$14)</f>
        <v>7.8583100000000003E-3</v>
      </c>
      <c r="AO170" s="147">
        <f ca="1">INDEX(Photobiology!$21:$421,1+$AH170-380,AO$14)</f>
        <v>0.95749799999999996</v>
      </c>
      <c r="AP170" s="147">
        <f ca="1">INDEX(Photobiology!$21:$421,1+$AH170-380,AP$14)</f>
        <v>0.77909899999999999</v>
      </c>
      <c r="AQ170" s="147">
        <f ca="1">INDEX(Photobiology!$21:$421,1+$AH170-380,AQ$14)</f>
        <v>0.82599999999999996</v>
      </c>
      <c r="AR170" s="147">
        <f ca="1">INDEX(Photobiology!$21:$421,1+$AH170-380,AR$14)</f>
        <v>0.53711200000000003</v>
      </c>
      <c r="AS170" s="147">
        <f t="shared" si="72"/>
        <v>3963931234506366.5</v>
      </c>
      <c r="AT170" s="147">
        <f ca="1">INDEX(Photobiology!$21:$421,1+$AH170-380,AT$14)</f>
        <v>6.6465916960698427E-3</v>
      </c>
      <c r="AU170" s="147">
        <f ca="1">INDEX(Photobiology!$21:$421,1+$AH170-380,AU$14)</f>
        <v>0.97845413382066115</v>
      </c>
      <c r="AV170" s="147">
        <f ca="1">INDEX(Photobiology!$21:$421,1+$AH170-380,AV$14)</f>
        <v>0.8346404184584163</v>
      </c>
      <c r="AW170" s="147">
        <f ca="1">INDEX(Photobiology!$21:$421,1+$AH170-380,AW$14)</f>
        <v>0.78933207941404548</v>
      </c>
      <c r="AX170" s="147">
        <f ca="1">INDEX(Photobiology!$21:$421,1+$AH170-380,AX$14)</f>
        <v>0.49647225439426945</v>
      </c>
      <c r="AY170" s="147">
        <f t="shared" si="59"/>
        <v>1.4880776253742352E-3</v>
      </c>
      <c r="AZ170" s="147">
        <f t="shared" ca="1" si="73"/>
        <v>1.1693775284254607E-5</v>
      </c>
      <c r="BA170" s="147">
        <f t="shared" ca="1" si="60"/>
        <v>1.4248313501405794E-3</v>
      </c>
      <c r="BB170" s="147">
        <f t="shared" ca="1" si="61"/>
        <v>1.1593597898514412E-3</v>
      </c>
      <c r="BC170" s="147">
        <f t="shared" ca="1" si="62"/>
        <v>1.2291521185591183E-3</v>
      </c>
      <c r="BD170" s="147">
        <f t="shared" ca="1" si="63"/>
        <v>7.992643495200063E-4</v>
      </c>
    </row>
    <row r="171" spans="8:56" s="147" customFormat="1" ht="0.25" customHeight="1" x14ac:dyDescent="0.2">
      <c r="H171" s="147">
        <f t="shared" si="64"/>
        <v>530</v>
      </c>
      <c r="I171" s="147">
        <f>IF($H171&gt;$H170,INDEX(Spectra!171:171,1,MATCH($I$20,Spectra!$20:$20,0)),I170)</f>
        <v>1.54985077388753E-3</v>
      </c>
      <c r="J171" s="147">
        <f>((Physics!$C$9*Physics!$C$10)/(Physics!$C$11*Physics!$C$12*$H171))^($J$17-$J$18)</f>
        <v>2.6688288436962601E+18</v>
      </c>
      <c r="K171" s="147">
        <f t="shared" si="65"/>
        <v>1</v>
      </c>
      <c r="L171" s="147">
        <f>INDEX(Photobiology!$21:$421,1+$H171-380,10)</f>
        <v>0.86199999999999999</v>
      </c>
      <c r="M171" s="147">
        <f t="shared" si="66"/>
        <v>1.54985077388753E-3</v>
      </c>
      <c r="N171" s="147">
        <f ca="1">INDEX(Photobiology!$21:$421,1+$H171-380,N$14)</f>
        <v>7.1708900000000001E-3</v>
      </c>
      <c r="O171" s="147">
        <f ca="1">INDEX(Photobiology!$21:$421,1+$H171-380,O$14)</f>
        <v>0.96196199999999998</v>
      </c>
      <c r="P171" s="147">
        <f ca="1">INDEX(Photobiology!$21:$421,1+$H171-380,P$14)</f>
        <v>0.78890000000000005</v>
      </c>
      <c r="Q171" s="147">
        <f ca="1">INDEX(Photobiology!$21:$421,1+$H171-380,Q$14)</f>
        <v>0.81100000000000005</v>
      </c>
      <c r="R171" s="147">
        <f ca="1">INDEX(Photobiology!$21:$421,1+$H171-380,R$14)</f>
        <v>0.51930900000000002</v>
      </c>
      <c r="S171" s="147">
        <f t="shared" si="67"/>
        <v>4136286448776010.5</v>
      </c>
      <c r="T171" s="147">
        <f ca="1">INDEX(Photobiology!$21:$421,1+$H171-380,T$14)</f>
        <v>6.0537252497279747E-3</v>
      </c>
      <c r="U171" s="147">
        <f ca="1">INDEX(Photobiology!$21:$421,1+$H171-380,U$14)</f>
        <v>0.98116108761775778</v>
      </c>
      <c r="V171" s="147">
        <f ca="1">INDEX(Photobiology!$21:$421,1+$H171-380,V$14)</f>
        <v>0.84354552082974743</v>
      </c>
      <c r="W171" s="147">
        <f ca="1">INDEX(Photobiology!$21:$421,1+$H171-380,W$14)</f>
        <v>0.77353570144395456</v>
      </c>
      <c r="X171" s="147">
        <f ca="1">INDEX(Photobiology!$21:$421,1+$H171-380,X$14)</f>
        <v>0.47911059963522812</v>
      </c>
      <c r="Y171" s="147">
        <f t="shared" si="54"/>
        <v>1.54985077388753E-3</v>
      </c>
      <c r="Z171" s="147">
        <f t="shared" ca="1" si="68"/>
        <v>1.1113809415962351E-5</v>
      </c>
      <c r="AA171" s="147">
        <f t="shared" ca="1" si="55"/>
        <v>1.4908975501503961E-3</v>
      </c>
      <c r="AB171" s="147">
        <f t="shared" ca="1" si="56"/>
        <v>1.2226772755198725E-3</v>
      </c>
      <c r="AC171" s="147">
        <f t="shared" ca="1" si="57"/>
        <v>1.2569289776227868E-3</v>
      </c>
      <c r="AD171" s="147">
        <f t="shared" ca="1" si="58"/>
        <v>8.0485145553675934E-4</v>
      </c>
      <c r="AH171" s="147">
        <f t="shared" si="69"/>
        <v>530</v>
      </c>
      <c r="AI171" s="147">
        <f>IF($AH171&gt;$AH170,INDEX(Spectra!171:171,1,MATCH($AI$20,Spectra!$20:$20,0)),AI170)</f>
        <v>107.68899999999999</v>
      </c>
      <c r="AJ171" s="147">
        <f>((Physics!$C$9*Physics!$C$10)/(Physics!$C$11*Physics!$C$12*$AH171))^($AJ$17-$AJ$18)</f>
        <v>2.6688288436962601E+18</v>
      </c>
      <c r="AK171" s="147">
        <f t="shared" si="70"/>
        <v>1</v>
      </c>
      <c r="AL171" s="147">
        <f>INDEX(Photobiology!$21:$421,1+$AH171-380,10)</f>
        <v>0.86199999999999999</v>
      </c>
      <c r="AM171" s="147">
        <f t="shared" si="71"/>
        <v>1.4920957494848743E-3</v>
      </c>
      <c r="AN171" s="147">
        <f ca="1">INDEX(Photobiology!$21:$421,1+$AH171-380,AN$14)</f>
        <v>7.1708900000000001E-3</v>
      </c>
      <c r="AO171" s="147">
        <f ca="1">INDEX(Photobiology!$21:$421,1+$AH171-380,AO$14)</f>
        <v>0.96196199999999998</v>
      </c>
      <c r="AP171" s="147">
        <f ca="1">INDEX(Photobiology!$21:$421,1+$AH171-380,AP$14)</f>
        <v>0.78890000000000005</v>
      </c>
      <c r="AQ171" s="147">
        <f ca="1">INDEX(Photobiology!$21:$421,1+$AH171-380,AQ$14)</f>
        <v>0.81100000000000005</v>
      </c>
      <c r="AR171" s="147">
        <f ca="1">INDEX(Photobiology!$21:$421,1+$AH171-380,AR$14)</f>
        <v>0.51930900000000002</v>
      </c>
      <c r="AS171" s="147">
        <f t="shared" si="72"/>
        <v>3982148173781821.5</v>
      </c>
      <c r="AT171" s="147">
        <f ca="1">INDEX(Photobiology!$21:$421,1+$AH171-380,AT$14)</f>
        <v>6.0537252497279747E-3</v>
      </c>
      <c r="AU171" s="147">
        <f ca="1">INDEX(Photobiology!$21:$421,1+$AH171-380,AU$14)</f>
        <v>0.98116108761775778</v>
      </c>
      <c r="AV171" s="147">
        <f ca="1">INDEX(Photobiology!$21:$421,1+$AH171-380,AV$14)</f>
        <v>0.84354552082974743</v>
      </c>
      <c r="AW171" s="147">
        <f ca="1">INDEX(Photobiology!$21:$421,1+$AH171-380,AW$14)</f>
        <v>0.77353570144395456</v>
      </c>
      <c r="AX171" s="147">
        <f ca="1">INDEX(Photobiology!$21:$421,1+$AH171-380,AX$14)</f>
        <v>0.47911059963522812</v>
      </c>
      <c r="AY171" s="147">
        <f t="shared" si="59"/>
        <v>1.4920957494848743E-3</v>
      </c>
      <c r="AZ171" s="147">
        <f t="shared" ca="1" si="73"/>
        <v>1.0699654489023591E-5</v>
      </c>
      <c r="BA171" s="147">
        <f t="shared" ca="1" si="60"/>
        <v>1.4353394113659685E-3</v>
      </c>
      <c r="BB171" s="147">
        <f t="shared" ca="1" si="61"/>
        <v>1.1771143367686173E-3</v>
      </c>
      <c r="BC171" s="147">
        <f t="shared" ca="1" si="62"/>
        <v>1.2100896528322331E-3</v>
      </c>
      <c r="BD171" s="147">
        <f t="shared" ca="1" si="63"/>
        <v>7.7485875156924056E-4</v>
      </c>
    </row>
    <row r="172" spans="8:56" s="147" customFormat="1" ht="0.25" customHeight="1" x14ac:dyDescent="0.2">
      <c r="H172" s="147">
        <f t="shared" si="64"/>
        <v>531</v>
      </c>
      <c r="I172" s="147">
        <f>IF($H172&gt;$H171,INDEX(Spectra!172:172,1,MATCH($I$20,Spectra!$20:$20,0)),I171)</f>
        <v>1.54485125526209E-3</v>
      </c>
      <c r="J172" s="147">
        <f>((Physics!$C$9*Physics!$C$10)/(Physics!$C$11*Physics!$C$12*$H172))^($J$17-$J$18)</f>
        <v>2.6738643698164413E+18</v>
      </c>
      <c r="K172" s="147">
        <f t="shared" si="65"/>
        <v>1</v>
      </c>
      <c r="L172" s="147">
        <f>INDEX(Photobiology!$21:$421,1+$H172-380,10)</f>
        <v>0.8738108</v>
      </c>
      <c r="M172" s="147">
        <f t="shared" si="66"/>
        <v>1.54485125526209E-3</v>
      </c>
      <c r="N172" s="147">
        <f ca="1">INDEX(Photobiology!$21:$421,1+$H172-380,N$14)</f>
        <v>6.5464800000000004E-3</v>
      </c>
      <c r="O172" s="147">
        <f ca="1">INDEX(Photobiology!$21:$421,1+$H172-380,O$14)</f>
        <v>0.96608000000000005</v>
      </c>
      <c r="P172" s="147">
        <f ca="1">INDEX(Photobiology!$21:$421,1+$H172-380,P$14)</f>
        <v>0.79847199999999996</v>
      </c>
      <c r="Q172" s="147">
        <f ca="1">INDEX(Photobiology!$21:$421,1+$H172-380,Q$14)</f>
        <v>0.79600000000000004</v>
      </c>
      <c r="R172" s="147">
        <f ca="1">INDEX(Photobiology!$21:$421,1+$H172-380,R$14)</f>
        <v>0.50164500000000001</v>
      </c>
      <c r="S172" s="147">
        <f t="shared" si="67"/>
        <v>4130722728111506.5</v>
      </c>
      <c r="T172" s="147">
        <f ca="1">INDEX(Photobiology!$21:$421,1+$H172-380,T$14)</f>
        <v>5.5161852142439002E-3</v>
      </c>
      <c r="U172" s="147">
        <f ca="1">INDEX(Photobiology!$21:$421,1+$H172-380,U$14)</f>
        <v>0.9835056047796451</v>
      </c>
      <c r="V172" s="147">
        <f ca="1">INDEX(Photobiology!$21:$421,1+$H172-380,V$14)</f>
        <v>0.85217268108953392</v>
      </c>
      <c r="W172" s="147">
        <f ca="1">INDEX(Photobiology!$21:$421,1+$H172-380,W$14)</f>
        <v>0.75779882018938172</v>
      </c>
      <c r="X172" s="147">
        <f ca="1">INDEX(Photobiology!$21:$421,1+$H172-380,X$14)</f>
        <v>0.46194233602601914</v>
      </c>
      <c r="Y172" s="147">
        <f t="shared" si="54"/>
        <v>1.54485125526209E-3</v>
      </c>
      <c r="Z172" s="147">
        <f t="shared" ca="1" si="68"/>
        <v>1.0113337845548168E-5</v>
      </c>
      <c r="AA172" s="147">
        <f t="shared" ca="1" si="55"/>
        <v>1.4924499006836E-3</v>
      </c>
      <c r="AB172" s="147">
        <f t="shared" ca="1" si="56"/>
        <v>1.2335204714916314E-3</v>
      </c>
      <c r="AC172" s="147">
        <f t="shared" ca="1" si="57"/>
        <v>1.2297015991886238E-3</v>
      </c>
      <c r="AD172" s="147">
        <f t="shared" ca="1" si="58"/>
        <v>7.7496690794595115E-4</v>
      </c>
      <c r="AH172" s="147">
        <f t="shared" si="69"/>
        <v>531</v>
      </c>
      <c r="AI172" s="147">
        <f>IF($AH172&gt;$AH171,INDEX(Spectra!172:172,1,MATCH($AI$20,Spectra!$20:$20,0)),AI171)</f>
        <v>107.361</v>
      </c>
      <c r="AJ172" s="147">
        <f>((Physics!$C$9*Physics!$C$10)/(Physics!$C$11*Physics!$C$12*$AH172))^($AJ$17-$AJ$18)</f>
        <v>2.6738643698164413E+18</v>
      </c>
      <c r="AK172" s="147">
        <f t="shared" si="70"/>
        <v>1</v>
      </c>
      <c r="AL172" s="147">
        <f>INDEX(Photobiology!$21:$421,1+$AH172-380,10)</f>
        <v>0.8738108</v>
      </c>
      <c r="AM172" s="147">
        <f t="shared" si="71"/>
        <v>1.4875511125597377E-3</v>
      </c>
      <c r="AN172" s="147">
        <f ca="1">INDEX(Photobiology!$21:$421,1+$AH172-380,AN$14)</f>
        <v>6.5464800000000004E-3</v>
      </c>
      <c r="AO172" s="147">
        <f ca="1">INDEX(Photobiology!$21:$421,1+$AH172-380,AO$14)</f>
        <v>0.96608000000000005</v>
      </c>
      <c r="AP172" s="147">
        <f ca="1">INDEX(Photobiology!$21:$421,1+$AH172-380,AP$14)</f>
        <v>0.79847199999999996</v>
      </c>
      <c r="AQ172" s="147">
        <f ca="1">INDEX(Photobiology!$21:$421,1+$AH172-380,AQ$14)</f>
        <v>0.79600000000000004</v>
      </c>
      <c r="AR172" s="147">
        <f ca="1">INDEX(Photobiology!$21:$421,1+$AH172-380,AR$14)</f>
        <v>0.50164500000000001</v>
      </c>
      <c r="AS172" s="147">
        <f t="shared" si="72"/>
        <v>3977509918154289.5</v>
      </c>
      <c r="AT172" s="147">
        <f ca="1">INDEX(Photobiology!$21:$421,1+$AH172-380,AT$14)</f>
        <v>5.5161852142439002E-3</v>
      </c>
      <c r="AU172" s="147">
        <f ca="1">INDEX(Photobiology!$21:$421,1+$AH172-380,AU$14)</f>
        <v>0.9835056047796451</v>
      </c>
      <c r="AV172" s="147">
        <f ca="1">INDEX(Photobiology!$21:$421,1+$AH172-380,AV$14)</f>
        <v>0.85217268108953392</v>
      </c>
      <c r="AW172" s="147">
        <f ca="1">INDEX(Photobiology!$21:$421,1+$AH172-380,AW$14)</f>
        <v>0.75779882018938172</v>
      </c>
      <c r="AX172" s="147">
        <f ca="1">INDEX(Photobiology!$21:$421,1+$AH172-380,AX$14)</f>
        <v>0.46194233602601914</v>
      </c>
      <c r="AY172" s="147">
        <f t="shared" si="59"/>
        <v>1.4875511125597377E-3</v>
      </c>
      <c r="AZ172" s="147">
        <f t="shared" ca="1" si="73"/>
        <v>9.7382236073500728E-6</v>
      </c>
      <c r="BA172" s="147">
        <f t="shared" ca="1" si="60"/>
        <v>1.4370933788217116E-3</v>
      </c>
      <c r="BB172" s="147">
        <f t="shared" ca="1" si="61"/>
        <v>1.1877679119477989E-3</v>
      </c>
      <c r="BC172" s="147">
        <f t="shared" ca="1" si="62"/>
        <v>1.1840906855975512E-3</v>
      </c>
      <c r="BD172" s="147">
        <f t="shared" ca="1" si="63"/>
        <v>7.4622257786002963E-4</v>
      </c>
    </row>
    <row r="173" spans="8:56" s="147" customFormat="1" ht="0.25" customHeight="1" x14ac:dyDescent="0.2">
      <c r="H173" s="147">
        <f t="shared" si="64"/>
        <v>532</v>
      </c>
      <c r="I173" s="147">
        <f>IF($H173&gt;$H172,INDEX(Spectra!173:173,1,MATCH($I$20,Spectra!$20:$20,0)),I172)</f>
        <v>1.52985269938576E-3</v>
      </c>
      <c r="J173" s="147">
        <f>((Physics!$C$9*Physics!$C$10)/(Physics!$C$11*Physics!$C$12*$H173))^($J$17-$J$18)</f>
        <v>2.6788998959366231E+18</v>
      </c>
      <c r="K173" s="147">
        <f t="shared" si="65"/>
        <v>1</v>
      </c>
      <c r="L173" s="147">
        <f>INDEX(Photobiology!$21:$421,1+$H173-380,10)</f>
        <v>0.88496240000000004</v>
      </c>
      <c r="M173" s="147">
        <f t="shared" si="66"/>
        <v>1.52985269938576E-3</v>
      </c>
      <c r="N173" s="147">
        <f ca="1">INDEX(Photobiology!$21:$421,1+$H173-380,N$14)</f>
        <v>5.9777700000000003E-3</v>
      </c>
      <c r="O173" s="147">
        <f ca="1">INDEX(Photobiology!$21:$421,1+$H173-380,O$14)</f>
        <v>0.96996599999999999</v>
      </c>
      <c r="P173" s="147">
        <f ca="1">INDEX(Photobiology!$21:$421,1+$H173-380,P$14)</f>
        <v>0.80794500000000002</v>
      </c>
      <c r="Q173" s="147">
        <f ca="1">INDEX(Photobiology!$21:$421,1+$H173-380,Q$14)</f>
        <v>0.78100000000000003</v>
      </c>
      <c r="R173" s="147">
        <f ca="1">INDEX(Photobiology!$21:$421,1+$H173-380,R$14)</f>
        <v>0.48406700000000003</v>
      </c>
      <c r="S173" s="147">
        <f t="shared" si="67"/>
        <v>4098322237182874.5</v>
      </c>
      <c r="T173" s="147">
        <f ca="1">INDEX(Photobiology!$21:$421,1+$H173-380,T$14)</f>
        <v>5.0275116353661548E-3</v>
      </c>
      <c r="U173" s="147">
        <f ca="1">INDEX(Photobiology!$21:$421,1+$H173-380,U$14)</f>
        <v>0.98560556723859616</v>
      </c>
      <c r="V173" s="147">
        <f ca="1">INDEX(Photobiology!$21:$421,1+$H173-380,V$14)</f>
        <v>0.86066194884520575</v>
      </c>
      <c r="W173" s="147">
        <f ca="1">INDEX(Photobiology!$21:$421,1+$H173-380,W$14)</f>
        <v>0.74212110014253285</v>
      </c>
      <c r="X173" s="147">
        <f ca="1">INDEX(Photobiology!$21:$421,1+$H173-380,X$14)</f>
        <v>0.44491765943624362</v>
      </c>
      <c r="Y173" s="147">
        <f t="shared" si="54"/>
        <v>1.52985269938576E-3</v>
      </c>
      <c r="Z173" s="147">
        <f t="shared" ca="1" si="68"/>
        <v>9.1451075708072148E-6</v>
      </c>
      <c r="AA173" s="147">
        <f t="shared" ca="1" si="55"/>
        <v>1.483905103412408E-3</v>
      </c>
      <c r="AB173" s="147">
        <f t="shared" ca="1" si="56"/>
        <v>1.2360368392052279E-3</v>
      </c>
      <c r="AC173" s="147">
        <f t="shared" ca="1" si="57"/>
        <v>1.1948149582202785E-3</v>
      </c>
      <c r="AD173" s="147">
        <f t="shared" ca="1" si="58"/>
        <v>7.4055120663356669E-4</v>
      </c>
      <c r="AH173" s="147">
        <f t="shared" si="69"/>
        <v>532</v>
      </c>
      <c r="AI173" s="147">
        <f>IF($AH173&gt;$AH172,INDEX(Spectra!173:173,1,MATCH($AI$20,Spectra!$20:$20,0)),AI172)</f>
        <v>107.032</v>
      </c>
      <c r="AJ173" s="147">
        <f>((Physics!$C$9*Physics!$C$10)/(Physics!$C$11*Physics!$C$12*$AH173))^($AJ$17-$AJ$18)</f>
        <v>2.6788998959366231E+18</v>
      </c>
      <c r="AK173" s="147">
        <f t="shared" si="70"/>
        <v>1</v>
      </c>
      <c r="AL173" s="147">
        <f>INDEX(Photobiology!$21:$421,1+$AH173-380,10)</f>
        <v>0.88496240000000004</v>
      </c>
      <c r="AM173" s="147">
        <f t="shared" si="71"/>
        <v>1.4829926200342195E-3</v>
      </c>
      <c r="AN173" s="147">
        <f ca="1">INDEX(Photobiology!$21:$421,1+$AH173-380,AN$14)</f>
        <v>5.9777700000000003E-3</v>
      </c>
      <c r="AO173" s="147">
        <f ca="1">INDEX(Photobiology!$21:$421,1+$AH173-380,AO$14)</f>
        <v>0.96996599999999999</v>
      </c>
      <c r="AP173" s="147">
        <f ca="1">INDEX(Photobiology!$21:$421,1+$AH173-380,AP$14)</f>
        <v>0.80794500000000002</v>
      </c>
      <c r="AQ173" s="147">
        <f ca="1">INDEX(Photobiology!$21:$421,1+$AH173-380,AQ$14)</f>
        <v>0.78100000000000003</v>
      </c>
      <c r="AR173" s="147">
        <f ca="1">INDEX(Photobiology!$21:$421,1+$AH173-380,AR$14)</f>
        <v>0.48406700000000003</v>
      </c>
      <c r="AS173" s="147">
        <f t="shared" si="72"/>
        <v>3972788775484450.5</v>
      </c>
      <c r="AT173" s="147">
        <f ca="1">INDEX(Photobiology!$21:$421,1+$AH173-380,AT$14)</f>
        <v>5.0275116353661548E-3</v>
      </c>
      <c r="AU173" s="147">
        <f ca="1">INDEX(Photobiology!$21:$421,1+$AH173-380,AU$14)</f>
        <v>0.98560556723859616</v>
      </c>
      <c r="AV173" s="147">
        <f ca="1">INDEX(Photobiology!$21:$421,1+$AH173-380,AV$14)</f>
        <v>0.86066194884520575</v>
      </c>
      <c r="AW173" s="147">
        <f ca="1">INDEX(Photobiology!$21:$421,1+$AH173-380,AW$14)</f>
        <v>0.74212110014253285</v>
      </c>
      <c r="AX173" s="147">
        <f ca="1">INDEX(Photobiology!$21:$421,1+$AH173-380,AX$14)</f>
        <v>0.44491765943624362</v>
      </c>
      <c r="AY173" s="147">
        <f t="shared" si="59"/>
        <v>1.4829926200342195E-3</v>
      </c>
      <c r="AZ173" s="147">
        <f t="shared" ca="1" si="73"/>
        <v>8.8649887942619573E-6</v>
      </c>
      <c r="BA173" s="147">
        <f t="shared" ca="1" si="60"/>
        <v>1.4384524196841117E-3</v>
      </c>
      <c r="BB173" s="147">
        <f t="shared" ca="1" si="61"/>
        <v>1.1981764723935475E-3</v>
      </c>
      <c r="BC173" s="147">
        <f t="shared" ca="1" si="62"/>
        <v>1.1582172362467255E-3</v>
      </c>
      <c r="BD173" s="147">
        <f t="shared" ca="1" si="63"/>
        <v>7.1786778860210459E-4</v>
      </c>
    </row>
    <row r="174" spans="8:56" s="147" customFormat="1" ht="0.25" customHeight="1" x14ac:dyDescent="0.2">
      <c r="H174" s="147">
        <f t="shared" si="64"/>
        <v>533</v>
      </c>
      <c r="I174" s="147">
        <f>IF($H174&gt;$H173,INDEX(Spectra!174:174,1,MATCH($I$20,Spectra!$20:$20,0)),I173)</f>
        <v>1.51985366213487E-3</v>
      </c>
      <c r="J174" s="147">
        <f>((Physics!$C$9*Physics!$C$10)/(Physics!$C$11*Physics!$C$12*$H174))^($J$17-$J$18)</f>
        <v>2.6839354220568049E+18</v>
      </c>
      <c r="K174" s="147">
        <f t="shared" si="65"/>
        <v>1</v>
      </c>
      <c r="L174" s="147">
        <f>INDEX(Photobiology!$21:$421,1+$H174-380,10)</f>
        <v>0.8954936</v>
      </c>
      <c r="M174" s="147">
        <f t="shared" si="66"/>
        <v>1.51985366213487E-3</v>
      </c>
      <c r="N174" s="147">
        <f ca="1">INDEX(Photobiology!$21:$421,1+$H174-380,N$14)</f>
        <v>5.4579399999999997E-3</v>
      </c>
      <c r="O174" s="147">
        <f ca="1">INDEX(Photobiology!$21:$421,1+$H174-380,O$14)</f>
        <v>0.97374300000000003</v>
      </c>
      <c r="P174" s="147">
        <f ca="1">INDEX(Photobiology!$21:$421,1+$H174-380,P$14)</f>
        <v>0.81747800000000004</v>
      </c>
      <c r="Q174" s="147">
        <f ca="1">INDEX(Photobiology!$21:$421,1+$H174-380,Q$14)</f>
        <v>0.76500000000000001</v>
      </c>
      <c r="R174" s="147">
        <f ca="1">INDEX(Photobiology!$21:$421,1+$H174-380,R$14)</f>
        <v>0.46664299999999997</v>
      </c>
      <c r="S174" s="147">
        <f t="shared" si="67"/>
        <v>4079189080146533</v>
      </c>
      <c r="T174" s="147">
        <f ca="1">INDEX(Photobiology!$21:$421,1+$H174-380,T$14)</f>
        <v>4.5817043725895458E-3</v>
      </c>
      <c r="U174" s="147">
        <f ca="1">INDEX(Photobiology!$21:$421,1+$H174-380,U$14)</f>
        <v>0.98758710021613483</v>
      </c>
      <c r="V174" s="147">
        <f ca="1">INDEX(Photobiology!$21:$421,1+$H174-380,V$14)</f>
        <v>0.86918315691365911</v>
      </c>
      <c r="W174" s="147">
        <f ca="1">INDEX(Photobiology!$21:$421,1+$H174-380,W$14)</f>
        <v>0.72555377201021454</v>
      </c>
      <c r="X174" s="147">
        <f ca="1">INDEX(Photobiology!$21:$421,1+$H174-380,X$14)</f>
        <v>0.42809814486291586</v>
      </c>
      <c r="Y174" s="147">
        <f t="shared" si="54"/>
        <v>1.51985366213487E-3</v>
      </c>
      <c r="Z174" s="147">
        <f t="shared" ca="1" si="68"/>
        <v>8.2952700967123919E-6</v>
      </c>
      <c r="AA174" s="147">
        <f t="shared" ca="1" si="55"/>
        <v>1.4799468645281947E-3</v>
      </c>
      <c r="AB174" s="147">
        <f t="shared" ca="1" si="56"/>
        <v>1.2424469320146893E-3</v>
      </c>
      <c r="AC174" s="147">
        <f t="shared" ca="1" si="57"/>
        <v>1.1626880515331756E-3</v>
      </c>
      <c r="AD174" s="147">
        <f t="shared" ca="1" si="58"/>
        <v>7.0922907245960214E-4</v>
      </c>
      <c r="AH174" s="147">
        <f t="shared" si="69"/>
        <v>533</v>
      </c>
      <c r="AI174" s="147">
        <f>IF($AH174&gt;$AH173,INDEX(Spectra!174:174,1,MATCH($AI$20,Spectra!$20:$20,0)),AI173)</f>
        <v>106.70399999999999</v>
      </c>
      <c r="AJ174" s="147">
        <f>((Physics!$C$9*Physics!$C$10)/(Physics!$C$11*Physics!$C$12*$AH174))^($AJ$17-$AJ$18)</f>
        <v>2.6839354220568049E+18</v>
      </c>
      <c r="AK174" s="147">
        <f t="shared" si="70"/>
        <v>1</v>
      </c>
      <c r="AL174" s="147">
        <f>INDEX(Photobiology!$21:$421,1+$AH174-380,10)</f>
        <v>0.8954936</v>
      </c>
      <c r="AM174" s="147">
        <f t="shared" si="71"/>
        <v>1.4784479831090828E-3</v>
      </c>
      <c r="AN174" s="147">
        <f ca="1">INDEX(Photobiology!$21:$421,1+$AH174-380,AN$14)</f>
        <v>5.4579399999999997E-3</v>
      </c>
      <c r="AO174" s="147">
        <f ca="1">INDEX(Photobiology!$21:$421,1+$AH174-380,AO$14)</f>
        <v>0.97374300000000003</v>
      </c>
      <c r="AP174" s="147">
        <f ca="1">INDEX(Photobiology!$21:$421,1+$AH174-380,AP$14)</f>
        <v>0.81747800000000004</v>
      </c>
      <c r="AQ174" s="147">
        <f ca="1">INDEX(Photobiology!$21:$421,1+$AH174-380,AQ$14)</f>
        <v>0.76500000000000001</v>
      </c>
      <c r="AR174" s="147">
        <f ca="1">INDEX(Photobiology!$21:$421,1+$AH174-380,AR$14)</f>
        <v>0.46664299999999997</v>
      </c>
      <c r="AS174" s="147">
        <f t="shared" si="72"/>
        <v>3968058911534908</v>
      </c>
      <c r="AT174" s="147">
        <f ca="1">INDEX(Photobiology!$21:$421,1+$AH174-380,AT$14)</f>
        <v>4.5817043725895458E-3</v>
      </c>
      <c r="AU174" s="147">
        <f ca="1">INDEX(Photobiology!$21:$421,1+$AH174-380,AU$14)</f>
        <v>0.98758710021613483</v>
      </c>
      <c r="AV174" s="147">
        <f ca="1">INDEX(Photobiology!$21:$421,1+$AH174-380,AV$14)</f>
        <v>0.86918315691365911</v>
      </c>
      <c r="AW174" s="147">
        <f ca="1">INDEX(Photobiology!$21:$421,1+$AH174-380,AW$14)</f>
        <v>0.72555377201021454</v>
      </c>
      <c r="AX174" s="147">
        <f ca="1">INDEX(Photobiology!$21:$421,1+$AH174-380,AX$14)</f>
        <v>0.42809814486291586</v>
      </c>
      <c r="AY174" s="147">
        <f t="shared" si="59"/>
        <v>1.4784479831090828E-3</v>
      </c>
      <c r="AZ174" s="147">
        <f t="shared" ca="1" si="73"/>
        <v>8.0692803849303869E-6</v>
      </c>
      <c r="BA174" s="147">
        <f t="shared" ca="1" si="60"/>
        <v>1.4396283744165877E-3</v>
      </c>
      <c r="BB174" s="147">
        <f t="shared" ca="1" si="61"/>
        <v>1.2085987003360469E-3</v>
      </c>
      <c r="BC174" s="147">
        <f t="shared" ca="1" si="62"/>
        <v>1.1310127070784483E-3</v>
      </c>
      <c r="BD174" s="147">
        <f t="shared" ca="1" si="63"/>
        <v>6.8990740218197167E-4</v>
      </c>
    </row>
    <row r="175" spans="8:56" s="147" customFormat="1" ht="0.25" customHeight="1" x14ac:dyDescent="0.2">
      <c r="H175" s="147">
        <f t="shared" si="64"/>
        <v>534</v>
      </c>
      <c r="I175" s="147">
        <f>IF($H175&gt;$H174,INDEX(Spectra!175:175,1,MATCH($I$20,Spectra!$20:$20,0)),I174)</f>
        <v>1.51985366213487E-3</v>
      </c>
      <c r="J175" s="147">
        <f>((Physics!$C$9*Physics!$C$10)/(Physics!$C$11*Physics!$C$12*$H175))^($J$17-$J$18)</f>
        <v>2.6889709481769861E+18</v>
      </c>
      <c r="K175" s="147">
        <f t="shared" si="65"/>
        <v>1</v>
      </c>
      <c r="L175" s="147">
        <f>INDEX(Photobiology!$21:$421,1+$H175-380,10)</f>
        <v>0.9054432</v>
      </c>
      <c r="M175" s="147">
        <f t="shared" si="66"/>
        <v>1.51985366213487E-3</v>
      </c>
      <c r="N175" s="147">
        <f ca="1">INDEX(Photobiology!$21:$421,1+$H175-380,N$14)</f>
        <v>4.9812499999999996E-3</v>
      </c>
      <c r="O175" s="147">
        <f ca="1">INDEX(Photobiology!$21:$421,1+$H175-380,O$14)</f>
        <v>0.97753900000000005</v>
      </c>
      <c r="P175" s="147">
        <f ca="1">INDEX(Photobiology!$21:$421,1+$H175-380,P$14)</f>
        <v>0.82723899999999995</v>
      </c>
      <c r="Q175" s="147">
        <f ca="1">INDEX(Photobiology!$21:$421,1+$H175-380,Q$14)</f>
        <v>0.749</v>
      </c>
      <c r="R175" s="147">
        <f ca="1">INDEX(Photobiology!$21:$421,1+$H175-380,R$14)</f>
        <v>0.44944200000000001</v>
      </c>
      <c r="S175" s="147">
        <f t="shared" si="67"/>
        <v>4086842342961066</v>
      </c>
      <c r="T175" s="147">
        <f ca="1">INDEX(Photobiology!$21:$421,1+$H175-380,T$14)</f>
        <v>4.1737131457540806E-3</v>
      </c>
      <c r="U175" s="147">
        <f ca="1">INDEX(Photobiology!$21:$421,1+$H175-380,U$14)</f>
        <v>0.98958044576618709</v>
      </c>
      <c r="V175" s="147">
        <f ca="1">INDEX(Photobiology!$21:$421,1+$H175-380,V$14)</f>
        <v>0.87791441728232522</v>
      </c>
      <c r="W175" s="147">
        <f ca="1">INDEX(Photobiology!$21:$421,1+$H175-380,W$14)</f>
        <v>0.70904849379599466</v>
      </c>
      <c r="X175" s="147">
        <f ca="1">INDEX(Photobiology!$21:$421,1+$H175-380,X$14)</f>
        <v>0.41154582174883375</v>
      </c>
      <c r="Y175" s="147">
        <f t="shared" si="54"/>
        <v>1.51985366213487E-3</v>
      </c>
      <c r="Z175" s="147">
        <f t="shared" ca="1" si="68"/>
        <v>7.5707710545093207E-6</v>
      </c>
      <c r="AA175" s="147">
        <f t="shared" ca="1" si="55"/>
        <v>1.4857162290296587E-3</v>
      </c>
      <c r="AB175" s="147">
        <f t="shared" ca="1" si="56"/>
        <v>1.2572822236107876E-3</v>
      </c>
      <c r="AC175" s="147">
        <f t="shared" ca="1" si="57"/>
        <v>1.1383703929390176E-3</v>
      </c>
      <c r="AD175" s="147">
        <f t="shared" ca="1" si="58"/>
        <v>6.8308606961722026E-4</v>
      </c>
      <c r="AH175" s="147">
        <f t="shared" si="69"/>
        <v>534</v>
      </c>
      <c r="AI175" s="147">
        <f>IF($AH175&gt;$AH174,INDEX(Spectra!175:175,1,MATCH($AI$20,Spectra!$20:$20,0)),AI174)</f>
        <v>106.375</v>
      </c>
      <c r="AJ175" s="147">
        <f>((Physics!$C$9*Physics!$C$10)/(Physics!$C$11*Physics!$C$12*$AH175))^($AJ$17-$AJ$18)</f>
        <v>2.6889709481769861E+18</v>
      </c>
      <c r="AK175" s="147">
        <f t="shared" si="70"/>
        <v>1</v>
      </c>
      <c r="AL175" s="147">
        <f>INDEX(Photobiology!$21:$421,1+$AH175-380,10)</f>
        <v>0.9054432</v>
      </c>
      <c r="AM175" s="147">
        <f t="shared" si="71"/>
        <v>1.4738894905835648E-3</v>
      </c>
      <c r="AN175" s="147">
        <f ca="1">INDEX(Photobiology!$21:$421,1+$AH175-380,AN$14)</f>
        <v>4.9812499999999996E-3</v>
      </c>
      <c r="AO175" s="147">
        <f ca="1">INDEX(Photobiology!$21:$421,1+$AH175-380,AO$14)</f>
        <v>0.97753900000000005</v>
      </c>
      <c r="AP175" s="147">
        <f ca="1">INDEX(Photobiology!$21:$421,1+$AH175-380,AP$14)</f>
        <v>0.82723899999999995</v>
      </c>
      <c r="AQ175" s="147">
        <f ca="1">INDEX(Photobiology!$21:$421,1+$AH175-380,AQ$14)</f>
        <v>0.749</v>
      </c>
      <c r="AR175" s="147">
        <f ca="1">INDEX(Photobiology!$21:$421,1+$AH175-380,AR$14)</f>
        <v>0.44944200000000001</v>
      </c>
      <c r="AS175" s="147">
        <f t="shared" si="72"/>
        <v>3963246021002583.5</v>
      </c>
      <c r="AT175" s="147">
        <f ca="1">INDEX(Photobiology!$21:$421,1+$AH175-380,AT$14)</f>
        <v>4.1737131457540806E-3</v>
      </c>
      <c r="AU175" s="147">
        <f ca="1">INDEX(Photobiology!$21:$421,1+$AH175-380,AU$14)</f>
        <v>0.98958044576618709</v>
      </c>
      <c r="AV175" s="147">
        <f ca="1">INDEX(Photobiology!$21:$421,1+$AH175-380,AV$14)</f>
        <v>0.87791441728232522</v>
      </c>
      <c r="AW175" s="147">
        <f ca="1">INDEX(Photobiology!$21:$421,1+$AH175-380,AW$14)</f>
        <v>0.70904849379599466</v>
      </c>
      <c r="AX175" s="147">
        <f ca="1">INDEX(Photobiology!$21:$421,1+$AH175-380,AX$14)</f>
        <v>0.41154582174883375</v>
      </c>
      <c r="AY175" s="147">
        <f t="shared" si="59"/>
        <v>1.4738894905835648E-3</v>
      </c>
      <c r="AZ175" s="147">
        <f t="shared" ca="1" si="73"/>
        <v>7.3418120249693819E-6</v>
      </c>
      <c r="BA175" s="147">
        <f t="shared" ca="1" si="60"/>
        <v>1.4407844587355674E-3</v>
      </c>
      <c r="BB175" s="147">
        <f t="shared" ca="1" si="61"/>
        <v>1.2192588683008574E-3</v>
      </c>
      <c r="BC175" s="147">
        <f t="shared" ca="1" si="62"/>
        <v>1.10394322844709E-3</v>
      </c>
      <c r="BD175" s="147">
        <f t="shared" ca="1" si="63"/>
        <v>6.6242784042685858E-4</v>
      </c>
    </row>
    <row r="176" spans="8:56" s="147" customFormat="1" ht="0.25" customHeight="1" x14ac:dyDescent="0.2">
      <c r="H176" s="147">
        <f t="shared" si="64"/>
        <v>535</v>
      </c>
      <c r="I176" s="147">
        <f>IF($H176&gt;$H175,INDEX(Spectra!176:176,1,MATCH($I$20,Spectra!$20:$20,0)),I175)</f>
        <v>1.52485318076031E-3</v>
      </c>
      <c r="J176" s="147">
        <f>((Physics!$C$9*Physics!$C$10)/(Physics!$C$11*Physics!$C$12*$H176))^($J$17-$J$18)</f>
        <v>2.6940064742971679E+18</v>
      </c>
      <c r="K176" s="147">
        <f t="shared" si="65"/>
        <v>1</v>
      </c>
      <c r="L176" s="147">
        <f>INDEX(Photobiology!$21:$421,1+$H176-380,10)</f>
        <v>0.9148501</v>
      </c>
      <c r="M176" s="147">
        <f t="shared" si="66"/>
        <v>1.52485318076031E-3</v>
      </c>
      <c r="N176" s="147">
        <f ca="1">INDEX(Photobiology!$21:$421,1+$H176-380,N$14)</f>
        <v>4.5428700000000001E-3</v>
      </c>
      <c r="O176" s="147">
        <f ca="1">INDEX(Photobiology!$21:$421,1+$H176-380,O$14)</f>
        <v>0.98148100000000005</v>
      </c>
      <c r="P176" s="147">
        <f ca="1">INDEX(Photobiology!$21:$421,1+$H176-380,P$14)</f>
        <v>0.83740300000000001</v>
      </c>
      <c r="Q176" s="147">
        <f ca="1">INDEX(Photobiology!$21:$421,1+$H176-380,Q$14)</f>
        <v>0.73299999999999998</v>
      </c>
      <c r="R176" s="147">
        <f ca="1">INDEX(Photobiology!$21:$421,1+$H176-380,R$14)</f>
        <v>0.432533</v>
      </c>
      <c r="S176" s="147">
        <f t="shared" si="67"/>
        <v>4107964341320904.5</v>
      </c>
      <c r="T176" s="147">
        <f ca="1">INDEX(Photobiology!$21:$421,1+$H176-380,T$14)</f>
        <v>3.7992864836907691E-3</v>
      </c>
      <c r="U176" s="147">
        <f ca="1">INDEX(Photobiology!$21:$421,1+$H176-380,U$14)</f>
        <v>0.99171386174437304</v>
      </c>
      <c r="V176" s="147">
        <f ca="1">INDEX(Photobiology!$21:$421,1+$H176-380,V$14)</f>
        <v>0.8870399251840746</v>
      </c>
      <c r="W176" s="147">
        <f ca="1">INDEX(Photobiology!$21:$421,1+$H176-380,W$14)</f>
        <v>0.69260491755640752</v>
      </c>
      <c r="X176" s="147">
        <f ca="1">INDEX(Photobiology!$21:$421,1+$H176-380,X$14)</f>
        <v>0.39532225576526009</v>
      </c>
      <c r="Y176" s="147">
        <f t="shared" si="54"/>
        <v>1.52485318076031E-3</v>
      </c>
      <c r="Z176" s="147">
        <f t="shared" ca="1" si="68"/>
        <v>6.9272097692805895E-6</v>
      </c>
      <c r="AA176" s="147">
        <f t="shared" ca="1" si="55"/>
        <v>1.4966144247058099E-3</v>
      </c>
      <c r="AB176" s="147">
        <f t="shared" ca="1" si="56"/>
        <v>1.276916628128226E-3</v>
      </c>
      <c r="AC176" s="147">
        <f t="shared" ca="1" si="57"/>
        <v>1.1177173814973071E-3</v>
      </c>
      <c r="AD176" s="147">
        <f t="shared" ca="1" si="58"/>
        <v>6.5954932083379914E-4</v>
      </c>
      <c r="AH176" s="147">
        <f t="shared" si="69"/>
        <v>535</v>
      </c>
      <c r="AI176" s="147">
        <f>IF($AH176&gt;$AH175,INDEX(Spectra!176:176,1,MATCH($AI$20,Spectra!$20:$20,0)),AI175)</f>
        <v>106.047</v>
      </c>
      <c r="AJ176" s="147">
        <f>((Physics!$C$9*Physics!$C$10)/(Physics!$C$11*Physics!$C$12*$AH176))^($AJ$17-$AJ$18)</f>
        <v>2.6940064742971679E+18</v>
      </c>
      <c r="AK176" s="147">
        <f t="shared" si="70"/>
        <v>1</v>
      </c>
      <c r="AL176" s="147">
        <f>INDEX(Photobiology!$21:$421,1+$AH176-380,10)</f>
        <v>0.9148501</v>
      </c>
      <c r="AM176" s="147">
        <f t="shared" si="71"/>
        <v>1.469344853658428E-3</v>
      </c>
      <c r="AN176" s="147">
        <f ca="1">INDEX(Photobiology!$21:$421,1+$AH176-380,AN$14)</f>
        <v>4.5428700000000001E-3</v>
      </c>
      <c r="AO176" s="147">
        <f ca="1">INDEX(Photobiology!$21:$421,1+$AH176-380,AO$14)</f>
        <v>0.98148100000000005</v>
      </c>
      <c r="AP176" s="147">
        <f ca="1">INDEX(Photobiology!$21:$421,1+$AH176-380,AP$14)</f>
        <v>0.83740300000000001</v>
      </c>
      <c r="AQ176" s="147">
        <f ca="1">INDEX(Photobiology!$21:$421,1+$AH176-380,AQ$14)</f>
        <v>0.73299999999999998</v>
      </c>
      <c r="AR176" s="147">
        <f ca="1">INDEX(Photobiology!$21:$421,1+$AH176-380,AR$14)</f>
        <v>0.432533</v>
      </c>
      <c r="AS176" s="147">
        <f t="shared" si="72"/>
        <v>3958424548731030</v>
      </c>
      <c r="AT176" s="147">
        <f ca="1">INDEX(Photobiology!$21:$421,1+$AH176-380,AT$14)</f>
        <v>3.7992864836907691E-3</v>
      </c>
      <c r="AU176" s="147">
        <f ca="1">INDEX(Photobiology!$21:$421,1+$AH176-380,AU$14)</f>
        <v>0.99171386174437304</v>
      </c>
      <c r="AV176" s="147">
        <f ca="1">INDEX(Photobiology!$21:$421,1+$AH176-380,AV$14)</f>
        <v>0.8870399251840746</v>
      </c>
      <c r="AW176" s="147">
        <f ca="1">INDEX(Photobiology!$21:$421,1+$AH176-380,AW$14)</f>
        <v>0.69260491755640752</v>
      </c>
      <c r="AX176" s="147">
        <f ca="1">INDEX(Photobiology!$21:$421,1+$AH176-380,AX$14)</f>
        <v>0.39532225576526009</v>
      </c>
      <c r="AY176" s="147">
        <f t="shared" si="59"/>
        <v>1.469344853658428E-3</v>
      </c>
      <c r="AZ176" s="147">
        <f t="shared" ca="1" si="73"/>
        <v>6.6750426553392628E-6</v>
      </c>
      <c r="BA176" s="147">
        <f t="shared" ca="1" si="60"/>
        <v>1.4421340563135277E-3</v>
      </c>
      <c r="BB176" s="147">
        <f t="shared" ca="1" si="61"/>
        <v>1.2304337884881287E-3</v>
      </c>
      <c r="BC176" s="147">
        <f t="shared" ca="1" si="62"/>
        <v>1.0770297777316278E-3</v>
      </c>
      <c r="BD176" s="147">
        <f t="shared" ca="1" si="63"/>
        <v>6.3554013758744087E-4</v>
      </c>
    </row>
    <row r="177" spans="8:56" s="147" customFormat="1" ht="0.25" customHeight="1" x14ac:dyDescent="0.2">
      <c r="H177" s="147">
        <f t="shared" si="64"/>
        <v>536</v>
      </c>
      <c r="I177" s="147">
        <f>IF($H177&gt;$H176,INDEX(Spectra!177:177,1,MATCH($I$20,Spectra!$20:$20,0)),I176)</f>
        <v>1.52485318076031E-3</v>
      </c>
      <c r="J177" s="147">
        <f>((Physics!$C$9*Physics!$C$10)/(Physics!$C$11*Physics!$C$12*$H177))^($J$17-$J$18)</f>
        <v>2.6990420004173496E+18</v>
      </c>
      <c r="K177" s="147">
        <f t="shared" si="65"/>
        <v>1</v>
      </c>
      <c r="L177" s="147">
        <f>INDEX(Photobiology!$21:$421,1+$H177-380,10)</f>
        <v>0.92373479999999997</v>
      </c>
      <c r="M177" s="147">
        <f t="shared" si="66"/>
        <v>1.52485318076031E-3</v>
      </c>
      <c r="N177" s="147">
        <f ca="1">INDEX(Photobiology!$21:$421,1+$H177-380,N$14)</f>
        <v>4.1390799999999998E-3</v>
      </c>
      <c r="O177" s="147">
        <f ca="1">INDEX(Photobiology!$21:$421,1+$H177-380,O$14)</f>
        <v>0.98562899999999998</v>
      </c>
      <c r="P177" s="147">
        <f ca="1">INDEX(Photobiology!$21:$421,1+$H177-380,P$14)</f>
        <v>0.848078</v>
      </c>
      <c r="Q177" s="147">
        <f ca="1">INDEX(Photobiology!$21:$421,1+$H177-380,Q$14)</f>
        <v>0.71699999999999997</v>
      </c>
      <c r="R177" s="147">
        <f ca="1">INDEX(Photobiology!$21:$421,1+$H177-380,R$14)</f>
        <v>0.41586200000000001</v>
      </c>
      <c r="S177" s="147">
        <f t="shared" si="67"/>
        <v>4115642779342065.5</v>
      </c>
      <c r="T177" s="147">
        <f ca="1">INDEX(Photobiology!$21:$421,1+$H177-380,T$14)</f>
        <v>3.4551312242974753E-3</v>
      </c>
      <c r="U177" s="147">
        <f ca="1">INDEX(Photobiology!$21:$421,1+$H177-380,U$14)</f>
        <v>0.99404707662341785</v>
      </c>
      <c r="V177" s="147">
        <f ca="1">INDEX(Photobiology!$21:$421,1+$H177-380,V$14)</f>
        <v>0.89667166225585404</v>
      </c>
      <c r="W177" s="147">
        <f ca="1">INDEX(Photobiology!$21:$421,1+$H177-380,W$14)</f>
        <v>0.6762226979445799</v>
      </c>
      <c r="X177" s="147">
        <f ca="1">INDEX(Photobiology!$21:$421,1+$H177-380,X$14)</f>
        <v>0.37937634454400326</v>
      </c>
      <c r="Y177" s="147">
        <f t="shared" si="54"/>
        <v>1.52485318076031E-3</v>
      </c>
      <c r="Z177" s="147">
        <f t="shared" ca="1" si="68"/>
        <v>6.311489303421384E-6</v>
      </c>
      <c r="AA177" s="147">
        <f t="shared" ca="1" si="55"/>
        <v>1.5029395156996035E-3</v>
      </c>
      <c r="AB177" s="147">
        <f t="shared" ca="1" si="56"/>
        <v>1.2931944358328422E-3</v>
      </c>
      <c r="AC177" s="147">
        <f t="shared" ca="1" si="57"/>
        <v>1.0933197306051423E-3</v>
      </c>
      <c r="AD177" s="147">
        <f t="shared" ca="1" si="58"/>
        <v>6.3412849345734408E-4</v>
      </c>
      <c r="AH177" s="147">
        <f t="shared" si="69"/>
        <v>536</v>
      </c>
      <c r="AI177" s="147">
        <f>IF($AH177&gt;$AH176,INDEX(Spectra!177:177,1,MATCH($AI$20,Spectra!$20:$20,0)),AI176)</f>
        <v>105.71899999999999</v>
      </c>
      <c r="AJ177" s="147">
        <f>((Physics!$C$9*Physics!$C$10)/(Physics!$C$11*Physics!$C$12*$AH177))^($AJ$17-$AJ$18)</f>
        <v>2.6990420004173496E+18</v>
      </c>
      <c r="AK177" s="147">
        <f t="shared" si="70"/>
        <v>1</v>
      </c>
      <c r="AL177" s="147">
        <f>INDEX(Photobiology!$21:$421,1+$AH177-380,10)</f>
        <v>0.92373479999999997</v>
      </c>
      <c r="AM177" s="147">
        <f t="shared" si="71"/>
        <v>1.4648002167332915E-3</v>
      </c>
      <c r="AN177" s="147">
        <f ca="1">INDEX(Photobiology!$21:$421,1+$AH177-380,AN$14)</f>
        <v>4.1390799999999998E-3</v>
      </c>
      <c r="AO177" s="147">
        <f ca="1">INDEX(Photobiology!$21:$421,1+$AH177-380,AO$14)</f>
        <v>0.98562899999999998</v>
      </c>
      <c r="AP177" s="147">
        <f ca="1">INDEX(Photobiology!$21:$421,1+$AH177-380,AP$14)</f>
        <v>0.848078</v>
      </c>
      <c r="AQ177" s="147">
        <f ca="1">INDEX(Photobiology!$21:$421,1+$AH177-380,AQ$14)</f>
        <v>0.71699999999999997</v>
      </c>
      <c r="AR177" s="147">
        <f ca="1">INDEX(Photobiology!$21:$421,1+$AH177-380,AR$14)</f>
        <v>0.41586200000000001</v>
      </c>
      <c r="AS177" s="147">
        <f t="shared" si="72"/>
        <v>3953557307183590.5</v>
      </c>
      <c r="AT177" s="147">
        <f ca="1">INDEX(Photobiology!$21:$421,1+$AH177-380,AT$14)</f>
        <v>3.4551312242974753E-3</v>
      </c>
      <c r="AU177" s="147">
        <f ca="1">INDEX(Photobiology!$21:$421,1+$AH177-380,AU$14)</f>
        <v>0.99404707662341785</v>
      </c>
      <c r="AV177" s="147">
        <f ca="1">INDEX(Photobiology!$21:$421,1+$AH177-380,AV$14)</f>
        <v>0.89667166225585404</v>
      </c>
      <c r="AW177" s="147">
        <f ca="1">INDEX(Photobiology!$21:$421,1+$AH177-380,AW$14)</f>
        <v>0.6762226979445799</v>
      </c>
      <c r="AX177" s="147">
        <f ca="1">INDEX(Photobiology!$21:$421,1+$AH177-380,AX$14)</f>
        <v>0.37937634454400326</v>
      </c>
      <c r="AY177" s="147">
        <f t="shared" si="59"/>
        <v>1.4648002167332915E-3</v>
      </c>
      <c r="AZ177" s="147">
        <f t="shared" ca="1" si="73"/>
        <v>6.0629252810764317E-6</v>
      </c>
      <c r="BA177" s="147">
        <f t="shared" ca="1" si="60"/>
        <v>1.4437495728186174E-3</v>
      </c>
      <c r="BB177" s="147">
        <f t="shared" ca="1" si="61"/>
        <v>1.2422648382067363E-3</v>
      </c>
      <c r="BC177" s="147">
        <f t="shared" ca="1" si="62"/>
        <v>1.05026175539777E-3</v>
      </c>
      <c r="BD177" s="147">
        <f t="shared" ca="1" si="63"/>
        <v>6.0915474773114012E-4</v>
      </c>
    </row>
    <row r="178" spans="8:56" s="147" customFormat="1" ht="0.25" customHeight="1" x14ac:dyDescent="0.2">
      <c r="H178" s="147">
        <f t="shared" si="64"/>
        <v>537</v>
      </c>
      <c r="I178" s="147">
        <f>IF($H178&gt;$H177,INDEX(Spectra!178:178,1,MATCH($I$20,Spectra!$20:$20,0)),I177)</f>
        <v>1.51985366213487E-3</v>
      </c>
      <c r="J178" s="147">
        <f>((Physics!$C$9*Physics!$C$10)/(Physics!$C$11*Physics!$C$12*$H178))^($J$17-$J$18)</f>
        <v>2.7040775265375309E+18</v>
      </c>
      <c r="K178" s="147">
        <f t="shared" si="65"/>
        <v>1</v>
      </c>
      <c r="L178" s="147">
        <f>INDEX(Photobiology!$21:$421,1+$H178-380,10)</f>
        <v>0.93209240000000004</v>
      </c>
      <c r="M178" s="147">
        <f t="shared" si="66"/>
        <v>1.51985366213487E-3</v>
      </c>
      <c r="N178" s="147">
        <f ca="1">INDEX(Photobiology!$21:$421,1+$H178-380,N$14)</f>
        <v>3.76794E-3</v>
      </c>
      <c r="O178" s="147">
        <f ca="1">INDEX(Photobiology!$21:$421,1+$H178-380,O$14)</f>
        <v>0.98975400000000002</v>
      </c>
      <c r="P178" s="147">
        <f ca="1">INDEX(Photobiology!$21:$421,1+$H178-380,P$14)</f>
        <v>0.85906400000000005</v>
      </c>
      <c r="Q178" s="147">
        <f ca="1">INDEX(Photobiology!$21:$421,1+$H178-380,Q$14)</f>
        <v>0.7</v>
      </c>
      <c r="R178" s="147">
        <f ca="1">INDEX(Photobiology!$21:$421,1+$H178-380,R$14)</f>
        <v>0.399372</v>
      </c>
      <c r="S178" s="147">
        <f t="shared" si="67"/>
        <v>4109802131404667.5</v>
      </c>
      <c r="T178" s="147">
        <f ca="1">INDEX(Photobiology!$21:$421,1+$H178-380,T$14)</f>
        <v>3.139461838266066E-3</v>
      </c>
      <c r="U178" s="147">
        <f ca="1">INDEX(Photobiology!$21:$421,1+$H178-380,U$14)</f>
        <v>0.99634844844669679</v>
      </c>
      <c r="V178" s="147">
        <f ca="1">INDEX(Photobiology!$21:$421,1+$H178-380,V$14)</f>
        <v>0.90659573446615005</v>
      </c>
      <c r="W178" s="147">
        <f ca="1">INDEX(Photobiology!$21:$421,1+$H178-380,W$14)</f>
        <v>0.65896012058521924</v>
      </c>
      <c r="X178" s="147">
        <f ca="1">INDEX(Photobiology!$21:$421,1+$H178-380,X$14)</f>
        <v>0.36365463466913239</v>
      </c>
      <c r="Y178" s="147">
        <f t="shared" si="54"/>
        <v>1.51985366213487E-3</v>
      </c>
      <c r="Z178" s="147">
        <f t="shared" ca="1" si="68"/>
        <v>5.7267174077044619E-6</v>
      </c>
      <c r="AA178" s="147">
        <f t="shared" ca="1" si="55"/>
        <v>1.5042812415126362E-3</v>
      </c>
      <c r="AB178" s="147">
        <f t="shared" ca="1" si="56"/>
        <v>1.3056515664082301E-3</v>
      </c>
      <c r="AC178" s="147">
        <f t="shared" ca="1" si="57"/>
        <v>1.063897563494409E-3</v>
      </c>
      <c r="AD178" s="147">
        <f t="shared" ca="1" si="58"/>
        <v>6.0698699675412727E-4</v>
      </c>
      <c r="AH178" s="147">
        <f t="shared" si="69"/>
        <v>537</v>
      </c>
      <c r="AI178" s="147">
        <f>IF($AH178&gt;$AH177,INDEX(Spectra!178:178,1,MATCH($AI$20,Spectra!$20:$20,0)),AI177)</f>
        <v>105.39</v>
      </c>
      <c r="AJ178" s="147">
        <f>((Physics!$C$9*Physics!$C$10)/(Physics!$C$11*Physics!$C$12*$AH178))^($AJ$17-$AJ$18)</f>
        <v>2.7040775265375309E+18</v>
      </c>
      <c r="AK178" s="147">
        <f t="shared" si="70"/>
        <v>1</v>
      </c>
      <c r="AL178" s="147">
        <f>INDEX(Photobiology!$21:$421,1+$AH178-380,10)</f>
        <v>0.93209240000000004</v>
      </c>
      <c r="AM178" s="147">
        <f t="shared" si="71"/>
        <v>1.4602417242077733E-3</v>
      </c>
      <c r="AN178" s="147">
        <f ca="1">INDEX(Photobiology!$21:$421,1+$AH178-380,AN$14)</f>
        <v>3.76794E-3</v>
      </c>
      <c r="AO178" s="147">
        <f ca="1">INDEX(Photobiology!$21:$421,1+$AH178-380,AO$14)</f>
        <v>0.98975400000000002</v>
      </c>
      <c r="AP178" s="147">
        <f ca="1">INDEX(Photobiology!$21:$421,1+$AH178-380,AP$14)</f>
        <v>0.85906400000000005</v>
      </c>
      <c r="AQ178" s="147">
        <f ca="1">INDEX(Photobiology!$21:$421,1+$AH178-380,AQ$14)</f>
        <v>0.7</v>
      </c>
      <c r="AR178" s="147">
        <f ca="1">INDEX(Photobiology!$21:$421,1+$AH178-380,AR$14)</f>
        <v>0.399372</v>
      </c>
      <c r="AS178" s="147">
        <f t="shared" si="72"/>
        <v>3948606829742655</v>
      </c>
      <c r="AT178" s="147">
        <f ca="1">INDEX(Photobiology!$21:$421,1+$AH178-380,AT$14)</f>
        <v>3.139461838266066E-3</v>
      </c>
      <c r="AU178" s="147">
        <f ca="1">INDEX(Photobiology!$21:$421,1+$AH178-380,AU$14)</f>
        <v>0.99634844844669679</v>
      </c>
      <c r="AV178" s="147">
        <f ca="1">INDEX(Photobiology!$21:$421,1+$AH178-380,AV$14)</f>
        <v>0.90659573446615005</v>
      </c>
      <c r="AW178" s="147">
        <f ca="1">INDEX(Photobiology!$21:$421,1+$AH178-380,AW$14)</f>
        <v>0.65896012058521924</v>
      </c>
      <c r="AX178" s="147">
        <f ca="1">INDEX(Photobiology!$21:$421,1+$AH178-380,AX$14)</f>
        <v>0.36365463466913239</v>
      </c>
      <c r="AY178" s="147">
        <f t="shared" si="59"/>
        <v>1.4602417242077733E-3</v>
      </c>
      <c r="AZ178" s="147">
        <f t="shared" ca="1" si="73"/>
        <v>5.5021032023114377E-6</v>
      </c>
      <c r="BA178" s="147">
        <f t="shared" ca="1" si="60"/>
        <v>1.4452800875015405E-3</v>
      </c>
      <c r="BB178" s="147">
        <f t="shared" ca="1" si="61"/>
        <v>1.2544410965648267E-3</v>
      </c>
      <c r="BC178" s="147">
        <f t="shared" ca="1" si="62"/>
        <v>1.0221692069454413E-3</v>
      </c>
      <c r="BD178" s="147">
        <f t="shared" ca="1" si="63"/>
        <v>5.8317965788030684E-4</v>
      </c>
    </row>
    <row r="179" spans="8:56" s="147" customFormat="1" ht="0.25" customHeight="1" x14ac:dyDescent="0.2">
      <c r="H179" s="147">
        <f t="shared" si="64"/>
        <v>538</v>
      </c>
      <c r="I179" s="147">
        <f>IF($H179&gt;$H178,INDEX(Spectra!179:179,1,MATCH($I$20,Spectra!$20:$20,0)),I178)</f>
        <v>1.50485510625854E-3</v>
      </c>
      <c r="J179" s="147">
        <f>((Physics!$C$9*Physics!$C$10)/(Physics!$C$11*Physics!$C$12*$H179))^($J$17-$J$18)</f>
        <v>2.7091130526577126E+18</v>
      </c>
      <c r="K179" s="147">
        <f t="shared" si="65"/>
        <v>1</v>
      </c>
      <c r="L179" s="147">
        <f>INDEX(Photobiology!$21:$421,1+$H179-380,10)</f>
        <v>0.93992260000000005</v>
      </c>
      <c r="M179" s="147">
        <f t="shared" si="66"/>
        <v>1.50485510625854E-3</v>
      </c>
      <c r="N179" s="147">
        <f ca="1">INDEX(Photobiology!$21:$421,1+$H179-380,N$14)</f>
        <v>3.4278300000000002E-3</v>
      </c>
      <c r="O179" s="147">
        <f ca="1">INDEX(Photobiology!$21:$421,1+$H179-380,O$14)</f>
        <v>0.99355099999999996</v>
      </c>
      <c r="P179" s="147">
        <f ca="1">INDEX(Photobiology!$21:$421,1+$H179-380,P$14)</f>
        <v>0.87006799999999995</v>
      </c>
      <c r="Q179" s="147">
        <f ca="1">INDEX(Photobiology!$21:$421,1+$H179-380,Q$14)</f>
        <v>0.68300000000000005</v>
      </c>
      <c r="R179" s="147">
        <f ca="1">INDEX(Photobiology!$21:$421,1+$H179-380,R$14)</f>
        <v>0.38313599999999998</v>
      </c>
      <c r="S179" s="147">
        <f t="shared" si="67"/>
        <v>4076822610723620</v>
      </c>
      <c r="T179" s="147">
        <f ca="1">INDEX(Photobiology!$21:$421,1+$H179-380,T$14)</f>
        <v>2.8507722012218882E-3</v>
      </c>
      <c r="U179" s="147">
        <f ca="1">INDEX(Photobiology!$21:$421,1+$H179-380,U$14)</f>
        <v>0.99831169334144598</v>
      </c>
      <c r="V179" s="147">
        <f ca="1">INDEX(Photobiology!$21:$421,1+$H179-380,V$14)</f>
        <v>0.91650187484047307</v>
      </c>
      <c r="W179" s="147">
        <f ca="1">INDEX(Photobiology!$21:$421,1+$H179-380,W$14)</f>
        <v>0.64176171637589352</v>
      </c>
      <c r="X179" s="147">
        <f ca="1">INDEX(Photobiology!$21:$421,1+$H179-380,X$14)</f>
        <v>0.34822222372542311</v>
      </c>
      <c r="Y179" s="147">
        <f t="shared" si="54"/>
        <v>1.50485510625854E-3</v>
      </c>
      <c r="Z179" s="147">
        <f t="shared" ca="1" si="68"/>
        <v>5.1583874788862117E-6</v>
      </c>
      <c r="AA179" s="147">
        <f t="shared" ca="1" si="55"/>
        <v>1.4951502956782785E-3</v>
      </c>
      <c r="AB179" s="147">
        <f t="shared" ca="1" si="56"/>
        <v>1.3093262725921552E-3</v>
      </c>
      <c r="AC179" s="147">
        <f t="shared" ca="1" si="57"/>
        <v>1.027816037574583E-3</v>
      </c>
      <c r="AD179" s="147">
        <f t="shared" ca="1" si="58"/>
        <v>5.7656416599147198E-4</v>
      </c>
      <c r="AH179" s="147">
        <f t="shared" si="69"/>
        <v>538</v>
      </c>
      <c r="AI179" s="147">
        <f>IF($AH179&gt;$AH178,INDEX(Spectra!179:179,1,MATCH($AI$20,Spectra!$20:$20,0)),AI178)</f>
        <v>105.062</v>
      </c>
      <c r="AJ179" s="147">
        <f>((Physics!$C$9*Physics!$C$10)/(Physics!$C$11*Physics!$C$12*$AH179))^($AJ$17-$AJ$18)</f>
        <v>2.7091130526577126E+18</v>
      </c>
      <c r="AK179" s="147">
        <f t="shared" si="70"/>
        <v>1</v>
      </c>
      <c r="AL179" s="147">
        <f>INDEX(Photobiology!$21:$421,1+$AH179-380,10)</f>
        <v>0.93992260000000005</v>
      </c>
      <c r="AM179" s="147">
        <f t="shared" si="71"/>
        <v>1.4556970872826368E-3</v>
      </c>
      <c r="AN179" s="147">
        <f ca="1">INDEX(Photobiology!$21:$421,1+$AH179-380,AN$14)</f>
        <v>3.4278300000000002E-3</v>
      </c>
      <c r="AO179" s="147">
        <f ca="1">INDEX(Photobiology!$21:$421,1+$AH179-380,AO$14)</f>
        <v>0.99355099999999996</v>
      </c>
      <c r="AP179" s="147">
        <f ca="1">INDEX(Photobiology!$21:$421,1+$AH179-380,AP$14)</f>
        <v>0.87006799999999995</v>
      </c>
      <c r="AQ179" s="147">
        <f ca="1">INDEX(Photobiology!$21:$421,1+$AH179-380,AQ$14)</f>
        <v>0.68300000000000005</v>
      </c>
      <c r="AR179" s="147">
        <f ca="1">INDEX(Photobiology!$21:$421,1+$AH179-380,AR$14)</f>
        <v>0.38313599999999998</v>
      </c>
      <c r="AS179" s="147">
        <f t="shared" si="72"/>
        <v>3943647979873205</v>
      </c>
      <c r="AT179" s="147">
        <f ca="1">INDEX(Photobiology!$21:$421,1+$AH179-380,AT$14)</f>
        <v>2.8507722012218882E-3</v>
      </c>
      <c r="AU179" s="147">
        <f ca="1">INDEX(Photobiology!$21:$421,1+$AH179-380,AU$14)</f>
        <v>0.99831169334144598</v>
      </c>
      <c r="AV179" s="147">
        <f ca="1">INDEX(Photobiology!$21:$421,1+$AH179-380,AV$14)</f>
        <v>0.91650187484047307</v>
      </c>
      <c r="AW179" s="147">
        <f ca="1">INDEX(Photobiology!$21:$421,1+$AH179-380,AW$14)</f>
        <v>0.64176171637589352</v>
      </c>
      <c r="AX179" s="147">
        <f ca="1">INDEX(Photobiology!$21:$421,1+$AH179-380,AX$14)</f>
        <v>0.34822222372542311</v>
      </c>
      <c r="AY179" s="147">
        <f t="shared" si="59"/>
        <v>1.4556970872826368E-3</v>
      </c>
      <c r="AZ179" s="147">
        <f t="shared" ca="1" si="73"/>
        <v>4.9898821467000411E-6</v>
      </c>
      <c r="BA179" s="147">
        <f t="shared" ca="1" si="60"/>
        <v>1.4463092967667509E-3</v>
      </c>
      <c r="BB179" s="147">
        <f t="shared" ca="1" si="61"/>
        <v>1.2665554533378292E-3</v>
      </c>
      <c r="BC179" s="147">
        <f t="shared" ca="1" si="62"/>
        <v>9.9424111061404102E-4</v>
      </c>
      <c r="BD179" s="147">
        <f t="shared" ca="1" si="63"/>
        <v>5.5772995923312032E-4</v>
      </c>
    </row>
    <row r="180" spans="8:56" s="147" customFormat="1" ht="0.25" customHeight="1" x14ac:dyDescent="0.2">
      <c r="H180" s="147">
        <f t="shared" si="64"/>
        <v>539</v>
      </c>
      <c r="I180" s="147">
        <f>IF($H180&gt;$H179,INDEX(Spectra!180:180,1,MATCH($I$20,Spectra!$20:$20,0)),I179)</f>
        <v>1.48485703175676E-3</v>
      </c>
      <c r="J180" s="147">
        <f>((Physics!$C$9*Physics!$C$10)/(Physics!$C$11*Physics!$C$12*$H180))^($J$17-$J$18)</f>
        <v>2.7141485787778949E+18</v>
      </c>
      <c r="K180" s="147">
        <f t="shared" si="65"/>
        <v>1</v>
      </c>
      <c r="L180" s="147">
        <f>INDEX(Photobiology!$21:$421,1+$H180-380,10)</f>
        <v>0.94722519999999999</v>
      </c>
      <c r="M180" s="147">
        <f t="shared" si="66"/>
        <v>1.48485703175676E-3</v>
      </c>
      <c r="N180" s="147">
        <f ca="1">INDEX(Photobiology!$21:$421,1+$H180-380,N$14)</f>
        <v>3.1169600000000002E-3</v>
      </c>
      <c r="O180" s="147">
        <f ca="1">INDEX(Photobiology!$21:$421,1+$H180-380,O$14)</f>
        <v>0.99671399999999999</v>
      </c>
      <c r="P180" s="147">
        <f ca="1">INDEX(Photobiology!$21:$421,1+$H180-380,P$14)</f>
        <v>0.88077899999999998</v>
      </c>
      <c r="Q180" s="147">
        <f ca="1">INDEX(Photobiology!$21:$421,1+$H180-380,Q$14)</f>
        <v>0.66700000000000004</v>
      </c>
      <c r="R180" s="147">
        <f ca="1">INDEX(Photobiology!$21:$421,1+$H180-380,R$14)</f>
        <v>0.36722399999999999</v>
      </c>
      <c r="S180" s="147">
        <f t="shared" si="67"/>
        <v>4030122602430973.5</v>
      </c>
      <c r="T180" s="147">
        <f ca="1">INDEX(Photobiology!$21:$421,1+$H180-380,T$14)</f>
        <v>2.5874262469066673E-3</v>
      </c>
      <c r="U180" s="147">
        <f ca="1">INDEX(Photobiology!$21:$421,1+$H180-380,U$14)</f>
        <v>0.9996317974861324</v>
      </c>
      <c r="V180" s="147">
        <f ca="1">INDEX(Photobiology!$21:$421,1+$H180-380,V$14)</f>
        <v>0.92606319349381572</v>
      </c>
      <c r="W180" s="147">
        <f ca="1">INDEX(Photobiology!$21:$421,1+$H180-380,W$14)</f>
        <v>0.62556500670843695</v>
      </c>
      <c r="X180" s="147">
        <f ca="1">INDEX(Photobiology!$21:$421,1+$H180-380,X$14)</f>
        <v>0.33314100463633761</v>
      </c>
      <c r="Y180" s="147">
        <f t="shared" si="54"/>
        <v>1.48485703175676E-3</v>
      </c>
      <c r="Z180" s="147">
        <f t="shared" ca="1" si="68"/>
        <v>4.6282399737045511E-6</v>
      </c>
      <c r="AA180" s="147">
        <f t="shared" ca="1" si="55"/>
        <v>1.4799777915504072E-3</v>
      </c>
      <c r="AB180" s="147">
        <f t="shared" ca="1" si="56"/>
        <v>1.3078308915736873E-3</v>
      </c>
      <c r="AC180" s="147">
        <f t="shared" ca="1" si="57"/>
        <v>9.9039964018175905E-4</v>
      </c>
      <c r="AD180" s="147">
        <f t="shared" ca="1" si="58"/>
        <v>5.4527513862984438E-4</v>
      </c>
      <c r="AH180" s="147">
        <f t="shared" si="69"/>
        <v>539</v>
      </c>
      <c r="AI180" s="147">
        <f>IF($AH180&gt;$AH179,INDEX(Spectra!180:180,1,MATCH($AI$20,Spectra!$20:$20,0)),AI179)</f>
        <v>104.733</v>
      </c>
      <c r="AJ180" s="147">
        <f>((Physics!$C$9*Physics!$C$10)/(Physics!$C$11*Physics!$C$12*$AH180))^($AJ$17-$AJ$18)</f>
        <v>2.7141485787778949E+18</v>
      </c>
      <c r="AK180" s="147">
        <f t="shared" si="70"/>
        <v>1</v>
      </c>
      <c r="AL180" s="147">
        <f>INDEX(Photobiology!$21:$421,1+$AH180-380,10)</f>
        <v>0.94722519999999999</v>
      </c>
      <c r="AM180" s="147">
        <f t="shared" si="71"/>
        <v>1.4511385947571186E-3</v>
      </c>
      <c r="AN180" s="147">
        <f ca="1">INDEX(Photobiology!$21:$421,1+$AH180-380,AN$14)</f>
        <v>3.1169600000000002E-3</v>
      </c>
      <c r="AO180" s="147">
        <f ca="1">INDEX(Photobiology!$21:$421,1+$AH180-380,AO$14)</f>
        <v>0.99671399999999999</v>
      </c>
      <c r="AP180" s="147">
        <f ca="1">INDEX(Photobiology!$21:$421,1+$AH180-380,AP$14)</f>
        <v>0.88077899999999998</v>
      </c>
      <c r="AQ180" s="147">
        <f ca="1">INDEX(Photobiology!$21:$421,1+$AH180-380,AQ$14)</f>
        <v>0.66700000000000004</v>
      </c>
      <c r="AR180" s="147">
        <f ca="1">INDEX(Photobiology!$21:$421,1+$AH180-380,AR$14)</f>
        <v>0.36722399999999999</v>
      </c>
      <c r="AS180" s="147">
        <f t="shared" si="72"/>
        <v>3938605754569785</v>
      </c>
      <c r="AT180" s="147">
        <f ca="1">INDEX(Photobiology!$21:$421,1+$AH180-380,AT$14)</f>
        <v>2.5874262469066673E-3</v>
      </c>
      <c r="AU180" s="147">
        <f ca="1">INDEX(Photobiology!$21:$421,1+$AH180-380,AU$14)</f>
        <v>0.9996317974861324</v>
      </c>
      <c r="AV180" s="147">
        <f ca="1">INDEX(Photobiology!$21:$421,1+$AH180-380,AV$14)</f>
        <v>0.92606319349381572</v>
      </c>
      <c r="AW180" s="147">
        <f ca="1">INDEX(Photobiology!$21:$421,1+$AH180-380,AW$14)</f>
        <v>0.62556500670843695</v>
      </c>
      <c r="AX180" s="147">
        <f ca="1">INDEX(Photobiology!$21:$421,1+$AH180-380,AX$14)</f>
        <v>0.33314100463633761</v>
      </c>
      <c r="AY180" s="147">
        <f t="shared" si="59"/>
        <v>1.4511385947571186E-3</v>
      </c>
      <c r="AZ180" s="147">
        <f t="shared" ca="1" si="73"/>
        <v>4.5231409543141485E-6</v>
      </c>
      <c r="BA180" s="147">
        <f t="shared" ca="1" si="60"/>
        <v>1.4463701533347466E-3</v>
      </c>
      <c r="BB180" s="147">
        <f t="shared" ca="1" si="61"/>
        <v>1.2781324003515802E-3</v>
      </c>
      <c r="BC180" s="147">
        <f t="shared" ca="1" si="62"/>
        <v>9.6790944270299815E-4</v>
      </c>
      <c r="BD180" s="147">
        <f t="shared" ca="1" si="63"/>
        <v>5.3289291932108809E-4</v>
      </c>
    </row>
    <row r="181" spans="8:56" s="147" customFormat="1" ht="0.25" customHeight="1" x14ac:dyDescent="0.2">
      <c r="H181" s="147">
        <f t="shared" si="64"/>
        <v>540</v>
      </c>
      <c r="I181" s="147">
        <f>IF($H181&gt;$H180,INDEX(Spectra!181:181,1,MATCH($I$20,Spectra!$20:$20,0)),I180)</f>
        <v>1.46485895725499E-3</v>
      </c>
      <c r="J181" s="147">
        <f>((Physics!$C$9*Physics!$C$10)/(Physics!$C$11*Physics!$C$12*$H181))^($J$17-$J$18)</f>
        <v>2.7191841048980762E+18</v>
      </c>
      <c r="K181" s="147">
        <f t="shared" si="65"/>
        <v>1</v>
      </c>
      <c r="L181" s="147">
        <f>INDEX(Photobiology!$21:$421,1+$H181-380,10)</f>
        <v>0.95399999999999996</v>
      </c>
      <c r="M181" s="147">
        <f t="shared" si="66"/>
        <v>1.46485895725499E-3</v>
      </c>
      <c r="N181" s="147">
        <f ca="1">INDEX(Photobiology!$21:$421,1+$H181-380,N$14)</f>
        <v>2.83352E-3</v>
      </c>
      <c r="O181" s="147">
        <f ca="1">INDEX(Photobiology!$21:$421,1+$H181-380,O$14)</f>
        <v>0.99893100000000001</v>
      </c>
      <c r="P181" s="147">
        <f ca="1">INDEX(Photobiology!$21:$421,1+$H181-380,P$14)</f>
        <v>0.89087099999999997</v>
      </c>
      <c r="Q181" s="147">
        <f ca="1">INDEX(Photobiology!$21:$421,1+$H181-380,Q$14)</f>
        <v>0.65</v>
      </c>
      <c r="R181" s="147">
        <f ca="1">INDEX(Photobiology!$21:$421,1+$H181-380,R$14)</f>
        <v>0.35170699999999999</v>
      </c>
      <c r="S181" s="147">
        <f t="shared" si="67"/>
        <v>3983221192485339</v>
      </c>
      <c r="T181" s="147">
        <f ca="1">INDEX(Photobiology!$21:$421,1+$H181-380,T$14)</f>
        <v>2.3477834565741136E-3</v>
      </c>
      <c r="U181" s="147">
        <f ca="1">INDEX(Photobiology!$21:$421,1+$H181-380,U$14)</f>
        <v>1</v>
      </c>
      <c r="V181" s="147">
        <f ca="1">INDEX(Photobiology!$21:$421,1+$H181-380,V$14)</f>
        <v>0.93493947994669679</v>
      </c>
      <c r="W181" s="147">
        <f ca="1">INDEX(Photobiology!$21:$421,1+$H181-380,W$14)</f>
        <v>0.60849214309595456</v>
      </c>
      <c r="X181" s="147">
        <f ca="1">INDEX(Photobiology!$21:$421,1+$H181-380,X$14)</f>
        <v>0.31847331736671297</v>
      </c>
      <c r="Y181" s="147">
        <f t="shared" si="54"/>
        <v>1.46485895725499E-3</v>
      </c>
      <c r="Z181" s="147">
        <f t="shared" ca="1" si="68"/>
        <v>4.1507071525611589E-6</v>
      </c>
      <c r="AA181" s="147">
        <f t="shared" ca="1" si="55"/>
        <v>1.4632930230296843E-3</v>
      </c>
      <c r="AB181" s="147">
        <f t="shared" ca="1" si="56"/>
        <v>1.3050003641087101E-3</v>
      </c>
      <c r="AC181" s="147">
        <f t="shared" ca="1" si="57"/>
        <v>9.5215832221574349E-4</v>
      </c>
      <c r="AD181" s="147">
        <f t="shared" ca="1" si="58"/>
        <v>5.1520114927928074E-4</v>
      </c>
      <c r="AH181" s="147">
        <f t="shared" si="69"/>
        <v>540</v>
      </c>
      <c r="AI181" s="147">
        <f>IF($AH181&gt;$AH180,INDEX(Spectra!181:181,1,MATCH($AI$20,Spectra!$20:$20,0)),AI180)</f>
        <v>104.405</v>
      </c>
      <c r="AJ181" s="147">
        <f>((Physics!$C$9*Physics!$C$10)/(Physics!$C$11*Physics!$C$12*$AH181))^($AJ$17-$AJ$18)</f>
        <v>2.7191841048980762E+18</v>
      </c>
      <c r="AK181" s="147">
        <f t="shared" si="70"/>
        <v>1</v>
      </c>
      <c r="AL181" s="147">
        <f>INDEX(Photobiology!$21:$421,1+$AH181-380,10)</f>
        <v>0.95399999999999996</v>
      </c>
      <c r="AM181" s="147">
        <f t="shared" si="71"/>
        <v>1.4465939578319821E-3</v>
      </c>
      <c r="AN181" s="147">
        <f ca="1">INDEX(Photobiology!$21:$421,1+$AH181-380,AN$14)</f>
        <v>2.83352E-3</v>
      </c>
      <c r="AO181" s="147">
        <f ca="1">INDEX(Photobiology!$21:$421,1+$AH181-380,AO$14)</f>
        <v>0.99893100000000001</v>
      </c>
      <c r="AP181" s="147">
        <f ca="1">INDEX(Photobiology!$21:$421,1+$AH181-380,AP$14)</f>
        <v>0.89087099999999997</v>
      </c>
      <c r="AQ181" s="147">
        <f ca="1">INDEX(Photobiology!$21:$421,1+$AH181-380,AQ$14)</f>
        <v>0.65</v>
      </c>
      <c r="AR181" s="147">
        <f ca="1">INDEX(Photobiology!$21:$421,1+$AH181-380,AR$14)</f>
        <v>0.35170699999999999</v>
      </c>
      <c r="AS181" s="147">
        <f t="shared" si="72"/>
        <v>3933555296378323.5</v>
      </c>
      <c r="AT181" s="147">
        <f ca="1">INDEX(Photobiology!$21:$421,1+$AH181-380,AT$14)</f>
        <v>2.3477834565741136E-3</v>
      </c>
      <c r="AU181" s="147">
        <f ca="1">INDEX(Photobiology!$21:$421,1+$AH181-380,AU$14)</f>
        <v>1</v>
      </c>
      <c r="AV181" s="147">
        <f ca="1">INDEX(Photobiology!$21:$421,1+$AH181-380,AV$14)</f>
        <v>0.93493947994669679</v>
      </c>
      <c r="AW181" s="147">
        <f ca="1">INDEX(Photobiology!$21:$421,1+$AH181-380,AW$14)</f>
        <v>0.60849214309595456</v>
      </c>
      <c r="AX181" s="147">
        <f ca="1">INDEX(Photobiology!$21:$421,1+$AH181-380,AX$14)</f>
        <v>0.31847331736671297</v>
      </c>
      <c r="AY181" s="147">
        <f t="shared" si="59"/>
        <v>1.4465939578319821E-3</v>
      </c>
      <c r="AZ181" s="147">
        <f t="shared" ca="1" si="73"/>
        <v>4.0989529113960777E-6</v>
      </c>
      <c r="BA181" s="147">
        <f t="shared" ca="1" si="60"/>
        <v>1.4450475488910596E-3</v>
      </c>
      <c r="BB181" s="147">
        <f t="shared" ca="1" si="61"/>
        <v>1.2887286058077356E-3</v>
      </c>
      <c r="BC181" s="147">
        <f t="shared" ca="1" si="62"/>
        <v>9.4028607259078834E-4</v>
      </c>
      <c r="BD181" s="147">
        <f t="shared" ca="1" si="63"/>
        <v>5.0877722112721287E-4</v>
      </c>
    </row>
    <row r="182" spans="8:56" s="147" customFormat="1" ht="0.25" customHeight="1" x14ac:dyDescent="0.2">
      <c r="H182" s="147">
        <f t="shared" si="64"/>
        <v>541</v>
      </c>
      <c r="I182" s="147">
        <f>IF($H182&gt;$H181,INDEX(Spectra!182:182,1,MATCH($I$20,Spectra!$20:$20,0)),I181)</f>
        <v>1.45985943862955E-3</v>
      </c>
      <c r="J182" s="147">
        <f>((Physics!$C$9*Physics!$C$10)/(Physics!$C$11*Physics!$C$12*$H182))^($J$17-$J$18)</f>
        <v>2.7242196310182574E+18</v>
      </c>
      <c r="K182" s="147">
        <f t="shared" si="65"/>
        <v>1</v>
      </c>
      <c r="L182" s="147">
        <f>INDEX(Photobiology!$21:$421,1+$H182-380,10)</f>
        <v>0.96025609999999995</v>
      </c>
      <c r="M182" s="147">
        <f t="shared" si="66"/>
        <v>1.45985943862955E-3</v>
      </c>
      <c r="N182" s="147">
        <f ca="1">INDEX(Photobiology!$21:$421,1+$H182-380,N$14)</f>
        <v>2.5755600000000002E-3</v>
      </c>
      <c r="O182" s="147">
        <f ca="1">INDEX(Photobiology!$21:$421,1+$H182-380,O$14)</f>
        <v>0.999942</v>
      </c>
      <c r="P182" s="147">
        <f ca="1">INDEX(Photobiology!$21:$421,1+$H182-380,P$14)</f>
        <v>0.900057</v>
      </c>
      <c r="Q182" s="147">
        <f ca="1">INDEX(Photobiology!$21:$421,1+$H182-380,Q$14)</f>
        <v>0.63300000000000001</v>
      </c>
      <c r="R182" s="147">
        <f ca="1">INDEX(Photobiology!$21:$421,1+$H182-380,R$14)</f>
        <v>0.33653699999999998</v>
      </c>
      <c r="S182" s="147">
        <f t="shared" si="67"/>
        <v>3976977741241913</v>
      </c>
      <c r="T182" s="147">
        <f ca="1">INDEX(Photobiology!$21:$421,1+$H182-380,T$14)</f>
        <v>2.1300996549438421E-3</v>
      </c>
      <c r="U182" s="147">
        <f ca="1">INDEX(Photobiology!$21:$421,1+$H182-380,U$14)</f>
        <v>0.99916178231868125</v>
      </c>
      <c r="V182" s="147">
        <f ca="1">INDEX(Photobiology!$21:$421,1+$H182-380,V$14)</f>
        <v>0.94283389268703499</v>
      </c>
      <c r="W182" s="147">
        <f ca="1">INDEX(Photobiology!$21:$421,1+$H182-380,W$14)</f>
        <v>0.59148239543028347</v>
      </c>
      <c r="X182" s="147">
        <f ca="1">INDEX(Photobiology!$21:$421,1+$H182-380,X$14)</f>
        <v>0.30417348474612438</v>
      </c>
      <c r="Y182" s="147">
        <f t="shared" si="54"/>
        <v>1.45985943862955E-3</v>
      </c>
      <c r="Z182" s="147">
        <f t="shared" ca="1" si="68"/>
        <v>3.7599555757567239E-6</v>
      </c>
      <c r="AA182" s="147">
        <f t="shared" ca="1" si="55"/>
        <v>1.4597747667821094E-3</v>
      </c>
      <c r="AB182" s="147">
        <f t="shared" ca="1" si="56"/>
        <v>1.3139567067545969E-3</v>
      </c>
      <c r="AC182" s="147">
        <f t="shared" ca="1" si="57"/>
        <v>9.2409102465250512E-4</v>
      </c>
      <c r="AD182" s="147">
        <f t="shared" ca="1" si="58"/>
        <v>4.9129671589807282E-4</v>
      </c>
      <c r="AH182" s="147">
        <f t="shared" si="69"/>
        <v>541</v>
      </c>
      <c r="AI182" s="147">
        <f>IF($AH182&gt;$AH181,INDEX(Spectra!182:182,1,MATCH($AI$20,Spectra!$20:$20,0)),AI181)</f>
        <v>104.369</v>
      </c>
      <c r="AJ182" s="147">
        <f>((Physics!$C$9*Physics!$C$10)/(Physics!$C$11*Physics!$C$12*$AH182))^($AJ$17-$AJ$18)</f>
        <v>2.7242196310182574E+18</v>
      </c>
      <c r="AK182" s="147">
        <f t="shared" si="70"/>
        <v>1</v>
      </c>
      <c r="AL182" s="147">
        <f>INDEX(Photobiology!$21:$421,1+$AH182-380,10)</f>
        <v>0.96025609999999995</v>
      </c>
      <c r="AM182" s="147">
        <f t="shared" si="71"/>
        <v>1.4460951562182474E-3</v>
      </c>
      <c r="AN182" s="147">
        <f ca="1">INDEX(Photobiology!$21:$421,1+$AH182-380,AN$14)</f>
        <v>2.5755600000000002E-3</v>
      </c>
      <c r="AO182" s="147">
        <f ca="1">INDEX(Photobiology!$21:$421,1+$AH182-380,AO$14)</f>
        <v>0.999942</v>
      </c>
      <c r="AP182" s="147">
        <f ca="1">INDEX(Photobiology!$21:$421,1+$AH182-380,AP$14)</f>
        <v>0.900057</v>
      </c>
      <c r="AQ182" s="147">
        <f ca="1">INDEX(Photobiology!$21:$421,1+$AH182-380,AQ$14)</f>
        <v>0.63300000000000001</v>
      </c>
      <c r="AR182" s="147">
        <f ca="1">INDEX(Photobiology!$21:$421,1+$AH182-380,AR$14)</f>
        <v>0.33653699999999998</v>
      </c>
      <c r="AS182" s="147">
        <f t="shared" si="72"/>
        <v>3939480812890163.5</v>
      </c>
      <c r="AT182" s="147">
        <f ca="1">INDEX(Photobiology!$21:$421,1+$AH182-380,AT$14)</f>
        <v>2.1300996549438421E-3</v>
      </c>
      <c r="AU182" s="147">
        <f ca="1">INDEX(Photobiology!$21:$421,1+$AH182-380,AU$14)</f>
        <v>0.99916178231868125</v>
      </c>
      <c r="AV182" s="147">
        <f ca="1">INDEX(Photobiology!$21:$421,1+$AH182-380,AV$14)</f>
        <v>0.94283389268703499</v>
      </c>
      <c r="AW182" s="147">
        <f ca="1">INDEX(Photobiology!$21:$421,1+$AH182-380,AW$14)</f>
        <v>0.59148239543028347</v>
      </c>
      <c r="AX182" s="147">
        <f ca="1">INDEX(Photobiology!$21:$421,1+$AH182-380,AX$14)</f>
        <v>0.30417348474612438</v>
      </c>
      <c r="AY182" s="147">
        <f t="shared" si="59"/>
        <v>1.4460951562182474E-3</v>
      </c>
      <c r="AZ182" s="147">
        <f t="shared" ca="1" si="73"/>
        <v>3.7245048405494697E-6</v>
      </c>
      <c r="BA182" s="147">
        <f t="shared" ca="1" si="60"/>
        <v>1.4460112826991868E-3</v>
      </c>
      <c r="BB182" s="147">
        <f t="shared" ca="1" si="61"/>
        <v>1.3015680680203271E-3</v>
      </c>
      <c r="BC182" s="147">
        <f t="shared" ca="1" si="62"/>
        <v>9.1537823388615068E-4</v>
      </c>
      <c r="BD182" s="147">
        <f t="shared" ca="1" si="63"/>
        <v>4.8666452558822029E-4</v>
      </c>
    </row>
    <row r="183" spans="8:56" s="147" customFormat="1" ht="0.25" customHeight="1" x14ac:dyDescent="0.2">
      <c r="H183" s="147">
        <f t="shared" si="64"/>
        <v>542</v>
      </c>
      <c r="I183" s="147">
        <f>IF($H183&gt;$H182,INDEX(Spectra!183:183,1,MATCH($I$20,Spectra!$20:$20,0)),I182)</f>
        <v>1.45985943862955E-3</v>
      </c>
      <c r="J183" s="147">
        <f>((Physics!$C$9*Physics!$C$10)/(Physics!$C$11*Physics!$C$12*$H183))^($J$17-$J$18)</f>
        <v>2.7292551571384392E+18</v>
      </c>
      <c r="K183" s="147">
        <f t="shared" si="65"/>
        <v>1</v>
      </c>
      <c r="L183" s="147">
        <f>INDEX(Photobiology!$21:$421,1+$H183-380,10)</f>
        <v>0.96600739999999996</v>
      </c>
      <c r="M183" s="147">
        <f t="shared" si="66"/>
        <v>1.45985943862955E-3</v>
      </c>
      <c r="N183" s="147">
        <f ca="1">INDEX(Photobiology!$21:$421,1+$H183-380,N$14)</f>
        <v>2.3408399999999998E-3</v>
      </c>
      <c r="O183" s="147">
        <f ca="1">INDEX(Photobiology!$21:$421,1+$H183-380,O$14)</f>
        <v>0.99969200000000003</v>
      </c>
      <c r="P183" s="147">
        <f ca="1">INDEX(Photobiology!$21:$421,1+$H183-380,P$14)</f>
        <v>0.90825299999999998</v>
      </c>
      <c r="Q183" s="147">
        <f ca="1">INDEX(Photobiology!$21:$421,1+$H183-380,Q$14)</f>
        <v>0.61599999999999999</v>
      </c>
      <c r="R183" s="147">
        <f ca="1">INDEX(Photobiology!$21:$421,1+$H183-380,R$14)</f>
        <v>0.32164700000000002</v>
      </c>
      <c r="S183" s="147">
        <f t="shared" si="67"/>
        <v>3984328901576926</v>
      </c>
      <c r="T183" s="147">
        <f ca="1">INDEX(Photobiology!$21:$421,1+$H183-380,T$14)</f>
        <v>1.9324041388332179E-3</v>
      </c>
      <c r="U183" s="147">
        <f ca="1">INDEX(Photobiology!$21:$421,1+$H183-380,U$14)</f>
        <v>0.99706896635603093</v>
      </c>
      <c r="V183" s="147">
        <f ca="1">INDEX(Photobiology!$21:$421,1+$H183-380,V$14)</f>
        <v>0.94966403653037301</v>
      </c>
      <c r="W183" s="147">
        <f ca="1">INDEX(Photobiology!$21:$421,1+$H183-380,W$14)</f>
        <v>0.57453541436116462</v>
      </c>
      <c r="X183" s="147">
        <f ca="1">INDEX(Photobiology!$21:$421,1+$H183-380,X$14)</f>
        <v>0.29017902554878244</v>
      </c>
      <c r="Y183" s="147">
        <f t="shared" si="54"/>
        <v>1.45985943862955E-3</v>
      </c>
      <c r="Z183" s="147">
        <f t="shared" ca="1" si="68"/>
        <v>3.4172973683215956E-6</v>
      </c>
      <c r="AA183" s="147">
        <f t="shared" ca="1" si="55"/>
        <v>1.4594098019224521E-3</v>
      </c>
      <c r="AB183" s="147">
        <f t="shared" ca="1" si="56"/>
        <v>1.3259217147136046E-3</v>
      </c>
      <c r="AC183" s="147">
        <f t="shared" ca="1" si="57"/>
        <v>8.9927341419580279E-4</v>
      </c>
      <c r="AD183" s="147">
        <f t="shared" ca="1" si="58"/>
        <v>4.6955940885687889E-4</v>
      </c>
      <c r="AH183" s="147">
        <f t="shared" si="69"/>
        <v>542</v>
      </c>
      <c r="AI183" s="147">
        <f>IF($AH183&gt;$AH182,INDEX(Spectra!183:183,1,MATCH($AI$20,Spectra!$20:$20,0)),AI182)</f>
        <v>104.333</v>
      </c>
      <c r="AJ183" s="147">
        <f>((Physics!$C$9*Physics!$C$10)/(Physics!$C$11*Physics!$C$12*$AH183))^($AJ$17-$AJ$18)</f>
        <v>2.7292551571384392E+18</v>
      </c>
      <c r="AK183" s="147">
        <f t="shared" si="70"/>
        <v>1</v>
      </c>
      <c r="AL183" s="147">
        <f>INDEX(Photobiology!$21:$421,1+$AH183-380,10)</f>
        <v>0.96600739999999996</v>
      </c>
      <c r="AM183" s="147">
        <f t="shared" si="71"/>
        <v>1.4455963546045128E-3</v>
      </c>
      <c r="AN183" s="147">
        <f ca="1">INDEX(Photobiology!$21:$421,1+$AH183-380,AN$14)</f>
        <v>2.3408399999999998E-3</v>
      </c>
      <c r="AO183" s="147">
        <f ca="1">INDEX(Photobiology!$21:$421,1+$AH183-380,AO$14)</f>
        <v>0.99969200000000003</v>
      </c>
      <c r="AP183" s="147">
        <f ca="1">INDEX(Photobiology!$21:$421,1+$AH183-380,AP$14)</f>
        <v>0.90825299999999998</v>
      </c>
      <c r="AQ183" s="147">
        <f ca="1">INDEX(Photobiology!$21:$421,1+$AH183-380,AQ$14)</f>
        <v>0.61599999999999999</v>
      </c>
      <c r="AR183" s="147">
        <f ca="1">INDEX(Photobiology!$21:$421,1+$AH183-380,AR$14)</f>
        <v>0.32164700000000002</v>
      </c>
      <c r="AS183" s="147">
        <f t="shared" si="72"/>
        <v>3945401305944894.5</v>
      </c>
      <c r="AT183" s="147">
        <f ca="1">INDEX(Photobiology!$21:$421,1+$AH183-380,AT$14)</f>
        <v>1.9324041388332179E-3</v>
      </c>
      <c r="AU183" s="147">
        <f ca="1">INDEX(Photobiology!$21:$421,1+$AH183-380,AU$14)</f>
        <v>0.99706896635603093</v>
      </c>
      <c r="AV183" s="147">
        <f ca="1">INDEX(Photobiology!$21:$421,1+$AH183-380,AV$14)</f>
        <v>0.94966403653037301</v>
      </c>
      <c r="AW183" s="147">
        <f ca="1">INDEX(Photobiology!$21:$421,1+$AH183-380,AW$14)</f>
        <v>0.57453541436116462</v>
      </c>
      <c r="AX183" s="147">
        <f ca="1">INDEX(Photobiology!$21:$421,1+$AH183-380,AX$14)</f>
        <v>0.29017902554878244</v>
      </c>
      <c r="AY183" s="147">
        <f t="shared" si="59"/>
        <v>1.4455963546045128E-3</v>
      </c>
      <c r="AZ183" s="147">
        <f t="shared" ca="1" si="73"/>
        <v>3.3839097707124275E-6</v>
      </c>
      <c r="BA183" s="147">
        <f t="shared" ca="1" si="60"/>
        <v>1.4451511109272947E-3</v>
      </c>
      <c r="BB183" s="147">
        <f t="shared" ca="1" si="61"/>
        <v>1.3129672258586126E-3</v>
      </c>
      <c r="BC183" s="147">
        <f t="shared" ca="1" si="62"/>
        <v>8.904873544363799E-4</v>
      </c>
      <c r="BD183" s="147">
        <f t="shared" ca="1" si="63"/>
        <v>4.6497173066947773E-4</v>
      </c>
    </row>
    <row r="184" spans="8:56" s="147" customFormat="1" ht="0.25" customHeight="1" x14ac:dyDescent="0.2">
      <c r="H184" s="147">
        <f t="shared" si="64"/>
        <v>543</v>
      </c>
      <c r="I184" s="147">
        <f>IF($H184&gt;$H183,INDEX(Spectra!184:184,1,MATCH($I$20,Spectra!$20:$20,0)),I183)</f>
        <v>1.46485895725499E-3</v>
      </c>
      <c r="J184" s="147">
        <f>((Physics!$C$9*Physics!$C$10)/(Physics!$C$11*Physics!$C$12*$H184))^($J$17-$J$18)</f>
        <v>2.7342906832586214E+18</v>
      </c>
      <c r="K184" s="147">
        <f t="shared" si="65"/>
        <v>1</v>
      </c>
      <c r="L184" s="147">
        <f>INDEX(Photobiology!$21:$421,1+$H184-380,10)</f>
        <v>0.97126060000000003</v>
      </c>
      <c r="M184" s="147">
        <f t="shared" si="66"/>
        <v>1.46485895725499E-3</v>
      </c>
      <c r="N184" s="147">
        <f ca="1">INDEX(Photobiology!$21:$421,1+$H184-380,N$14)</f>
        <v>2.12722E-3</v>
      </c>
      <c r="O184" s="147">
        <f ca="1">INDEX(Photobiology!$21:$421,1+$H184-380,O$14)</f>
        <v>0.99817800000000001</v>
      </c>
      <c r="P184" s="147">
        <f ca="1">INDEX(Photobiology!$21:$421,1+$H184-380,P$14)</f>
        <v>0.91543300000000005</v>
      </c>
      <c r="Q184" s="147">
        <f ca="1">INDEX(Photobiology!$21:$421,1+$H184-380,Q$14)</f>
        <v>0.59899999999999998</v>
      </c>
      <c r="R184" s="147">
        <f ca="1">INDEX(Photobiology!$21:$421,1+$H184-380,R$14)</f>
        <v>0.307085</v>
      </c>
      <c r="S184" s="147">
        <f t="shared" si="67"/>
        <v>4005350199110258.5</v>
      </c>
      <c r="T184" s="147">
        <f ca="1">INDEX(Photobiology!$21:$421,1+$H184-380,T$14)</f>
        <v>1.7528231219206358E-3</v>
      </c>
      <c r="U184" s="147">
        <f ca="1">INDEX(Photobiology!$21:$421,1+$H184-380,U$14)</f>
        <v>0.99372549697615709</v>
      </c>
      <c r="V184" s="147">
        <f ca="1">INDEX(Photobiology!$21:$421,1+$H184-380,V$14)</f>
        <v>0.95540865603237857</v>
      </c>
      <c r="W184" s="147">
        <f ca="1">INDEX(Photobiology!$21:$421,1+$H184-380,W$14)</f>
        <v>0.55765085311182161</v>
      </c>
      <c r="X184" s="147">
        <f ca="1">INDEX(Photobiology!$21:$421,1+$H184-380,X$14)</f>
        <v>0.27653147685290386</v>
      </c>
      <c r="Y184" s="147">
        <f t="shared" si="54"/>
        <v>1.46485895725499E-3</v>
      </c>
      <c r="Z184" s="147">
        <f t="shared" ca="1" si="68"/>
        <v>3.1160772710519599E-6</v>
      </c>
      <c r="AA184" s="147">
        <f t="shared" ca="1" si="55"/>
        <v>1.4621899842348714E-3</v>
      </c>
      <c r="AB184" s="147">
        <f t="shared" ca="1" si="56"/>
        <v>1.3409802298168074E-3</v>
      </c>
      <c r="AC184" s="147">
        <f t="shared" ca="1" si="57"/>
        <v>8.77450515395739E-4</v>
      </c>
      <c r="AD184" s="147">
        <f t="shared" ca="1" si="58"/>
        <v>4.4983621288864861E-4</v>
      </c>
      <c r="AH184" s="147">
        <f t="shared" si="69"/>
        <v>543</v>
      </c>
      <c r="AI184" s="147">
        <f>IF($AH184&gt;$AH183,INDEX(Spectra!184:184,1,MATCH($AI$20,Spectra!$20:$20,0)),AI183)</f>
        <v>104.297</v>
      </c>
      <c r="AJ184" s="147">
        <f>((Physics!$C$9*Physics!$C$10)/(Physics!$C$11*Physics!$C$12*$AH184))^($AJ$17-$AJ$18)</f>
        <v>2.7342906832586214E+18</v>
      </c>
      <c r="AK184" s="147">
        <f t="shared" si="70"/>
        <v>1</v>
      </c>
      <c r="AL184" s="147">
        <f>INDEX(Photobiology!$21:$421,1+$AH184-380,10)</f>
        <v>0.97126060000000003</v>
      </c>
      <c r="AM184" s="147">
        <f t="shared" si="71"/>
        <v>1.4450975529907784E-3</v>
      </c>
      <c r="AN184" s="147">
        <f ca="1">INDEX(Photobiology!$21:$421,1+$AH184-380,AN$14)</f>
        <v>2.12722E-3</v>
      </c>
      <c r="AO184" s="147">
        <f ca="1">INDEX(Photobiology!$21:$421,1+$AH184-380,AO$14)</f>
        <v>0.99817800000000001</v>
      </c>
      <c r="AP184" s="147">
        <f ca="1">INDEX(Photobiology!$21:$421,1+$AH184-380,AP$14)</f>
        <v>0.91543300000000005</v>
      </c>
      <c r="AQ184" s="147">
        <f ca="1">INDEX(Photobiology!$21:$421,1+$AH184-380,AQ$14)</f>
        <v>0.59899999999999998</v>
      </c>
      <c r="AR184" s="147">
        <f ca="1">INDEX(Photobiology!$21:$421,1+$AH184-380,AR$14)</f>
        <v>0.307085</v>
      </c>
      <c r="AS184" s="147">
        <f t="shared" si="72"/>
        <v>3951316775542517.5</v>
      </c>
      <c r="AT184" s="147">
        <f ca="1">INDEX(Photobiology!$21:$421,1+$AH184-380,AT$14)</f>
        <v>1.7528231219206358E-3</v>
      </c>
      <c r="AU184" s="147">
        <f ca="1">INDEX(Photobiology!$21:$421,1+$AH184-380,AU$14)</f>
        <v>0.99372549697615709</v>
      </c>
      <c r="AV184" s="147">
        <f ca="1">INDEX(Photobiology!$21:$421,1+$AH184-380,AV$14)</f>
        <v>0.95540865603237857</v>
      </c>
      <c r="AW184" s="147">
        <f ca="1">INDEX(Photobiology!$21:$421,1+$AH184-380,AW$14)</f>
        <v>0.55765085311182161</v>
      </c>
      <c r="AX184" s="147">
        <f ca="1">INDEX(Photobiology!$21:$421,1+$AH184-380,AX$14)</f>
        <v>0.27653147685290386</v>
      </c>
      <c r="AY184" s="147">
        <f t="shared" si="59"/>
        <v>1.4450975529907784E-3</v>
      </c>
      <c r="AZ184" s="147">
        <f t="shared" ca="1" si="73"/>
        <v>3.0740404166730437E-6</v>
      </c>
      <c r="BA184" s="147">
        <f t="shared" ca="1" si="60"/>
        <v>1.4424645852492291E-3</v>
      </c>
      <c r="BB184" s="147">
        <f t="shared" ca="1" si="61"/>
        <v>1.3228899882270072E-3</v>
      </c>
      <c r="BC184" s="147">
        <f t="shared" ca="1" si="62"/>
        <v>8.6561343424147621E-4</v>
      </c>
      <c r="BD184" s="147">
        <f t="shared" ca="1" si="63"/>
        <v>4.4376778206017315E-4</v>
      </c>
    </row>
    <row r="185" spans="8:56" s="147" customFormat="1" ht="0.25" customHeight="1" x14ac:dyDescent="0.2">
      <c r="H185" s="147">
        <f t="shared" si="64"/>
        <v>544</v>
      </c>
      <c r="I185" s="147">
        <f>IF($H185&gt;$H184,INDEX(Spectra!185:185,1,MATCH($I$20,Spectra!$20:$20,0)),I184)</f>
        <v>1.46485895725499E-3</v>
      </c>
      <c r="J185" s="147">
        <f>((Physics!$C$9*Physics!$C$10)/(Physics!$C$11*Physics!$C$12*$H185))^($J$17-$J$18)</f>
        <v>2.7393262093788027E+18</v>
      </c>
      <c r="K185" s="147">
        <f t="shared" si="65"/>
        <v>1</v>
      </c>
      <c r="L185" s="147">
        <f>INDEX(Photobiology!$21:$421,1+$H185-380,10)</f>
        <v>0.97602250000000002</v>
      </c>
      <c r="M185" s="147">
        <f t="shared" si="66"/>
        <v>1.46485895725499E-3</v>
      </c>
      <c r="N185" s="147">
        <f ca="1">INDEX(Photobiology!$21:$421,1+$H185-380,N$14)</f>
        <v>1.9327599999999999E-3</v>
      </c>
      <c r="O185" s="147">
        <f ca="1">INDEX(Photobiology!$21:$421,1+$H185-380,O$14)</f>
        <v>0.99540499999999998</v>
      </c>
      <c r="P185" s="147">
        <f ca="1">INDEX(Photobiology!$21:$421,1+$H185-380,P$14)</f>
        <v>0.92157500000000003</v>
      </c>
      <c r="Q185" s="147">
        <f ca="1">INDEX(Photobiology!$21:$421,1+$H185-380,Q$14)</f>
        <v>0.58099999999999996</v>
      </c>
      <c r="R185" s="147">
        <f ca="1">INDEX(Photobiology!$21:$421,1+$H185-380,R$14)</f>
        <v>0.29289900000000002</v>
      </c>
      <c r="S185" s="147">
        <f t="shared" si="67"/>
        <v>4012726534651897.5</v>
      </c>
      <c r="T185" s="147">
        <f ca="1">INDEX(Photobiology!$21:$421,1+$H185-380,T$14)</f>
        <v>1.5896610922059963E-3</v>
      </c>
      <c r="U185" s="147">
        <f ca="1">INDEX(Photobiology!$21:$421,1+$H185-380,U$14)</f>
        <v>0.98914323971148688</v>
      </c>
      <c r="V185" s="147">
        <f ca="1">INDEX(Photobiology!$21:$421,1+$H185-380,V$14)</f>
        <v>0.96005081903902278</v>
      </c>
      <c r="W185" s="147">
        <f ca="1">INDEX(Photobiology!$21:$421,1+$H185-380,W$14)</f>
        <v>0.5398991090919818</v>
      </c>
      <c r="X185" s="147">
        <f ca="1">INDEX(Photobiology!$21:$421,1+$H185-380,X$14)</f>
        <v>0.26327207031701266</v>
      </c>
      <c r="Y185" s="147">
        <f t="shared" si="54"/>
        <v>1.46485895725499E-3</v>
      </c>
      <c r="Z185" s="147">
        <f t="shared" ca="1" si="68"/>
        <v>2.8312207982241545E-6</v>
      </c>
      <c r="AA185" s="147">
        <f t="shared" ca="1" si="55"/>
        <v>1.4581279303464032E-3</v>
      </c>
      <c r="AB185" s="147">
        <f t="shared" ca="1" si="56"/>
        <v>1.3499773935322674E-3</v>
      </c>
      <c r="AC185" s="147">
        <f t="shared" ca="1" si="57"/>
        <v>8.5108305416514913E-4</v>
      </c>
      <c r="AD185" s="147">
        <f t="shared" ca="1" si="58"/>
        <v>4.2905572372102936E-4</v>
      </c>
      <c r="AH185" s="147">
        <f t="shared" si="69"/>
        <v>544</v>
      </c>
      <c r="AI185" s="147">
        <f>IF($AH185&gt;$AH184,INDEX(Spectra!185:185,1,MATCH($AI$20,Spectra!$20:$20,0)),AI184)</f>
        <v>104.261</v>
      </c>
      <c r="AJ185" s="147">
        <f>((Physics!$C$9*Physics!$C$10)/(Physics!$C$11*Physics!$C$12*$AH185))^($AJ$17-$AJ$18)</f>
        <v>2.7393262093788027E+18</v>
      </c>
      <c r="AK185" s="147">
        <f t="shared" si="70"/>
        <v>1</v>
      </c>
      <c r="AL185" s="147">
        <f>INDEX(Photobiology!$21:$421,1+$AH185-380,10)</f>
        <v>0.97602250000000002</v>
      </c>
      <c r="AM185" s="147">
        <f t="shared" si="71"/>
        <v>1.4445987513770438E-3</v>
      </c>
      <c r="AN185" s="147">
        <f ca="1">INDEX(Photobiology!$21:$421,1+$AH185-380,AN$14)</f>
        <v>1.9327599999999999E-3</v>
      </c>
      <c r="AO185" s="147">
        <f ca="1">INDEX(Photobiology!$21:$421,1+$AH185-380,AO$14)</f>
        <v>0.99540499999999998</v>
      </c>
      <c r="AP185" s="147">
        <f ca="1">INDEX(Photobiology!$21:$421,1+$AH185-380,AP$14)</f>
        <v>0.92157500000000003</v>
      </c>
      <c r="AQ185" s="147">
        <f ca="1">INDEX(Photobiology!$21:$421,1+$AH185-380,AQ$14)</f>
        <v>0.58099999999999996</v>
      </c>
      <c r="AR185" s="147">
        <f ca="1">INDEX(Photobiology!$21:$421,1+$AH185-380,AR$14)</f>
        <v>0.29289900000000002</v>
      </c>
      <c r="AS185" s="147">
        <f t="shared" si="72"/>
        <v>3957227221683028.5</v>
      </c>
      <c r="AT185" s="147">
        <f ca="1">INDEX(Photobiology!$21:$421,1+$AH185-380,AT$14)</f>
        <v>1.5896610922059963E-3</v>
      </c>
      <c r="AU185" s="147">
        <f ca="1">INDEX(Photobiology!$21:$421,1+$AH185-380,AU$14)</f>
        <v>0.98914323971148688</v>
      </c>
      <c r="AV185" s="147">
        <f ca="1">INDEX(Photobiology!$21:$421,1+$AH185-380,AV$14)</f>
        <v>0.96005081903902278</v>
      </c>
      <c r="AW185" s="147">
        <f ca="1">INDEX(Photobiology!$21:$421,1+$AH185-380,AW$14)</f>
        <v>0.5398991090919818</v>
      </c>
      <c r="AX185" s="147">
        <f ca="1">INDEX(Photobiology!$21:$421,1+$AH185-380,AX$14)</f>
        <v>0.26327207031701266</v>
      </c>
      <c r="AY185" s="147">
        <f t="shared" si="59"/>
        <v>1.4445987513770438E-3</v>
      </c>
      <c r="AZ185" s="147">
        <f t="shared" ca="1" si="73"/>
        <v>2.7920626827114948E-6</v>
      </c>
      <c r="BA185" s="147">
        <f t="shared" ca="1" si="60"/>
        <v>1.4379608201144662E-3</v>
      </c>
      <c r="BB185" s="147">
        <f t="shared" ca="1" si="61"/>
        <v>1.3313060943002991E-3</v>
      </c>
      <c r="BC185" s="147">
        <f t="shared" ca="1" si="62"/>
        <v>8.3931187455006239E-4</v>
      </c>
      <c r="BD185" s="147">
        <f t="shared" ca="1" si="63"/>
        <v>4.231215296795848E-4</v>
      </c>
    </row>
    <row r="186" spans="8:56" s="147" customFormat="1" ht="0.25" customHeight="1" x14ac:dyDescent="0.2">
      <c r="H186" s="147">
        <f t="shared" si="64"/>
        <v>545</v>
      </c>
      <c r="I186" s="147">
        <f>IF($H186&gt;$H185,INDEX(Spectra!186:186,1,MATCH($I$20,Spectra!$20:$20,0)),I185)</f>
        <v>1.4548599200041E-3</v>
      </c>
      <c r="J186" s="147">
        <f>((Physics!$C$9*Physics!$C$10)/(Physics!$C$11*Physics!$C$12*$H186))^($J$17-$J$18)</f>
        <v>2.7443617354989839E+18</v>
      </c>
      <c r="K186" s="147">
        <f t="shared" si="65"/>
        <v>1</v>
      </c>
      <c r="L186" s="147">
        <f>INDEX(Photobiology!$21:$421,1+$H186-380,10)</f>
        <v>0.98029999999999995</v>
      </c>
      <c r="M186" s="147">
        <f t="shared" si="66"/>
        <v>1.4548599200041E-3</v>
      </c>
      <c r="N186" s="147">
        <f ca="1">INDEX(Photobiology!$21:$421,1+$H186-380,N$14)</f>
        <v>1.7557300000000001E-3</v>
      </c>
      <c r="O186" s="147">
        <f ca="1">INDEX(Photobiology!$21:$421,1+$H186-380,O$14)</f>
        <v>0.99138300000000001</v>
      </c>
      <c r="P186" s="147">
        <f ca="1">INDEX(Photobiology!$21:$421,1+$H186-380,P$14)</f>
        <v>0.92666000000000004</v>
      </c>
      <c r="Q186" s="147">
        <f ca="1">INDEX(Photobiology!$21:$421,1+$H186-380,Q$14)</f>
        <v>0.56399999999999995</v>
      </c>
      <c r="R186" s="147">
        <f ca="1">INDEX(Photobiology!$21:$421,1+$H186-380,R$14)</f>
        <v>0.27913500000000002</v>
      </c>
      <c r="S186" s="147">
        <f t="shared" si="67"/>
        <v>3992661894970365</v>
      </c>
      <c r="T186" s="147">
        <f ca="1">INDEX(Photobiology!$21:$421,1+$H186-380,T$14)</f>
        <v>1.4414073861991016E-3</v>
      </c>
      <c r="U186" s="147">
        <f ca="1">INDEX(Photobiology!$21:$421,1+$H186-380,U$14)</f>
        <v>0.98333893243804238</v>
      </c>
      <c r="V186" s="147">
        <f ca="1">INDEX(Photobiology!$21:$421,1+$H186-380,V$14)</f>
        <v>0.96357683718476839</v>
      </c>
      <c r="W186" s="147">
        <f ca="1">INDEX(Photobiology!$21:$421,1+$H186-380,W$14)</f>
        <v>0.52314006238900179</v>
      </c>
      <c r="X186" s="147">
        <f ca="1">INDEX(Photobiology!$21:$421,1+$H186-380,X$14)</f>
        <v>0.25043994058182245</v>
      </c>
      <c r="Y186" s="147">
        <f t="shared" si="54"/>
        <v>1.4548599200041E-3</v>
      </c>
      <c r="Z186" s="147">
        <f t="shared" ca="1" si="68"/>
        <v>2.5543412073487988E-6</v>
      </c>
      <c r="AA186" s="147">
        <f t="shared" ca="1" si="55"/>
        <v>1.4423233920734246E-3</v>
      </c>
      <c r="AB186" s="147">
        <f t="shared" ca="1" si="56"/>
        <v>1.3481604934709995E-3</v>
      </c>
      <c r="AC186" s="147">
        <f t="shared" ca="1" si="57"/>
        <v>8.205409948823123E-4</v>
      </c>
      <c r="AD186" s="147">
        <f t="shared" ca="1" si="58"/>
        <v>4.061023237703445E-4</v>
      </c>
      <c r="AH186" s="147">
        <f t="shared" si="69"/>
        <v>545</v>
      </c>
      <c r="AI186" s="147">
        <f>IF($AH186&gt;$AH185,INDEX(Spectra!186:186,1,MATCH($AI$20,Spectra!$20:$20,0)),AI185)</f>
        <v>104.22499999999999</v>
      </c>
      <c r="AJ186" s="147">
        <f>((Physics!$C$9*Physics!$C$10)/(Physics!$C$11*Physics!$C$12*$AH186))^($AJ$17-$AJ$18)</f>
        <v>2.7443617354989839E+18</v>
      </c>
      <c r="AK186" s="147">
        <f t="shared" si="70"/>
        <v>1</v>
      </c>
      <c r="AL186" s="147">
        <f>INDEX(Photobiology!$21:$421,1+$AH186-380,10)</f>
        <v>0.98029999999999995</v>
      </c>
      <c r="AM186" s="147">
        <f t="shared" si="71"/>
        <v>1.4440999497633094E-3</v>
      </c>
      <c r="AN186" s="147">
        <f ca="1">INDEX(Photobiology!$21:$421,1+$AH186-380,AN$14)</f>
        <v>1.7557300000000001E-3</v>
      </c>
      <c r="AO186" s="147">
        <f ca="1">INDEX(Photobiology!$21:$421,1+$AH186-380,AO$14)</f>
        <v>0.99138300000000001</v>
      </c>
      <c r="AP186" s="147">
        <f ca="1">INDEX(Photobiology!$21:$421,1+$AH186-380,AP$14)</f>
        <v>0.92666000000000004</v>
      </c>
      <c r="AQ186" s="147">
        <f ca="1">INDEX(Photobiology!$21:$421,1+$AH186-380,AQ$14)</f>
        <v>0.56399999999999995</v>
      </c>
      <c r="AR186" s="147">
        <f ca="1">INDEX(Photobiology!$21:$421,1+$AH186-380,AR$14)</f>
        <v>0.27913500000000002</v>
      </c>
      <c r="AS186" s="147">
        <f t="shared" si="72"/>
        <v>3963132644366431</v>
      </c>
      <c r="AT186" s="147">
        <f ca="1">INDEX(Photobiology!$21:$421,1+$AH186-380,AT$14)</f>
        <v>1.4414073861991016E-3</v>
      </c>
      <c r="AU186" s="147">
        <f ca="1">INDEX(Photobiology!$21:$421,1+$AH186-380,AU$14)</f>
        <v>0.98333893243804238</v>
      </c>
      <c r="AV186" s="147">
        <f ca="1">INDEX(Photobiology!$21:$421,1+$AH186-380,AV$14)</f>
        <v>0.96357683718476839</v>
      </c>
      <c r="AW186" s="147">
        <f ca="1">INDEX(Photobiology!$21:$421,1+$AH186-380,AW$14)</f>
        <v>0.52314006238900179</v>
      </c>
      <c r="AX186" s="147">
        <f ca="1">INDEX(Photobiology!$21:$421,1+$AH186-380,AX$14)</f>
        <v>0.25043994058182245</v>
      </c>
      <c r="AY186" s="147">
        <f t="shared" si="59"/>
        <v>1.4440999497633094E-3</v>
      </c>
      <c r="AZ186" s="147">
        <f t="shared" ca="1" si="73"/>
        <v>2.5354496047979354E-6</v>
      </c>
      <c r="BA186" s="147">
        <f t="shared" ca="1" si="60"/>
        <v>1.431656140496199E-3</v>
      </c>
      <c r="BB186" s="147">
        <f t="shared" ca="1" si="61"/>
        <v>1.3381896594476684E-3</v>
      </c>
      <c r="BC186" s="147">
        <f t="shared" ca="1" si="62"/>
        <v>8.1447237166650639E-4</v>
      </c>
      <c r="BD186" s="147">
        <f t="shared" ca="1" si="63"/>
        <v>4.0309883947718141E-4</v>
      </c>
    </row>
    <row r="187" spans="8:56" s="147" customFormat="1" ht="0.25" customHeight="1" x14ac:dyDescent="0.2">
      <c r="H187" s="147">
        <f t="shared" si="64"/>
        <v>546</v>
      </c>
      <c r="I187" s="147">
        <f>IF($H187&gt;$H186,INDEX(Spectra!187:187,1,MATCH($I$20,Spectra!$20:$20,0)),I186)</f>
        <v>1.44486088275322E-3</v>
      </c>
      <c r="J187" s="147">
        <f>((Physics!$C$9*Physics!$C$10)/(Physics!$C$11*Physics!$C$12*$H187))^($J$17-$J$18)</f>
        <v>2.7493972616191662E+18</v>
      </c>
      <c r="K187" s="147">
        <f t="shared" si="65"/>
        <v>1</v>
      </c>
      <c r="L187" s="147">
        <f>INDEX(Photobiology!$21:$421,1+$H187-380,10)</f>
        <v>0.98409239999999998</v>
      </c>
      <c r="M187" s="147">
        <f t="shared" si="66"/>
        <v>1.44486088275322E-3</v>
      </c>
      <c r="N187" s="147">
        <f ca="1">INDEX(Photobiology!$21:$421,1+$H187-380,N$14)</f>
        <v>1.5945499999999999E-3</v>
      </c>
      <c r="O187" s="147">
        <f ca="1">INDEX(Photobiology!$21:$421,1+$H187-380,O$14)</f>
        <v>0.98619900000000005</v>
      </c>
      <c r="P187" s="147">
        <f ca="1">INDEX(Photobiology!$21:$421,1+$H187-380,P$14)</f>
        <v>0.93074400000000002</v>
      </c>
      <c r="Q187" s="147">
        <f ca="1">INDEX(Photobiology!$21:$421,1+$H187-380,Q$14)</f>
        <v>0.54800000000000004</v>
      </c>
      <c r="R187" s="147">
        <f ca="1">INDEX(Photobiology!$21:$421,1+$H187-380,R$14)</f>
        <v>0.265737</v>
      </c>
      <c r="S187" s="147">
        <f t="shared" si="67"/>
        <v>3972496554462354</v>
      </c>
      <c r="T187" s="147">
        <f ca="1">INDEX(Photobiology!$21:$421,1+$H187-380,T$14)</f>
        <v>1.3066853279888218E-3</v>
      </c>
      <c r="U187" s="147">
        <f ca="1">INDEX(Photobiology!$21:$421,1+$H187-380,U$14)</f>
        <v>0.97640542575177702</v>
      </c>
      <c r="V187" s="147">
        <f ca="1">INDEX(Photobiology!$21:$421,1+$H187-380,V$14)</f>
        <v>0.96605096744517938</v>
      </c>
      <c r="W187" s="147">
        <f ca="1">INDEX(Photobiology!$21:$421,1+$H187-380,W$14)</f>
        <v>0.50736825862201995</v>
      </c>
      <c r="X187" s="147">
        <f ca="1">INDEX(Photobiology!$21:$421,1+$H187-380,X$14)</f>
        <v>0.23798258878939593</v>
      </c>
      <c r="Y187" s="147">
        <f t="shared" si="54"/>
        <v>1.44486088275322E-3</v>
      </c>
      <c r="Z187" s="147">
        <f t="shared" ca="1" si="68"/>
        <v>2.3039029205941467E-6</v>
      </c>
      <c r="AA187" s="147">
        <f t="shared" ca="1" si="55"/>
        <v>1.4249203577103428E-3</v>
      </c>
      <c r="AB187" s="147">
        <f t="shared" ca="1" si="56"/>
        <v>1.3447955974572631E-3</v>
      </c>
      <c r="AC187" s="147">
        <f t="shared" ca="1" si="57"/>
        <v>7.9178376374876465E-4</v>
      </c>
      <c r="AD187" s="147">
        <f t="shared" ca="1" si="58"/>
        <v>3.839529964001924E-4</v>
      </c>
      <c r="AH187" s="147">
        <f t="shared" si="69"/>
        <v>546</v>
      </c>
      <c r="AI187" s="147">
        <f>IF($AH187&gt;$AH186,INDEX(Spectra!187:187,1,MATCH($AI$20,Spectra!$20:$20,0)),AI186)</f>
        <v>104.19</v>
      </c>
      <c r="AJ187" s="147">
        <f>((Physics!$C$9*Physics!$C$10)/(Physics!$C$11*Physics!$C$12*$AH187))^($AJ$17-$AJ$18)</f>
        <v>2.7493972616191662E+18</v>
      </c>
      <c r="AK187" s="147">
        <f t="shared" si="70"/>
        <v>1</v>
      </c>
      <c r="AL187" s="147">
        <f>INDEX(Photobiology!$21:$421,1+$AH187-380,10)</f>
        <v>0.98409239999999998</v>
      </c>
      <c r="AM187" s="147">
        <f t="shared" si="71"/>
        <v>1.4436150037499564E-3</v>
      </c>
      <c r="AN187" s="147">
        <f ca="1">INDEX(Photobiology!$21:$421,1+$AH187-380,AN$14)</f>
        <v>1.5945499999999999E-3</v>
      </c>
      <c r="AO187" s="147">
        <f ca="1">INDEX(Photobiology!$21:$421,1+$AH187-380,AO$14)</f>
        <v>0.98619900000000005</v>
      </c>
      <c r="AP187" s="147">
        <f ca="1">INDEX(Photobiology!$21:$421,1+$AH187-380,AP$14)</f>
        <v>0.93074400000000002</v>
      </c>
      <c r="AQ187" s="147">
        <f ca="1">INDEX(Photobiology!$21:$421,1+$AH187-380,AQ$14)</f>
        <v>0.54800000000000004</v>
      </c>
      <c r="AR187" s="147">
        <f ca="1">INDEX(Photobiology!$21:$421,1+$AH187-380,AR$14)</f>
        <v>0.265737</v>
      </c>
      <c r="AS187" s="147">
        <f t="shared" si="72"/>
        <v>3969071138142472.5</v>
      </c>
      <c r="AT187" s="147">
        <f ca="1">INDEX(Photobiology!$21:$421,1+$AH187-380,AT$14)</f>
        <v>1.3066853279888218E-3</v>
      </c>
      <c r="AU187" s="147">
        <f ca="1">INDEX(Photobiology!$21:$421,1+$AH187-380,AU$14)</f>
        <v>0.97640542575177702</v>
      </c>
      <c r="AV187" s="147">
        <f ca="1">INDEX(Photobiology!$21:$421,1+$AH187-380,AV$14)</f>
        <v>0.96605096744517938</v>
      </c>
      <c r="AW187" s="147">
        <f ca="1">INDEX(Photobiology!$21:$421,1+$AH187-380,AW$14)</f>
        <v>0.50736825862201995</v>
      </c>
      <c r="AX187" s="147">
        <f ca="1">INDEX(Photobiology!$21:$421,1+$AH187-380,AX$14)</f>
        <v>0.23798258878939593</v>
      </c>
      <c r="AY187" s="147">
        <f t="shared" si="59"/>
        <v>1.4436150037499564E-3</v>
      </c>
      <c r="AZ187" s="147">
        <f t="shared" ca="1" si="73"/>
        <v>2.3019163042294928E-6</v>
      </c>
      <c r="BA187" s="147">
        <f t="shared" ca="1" si="60"/>
        <v>1.4236916730832033E-3</v>
      </c>
      <c r="BB187" s="147">
        <f t="shared" ca="1" si="61"/>
        <v>1.3436360030502493E-3</v>
      </c>
      <c r="BC187" s="147">
        <f t="shared" ca="1" si="62"/>
        <v>7.9110102205497612E-4</v>
      </c>
      <c r="BD187" s="147">
        <f t="shared" ca="1" si="63"/>
        <v>3.8362192025150218E-4</v>
      </c>
    </row>
    <row r="188" spans="8:56" s="147" customFormat="1" ht="0.25" customHeight="1" x14ac:dyDescent="0.2">
      <c r="H188" s="147">
        <f t="shared" si="64"/>
        <v>547</v>
      </c>
      <c r="I188" s="147">
        <f>IF($H188&gt;$H187,INDEX(Spectra!188:188,1,MATCH($I$20,Spectra!$20:$20,0)),I187)</f>
        <v>1.43986136412777E-3</v>
      </c>
      <c r="J188" s="147">
        <f>((Physics!$C$9*Physics!$C$10)/(Physics!$C$11*Physics!$C$12*$H188))^($J$17-$J$18)</f>
        <v>2.7544327877393469E+18</v>
      </c>
      <c r="K188" s="147">
        <f t="shared" si="65"/>
        <v>1</v>
      </c>
      <c r="L188" s="147">
        <f>INDEX(Photobiology!$21:$421,1+$H188-380,10)</f>
        <v>0.98741820000000002</v>
      </c>
      <c r="M188" s="147">
        <f t="shared" si="66"/>
        <v>1.43986136412777E-3</v>
      </c>
      <c r="N188" s="147">
        <f ca="1">INDEX(Photobiology!$21:$421,1+$H188-380,N$14)</f>
        <v>1.44783E-3</v>
      </c>
      <c r="O188" s="147">
        <f ca="1">INDEX(Photobiology!$21:$421,1+$H188-380,O$14)</f>
        <v>0.98022900000000002</v>
      </c>
      <c r="P188" s="147">
        <f ca="1">INDEX(Photobiology!$21:$421,1+$H188-380,P$14)</f>
        <v>0.93415999999999999</v>
      </c>
      <c r="Q188" s="147">
        <f ca="1">INDEX(Photobiology!$21:$421,1+$H188-380,Q$14)</f>
        <v>0.53100000000000003</v>
      </c>
      <c r="R188" s="147">
        <f ca="1">INDEX(Photobiology!$21:$421,1+$H188-380,R$14)</f>
        <v>0.25264799999999998</v>
      </c>
      <c r="S188" s="147">
        <f t="shared" si="67"/>
        <v>3966001351152632.5</v>
      </c>
      <c r="T188" s="147">
        <f ca="1">INDEX(Photobiology!$21:$421,1+$H188-380,T$14)</f>
        <v>1.1842837233550303E-3</v>
      </c>
      <c r="U188" s="147">
        <f ca="1">INDEX(Photobiology!$21:$421,1+$H188-380,U$14)</f>
        <v>0.96872049822723016</v>
      </c>
      <c r="V188" s="147">
        <f ca="1">INDEX(Photobiology!$21:$421,1+$H188-380,V$14)</f>
        <v>0.96782397905608497</v>
      </c>
      <c r="W188" s="147">
        <f ca="1">INDEX(Photobiology!$21:$421,1+$H188-380,W$14)</f>
        <v>0.4907299595312446</v>
      </c>
      <c r="X188" s="147">
        <f ca="1">INDEX(Photobiology!$21:$421,1+$H188-380,X$14)</f>
        <v>0.22584700606606528</v>
      </c>
      <c r="Y188" s="147">
        <f t="shared" si="54"/>
        <v>1.43986136412777E-3</v>
      </c>
      <c r="Z188" s="147">
        <f t="shared" ca="1" si="68"/>
        <v>2.0846744788251093E-6</v>
      </c>
      <c r="AA188" s="147">
        <f t="shared" ca="1" si="55"/>
        <v>1.4113938650975998E-3</v>
      </c>
      <c r="AB188" s="147">
        <f t="shared" ca="1" si="56"/>
        <v>1.3450608919135976E-3</v>
      </c>
      <c r="AC188" s="147">
        <f t="shared" ca="1" si="57"/>
        <v>7.6456638435184587E-4</v>
      </c>
      <c r="AD188" s="147">
        <f t="shared" ca="1" si="58"/>
        <v>3.6377809392415284E-4</v>
      </c>
      <c r="AH188" s="147">
        <f t="shared" si="69"/>
        <v>547</v>
      </c>
      <c r="AI188" s="147">
        <f>IF($AH188&gt;$AH187,INDEX(Spectra!188:188,1,MATCH($AI$20,Spectra!$20:$20,0)),AI187)</f>
        <v>104.154</v>
      </c>
      <c r="AJ188" s="147">
        <f>((Physics!$C$9*Physics!$C$10)/(Physics!$C$11*Physics!$C$12*$AH188))^($AJ$17-$AJ$18)</f>
        <v>2.7544327877393469E+18</v>
      </c>
      <c r="AK188" s="147">
        <f t="shared" si="70"/>
        <v>1</v>
      </c>
      <c r="AL188" s="147">
        <f>INDEX(Photobiology!$21:$421,1+$AH188-380,10)</f>
        <v>0.98741820000000002</v>
      </c>
      <c r="AM188" s="147">
        <f t="shared" si="71"/>
        <v>1.4431162021362218E-3</v>
      </c>
      <c r="AN188" s="147">
        <f ca="1">INDEX(Photobiology!$21:$421,1+$AH188-380,AN$14)</f>
        <v>1.44783E-3</v>
      </c>
      <c r="AO188" s="147">
        <f ca="1">INDEX(Photobiology!$21:$421,1+$AH188-380,AO$14)</f>
        <v>0.98022900000000002</v>
      </c>
      <c r="AP188" s="147">
        <f ca="1">INDEX(Photobiology!$21:$421,1+$AH188-380,AP$14)</f>
        <v>0.93415999999999999</v>
      </c>
      <c r="AQ188" s="147">
        <f ca="1">INDEX(Photobiology!$21:$421,1+$AH188-380,AQ$14)</f>
        <v>0.53100000000000003</v>
      </c>
      <c r="AR188" s="147">
        <f ca="1">INDEX(Photobiology!$21:$421,1+$AH188-380,AR$14)</f>
        <v>0.25264799999999998</v>
      </c>
      <c r="AS188" s="147">
        <f t="shared" si="72"/>
        <v>3974966583681892</v>
      </c>
      <c r="AT188" s="147">
        <f ca="1">INDEX(Photobiology!$21:$421,1+$AH188-380,AT$14)</f>
        <v>1.1842837233550303E-3</v>
      </c>
      <c r="AU188" s="147">
        <f ca="1">INDEX(Photobiology!$21:$421,1+$AH188-380,AU$14)</f>
        <v>0.96872049822723016</v>
      </c>
      <c r="AV188" s="147">
        <f ca="1">INDEX(Photobiology!$21:$421,1+$AH188-380,AV$14)</f>
        <v>0.96782397905608497</v>
      </c>
      <c r="AW188" s="147">
        <f ca="1">INDEX(Photobiology!$21:$421,1+$AH188-380,AW$14)</f>
        <v>0.4907299595312446</v>
      </c>
      <c r="AX188" s="147">
        <f ca="1">INDEX(Photobiology!$21:$421,1+$AH188-380,AX$14)</f>
        <v>0.22584700606606528</v>
      </c>
      <c r="AY188" s="147">
        <f t="shared" si="59"/>
        <v>1.4431162021362218E-3</v>
      </c>
      <c r="AZ188" s="147">
        <f t="shared" ca="1" si="73"/>
        <v>2.0893869309388861E-6</v>
      </c>
      <c r="BA188" s="147">
        <f t="shared" ca="1" si="60"/>
        <v>1.4145843517037865E-3</v>
      </c>
      <c r="BB188" s="147">
        <f t="shared" ca="1" si="61"/>
        <v>1.348101431387573E-3</v>
      </c>
      <c r="BC188" s="147">
        <f t="shared" ca="1" si="62"/>
        <v>7.6629470333433375E-4</v>
      </c>
      <c r="BD188" s="147">
        <f t="shared" ca="1" si="63"/>
        <v>3.6460042223731214E-4</v>
      </c>
    </row>
    <row r="189" spans="8:56" s="147" customFormat="1" ht="0.25" customHeight="1" x14ac:dyDescent="0.2">
      <c r="H189" s="147">
        <f t="shared" si="64"/>
        <v>548</v>
      </c>
      <c r="I189" s="147">
        <f>IF($H189&gt;$H188,INDEX(Spectra!189:189,1,MATCH($I$20,Spectra!$20:$20,0)),I188)</f>
        <v>1.43486184550233E-3</v>
      </c>
      <c r="J189" s="147">
        <f>((Physics!$C$9*Physics!$C$10)/(Physics!$C$11*Physics!$C$12*$H189))^($J$17-$J$18)</f>
        <v>2.7594683138595287E+18</v>
      </c>
      <c r="K189" s="147">
        <f t="shared" si="65"/>
        <v>1</v>
      </c>
      <c r="L189" s="147">
        <f>INDEX(Photobiology!$21:$421,1+$H189-380,10)</f>
        <v>0.99031279999999999</v>
      </c>
      <c r="M189" s="147">
        <f t="shared" si="66"/>
        <v>1.43486184550233E-3</v>
      </c>
      <c r="N189" s="147">
        <f ca="1">INDEX(Photobiology!$21:$421,1+$H189-380,N$14)</f>
        <v>1.3143E-3</v>
      </c>
      <c r="O189" s="147">
        <f ca="1">INDEX(Photobiology!$21:$421,1+$H189-380,O$14)</f>
        <v>0.97390600000000005</v>
      </c>
      <c r="P189" s="147">
        <f ca="1">INDEX(Photobiology!$21:$421,1+$H189-380,P$14)</f>
        <v>0.93731799999999998</v>
      </c>
      <c r="Q189" s="147">
        <f ca="1">INDEX(Photobiology!$21:$421,1+$H189-380,Q$14)</f>
        <v>0.51400000000000001</v>
      </c>
      <c r="R189" s="147">
        <f ca="1">INDEX(Photobiology!$21:$421,1+$H189-380,R$14)</f>
        <v>0.23991699999999999</v>
      </c>
      <c r="S189" s="147">
        <f t="shared" si="67"/>
        <v>3959455797429686</v>
      </c>
      <c r="T189" s="147">
        <f ca="1">INDEX(Photobiology!$21:$421,1+$H189-380,T$14)</f>
        <v>1.0730981963773237E-3</v>
      </c>
      <c r="U189" s="147">
        <f ca="1">INDEX(Photobiology!$21:$421,1+$H189-380,U$14)</f>
        <v>0.96071539892203162</v>
      </c>
      <c r="V189" s="147">
        <f ca="1">INDEX(Photobiology!$21:$421,1+$H189-380,V$14)</f>
        <v>0.96932371014001184</v>
      </c>
      <c r="W189" s="147">
        <f ca="1">INDEX(Photobiology!$21:$421,1+$H189-380,W$14)</f>
        <v>0.47415238415977862</v>
      </c>
      <c r="X189" s="147">
        <f ca="1">INDEX(Photobiology!$21:$421,1+$H189-380,X$14)</f>
        <v>0.21407515303330948</v>
      </c>
      <c r="Y189" s="147">
        <f t="shared" si="54"/>
        <v>1.43486184550233E-3</v>
      </c>
      <c r="Z189" s="147">
        <f t="shared" ca="1" si="68"/>
        <v>1.8858389235437124E-6</v>
      </c>
      <c r="AA189" s="147">
        <f t="shared" ca="1" si="55"/>
        <v>1.3974205605057923E-3</v>
      </c>
      <c r="AB189" s="147">
        <f t="shared" ca="1" si="56"/>
        <v>1.3449218353025528E-3</v>
      </c>
      <c r="AC189" s="147">
        <f t="shared" ca="1" si="57"/>
        <v>7.3751898858819768E-4</v>
      </c>
      <c r="AD189" s="147">
        <f t="shared" ca="1" si="58"/>
        <v>3.442477493873825E-4</v>
      </c>
      <c r="AH189" s="147">
        <f t="shared" si="69"/>
        <v>548</v>
      </c>
      <c r="AI189" s="147">
        <f>IF($AH189&gt;$AH188,INDEX(Spectra!189:189,1,MATCH($AI$20,Spectra!$20:$20,0)),AI188)</f>
        <v>104.11799999999999</v>
      </c>
      <c r="AJ189" s="147">
        <f>((Physics!$C$9*Physics!$C$10)/(Physics!$C$11*Physics!$C$12*$AH189))^($AJ$17-$AJ$18)</f>
        <v>2.7594683138595287E+18</v>
      </c>
      <c r="AK189" s="147">
        <f t="shared" si="70"/>
        <v>1</v>
      </c>
      <c r="AL189" s="147">
        <f>INDEX(Photobiology!$21:$421,1+$AH189-380,10)</f>
        <v>0.99031279999999999</v>
      </c>
      <c r="AM189" s="147">
        <f t="shared" si="71"/>
        <v>1.4426174005224873E-3</v>
      </c>
      <c r="AN189" s="147">
        <f ca="1">INDEX(Photobiology!$21:$421,1+$AH189-380,AN$14)</f>
        <v>1.3143E-3</v>
      </c>
      <c r="AO189" s="147">
        <f ca="1">INDEX(Photobiology!$21:$421,1+$AH189-380,AO$14)</f>
        <v>0.97390600000000005</v>
      </c>
      <c r="AP189" s="147">
        <f ca="1">INDEX(Photobiology!$21:$421,1+$AH189-380,AP$14)</f>
        <v>0.93731799999999998</v>
      </c>
      <c r="AQ189" s="147">
        <f ca="1">INDEX(Photobiology!$21:$421,1+$AH189-380,AQ$14)</f>
        <v>0.51400000000000001</v>
      </c>
      <c r="AR189" s="147">
        <f ca="1">INDEX(Photobiology!$21:$421,1+$AH189-380,AR$14)</f>
        <v>0.23991699999999999</v>
      </c>
      <c r="AS189" s="147">
        <f t="shared" si="72"/>
        <v>3980857005764204.5</v>
      </c>
      <c r="AT189" s="147">
        <f ca="1">INDEX(Photobiology!$21:$421,1+$AH189-380,AT$14)</f>
        <v>1.0730981963773237E-3</v>
      </c>
      <c r="AU189" s="147">
        <f ca="1">INDEX(Photobiology!$21:$421,1+$AH189-380,AU$14)</f>
        <v>0.96071539892203162</v>
      </c>
      <c r="AV189" s="147">
        <f ca="1">INDEX(Photobiology!$21:$421,1+$AH189-380,AV$14)</f>
        <v>0.96932371014001184</v>
      </c>
      <c r="AW189" s="147">
        <f ca="1">INDEX(Photobiology!$21:$421,1+$AH189-380,AW$14)</f>
        <v>0.47415238415977862</v>
      </c>
      <c r="AX189" s="147">
        <f ca="1">INDEX(Photobiology!$21:$421,1+$AH189-380,AX$14)</f>
        <v>0.21407515303330948</v>
      </c>
      <c r="AY189" s="147">
        <f t="shared" si="59"/>
        <v>1.4426174005224873E-3</v>
      </c>
      <c r="AZ189" s="147">
        <f t="shared" ca="1" si="73"/>
        <v>1.8960320495067051E-6</v>
      </c>
      <c r="BA189" s="147">
        <f t="shared" ca="1" si="60"/>
        <v>1.4049737420732537E-3</v>
      </c>
      <c r="BB189" s="147">
        <f t="shared" ca="1" si="61"/>
        <v>1.3521912566229369E-3</v>
      </c>
      <c r="BC189" s="147">
        <f t="shared" ca="1" si="62"/>
        <v>7.4150534386855846E-4</v>
      </c>
      <c r="BD189" s="147">
        <f t="shared" ca="1" si="63"/>
        <v>3.4610843888115356E-4</v>
      </c>
    </row>
    <row r="190" spans="8:56" s="147" customFormat="1" ht="0.25" customHeight="1" x14ac:dyDescent="0.2">
      <c r="H190" s="147">
        <f t="shared" si="64"/>
        <v>549</v>
      </c>
      <c r="I190" s="147">
        <f>IF($H190&gt;$H189,INDEX(Spectra!190:190,1,MATCH($I$20,Spectra!$20:$20,0)),I189)</f>
        <v>1.42986232687688E-3</v>
      </c>
      <c r="J190" s="147">
        <f>((Physics!$C$9*Physics!$C$10)/(Physics!$C$11*Physics!$C$12*$H190))^($J$17-$J$18)</f>
        <v>2.764503839979711E+18</v>
      </c>
      <c r="K190" s="147">
        <f t="shared" si="65"/>
        <v>1</v>
      </c>
      <c r="L190" s="147">
        <f>INDEX(Photobiology!$21:$421,1+$H190-380,10)</f>
        <v>0.99281160000000002</v>
      </c>
      <c r="M190" s="147">
        <f t="shared" si="66"/>
        <v>1.42986232687688E-3</v>
      </c>
      <c r="N190" s="147">
        <f ca="1">INDEX(Photobiology!$21:$421,1+$H190-380,N$14)</f>
        <v>1.1928100000000001E-3</v>
      </c>
      <c r="O190" s="147">
        <f ca="1">INDEX(Photobiology!$21:$421,1+$H190-380,O$14)</f>
        <v>0.96765299999999999</v>
      </c>
      <c r="P190" s="147">
        <f ca="1">INDEX(Photobiology!$21:$421,1+$H190-380,P$14)</f>
        <v>0.94063399999999997</v>
      </c>
      <c r="Q190" s="147">
        <f ca="1">INDEX(Photobiology!$21:$421,1+$H190-380,Q$14)</f>
        <v>0.497</v>
      </c>
      <c r="R190" s="147">
        <f ca="1">INDEX(Photobiology!$21:$421,1+$H190-380,R$14)</f>
        <v>0.22759199999999999</v>
      </c>
      <c r="S190" s="147">
        <f t="shared" si="67"/>
        <v>3952859893293459.5</v>
      </c>
      <c r="T190" s="147">
        <f ca="1">INDEX(Photobiology!$21:$421,1+$H190-380,T$14)</f>
        <v>9.7213021659076494E-4</v>
      </c>
      <c r="U190" s="147">
        <f ca="1">INDEX(Photobiology!$21:$421,1+$H190-380,U$14)</f>
        <v>0.95280838823259439</v>
      </c>
      <c r="V190" s="147">
        <f ca="1">INDEX(Photobiology!$21:$421,1+$H190-380,V$14)</f>
        <v>0.97098107517601207</v>
      </c>
      <c r="W190" s="147">
        <f ca="1">INDEX(Photobiology!$21:$421,1+$H190-380,W$14)</f>
        <v>0.45763520068401925</v>
      </c>
      <c r="X190" s="147">
        <f ca="1">INDEX(Photobiology!$21:$421,1+$H190-380,X$14)</f>
        <v>0.20270779392549956</v>
      </c>
      <c r="Y190" s="147">
        <f t="shared" si="54"/>
        <v>1.42986232687688E-3</v>
      </c>
      <c r="Z190" s="147">
        <f t="shared" ca="1" si="68"/>
        <v>1.7055540821220114E-6</v>
      </c>
      <c r="AA190" s="147">
        <f t="shared" ca="1" si="55"/>
        <v>1.3836105701893935E-3</v>
      </c>
      <c r="AB190" s="147">
        <f t="shared" ca="1" si="56"/>
        <v>1.344977119979507E-3</v>
      </c>
      <c r="AC190" s="147">
        <f t="shared" ca="1" si="57"/>
        <v>7.1064157645780936E-4</v>
      </c>
      <c r="AD190" s="147">
        <f t="shared" ca="1" si="58"/>
        <v>3.2542522669856287E-4</v>
      </c>
      <c r="AH190" s="147">
        <f t="shared" si="69"/>
        <v>549</v>
      </c>
      <c r="AI190" s="147">
        <f>IF($AH190&gt;$AH189,INDEX(Spectra!190:190,1,MATCH($AI$20,Spectra!$20:$20,0)),AI189)</f>
        <v>104.08199999999999</v>
      </c>
      <c r="AJ190" s="147">
        <f>((Physics!$C$9*Physics!$C$10)/(Physics!$C$11*Physics!$C$12*$AH190))^($AJ$17-$AJ$18)</f>
        <v>2.764503839979711E+18</v>
      </c>
      <c r="AK190" s="147">
        <f t="shared" si="70"/>
        <v>1</v>
      </c>
      <c r="AL190" s="147">
        <f>INDEX(Photobiology!$21:$421,1+$AH190-380,10)</f>
        <v>0.99281160000000002</v>
      </c>
      <c r="AM190" s="147">
        <f t="shared" si="71"/>
        <v>1.4421185989087527E-3</v>
      </c>
      <c r="AN190" s="147">
        <f ca="1">INDEX(Photobiology!$21:$421,1+$AH190-380,AN$14)</f>
        <v>1.1928100000000001E-3</v>
      </c>
      <c r="AO190" s="147">
        <f ca="1">INDEX(Photobiology!$21:$421,1+$AH190-380,AO$14)</f>
        <v>0.96765299999999999</v>
      </c>
      <c r="AP190" s="147">
        <f ca="1">INDEX(Photobiology!$21:$421,1+$AH190-380,AP$14)</f>
        <v>0.94063399999999997</v>
      </c>
      <c r="AQ190" s="147">
        <f ca="1">INDEX(Photobiology!$21:$421,1+$AH190-380,AQ$14)</f>
        <v>0.497</v>
      </c>
      <c r="AR190" s="147">
        <f ca="1">INDEX(Photobiology!$21:$421,1+$AH190-380,AR$14)</f>
        <v>0.22759199999999999</v>
      </c>
      <c r="AS190" s="147">
        <f t="shared" si="72"/>
        <v>3986742404389407.5</v>
      </c>
      <c r="AT190" s="147">
        <f ca="1">INDEX(Photobiology!$21:$421,1+$AH190-380,AT$14)</f>
        <v>9.7213021659076494E-4</v>
      </c>
      <c r="AU190" s="147">
        <f ca="1">INDEX(Photobiology!$21:$421,1+$AH190-380,AU$14)</f>
        <v>0.95280838823259439</v>
      </c>
      <c r="AV190" s="147">
        <f ca="1">INDEX(Photobiology!$21:$421,1+$AH190-380,AV$14)</f>
        <v>0.97098107517601207</v>
      </c>
      <c r="AW190" s="147">
        <f ca="1">INDEX(Photobiology!$21:$421,1+$AH190-380,AW$14)</f>
        <v>0.45763520068401925</v>
      </c>
      <c r="AX190" s="147">
        <f ca="1">INDEX(Photobiology!$21:$421,1+$AH190-380,AX$14)</f>
        <v>0.20270779392549956</v>
      </c>
      <c r="AY190" s="147">
        <f t="shared" si="59"/>
        <v>1.4421185989087527E-3</v>
      </c>
      <c r="AZ190" s="147">
        <f t="shared" ca="1" si="73"/>
        <v>1.7201734859643495E-6</v>
      </c>
      <c r="BA190" s="147">
        <f t="shared" ca="1" si="60"/>
        <v>1.3954703885898513E-3</v>
      </c>
      <c r="BB190" s="147">
        <f t="shared" ca="1" si="61"/>
        <v>1.3565057861659356E-3</v>
      </c>
      <c r="BC190" s="147">
        <f t="shared" ca="1" si="62"/>
        <v>7.1673294365765005E-4</v>
      </c>
      <c r="BD190" s="147">
        <f t="shared" ca="1" si="63"/>
        <v>3.2821465616284082E-4</v>
      </c>
    </row>
    <row r="191" spans="8:56" s="147" customFormat="1" ht="0.25" customHeight="1" x14ac:dyDescent="0.2">
      <c r="H191" s="147">
        <f t="shared" si="64"/>
        <v>550</v>
      </c>
      <c r="I191" s="147">
        <f>IF($H191&gt;$H190,INDEX(Spectra!191:191,1,MATCH($I$20,Spectra!$20:$20,0)),I190)</f>
        <v>1.42986232687688E-3</v>
      </c>
      <c r="J191" s="147">
        <f>((Physics!$C$9*Physics!$C$10)/(Physics!$C$11*Physics!$C$12*$H191))^($J$17-$J$18)</f>
        <v>2.7695393660998927E+18</v>
      </c>
      <c r="K191" s="147">
        <f t="shared" si="65"/>
        <v>1</v>
      </c>
      <c r="L191" s="147">
        <f>INDEX(Photobiology!$21:$421,1+$H191-380,10)</f>
        <v>0.99495009999999995</v>
      </c>
      <c r="M191" s="147">
        <f t="shared" si="66"/>
        <v>1.42986232687688E-3</v>
      </c>
      <c r="N191" s="147">
        <f ca="1">INDEX(Photobiology!$21:$421,1+$H191-380,N$14)</f>
        <v>1.0823E-3</v>
      </c>
      <c r="O191" s="147">
        <f ca="1">INDEX(Photobiology!$21:$421,1+$H191-380,O$14)</f>
        <v>0.96187599999999995</v>
      </c>
      <c r="P191" s="147">
        <f ca="1">INDEX(Photobiology!$21:$421,1+$H191-380,P$14)</f>
        <v>0.94452700000000001</v>
      </c>
      <c r="Q191" s="147">
        <f ca="1">INDEX(Photobiology!$21:$421,1+$H191-380,Q$14)</f>
        <v>0.48099999999999998</v>
      </c>
      <c r="R191" s="147">
        <f ca="1">INDEX(Photobiology!$21:$421,1+$H191-380,R$14)</f>
        <v>0.215722</v>
      </c>
      <c r="S191" s="147">
        <f t="shared" si="67"/>
        <v>3960060002388712</v>
      </c>
      <c r="T191" s="147">
        <f ca="1">INDEX(Photobiology!$21:$421,1+$H191-380,T$14)</f>
        <v>8.8046173145839041E-4</v>
      </c>
      <c r="U191" s="147">
        <f ca="1">INDEX(Photobiology!$21:$421,1+$H191-380,U$14)</f>
        <v>0.94539797589077268</v>
      </c>
      <c r="V191" s="147">
        <f ca="1">INDEX(Photobiology!$21:$421,1+$H191-380,V$14)</f>
        <v>0.97322694587621938</v>
      </c>
      <c r="W191" s="147">
        <f ca="1">INDEX(Photobiology!$21:$421,1+$H191-380,W$14)</f>
        <v>0.44209720069298808</v>
      </c>
      <c r="X191" s="147">
        <f ca="1">INDEX(Photobiology!$21:$421,1+$H191-380,X$14)</f>
        <v>0.19178628555354993</v>
      </c>
      <c r="Y191" s="147">
        <f t="shared" si="54"/>
        <v>1.42986232687688E-3</v>
      </c>
      <c r="Z191" s="147">
        <f t="shared" ca="1" si="68"/>
        <v>1.5475399963788472E-6</v>
      </c>
      <c r="AA191" s="147">
        <f t="shared" ca="1" si="55"/>
        <v>1.3753502555270258E-3</v>
      </c>
      <c r="AB191" s="147">
        <f t="shared" ca="1" si="56"/>
        <v>1.3505435740180389E-3</v>
      </c>
      <c r="AC191" s="147">
        <f t="shared" ca="1" si="57"/>
        <v>6.8776377922777929E-4</v>
      </c>
      <c r="AD191" s="147">
        <f t="shared" ca="1" si="58"/>
        <v>3.084527608785343E-4</v>
      </c>
      <c r="AH191" s="147">
        <f t="shared" si="69"/>
        <v>550</v>
      </c>
      <c r="AI191" s="147">
        <f>IF($AH191&gt;$AH190,INDEX(Spectra!191:191,1,MATCH($AI$20,Spectra!$20:$20,0)),AI190)</f>
        <v>104.04600000000001</v>
      </c>
      <c r="AJ191" s="147">
        <f>((Physics!$C$9*Physics!$C$10)/(Physics!$C$11*Physics!$C$12*$AH191))^($AJ$17-$AJ$18)</f>
        <v>2.7695393660998927E+18</v>
      </c>
      <c r="AK191" s="147">
        <f t="shared" si="70"/>
        <v>1</v>
      </c>
      <c r="AL191" s="147">
        <f>INDEX(Photobiology!$21:$421,1+$AH191-380,10)</f>
        <v>0.99495009999999995</v>
      </c>
      <c r="AM191" s="147">
        <f t="shared" si="71"/>
        <v>1.4416197972950185E-3</v>
      </c>
      <c r="AN191" s="147">
        <f ca="1">INDEX(Photobiology!$21:$421,1+$AH191-380,AN$14)</f>
        <v>1.0823E-3</v>
      </c>
      <c r="AO191" s="147">
        <f ca="1">INDEX(Photobiology!$21:$421,1+$AH191-380,AO$14)</f>
        <v>0.96187599999999995</v>
      </c>
      <c r="AP191" s="147">
        <f ca="1">INDEX(Photobiology!$21:$421,1+$AH191-380,AP$14)</f>
        <v>0.94452700000000001</v>
      </c>
      <c r="AQ191" s="147">
        <f ca="1">INDEX(Photobiology!$21:$421,1+$AH191-380,AQ$14)</f>
        <v>0.48099999999999998</v>
      </c>
      <c r="AR191" s="147">
        <f ca="1">INDEX(Photobiology!$21:$421,1+$AH191-380,AR$14)</f>
        <v>0.215722</v>
      </c>
      <c r="AS191" s="147">
        <f t="shared" si="72"/>
        <v>3992622779557501.5</v>
      </c>
      <c r="AT191" s="147">
        <f ca="1">INDEX(Photobiology!$21:$421,1+$AH191-380,AT$14)</f>
        <v>8.8046173145839041E-4</v>
      </c>
      <c r="AU191" s="147">
        <f ca="1">INDEX(Photobiology!$21:$421,1+$AH191-380,AU$14)</f>
        <v>0.94539797589077268</v>
      </c>
      <c r="AV191" s="147">
        <f ca="1">INDEX(Photobiology!$21:$421,1+$AH191-380,AV$14)</f>
        <v>0.97322694587621938</v>
      </c>
      <c r="AW191" s="147">
        <f ca="1">INDEX(Photobiology!$21:$421,1+$AH191-380,AW$14)</f>
        <v>0.44209720069298808</v>
      </c>
      <c r="AX191" s="147">
        <f ca="1">INDEX(Photobiology!$21:$421,1+$AH191-380,AX$14)</f>
        <v>0.19178628555354993</v>
      </c>
      <c r="AY191" s="147">
        <f t="shared" si="59"/>
        <v>1.4416197972950185E-3</v>
      </c>
      <c r="AZ191" s="147">
        <f t="shared" ca="1" si="73"/>
        <v>1.5602651066123986E-6</v>
      </c>
      <c r="BA191" s="147">
        <f t="shared" ca="1" si="60"/>
        <v>1.3866594841429431E-3</v>
      </c>
      <c r="BB191" s="147">
        <f t="shared" ca="1" si="61"/>
        <v>1.3616488222796719E-3</v>
      </c>
      <c r="BC191" s="147">
        <f t="shared" ca="1" si="62"/>
        <v>6.9341912249890384E-4</v>
      </c>
      <c r="BD191" s="147">
        <f t="shared" ca="1" si="63"/>
        <v>3.10989105912076E-4</v>
      </c>
    </row>
    <row r="192" spans="8:56" s="147" customFormat="1" ht="0.25" customHeight="1" x14ac:dyDescent="0.2">
      <c r="H192" s="147">
        <f t="shared" si="64"/>
        <v>551</v>
      </c>
      <c r="I192" s="147">
        <f>IF($H192&gt;$H191,INDEX(Spectra!192:192,1,MATCH($I$20,Spectra!$20:$20,0)),I191)</f>
        <v>1.42486280825144E-3</v>
      </c>
      <c r="J192" s="147">
        <f>((Physics!$C$9*Physics!$C$10)/(Physics!$C$11*Physics!$C$12*$H192))^($J$17-$J$18)</f>
        <v>2.774574892220074E+18</v>
      </c>
      <c r="K192" s="147">
        <f t="shared" si="65"/>
        <v>1</v>
      </c>
      <c r="L192" s="147">
        <f>INDEX(Photobiology!$21:$421,1+$H192-380,10)</f>
        <v>0.99671080000000001</v>
      </c>
      <c r="M192" s="147">
        <f t="shared" si="66"/>
        <v>1.42486280825144E-3</v>
      </c>
      <c r="N192" s="147">
        <f ca="1">INDEX(Photobiology!$21:$421,1+$H192-380,N$14)</f>
        <v>9.8181900000000009E-4</v>
      </c>
      <c r="O192" s="147">
        <f ca="1">INDEX(Photobiology!$21:$421,1+$H192-380,O$14)</f>
        <v>0.95682</v>
      </c>
      <c r="P192" s="147">
        <f ca="1">INDEX(Photobiology!$21:$421,1+$H192-380,P$14)</f>
        <v>0.949291</v>
      </c>
      <c r="Q192" s="147">
        <f ca="1">INDEX(Photobiology!$21:$421,1+$H192-380,Q$14)</f>
        <v>0.46500000000000002</v>
      </c>
      <c r="R192" s="147">
        <f ca="1">INDEX(Photobiology!$21:$421,1+$H192-380,R$14)</f>
        <v>0.204238</v>
      </c>
      <c r="S192" s="147">
        <f t="shared" si="67"/>
        <v>3953388572632631</v>
      </c>
      <c r="T192" s="147">
        <f ca="1">INDEX(Photobiology!$21:$421,1+$H192-380,T$14)</f>
        <v>7.9726986471693583E-4</v>
      </c>
      <c r="U192" s="147">
        <f ca="1">INDEX(Photobiology!$21:$421,1+$H192-380,U$14)</f>
        <v>0.93872182393832004</v>
      </c>
      <c r="V192" s="147">
        <f ca="1">INDEX(Photobiology!$21:$421,1+$H192-380,V$14)</f>
        <v>0.97636050159073218</v>
      </c>
      <c r="W192" s="147">
        <f ca="1">INDEX(Photobiology!$21:$421,1+$H192-380,W$14)</f>
        <v>0.42661559997597148</v>
      </c>
      <c r="X192" s="147">
        <f ca="1">INDEX(Photobiology!$21:$421,1+$H192-380,X$14)</f>
        <v>0.1812469677346821</v>
      </c>
      <c r="Y192" s="147">
        <f t="shared" si="54"/>
        <v>1.42486280825144E-3</v>
      </c>
      <c r="Z192" s="147">
        <f t="shared" ca="1" si="68"/>
        <v>1.3989573775346207E-6</v>
      </c>
      <c r="AA192" s="147">
        <f t="shared" ca="1" si="55"/>
        <v>1.3633372321911429E-3</v>
      </c>
      <c r="AB192" s="147">
        <f t="shared" ca="1" si="56"/>
        <v>1.3526094401078177E-3</v>
      </c>
      <c r="AC192" s="147">
        <f t="shared" ca="1" si="57"/>
        <v>6.6256120583691965E-4</v>
      </c>
      <c r="AD192" s="147">
        <f t="shared" ca="1" si="58"/>
        <v>2.9101113023165758E-4</v>
      </c>
      <c r="AH192" s="147">
        <f t="shared" si="69"/>
        <v>551</v>
      </c>
      <c r="AI192" s="147">
        <f>IF($AH192&gt;$AH191,INDEX(Spectra!192:192,1,MATCH($AI$20,Spectra!$20:$20,0)),AI191)</f>
        <v>103.64100000000001</v>
      </c>
      <c r="AJ192" s="147">
        <f>((Physics!$C$9*Physics!$C$10)/(Physics!$C$11*Physics!$C$12*$AH192))^($AJ$17-$AJ$18)</f>
        <v>2.774574892220074E+18</v>
      </c>
      <c r="AK192" s="147">
        <f t="shared" si="70"/>
        <v>1</v>
      </c>
      <c r="AL192" s="147">
        <f>INDEX(Photobiology!$21:$421,1+$AH192-380,10)</f>
        <v>0.99671080000000001</v>
      </c>
      <c r="AM192" s="147">
        <f t="shared" si="71"/>
        <v>1.4360082791405053E-3</v>
      </c>
      <c r="AN192" s="147">
        <f ca="1">INDEX(Photobiology!$21:$421,1+$AH192-380,AN$14)</f>
        <v>9.8181900000000009E-4</v>
      </c>
      <c r="AO192" s="147">
        <f ca="1">INDEX(Photobiology!$21:$421,1+$AH192-380,AO$14)</f>
        <v>0.95682</v>
      </c>
      <c r="AP192" s="147">
        <f ca="1">INDEX(Photobiology!$21:$421,1+$AH192-380,AP$14)</f>
        <v>0.949291</v>
      </c>
      <c r="AQ192" s="147">
        <f ca="1">INDEX(Photobiology!$21:$421,1+$AH192-380,AQ$14)</f>
        <v>0.46500000000000002</v>
      </c>
      <c r="AR192" s="147">
        <f ca="1">INDEX(Photobiology!$21:$421,1+$AH192-380,AR$14)</f>
        <v>0.204238</v>
      </c>
      <c r="AS192" s="147">
        <f t="shared" si="72"/>
        <v>3984312516323401.5</v>
      </c>
      <c r="AT192" s="147">
        <f ca="1">INDEX(Photobiology!$21:$421,1+$AH192-380,AT$14)</f>
        <v>7.9726986471693583E-4</v>
      </c>
      <c r="AU192" s="147">
        <f ca="1">INDEX(Photobiology!$21:$421,1+$AH192-380,AU$14)</f>
        <v>0.93872182393832004</v>
      </c>
      <c r="AV192" s="147">
        <f ca="1">INDEX(Photobiology!$21:$421,1+$AH192-380,AV$14)</f>
        <v>0.97636050159073218</v>
      </c>
      <c r="AW192" s="147">
        <f ca="1">INDEX(Photobiology!$21:$421,1+$AH192-380,AW$14)</f>
        <v>0.42661559997597148</v>
      </c>
      <c r="AX192" s="147">
        <f ca="1">INDEX(Photobiology!$21:$421,1+$AH192-380,AX$14)</f>
        <v>0.1812469677346821</v>
      </c>
      <c r="AY192" s="147">
        <f t="shared" si="59"/>
        <v>1.4360082791405053E-3</v>
      </c>
      <c r="AZ192" s="147">
        <f t="shared" ca="1" si="73"/>
        <v>1.4099002126174518E-6</v>
      </c>
      <c r="BA192" s="147">
        <f t="shared" ca="1" si="60"/>
        <v>1.3740014416472183E-3</v>
      </c>
      <c r="BB192" s="147">
        <f t="shared" ca="1" si="61"/>
        <v>1.3631897353135695E-3</v>
      </c>
      <c r="BC192" s="147">
        <f t="shared" ca="1" si="62"/>
        <v>6.6774384980033497E-4</v>
      </c>
      <c r="BD192" s="147">
        <f t="shared" ca="1" si="63"/>
        <v>2.9328745891509851E-4</v>
      </c>
    </row>
    <row r="193" spans="8:56" s="147" customFormat="1" ht="0.25" customHeight="1" x14ac:dyDescent="0.2">
      <c r="H193" s="147">
        <f t="shared" si="64"/>
        <v>552</v>
      </c>
      <c r="I193" s="147">
        <f>IF($H193&gt;$H192,INDEX(Spectra!193:193,1,MATCH($I$20,Spectra!$20:$20,0)),I192)</f>
        <v>1.42486280825144E-3</v>
      </c>
      <c r="J193" s="147">
        <f>((Physics!$C$9*Physics!$C$10)/(Physics!$C$11*Physics!$C$12*$H193))^($J$17-$J$18)</f>
        <v>2.7796104183402557E+18</v>
      </c>
      <c r="K193" s="147">
        <f t="shared" si="65"/>
        <v>1</v>
      </c>
      <c r="L193" s="147">
        <f>INDEX(Photobiology!$21:$421,1+$H193-380,10)</f>
        <v>0.99809829999999999</v>
      </c>
      <c r="M193" s="147">
        <f t="shared" si="66"/>
        <v>1.42486280825144E-3</v>
      </c>
      <c r="N193" s="147">
        <f ca="1">INDEX(Photobiology!$21:$421,1+$H193-380,N$14)</f>
        <v>8.9053299999999999E-4</v>
      </c>
      <c r="O193" s="147">
        <f ca="1">INDEX(Photobiology!$21:$421,1+$H193-380,O$14)</f>
        <v>0.95215099999999997</v>
      </c>
      <c r="P193" s="147">
        <f ca="1">INDEX(Photobiology!$21:$421,1+$H193-380,P$14)</f>
        <v>0.95467999999999997</v>
      </c>
      <c r="Q193" s="147">
        <f ca="1">INDEX(Photobiology!$21:$421,1+$H193-380,Q$14)</f>
        <v>0.44800000000000001</v>
      </c>
      <c r="R193" s="147">
        <f ca="1">INDEX(Photobiology!$21:$421,1+$H193-380,R$14)</f>
        <v>0.193075</v>
      </c>
      <c r="S193" s="147">
        <f t="shared" si="67"/>
        <v>3960563506521256.5</v>
      </c>
      <c r="T193" s="147">
        <f ca="1">INDEX(Photobiology!$21:$421,1+$H193-380,T$14)</f>
        <v>7.2183253877186376E-4</v>
      </c>
      <c r="U193" s="147">
        <f ca="1">INDEX(Photobiology!$21:$421,1+$H193-380,U$14)</f>
        <v>0.93244885304129244</v>
      </c>
      <c r="V193" s="147">
        <f ca="1">INDEX(Photobiology!$21:$421,1+$H193-380,V$14)</f>
        <v>0.98012436149317239</v>
      </c>
      <c r="W193" s="147">
        <f ca="1">INDEX(Photobiology!$21:$421,1+$H193-380,W$14)</f>
        <v>0.41027430116436264</v>
      </c>
      <c r="X193" s="147">
        <f ca="1">INDEX(Photobiology!$21:$421,1+$H193-380,X$14)</f>
        <v>0.17103018488190794</v>
      </c>
      <c r="Y193" s="147">
        <f t="shared" si="54"/>
        <v>1.42486280825144E-3</v>
      </c>
      <c r="Z193" s="147">
        <f t="shared" ca="1" si="68"/>
        <v>1.2688873512205797E-6</v>
      </c>
      <c r="AA193" s="147">
        <f t="shared" ca="1" si="55"/>
        <v>1.3566845477394169E-3</v>
      </c>
      <c r="AB193" s="147">
        <f t="shared" ca="1" si="56"/>
        <v>1.3602880257814847E-3</v>
      </c>
      <c r="AC193" s="147">
        <f t="shared" ca="1" si="57"/>
        <v>6.3833853809664516E-4</v>
      </c>
      <c r="AD193" s="147">
        <f t="shared" ca="1" si="58"/>
        <v>2.7510538670314676E-4</v>
      </c>
      <c r="AH193" s="147">
        <f t="shared" si="69"/>
        <v>552</v>
      </c>
      <c r="AI193" s="147">
        <f>IF($AH193&gt;$AH192,INDEX(Spectra!193:193,1,MATCH($AI$20,Spectra!$20:$20,0)),AI192)</f>
        <v>103.23699999999999</v>
      </c>
      <c r="AJ193" s="147">
        <f>((Physics!$C$9*Physics!$C$10)/(Physics!$C$11*Physics!$C$12*$AH193))^($AJ$17-$AJ$18)</f>
        <v>2.7796104183402557E+18</v>
      </c>
      <c r="AK193" s="147">
        <f t="shared" si="70"/>
        <v>1</v>
      </c>
      <c r="AL193" s="147">
        <f>INDEX(Photobiology!$21:$421,1+$AH193-380,10)</f>
        <v>0.99809829999999999</v>
      </c>
      <c r="AM193" s="147">
        <f t="shared" si="71"/>
        <v>1.4304106165863733E-3</v>
      </c>
      <c r="AN193" s="147">
        <f ca="1">INDEX(Photobiology!$21:$421,1+$AH193-380,AN$14)</f>
        <v>8.9053299999999999E-4</v>
      </c>
      <c r="AO193" s="147">
        <f ca="1">INDEX(Photobiology!$21:$421,1+$AH193-380,AO$14)</f>
        <v>0.95215099999999997</v>
      </c>
      <c r="AP193" s="147">
        <f ca="1">INDEX(Photobiology!$21:$421,1+$AH193-380,AP$14)</f>
        <v>0.95467999999999997</v>
      </c>
      <c r="AQ193" s="147">
        <f ca="1">INDEX(Photobiology!$21:$421,1+$AH193-380,AQ$14)</f>
        <v>0.44800000000000001</v>
      </c>
      <c r="AR193" s="147">
        <f ca="1">INDEX(Photobiology!$21:$421,1+$AH193-380,AR$14)</f>
        <v>0.193075</v>
      </c>
      <c r="AS193" s="147">
        <f t="shared" si="72"/>
        <v>3975984252367992.5</v>
      </c>
      <c r="AT193" s="147">
        <f ca="1">INDEX(Photobiology!$21:$421,1+$AH193-380,AT$14)</f>
        <v>7.2183253877186376E-4</v>
      </c>
      <c r="AU193" s="147">
        <f ca="1">INDEX(Photobiology!$21:$421,1+$AH193-380,AU$14)</f>
        <v>0.93244885304129244</v>
      </c>
      <c r="AV193" s="147">
        <f ca="1">INDEX(Photobiology!$21:$421,1+$AH193-380,AV$14)</f>
        <v>0.98012436149317239</v>
      </c>
      <c r="AW193" s="147">
        <f ca="1">INDEX(Photobiology!$21:$421,1+$AH193-380,AW$14)</f>
        <v>0.41027430116436264</v>
      </c>
      <c r="AX193" s="147">
        <f ca="1">INDEX(Photobiology!$21:$421,1+$AH193-380,AX$14)</f>
        <v>0.17103018488190794</v>
      </c>
      <c r="AY193" s="147">
        <f t="shared" si="59"/>
        <v>1.4304106165863733E-3</v>
      </c>
      <c r="AZ193" s="147">
        <f t="shared" ca="1" si="73"/>
        <v>1.2738278576205128E-6</v>
      </c>
      <c r="BA193" s="147">
        <f t="shared" ca="1" si="60"/>
        <v>1.3619668989933319E-3</v>
      </c>
      <c r="BB193" s="147">
        <f t="shared" ca="1" si="61"/>
        <v>1.3655844074426788E-3</v>
      </c>
      <c r="BC193" s="147">
        <f t="shared" ca="1" si="62"/>
        <v>6.4082395623069532E-4</v>
      </c>
      <c r="BD193" s="147">
        <f t="shared" ca="1" si="63"/>
        <v>2.7617652979741405E-4</v>
      </c>
    </row>
    <row r="194" spans="8:56" s="147" customFormat="1" ht="0.25" customHeight="1" x14ac:dyDescent="0.2">
      <c r="H194" s="147">
        <f t="shared" si="64"/>
        <v>553</v>
      </c>
      <c r="I194" s="147">
        <f>IF($H194&gt;$H193,INDEX(Spectra!194:194,1,MATCH($I$20,Spectra!$20:$20,0)),I193)</f>
        <v>1.419863289626E-3</v>
      </c>
      <c r="J194" s="147">
        <f>((Physics!$C$9*Physics!$C$10)/(Physics!$C$11*Physics!$C$12*$H194))^($J$17-$J$18)</f>
        <v>2.7846459444604375E+18</v>
      </c>
      <c r="K194" s="147">
        <f t="shared" si="65"/>
        <v>1</v>
      </c>
      <c r="L194" s="147">
        <f>INDEX(Photobiology!$21:$421,1+$H194-380,10)</f>
        <v>0.999112</v>
      </c>
      <c r="M194" s="147">
        <f t="shared" si="66"/>
        <v>1.419863289626E-3</v>
      </c>
      <c r="N194" s="147">
        <f ca="1">INDEX(Photobiology!$21:$421,1+$H194-380,N$14)</f>
        <v>8.0768699999999997E-4</v>
      </c>
      <c r="O194" s="147">
        <f ca="1">INDEX(Photobiology!$21:$421,1+$H194-380,O$14)</f>
        <v>0.94739799999999996</v>
      </c>
      <c r="P194" s="147">
        <f ca="1">INDEX(Photobiology!$21:$421,1+$H194-380,P$14)</f>
        <v>0.96030899999999997</v>
      </c>
      <c r="Q194" s="147">
        <f ca="1">INDEX(Photobiology!$21:$421,1+$H194-380,Q$14)</f>
        <v>0.433</v>
      </c>
      <c r="R194" s="147">
        <f ca="1">INDEX(Photobiology!$21:$421,1+$H194-380,R$14)</f>
        <v>0.18228800000000001</v>
      </c>
      <c r="S194" s="147">
        <f t="shared" si="67"/>
        <v>3953816551145296.5</v>
      </c>
      <c r="T194" s="147">
        <f ca="1">INDEX(Photobiology!$21:$421,1+$H194-380,T$14)</f>
        <v>6.5349681764562757E-4</v>
      </c>
      <c r="U194" s="147">
        <f ca="1">INDEX(Photobiology!$21:$421,1+$H194-380,U$14)</f>
        <v>0.9261164561045957</v>
      </c>
      <c r="V194" s="147">
        <f ca="1">INDEX(Photobiology!$21:$421,1+$H194-380,V$14)</f>
        <v>0.98412055985689739</v>
      </c>
      <c r="W194" s="147">
        <f ca="1">INDEX(Photobiology!$21:$421,1+$H194-380,W$14)</f>
        <v>0.39582037250993485</v>
      </c>
      <c r="X194" s="147">
        <f ca="1">INDEX(Photobiology!$21:$421,1+$H194-380,X$14)</f>
        <v>0.16118281939504142</v>
      </c>
      <c r="Y194" s="147">
        <f t="shared" si="54"/>
        <v>1.419863289626E-3</v>
      </c>
      <c r="Z194" s="147">
        <f t="shared" ca="1" si="68"/>
        <v>1.1468051208081551E-6</v>
      </c>
      <c r="AA194" s="147">
        <f t="shared" ca="1" si="55"/>
        <v>1.3451756408650931E-3</v>
      </c>
      <c r="AB194" s="147">
        <f t="shared" ca="1" si="56"/>
        <v>1.3635074957974544E-3</v>
      </c>
      <c r="AC194" s="147">
        <f t="shared" ca="1" si="57"/>
        <v>6.1480080440805794E-4</v>
      </c>
      <c r="AD194" s="147">
        <f t="shared" ca="1" si="58"/>
        <v>2.5882403933934428E-4</v>
      </c>
      <c r="AH194" s="147">
        <f t="shared" si="69"/>
        <v>553</v>
      </c>
      <c r="AI194" s="147">
        <f>IF($AH194&gt;$AH193,INDEX(Spectra!194:194,1,MATCH($AI$20,Spectra!$20:$20,0)),AI193)</f>
        <v>102.83199999999999</v>
      </c>
      <c r="AJ194" s="147">
        <f>((Physics!$C$9*Physics!$C$10)/(Physics!$C$11*Physics!$C$12*$AH194))^($AJ$17-$AJ$18)</f>
        <v>2.7846459444604375E+18</v>
      </c>
      <c r="AK194" s="147">
        <f t="shared" si="70"/>
        <v>1</v>
      </c>
      <c r="AL194" s="147">
        <f>INDEX(Photobiology!$21:$421,1+$AH194-380,10)</f>
        <v>0.999112</v>
      </c>
      <c r="AM194" s="147">
        <f t="shared" si="71"/>
        <v>1.4247990984318601E-3</v>
      </c>
      <c r="AN194" s="147">
        <f ca="1">INDEX(Photobiology!$21:$421,1+$AH194-380,AN$14)</f>
        <v>8.0768699999999997E-4</v>
      </c>
      <c r="AO194" s="147">
        <f ca="1">INDEX(Photobiology!$21:$421,1+$AH194-380,AO$14)</f>
        <v>0.94739799999999996</v>
      </c>
      <c r="AP194" s="147">
        <f ca="1">INDEX(Photobiology!$21:$421,1+$AH194-380,AP$14)</f>
        <v>0.96030899999999997</v>
      </c>
      <c r="AQ194" s="147">
        <f ca="1">INDEX(Photobiology!$21:$421,1+$AH194-380,AQ$14)</f>
        <v>0.433</v>
      </c>
      <c r="AR194" s="147">
        <f ca="1">INDEX(Photobiology!$21:$421,1+$AH194-380,AR$14)</f>
        <v>0.18228800000000001</v>
      </c>
      <c r="AS194" s="147">
        <f t="shared" si="72"/>
        <v>3967561031119167</v>
      </c>
      <c r="AT194" s="147">
        <f ca="1">INDEX(Photobiology!$21:$421,1+$AH194-380,AT$14)</f>
        <v>6.5349681764562757E-4</v>
      </c>
      <c r="AU194" s="147">
        <f ca="1">INDEX(Photobiology!$21:$421,1+$AH194-380,AU$14)</f>
        <v>0.9261164561045957</v>
      </c>
      <c r="AV194" s="147">
        <f ca="1">INDEX(Photobiology!$21:$421,1+$AH194-380,AV$14)</f>
        <v>0.98412055985689739</v>
      </c>
      <c r="AW194" s="147">
        <f ca="1">INDEX(Photobiology!$21:$421,1+$AH194-380,AW$14)</f>
        <v>0.39582037250993485</v>
      </c>
      <c r="AX194" s="147">
        <f ca="1">INDEX(Photobiology!$21:$421,1+$AH194-380,AX$14)</f>
        <v>0.16118281939504142</v>
      </c>
      <c r="AY194" s="147">
        <f t="shared" si="59"/>
        <v>1.4247990984318601E-3</v>
      </c>
      <c r="AZ194" s="147">
        <f t="shared" ca="1" si="73"/>
        <v>1.1507917094151338E-6</v>
      </c>
      <c r="BA194" s="147">
        <f t="shared" ca="1" si="60"/>
        <v>1.3498518162561473E-3</v>
      </c>
      <c r="BB194" s="147">
        <f t="shared" ca="1" si="61"/>
        <v>1.3682473974160011E-3</v>
      </c>
      <c r="BC194" s="147">
        <f t="shared" ca="1" si="62"/>
        <v>6.1693800962099544E-4</v>
      </c>
      <c r="BD194" s="147">
        <f t="shared" ca="1" si="63"/>
        <v>2.5972377805494692E-4</v>
      </c>
    </row>
    <row r="195" spans="8:56" s="147" customFormat="1" ht="0.25" customHeight="1" x14ac:dyDescent="0.2">
      <c r="H195" s="147">
        <f t="shared" si="64"/>
        <v>554</v>
      </c>
      <c r="I195" s="147">
        <f>IF($H195&gt;$H194,INDEX(Spectra!195:195,1,MATCH($I$20,Spectra!$20:$20,0)),I194)</f>
        <v>1.41486377100055E-3</v>
      </c>
      <c r="J195" s="147">
        <f>((Physics!$C$9*Physics!$C$10)/(Physics!$C$11*Physics!$C$12*$H195))^($J$17-$J$18)</f>
        <v>2.7896814705806188E+18</v>
      </c>
      <c r="K195" s="147">
        <f t="shared" si="65"/>
        <v>1</v>
      </c>
      <c r="L195" s="147">
        <f>INDEX(Photobiology!$21:$421,1+$H195-380,10)</f>
        <v>0.99974819999999998</v>
      </c>
      <c r="M195" s="147">
        <f t="shared" si="66"/>
        <v>1.41486377100055E-3</v>
      </c>
      <c r="N195" s="147">
        <f ca="1">INDEX(Photobiology!$21:$421,1+$H195-380,N$14)</f>
        <v>7.3256799999999996E-4</v>
      </c>
      <c r="O195" s="147">
        <f ca="1">INDEX(Photobiology!$21:$421,1+$H195-380,O$14)</f>
        <v>0.94210499999999997</v>
      </c>
      <c r="P195" s="147">
        <f ca="1">INDEX(Photobiology!$21:$421,1+$H195-380,P$14)</f>
        <v>0.965785</v>
      </c>
      <c r="Q195" s="147">
        <f ca="1">INDEX(Photobiology!$21:$421,1+$H195-380,Q$14)</f>
        <v>0.41699999999999998</v>
      </c>
      <c r="R195" s="147">
        <f ca="1">INDEX(Photobiology!$21:$421,1+$H195-380,R$14)</f>
        <v>0.17193</v>
      </c>
      <c r="S195" s="147">
        <f t="shared" si="67"/>
        <v>3947019245356054</v>
      </c>
      <c r="T195" s="147">
        <f ca="1">INDEX(Photobiology!$21:$421,1+$H195-380,T$14)</f>
        <v>5.9164840041824203E-4</v>
      </c>
      <c r="U195" s="147">
        <f ca="1">INDEX(Photobiology!$21:$421,1+$H195-380,U$14)</f>
        <v>0.91928000274170341</v>
      </c>
      <c r="V195" s="147">
        <f ca="1">INDEX(Photobiology!$21:$421,1+$H195-380,V$14)</f>
        <v>0.98794582078669047</v>
      </c>
      <c r="W195" s="147">
        <f ca="1">INDEX(Photobiology!$21:$421,1+$H195-380,W$14)</f>
        <v>0.38050613935669819</v>
      </c>
      <c r="X195" s="147">
        <f ca="1">INDEX(Photobiology!$21:$421,1+$H195-380,X$14)</f>
        <v>0.15174964992358639</v>
      </c>
      <c r="Y195" s="147">
        <f t="shared" si="54"/>
        <v>1.41486377100055E-3</v>
      </c>
      <c r="Z195" s="147">
        <f t="shared" ca="1" si="68"/>
        <v>1.0364839229943308E-6</v>
      </c>
      <c r="AA195" s="147">
        <f t="shared" ca="1" si="55"/>
        <v>1.3329502329784732E-3</v>
      </c>
      <c r="AB195" s="147">
        <f t="shared" ca="1" si="56"/>
        <v>1.3664542070757663E-3</v>
      </c>
      <c r="AC195" s="147">
        <f t="shared" ca="1" si="57"/>
        <v>5.8999819250722934E-4</v>
      </c>
      <c r="AD195" s="147">
        <f t="shared" ca="1" si="58"/>
        <v>2.4325752814812455E-4</v>
      </c>
      <c r="AH195" s="147">
        <f t="shared" si="69"/>
        <v>554</v>
      </c>
      <c r="AI195" s="147">
        <f>IF($AH195&gt;$AH194,INDEX(Spectra!195:195,1,MATCH($AI$20,Spectra!$20:$20,0)),AI194)</f>
        <v>102.428</v>
      </c>
      <c r="AJ195" s="147">
        <f>((Physics!$C$9*Physics!$C$10)/(Physics!$C$11*Physics!$C$12*$AH195))^($AJ$17-$AJ$18)</f>
        <v>2.7896814705806188E+18</v>
      </c>
      <c r="AK195" s="147">
        <f t="shared" si="70"/>
        <v>1</v>
      </c>
      <c r="AL195" s="147">
        <f>INDEX(Photobiology!$21:$421,1+$AH195-380,10)</f>
        <v>0.99974819999999998</v>
      </c>
      <c r="AM195" s="147">
        <f t="shared" si="71"/>
        <v>1.4192014358777286E-3</v>
      </c>
      <c r="AN195" s="147">
        <f ca="1">INDEX(Photobiology!$21:$421,1+$AH195-380,AN$14)</f>
        <v>7.3256799999999996E-4</v>
      </c>
      <c r="AO195" s="147">
        <f ca="1">INDEX(Photobiology!$21:$421,1+$AH195-380,AO$14)</f>
        <v>0.94210499999999997</v>
      </c>
      <c r="AP195" s="147">
        <f ca="1">INDEX(Photobiology!$21:$421,1+$AH195-380,AP$14)</f>
        <v>0.965785</v>
      </c>
      <c r="AQ195" s="147">
        <f ca="1">INDEX(Photobiology!$21:$421,1+$AH195-380,AQ$14)</f>
        <v>0.41699999999999998</v>
      </c>
      <c r="AR195" s="147">
        <f ca="1">INDEX(Photobiology!$21:$421,1+$AH195-380,AR$14)</f>
        <v>0.17193</v>
      </c>
      <c r="AS195" s="147">
        <f t="shared" si="72"/>
        <v>3959119948689507.5</v>
      </c>
      <c r="AT195" s="147">
        <f ca="1">INDEX(Photobiology!$21:$421,1+$AH195-380,AT$14)</f>
        <v>5.9164840041824203E-4</v>
      </c>
      <c r="AU195" s="147">
        <f ca="1">INDEX(Photobiology!$21:$421,1+$AH195-380,AU$14)</f>
        <v>0.91928000274170341</v>
      </c>
      <c r="AV195" s="147">
        <f ca="1">INDEX(Photobiology!$21:$421,1+$AH195-380,AV$14)</f>
        <v>0.98794582078669047</v>
      </c>
      <c r="AW195" s="147">
        <f ca="1">INDEX(Photobiology!$21:$421,1+$AH195-380,AW$14)</f>
        <v>0.38050613935669819</v>
      </c>
      <c r="AX195" s="147">
        <f ca="1">INDEX(Photobiology!$21:$421,1+$AH195-380,AX$14)</f>
        <v>0.15174964992358639</v>
      </c>
      <c r="AY195" s="147">
        <f t="shared" si="59"/>
        <v>1.4192014358777286E-3</v>
      </c>
      <c r="AZ195" s="147">
        <f t="shared" ca="1" si="73"/>
        <v>1.0396615574780757E-6</v>
      </c>
      <c r="BA195" s="147">
        <f t="shared" ca="1" si="60"/>
        <v>1.3370367687475875E-3</v>
      </c>
      <c r="BB195" s="147">
        <f t="shared" ca="1" si="61"/>
        <v>1.3706434587491721E-3</v>
      </c>
      <c r="BC195" s="147">
        <f t="shared" ca="1" si="62"/>
        <v>5.9180699876101276E-4</v>
      </c>
      <c r="BD195" s="147">
        <f t="shared" ca="1" si="63"/>
        <v>2.4400330287045787E-4</v>
      </c>
    </row>
    <row r="196" spans="8:56" s="147" customFormat="1" ht="0.25" customHeight="1" x14ac:dyDescent="0.2">
      <c r="H196" s="147">
        <f t="shared" si="64"/>
        <v>555</v>
      </c>
      <c r="I196" s="147">
        <f>IF($H196&gt;$H195,INDEX(Spectra!196:196,1,MATCH($I$20,Spectra!$20:$20,0)),I195)</f>
        <v>1.40486473374967E-3</v>
      </c>
      <c r="J196" s="147">
        <f>((Physics!$C$9*Physics!$C$10)/(Physics!$C$11*Physics!$C$12*$H196))^($J$17-$J$18)</f>
        <v>2.7947169967008005E+18</v>
      </c>
      <c r="K196" s="147">
        <f t="shared" si="65"/>
        <v>1</v>
      </c>
      <c r="L196" s="147">
        <f>INDEX(Photobiology!$21:$421,1+$H196-380,10)</f>
        <v>1</v>
      </c>
      <c r="M196" s="147">
        <f t="shared" si="66"/>
        <v>1.40486473374967E-3</v>
      </c>
      <c r="N196" s="147">
        <f ca="1">INDEX(Photobiology!$21:$421,1+$H196-380,N$14)</f>
        <v>6.6451200000000002E-4</v>
      </c>
      <c r="O196" s="147">
        <f ca="1">INDEX(Photobiology!$21:$421,1+$H196-380,O$14)</f>
        <v>0.93582900000000002</v>
      </c>
      <c r="P196" s="147">
        <f ca="1">INDEX(Photobiology!$21:$421,1+$H196-380,P$14)</f>
        <v>0.97070299999999998</v>
      </c>
      <c r="Q196" s="147">
        <f ca="1">INDEX(Photobiology!$21:$421,1+$H196-380,Q$14)</f>
        <v>0.40200000000000002</v>
      </c>
      <c r="R196" s="147">
        <f ca="1">INDEX(Photobiology!$21:$421,1+$H196-380,R$14)</f>
        <v>0.16205600000000001</v>
      </c>
      <c r="S196" s="147">
        <f t="shared" si="67"/>
        <v>3926199349475747.5</v>
      </c>
      <c r="T196" s="147">
        <f ca="1">INDEX(Photobiology!$21:$421,1+$H196-380,T$14)</f>
        <v>5.3571691643036279E-4</v>
      </c>
      <c r="U196" s="147">
        <f ca="1">INDEX(Photobiology!$21:$421,1+$H196-380,U$14)</f>
        <v>0.91151072929393961</v>
      </c>
      <c r="V196" s="147">
        <f ca="1">INDEX(Photobiology!$21:$421,1+$H196-380,V$14)</f>
        <v>0.99118752164703994</v>
      </c>
      <c r="W196" s="147">
        <f ca="1">INDEX(Photobiology!$21:$421,1+$H196-380,W$14)</f>
        <v>0.36615793325923718</v>
      </c>
      <c r="X196" s="147">
        <f ca="1">INDEX(Photobiology!$21:$421,1+$H196-380,X$14)</f>
        <v>0.14277689445664052</v>
      </c>
      <c r="Y196" s="147">
        <f t="shared" si="54"/>
        <v>1.40486473374967E-3</v>
      </c>
      <c r="Z196" s="147">
        <f t="shared" ca="1" si="68"/>
        <v>9.3354947395346077E-7</v>
      </c>
      <c r="AA196" s="147">
        <f t="shared" ca="1" si="55"/>
        <v>1.31471315892022E-3</v>
      </c>
      <c r="AB196" s="147">
        <f t="shared" ca="1" si="56"/>
        <v>1.363706411645006E-3</v>
      </c>
      <c r="AC196" s="147">
        <f t="shared" ca="1" si="57"/>
        <v>5.6475562296736737E-4</v>
      </c>
      <c r="AD196" s="147">
        <f t="shared" ca="1" si="58"/>
        <v>2.2766675929253652E-4</v>
      </c>
      <c r="AH196" s="147">
        <f t="shared" si="69"/>
        <v>555</v>
      </c>
      <c r="AI196" s="147">
        <f>IF($AH196&gt;$AH195,INDEX(Spectra!196:196,1,MATCH($AI$20,Spectra!$20:$20,0)),AI195)</f>
        <v>102.023</v>
      </c>
      <c r="AJ196" s="147">
        <f>((Physics!$C$9*Physics!$C$10)/(Physics!$C$11*Physics!$C$12*$AH196))^($AJ$17-$AJ$18)</f>
        <v>2.7947169967008005E+18</v>
      </c>
      <c r="AK196" s="147">
        <f t="shared" si="70"/>
        <v>1</v>
      </c>
      <c r="AL196" s="147">
        <f>INDEX(Photobiology!$21:$421,1+$AH196-380,10)</f>
        <v>1</v>
      </c>
      <c r="AM196" s="147">
        <f t="shared" si="71"/>
        <v>1.4135899177232152E-3</v>
      </c>
      <c r="AN196" s="147">
        <f ca="1">INDEX(Photobiology!$21:$421,1+$AH196-380,AN$14)</f>
        <v>6.6451200000000002E-4</v>
      </c>
      <c r="AO196" s="147">
        <f ca="1">INDEX(Photobiology!$21:$421,1+$AH196-380,AO$14)</f>
        <v>0.93582900000000002</v>
      </c>
      <c r="AP196" s="147">
        <f ca="1">INDEX(Photobiology!$21:$421,1+$AH196-380,AP$14)</f>
        <v>0.97070299999999998</v>
      </c>
      <c r="AQ196" s="147">
        <f ca="1">INDEX(Photobiology!$21:$421,1+$AH196-380,AQ$14)</f>
        <v>0.40200000000000002</v>
      </c>
      <c r="AR196" s="147">
        <f ca="1">INDEX(Photobiology!$21:$421,1+$AH196-380,AR$14)</f>
        <v>0.16205600000000001</v>
      </c>
      <c r="AS196" s="147">
        <f t="shared" si="72"/>
        <v>3950583769425955.5</v>
      </c>
      <c r="AT196" s="147">
        <f ca="1">INDEX(Photobiology!$21:$421,1+$AH196-380,AT$14)</f>
        <v>5.3571691643036279E-4</v>
      </c>
      <c r="AU196" s="147">
        <f ca="1">INDEX(Photobiology!$21:$421,1+$AH196-380,AU$14)</f>
        <v>0.91151072929393961</v>
      </c>
      <c r="AV196" s="147">
        <f ca="1">INDEX(Photobiology!$21:$421,1+$AH196-380,AV$14)</f>
        <v>0.99118752164703994</v>
      </c>
      <c r="AW196" s="147">
        <f ca="1">INDEX(Photobiology!$21:$421,1+$AH196-380,AW$14)</f>
        <v>0.36615793325923718</v>
      </c>
      <c r="AX196" s="147">
        <f ca="1">INDEX(Photobiology!$21:$421,1+$AH196-380,AX$14)</f>
        <v>0.14277689445664052</v>
      </c>
      <c r="AY196" s="147">
        <f t="shared" si="59"/>
        <v>1.4135899177232152E-3</v>
      </c>
      <c r="AZ196" s="147">
        <f t="shared" ca="1" si="73"/>
        <v>9.3934746340608915E-7</v>
      </c>
      <c r="BA196" s="147">
        <f t="shared" ca="1" si="60"/>
        <v>1.3228784391129988E-3</v>
      </c>
      <c r="BB196" s="147">
        <f t="shared" ca="1" si="61"/>
        <v>1.3721759739036782E-3</v>
      </c>
      <c r="BC196" s="147">
        <f t="shared" ca="1" si="62"/>
        <v>5.6826314692473253E-4</v>
      </c>
      <c r="BD196" s="147">
        <f t="shared" ca="1" si="63"/>
        <v>2.2908072770655338E-4</v>
      </c>
    </row>
    <row r="197" spans="8:56" s="147" customFormat="1" ht="0.25" customHeight="1" x14ac:dyDescent="0.2">
      <c r="H197" s="147">
        <f t="shared" si="64"/>
        <v>556</v>
      </c>
      <c r="I197" s="147">
        <f>IF($H197&gt;$H196,INDEX(Spectra!197:197,1,MATCH($I$20,Spectra!$20:$20,0)),I196)</f>
        <v>1.39486569649878E-3</v>
      </c>
      <c r="J197" s="147">
        <f>((Physics!$C$9*Physics!$C$10)/(Physics!$C$11*Physics!$C$12*$H197))^($J$17-$J$18)</f>
        <v>2.7997525228209823E+18</v>
      </c>
      <c r="K197" s="147">
        <f t="shared" si="65"/>
        <v>1</v>
      </c>
      <c r="L197" s="147">
        <f>INDEX(Photobiology!$21:$421,1+$H197-380,10)</f>
        <v>0.99985670000000004</v>
      </c>
      <c r="M197" s="147">
        <f t="shared" si="66"/>
        <v>1.39486569649878E-3</v>
      </c>
      <c r="N197" s="147">
        <f ca="1">INDEX(Photobiology!$21:$421,1+$H197-380,N$14)</f>
        <v>6.0288699999999998E-4</v>
      </c>
      <c r="O197" s="147">
        <f ca="1">INDEX(Photobiology!$21:$421,1+$H197-380,O$14)</f>
        <v>0.92827400000000004</v>
      </c>
      <c r="P197" s="147">
        <f ca="1">INDEX(Photobiology!$21:$421,1+$H197-380,P$14)</f>
        <v>0.97475599999999996</v>
      </c>
      <c r="Q197" s="147">
        <f ca="1">INDEX(Photobiology!$21:$421,1+$H197-380,Q$14)</f>
        <v>0.38640000000000002</v>
      </c>
      <c r="R197" s="147">
        <f ca="1">INDEX(Photobiology!$21:$421,1+$H197-380,R$14)</f>
        <v>0.15260099999999999</v>
      </c>
      <c r="S197" s="147">
        <f t="shared" si="67"/>
        <v>3905278752768906</v>
      </c>
      <c r="T197" s="147">
        <f ca="1">INDEX(Photobiology!$21:$421,1+$H197-380,T$14)</f>
        <v>4.8516184980022732E-4</v>
      </c>
      <c r="U197" s="147">
        <f ca="1">INDEX(Photobiology!$21:$421,1+$H197-380,U$14)</f>
        <v>0.90252587930166417</v>
      </c>
      <c r="V197" s="147">
        <f ca="1">INDEX(Photobiology!$21:$421,1+$H197-380,V$14)</f>
        <v>0.99353589640346651</v>
      </c>
      <c r="W197" s="147">
        <f ca="1">INDEX(Photobiology!$21:$421,1+$H197-380,W$14)</f>
        <v>0.35131581795746958</v>
      </c>
      <c r="X197" s="147">
        <f ca="1">INDEX(Photobiology!$21:$421,1+$H197-380,X$14)</f>
        <v>0.13420490451511782</v>
      </c>
      <c r="Y197" s="147">
        <f t="shared" si="54"/>
        <v>1.39486569649878E-3</v>
      </c>
      <c r="Z197" s="147">
        <f t="shared" ca="1" si="68"/>
        <v>8.4094639516505996E-7</v>
      </c>
      <c r="AA197" s="147">
        <f t="shared" ca="1" si="55"/>
        <v>1.2948175595517085E-3</v>
      </c>
      <c r="AB197" s="147">
        <f t="shared" ca="1" si="56"/>
        <v>1.3596537068563648E-3</v>
      </c>
      <c r="AC197" s="147">
        <f t="shared" ca="1" si="57"/>
        <v>5.3897610512712861E-4</v>
      </c>
      <c r="AD197" s="147">
        <f t="shared" ca="1" si="58"/>
        <v>2.128579001514103E-4</v>
      </c>
      <c r="AH197" s="147">
        <f t="shared" si="69"/>
        <v>556</v>
      </c>
      <c r="AI197" s="147">
        <f>IF($AH197&gt;$AH196,INDEX(Spectra!197:197,1,MATCH($AI$20,Spectra!$20:$20,0)),AI196)</f>
        <v>101.61799999999999</v>
      </c>
      <c r="AJ197" s="147">
        <f>((Physics!$C$9*Physics!$C$10)/(Physics!$C$11*Physics!$C$12*$AH197))^($AJ$17-$AJ$18)</f>
        <v>2.7997525228209823E+18</v>
      </c>
      <c r="AK197" s="147">
        <f t="shared" si="70"/>
        <v>1</v>
      </c>
      <c r="AL197" s="147">
        <f>INDEX(Photobiology!$21:$421,1+$AH197-380,10)</f>
        <v>0.99985670000000004</v>
      </c>
      <c r="AM197" s="147">
        <f t="shared" si="71"/>
        <v>1.407978399568702E-3</v>
      </c>
      <c r="AN197" s="147">
        <f ca="1">INDEX(Photobiology!$21:$421,1+$AH197-380,AN$14)</f>
        <v>6.0288699999999998E-4</v>
      </c>
      <c r="AO197" s="147">
        <f ca="1">INDEX(Photobiology!$21:$421,1+$AH197-380,AO$14)</f>
        <v>0.92827400000000004</v>
      </c>
      <c r="AP197" s="147">
        <f ca="1">INDEX(Photobiology!$21:$421,1+$AH197-380,AP$14)</f>
        <v>0.97475599999999996</v>
      </c>
      <c r="AQ197" s="147">
        <f ca="1">INDEX(Photobiology!$21:$421,1+$AH197-380,AQ$14)</f>
        <v>0.38640000000000002</v>
      </c>
      <c r="AR197" s="147">
        <f ca="1">INDEX(Photobiology!$21:$421,1+$AH197-380,AR$14)</f>
        <v>0.15260099999999999</v>
      </c>
      <c r="AS197" s="147">
        <f t="shared" si="72"/>
        <v>3941991076269922.5</v>
      </c>
      <c r="AT197" s="147">
        <f ca="1">INDEX(Photobiology!$21:$421,1+$AH197-380,AT$14)</f>
        <v>4.8516184980022732E-4</v>
      </c>
      <c r="AU197" s="147">
        <f ca="1">INDEX(Photobiology!$21:$421,1+$AH197-380,AU$14)</f>
        <v>0.90252587930166417</v>
      </c>
      <c r="AV197" s="147">
        <f ca="1">INDEX(Photobiology!$21:$421,1+$AH197-380,AV$14)</f>
        <v>0.99353589640346651</v>
      </c>
      <c r="AW197" s="147">
        <f ca="1">INDEX(Photobiology!$21:$421,1+$AH197-380,AW$14)</f>
        <v>0.35131581795746958</v>
      </c>
      <c r="AX197" s="147">
        <f ca="1">INDEX(Photobiology!$21:$421,1+$AH197-380,AX$14)</f>
        <v>0.13420490451511782</v>
      </c>
      <c r="AY197" s="147">
        <f t="shared" si="59"/>
        <v>1.407978399568702E-3</v>
      </c>
      <c r="AZ197" s="147">
        <f t="shared" ca="1" si="73"/>
        <v>8.4885187338077598E-7</v>
      </c>
      <c r="BA197" s="147">
        <f t="shared" ca="1" si="60"/>
        <v>1.3069897408812374E-3</v>
      </c>
      <c r="BB197" s="147">
        <f t="shared" ca="1" si="61"/>
        <v>1.3724353928499895E-3</v>
      </c>
      <c r="BC197" s="147">
        <f t="shared" ca="1" si="62"/>
        <v>5.4404285359334651E-4</v>
      </c>
      <c r="BD197" s="147">
        <f t="shared" ca="1" si="63"/>
        <v>2.1485891175258346E-4</v>
      </c>
    </row>
    <row r="198" spans="8:56" s="147" customFormat="1" ht="0.25" customHeight="1" x14ac:dyDescent="0.2">
      <c r="H198" s="147">
        <f t="shared" si="64"/>
        <v>557</v>
      </c>
      <c r="I198" s="147">
        <f>IF($H198&gt;$H197,INDEX(Spectra!198:198,1,MATCH($I$20,Spectra!$20:$20,0)),I197)</f>
        <v>1.37986714062245E-3</v>
      </c>
      <c r="J198" s="147">
        <f>((Physics!$C$9*Physics!$C$10)/(Physics!$C$11*Physics!$C$12*$H198))^($J$17-$J$18)</f>
        <v>2.8047880489411635E+18</v>
      </c>
      <c r="K198" s="147">
        <f t="shared" si="65"/>
        <v>1</v>
      </c>
      <c r="L198" s="147">
        <f>INDEX(Photobiology!$21:$421,1+$H198-380,10)</f>
        <v>0.99930459999999999</v>
      </c>
      <c r="M198" s="147">
        <f t="shared" si="66"/>
        <v>1.37986714062245E-3</v>
      </c>
      <c r="N198" s="147">
        <f ca="1">INDEX(Photobiology!$21:$421,1+$H198-380,N$14)</f>
        <v>5.4706199999999996E-4</v>
      </c>
      <c r="O198" s="147">
        <f ca="1">INDEX(Photobiology!$21:$421,1+$H198-380,O$14)</f>
        <v>0.91966700000000001</v>
      </c>
      <c r="P198" s="147">
        <f ca="1">INDEX(Photobiology!$21:$421,1+$H198-380,P$14)</f>
        <v>0.97805500000000001</v>
      </c>
      <c r="Q198" s="147">
        <f ca="1">INDEX(Photobiology!$21:$421,1+$H198-380,Q$14)</f>
        <v>0.3715</v>
      </c>
      <c r="R198" s="147">
        <f ca="1">INDEX(Photobiology!$21:$421,1+$H198-380,R$14)</f>
        <v>0.143487</v>
      </c>
      <c r="S198" s="147">
        <f t="shared" si="67"/>
        <v>3870234865144463.5</v>
      </c>
      <c r="T198" s="147">
        <f ca="1">INDEX(Photobiology!$21:$421,1+$H198-380,T$14)</f>
        <v>4.394473695544306E-4</v>
      </c>
      <c r="U198" s="147">
        <f ca="1">INDEX(Photobiology!$21:$421,1+$H198-380,U$14)</f>
        <v>0.89255230717759371</v>
      </c>
      <c r="V198" s="147">
        <f ca="1">INDEX(Photobiology!$21:$421,1+$H198-380,V$14)</f>
        <v>0.99510869194003848</v>
      </c>
      <c r="W198" s="147">
        <f ca="1">INDEX(Photobiology!$21:$421,1+$H198-380,W$14)</f>
        <v>0.33716229478381282</v>
      </c>
      <c r="X198" s="147">
        <f ca="1">INDEX(Photobiology!$21:$421,1+$H198-380,X$14)</f>
        <v>0.12596304765484226</v>
      </c>
      <c r="Y198" s="147">
        <f t="shared" si="54"/>
        <v>1.37986714062245E-3</v>
      </c>
      <c r="Z198" s="147">
        <f t="shared" ca="1" si="68"/>
        <v>7.5487287768319871E-7</v>
      </c>
      <c r="AA198" s="147">
        <f t="shared" ca="1" si="55"/>
        <v>1.2690182736148268E-3</v>
      </c>
      <c r="AB198" s="147">
        <f t="shared" ca="1" si="56"/>
        <v>1.3495859562214904E-3</v>
      </c>
      <c r="AC198" s="147">
        <f t="shared" ca="1" si="57"/>
        <v>5.126206427412402E-4</v>
      </c>
      <c r="AD198" s="147">
        <f t="shared" ca="1" si="58"/>
        <v>1.979929964064935E-4</v>
      </c>
      <c r="AH198" s="147">
        <f t="shared" si="69"/>
        <v>557</v>
      </c>
      <c r="AI198" s="147">
        <f>IF($AH198&gt;$AH197,INDEX(Spectra!198:198,1,MATCH($AI$20,Spectra!$20:$20,0)),AI197)</f>
        <v>101.214</v>
      </c>
      <c r="AJ198" s="147">
        <f>((Physics!$C$9*Physics!$C$10)/(Physics!$C$11*Physics!$C$12*$AH198))^($AJ$17-$AJ$18)</f>
        <v>2.8047880489411635E+18</v>
      </c>
      <c r="AK198" s="147">
        <f t="shared" si="70"/>
        <v>1</v>
      </c>
      <c r="AL198" s="147">
        <f>INDEX(Photobiology!$21:$421,1+$AH198-380,10)</f>
        <v>0.99930459999999999</v>
      </c>
      <c r="AM198" s="147">
        <f t="shared" si="71"/>
        <v>1.4023807370145704E-3</v>
      </c>
      <c r="AN198" s="147">
        <f ca="1">INDEX(Photobiology!$21:$421,1+$AH198-380,AN$14)</f>
        <v>5.4706199999999996E-4</v>
      </c>
      <c r="AO198" s="147">
        <f ca="1">INDEX(Photobiology!$21:$421,1+$AH198-380,AO$14)</f>
        <v>0.91966700000000001</v>
      </c>
      <c r="AP198" s="147">
        <f ca="1">INDEX(Photobiology!$21:$421,1+$AH198-380,AP$14)</f>
        <v>0.97805500000000001</v>
      </c>
      <c r="AQ198" s="147">
        <f ca="1">INDEX(Photobiology!$21:$421,1+$AH198-380,AQ$14)</f>
        <v>0.3715</v>
      </c>
      <c r="AR198" s="147">
        <f ca="1">INDEX(Photobiology!$21:$421,1+$AH198-380,AR$14)</f>
        <v>0.143487</v>
      </c>
      <c r="AS198" s="147">
        <f t="shared" si="72"/>
        <v>3933380731243768</v>
      </c>
      <c r="AT198" s="147">
        <f ca="1">INDEX(Photobiology!$21:$421,1+$AH198-380,AT$14)</f>
        <v>4.394473695544306E-4</v>
      </c>
      <c r="AU198" s="147">
        <f ca="1">INDEX(Photobiology!$21:$421,1+$AH198-380,AU$14)</f>
        <v>0.89255230717759371</v>
      </c>
      <c r="AV198" s="147">
        <f ca="1">INDEX(Photobiology!$21:$421,1+$AH198-380,AV$14)</f>
        <v>0.99510869194003848</v>
      </c>
      <c r="AW198" s="147">
        <f ca="1">INDEX(Photobiology!$21:$421,1+$AH198-380,AW$14)</f>
        <v>0.33716229478381282</v>
      </c>
      <c r="AX198" s="147">
        <f ca="1">INDEX(Photobiology!$21:$421,1+$AH198-380,AX$14)</f>
        <v>0.12596304765484226</v>
      </c>
      <c r="AY198" s="147">
        <f t="shared" si="59"/>
        <v>1.4023807370145704E-3</v>
      </c>
      <c r="AZ198" s="147">
        <f t="shared" ca="1" si="73"/>
        <v>7.6718921075266487E-7</v>
      </c>
      <c r="BA198" s="147">
        <f t="shared" ca="1" si="60"/>
        <v>1.2897232852679789E-3</v>
      </c>
      <c r="BB198" s="147">
        <f t="shared" ca="1" si="61"/>
        <v>1.3716054917407856E-3</v>
      </c>
      <c r="BC198" s="147">
        <f t="shared" ca="1" si="62"/>
        <v>5.2098444380091296E-4</v>
      </c>
      <c r="BD198" s="147">
        <f t="shared" ca="1" si="63"/>
        <v>2.0122340481200967E-4</v>
      </c>
    </row>
    <row r="199" spans="8:56" s="147" customFormat="1" ht="0.25" customHeight="1" x14ac:dyDescent="0.2">
      <c r="H199" s="147">
        <f t="shared" si="64"/>
        <v>558</v>
      </c>
      <c r="I199" s="147">
        <f>IF($H199&gt;$H198,INDEX(Spectra!199:199,1,MATCH($I$20,Spectra!$20:$20,0)),I198)</f>
        <v>1.35986906612067E-3</v>
      </c>
      <c r="J199" s="147">
        <f>((Physics!$C$9*Physics!$C$10)/(Physics!$C$11*Physics!$C$12*$H199))^($J$17-$J$18)</f>
        <v>2.8098235750613453E+18</v>
      </c>
      <c r="K199" s="147">
        <f t="shared" si="65"/>
        <v>1</v>
      </c>
      <c r="L199" s="147">
        <f>INDEX(Photobiology!$21:$421,1+$H199-380,10)</f>
        <v>0.99832549999999998</v>
      </c>
      <c r="M199" s="147">
        <f t="shared" si="66"/>
        <v>1.35986906612067E-3</v>
      </c>
      <c r="N199" s="147">
        <f ca="1">INDEX(Photobiology!$21:$421,1+$H199-380,N$14)</f>
        <v>4.9646100000000002E-4</v>
      </c>
      <c r="O199" s="147">
        <f ca="1">INDEX(Photobiology!$21:$421,1+$H199-380,O$14)</f>
        <v>0.91035600000000005</v>
      </c>
      <c r="P199" s="147">
        <f ca="1">INDEX(Photobiology!$21:$421,1+$H199-380,P$14)</f>
        <v>0.980819</v>
      </c>
      <c r="Q199" s="147">
        <f ca="1">INDEX(Photobiology!$21:$421,1+$H199-380,Q$14)</f>
        <v>0.3569</v>
      </c>
      <c r="R199" s="147">
        <f ca="1">INDEX(Photobiology!$21:$421,1+$H199-380,R$14)</f>
        <v>0.13474800000000001</v>
      </c>
      <c r="S199" s="147">
        <f t="shared" si="67"/>
        <v>3820992160982514</v>
      </c>
      <c r="T199" s="147">
        <f ca="1">INDEX(Photobiology!$21:$421,1+$H199-380,T$14)</f>
        <v>3.9808558736730546E-4</v>
      </c>
      <c r="U199" s="147">
        <f ca="1">INDEX(Photobiology!$21:$421,1+$H199-380,U$14)</f>
        <v>0.88193246322253971</v>
      </c>
      <c r="V199" s="147">
        <f ca="1">INDEX(Photobiology!$21:$421,1+$H199-380,V$14)</f>
        <v>0.99613249727786068</v>
      </c>
      <c r="W199" s="147">
        <f ca="1">INDEX(Photobiology!$21:$421,1+$H199-380,W$14)</f>
        <v>0.32333128417510598</v>
      </c>
      <c r="X199" s="147">
        <f ca="1">INDEX(Photobiology!$21:$421,1+$H199-380,X$14)</f>
        <v>0.11807934308368076</v>
      </c>
      <c r="Y199" s="147">
        <f t="shared" si="54"/>
        <v>1.35986906612067E-3</v>
      </c>
      <c r="Z199" s="147">
        <f t="shared" ca="1" si="68"/>
        <v>6.7512195643533399E-7</v>
      </c>
      <c r="AA199" s="147">
        <f t="shared" ca="1" si="55"/>
        <v>1.2379649635573487E-3</v>
      </c>
      <c r="AB199" s="147">
        <f t="shared" ca="1" si="56"/>
        <v>1.3337854175634095E-3</v>
      </c>
      <c r="AC199" s="147">
        <f t="shared" ca="1" si="57"/>
        <v>4.8533726969846714E-4</v>
      </c>
      <c r="AD199" s="147">
        <f t="shared" ca="1" si="58"/>
        <v>1.8323963692162804E-4</v>
      </c>
      <c r="AH199" s="147">
        <f t="shared" si="69"/>
        <v>558</v>
      </c>
      <c r="AI199" s="147">
        <f>IF($AH199&gt;$AH198,INDEX(Spectra!199:199,1,MATCH($AI$20,Spectra!$20:$20,0)),AI198)</f>
        <v>100.809</v>
      </c>
      <c r="AJ199" s="147">
        <f>((Physics!$C$9*Physics!$C$10)/(Physics!$C$11*Physics!$C$12*$AH199))^($AJ$17-$AJ$18)</f>
        <v>2.8098235750613453E+18</v>
      </c>
      <c r="AK199" s="147">
        <f t="shared" si="70"/>
        <v>1</v>
      </c>
      <c r="AL199" s="147">
        <f>INDEX(Photobiology!$21:$421,1+$AH199-380,10)</f>
        <v>0.99832549999999998</v>
      </c>
      <c r="AM199" s="147">
        <f t="shared" si="71"/>
        <v>1.3967692188600572E-3</v>
      </c>
      <c r="AN199" s="147">
        <f ca="1">INDEX(Photobiology!$21:$421,1+$AH199-380,AN$14)</f>
        <v>4.9646100000000002E-4</v>
      </c>
      <c r="AO199" s="147">
        <f ca="1">INDEX(Photobiology!$21:$421,1+$AH199-380,AO$14)</f>
        <v>0.91035600000000005</v>
      </c>
      <c r="AP199" s="147">
        <f ca="1">INDEX(Photobiology!$21:$421,1+$AH199-380,AP$14)</f>
        <v>0.980819</v>
      </c>
      <c r="AQ199" s="147">
        <f ca="1">INDEX(Photobiology!$21:$421,1+$AH199-380,AQ$14)</f>
        <v>0.3569</v>
      </c>
      <c r="AR199" s="147">
        <f ca="1">INDEX(Photobiology!$21:$421,1+$AH199-380,AR$14)</f>
        <v>0.13474800000000001</v>
      </c>
      <c r="AS199" s="147">
        <f t="shared" si="72"/>
        <v>3924675080073008.5</v>
      </c>
      <c r="AT199" s="147">
        <f ca="1">INDEX(Photobiology!$21:$421,1+$AH199-380,AT$14)</f>
        <v>3.9808558736730546E-4</v>
      </c>
      <c r="AU199" s="147">
        <f ca="1">INDEX(Photobiology!$21:$421,1+$AH199-380,AU$14)</f>
        <v>0.88193246322253971</v>
      </c>
      <c r="AV199" s="147">
        <f ca="1">INDEX(Photobiology!$21:$421,1+$AH199-380,AV$14)</f>
        <v>0.99613249727786068</v>
      </c>
      <c r="AW199" s="147">
        <f ca="1">INDEX(Photobiology!$21:$421,1+$AH199-380,AW$14)</f>
        <v>0.32333128417510598</v>
      </c>
      <c r="AX199" s="147">
        <f ca="1">INDEX(Photobiology!$21:$421,1+$AH199-380,AX$14)</f>
        <v>0.11807934308368076</v>
      </c>
      <c r="AY199" s="147">
        <f t="shared" si="59"/>
        <v>1.3967692188600572E-3</v>
      </c>
      <c r="AZ199" s="147">
        <f t="shared" ca="1" si="73"/>
        <v>6.9344144316448288E-7</v>
      </c>
      <c r="BA199" s="147">
        <f t="shared" ca="1" si="60"/>
        <v>1.2715572390045663E-3</v>
      </c>
      <c r="BB199" s="147">
        <f t="shared" ca="1" si="61"/>
        <v>1.3699777884731024E-3</v>
      </c>
      <c r="BC199" s="147">
        <f t="shared" ca="1" si="62"/>
        <v>4.9850693421115441E-4</v>
      </c>
      <c r="BD199" s="147">
        <f t="shared" ca="1" si="63"/>
        <v>1.8821185870295499E-4</v>
      </c>
    </row>
    <row r="200" spans="8:56" s="147" customFormat="1" ht="0.25" customHeight="1" x14ac:dyDescent="0.2">
      <c r="H200" s="147">
        <f t="shared" si="64"/>
        <v>559</v>
      </c>
      <c r="I200" s="147">
        <f>IF($H200&gt;$H199,INDEX(Spectra!200:200,1,MATCH($I$20,Spectra!$20:$20,0)),I199)</f>
        <v>1.34487051024434E-3</v>
      </c>
      <c r="J200" s="147">
        <f>((Physics!$C$9*Physics!$C$10)/(Physics!$C$11*Physics!$C$12*$H200))^($J$17-$J$18)</f>
        <v>2.814859101181527E+18</v>
      </c>
      <c r="K200" s="147">
        <f t="shared" si="65"/>
        <v>1</v>
      </c>
      <c r="L200" s="147">
        <f>INDEX(Photobiology!$21:$421,1+$H200-380,10)</f>
        <v>0.99689870000000003</v>
      </c>
      <c r="M200" s="147">
        <f t="shared" si="66"/>
        <v>1.34487051024434E-3</v>
      </c>
      <c r="N200" s="147">
        <f ca="1">INDEX(Photobiology!$21:$421,1+$H200-380,N$14)</f>
        <v>4.5057099999999998E-4</v>
      </c>
      <c r="O200" s="147">
        <f ca="1">INDEX(Photobiology!$21:$421,1+$H200-380,O$14)</f>
        <v>0.90067699999999995</v>
      </c>
      <c r="P200" s="147">
        <f ca="1">INDEX(Photobiology!$21:$421,1+$H200-380,P$14)</f>
        <v>0.98327100000000001</v>
      </c>
      <c r="Q200" s="147">
        <f ca="1">INDEX(Photobiology!$21:$421,1+$H200-380,Q$14)</f>
        <v>0.3427</v>
      </c>
      <c r="R200" s="147">
        <f ca="1">INDEX(Photobiology!$21:$421,1+$H200-380,R$14)</f>
        <v>0.126416</v>
      </c>
      <c r="S200" s="147">
        <f t="shared" si="67"/>
        <v>3785620995671924.5</v>
      </c>
      <c r="T200" s="147">
        <f ca="1">INDEX(Photobiology!$21:$421,1+$H200-380,T$14)</f>
        <v>3.6064253203352644E-4</v>
      </c>
      <c r="U200" s="147">
        <f ca="1">INDEX(Photobiology!$21:$421,1+$H200-380,U$14)</f>
        <v>0.87099474275388578</v>
      </c>
      <c r="V200" s="147">
        <f ca="1">INDEX(Photobiology!$21:$421,1+$H200-380,V$14)</f>
        <v>0.99683633523421666</v>
      </c>
      <c r="W200" s="147">
        <f ca="1">INDEX(Photobiology!$21:$421,1+$H200-380,W$14)</f>
        <v>0.30991148759337045</v>
      </c>
      <c r="X200" s="147">
        <f ca="1">INDEX(Photobiology!$21:$421,1+$H200-380,X$14)</f>
        <v>0.11057986005439471</v>
      </c>
      <c r="Y200" s="147">
        <f t="shared" si="54"/>
        <v>1.34487051024434E-3</v>
      </c>
      <c r="Z200" s="147">
        <f t="shared" ca="1" si="68"/>
        <v>6.0595965067130247E-7</v>
      </c>
      <c r="AA200" s="147">
        <f t="shared" ca="1" si="55"/>
        <v>1.2112939365553413E-3</v>
      </c>
      <c r="AB200" s="147">
        <f t="shared" ca="1" si="56"/>
        <v>1.3223721714784625E-3</v>
      </c>
      <c r="AC200" s="147">
        <f t="shared" ca="1" si="57"/>
        <v>4.6088712386073536E-4</v>
      </c>
      <c r="AD200" s="147">
        <f t="shared" ca="1" si="58"/>
        <v>1.7001315042304847E-4</v>
      </c>
      <c r="AH200" s="147">
        <f t="shared" si="69"/>
        <v>559</v>
      </c>
      <c r="AI200" s="147">
        <f>IF($AH200&gt;$AH199,INDEX(Spectra!200:200,1,MATCH($AI$20,Spectra!$20:$20,0)),AI199)</f>
        <v>100.405</v>
      </c>
      <c r="AJ200" s="147">
        <f>((Physics!$C$9*Physics!$C$10)/(Physics!$C$11*Physics!$C$12*$AH200))^($AJ$17-$AJ$18)</f>
        <v>2.814859101181527E+18</v>
      </c>
      <c r="AK200" s="147">
        <f t="shared" si="70"/>
        <v>1</v>
      </c>
      <c r="AL200" s="147">
        <f>INDEX(Photobiology!$21:$421,1+$AH200-380,10)</f>
        <v>0.99689870000000003</v>
      </c>
      <c r="AM200" s="147">
        <f t="shared" si="71"/>
        <v>1.3911715563059254E-3</v>
      </c>
      <c r="AN200" s="147">
        <f ca="1">INDEX(Photobiology!$21:$421,1+$AH200-380,AN$14)</f>
        <v>4.5057099999999998E-4</v>
      </c>
      <c r="AO200" s="147">
        <f ca="1">INDEX(Photobiology!$21:$421,1+$AH200-380,AO$14)</f>
        <v>0.90067699999999995</v>
      </c>
      <c r="AP200" s="147">
        <f ca="1">INDEX(Photobiology!$21:$421,1+$AH200-380,AP$14)</f>
        <v>0.98327100000000001</v>
      </c>
      <c r="AQ200" s="147">
        <f ca="1">INDEX(Photobiology!$21:$421,1+$AH200-380,AQ$14)</f>
        <v>0.3427</v>
      </c>
      <c r="AR200" s="147">
        <f ca="1">INDEX(Photobiology!$21:$421,1+$AH200-380,AR$14)</f>
        <v>0.126416</v>
      </c>
      <c r="AS200" s="147">
        <f t="shared" si="72"/>
        <v>3915951916572603.5</v>
      </c>
      <c r="AT200" s="147">
        <f ca="1">INDEX(Photobiology!$21:$421,1+$AH200-380,AT$14)</f>
        <v>3.6064253203352644E-4</v>
      </c>
      <c r="AU200" s="147">
        <f ca="1">INDEX(Photobiology!$21:$421,1+$AH200-380,AU$14)</f>
        <v>0.87099474275388578</v>
      </c>
      <c r="AV200" s="147">
        <f ca="1">INDEX(Photobiology!$21:$421,1+$AH200-380,AV$14)</f>
        <v>0.99683633523421666</v>
      </c>
      <c r="AW200" s="147">
        <f ca="1">INDEX(Photobiology!$21:$421,1+$AH200-380,AW$14)</f>
        <v>0.30991148759337045</v>
      </c>
      <c r="AX200" s="147">
        <f ca="1">INDEX(Photobiology!$21:$421,1+$AH200-380,AX$14)</f>
        <v>0.11057986005439471</v>
      </c>
      <c r="AY200" s="147">
        <f t="shared" si="59"/>
        <v>1.3911715563059254E-3</v>
      </c>
      <c r="AZ200" s="147">
        <f t="shared" ca="1" si="73"/>
        <v>6.2682155929631715E-7</v>
      </c>
      <c r="BA200" s="147">
        <f t="shared" ca="1" si="60"/>
        <v>1.252996223818952E-3</v>
      </c>
      <c r="BB200" s="147">
        <f t="shared" ca="1" si="61"/>
        <v>1.3678986473404837E-3</v>
      </c>
      <c r="BC200" s="147">
        <f t="shared" ca="1" si="62"/>
        <v>4.7675449234604064E-4</v>
      </c>
      <c r="BD200" s="147">
        <f t="shared" ca="1" si="63"/>
        <v>1.7586634346196988E-4</v>
      </c>
    </row>
    <row r="201" spans="8:56" s="147" customFormat="1" ht="0.25" customHeight="1" x14ac:dyDescent="0.2">
      <c r="H201" s="147">
        <f t="shared" si="64"/>
        <v>560</v>
      </c>
      <c r="I201" s="147">
        <f>IF($H201&gt;$H200,INDEX(Spectra!201:201,1,MATCH($I$20,Spectra!$20:$20,0)),I200)</f>
        <v>1.3398709916189E-3</v>
      </c>
      <c r="J201" s="147">
        <f>((Physics!$C$9*Physics!$C$10)/(Physics!$C$11*Physics!$C$12*$H201))^($J$17-$J$18)</f>
        <v>2.8198946273017088E+18</v>
      </c>
      <c r="K201" s="147">
        <f t="shared" si="65"/>
        <v>1</v>
      </c>
      <c r="L201" s="147">
        <f>INDEX(Photobiology!$21:$421,1+$H201-380,10)</f>
        <v>0.995</v>
      </c>
      <c r="M201" s="147">
        <f t="shared" si="66"/>
        <v>1.3398709916189E-3</v>
      </c>
      <c r="N201" s="147">
        <f ca="1">INDEX(Photobiology!$21:$421,1+$H201-380,N$14)</f>
        <v>4.0893100000000002E-4</v>
      </c>
      <c r="O201" s="147">
        <f ca="1">INDEX(Photobiology!$21:$421,1+$H201-380,O$14)</f>
        <v>0.89094899999999999</v>
      </c>
      <c r="P201" s="147">
        <f ca="1">INDEX(Photobiology!$21:$421,1+$H201-380,P$14)</f>
        <v>0.98563599999999996</v>
      </c>
      <c r="Q201" s="147">
        <f ca="1">INDEX(Photobiology!$21:$421,1+$H201-380,Q$14)</f>
        <v>0.32879999999999998</v>
      </c>
      <c r="R201" s="147">
        <f ca="1">INDEX(Photobiology!$21:$421,1+$H201-380,R$14)</f>
        <v>0.11852600000000001</v>
      </c>
      <c r="S201" s="147">
        <f t="shared" si="67"/>
        <v>3778295010543549</v>
      </c>
      <c r="T201" s="147">
        <f ca="1">INDEX(Photobiology!$21:$421,1+$H201-380,T$14)</f>
        <v>3.2672887925327027E-4</v>
      </c>
      <c r="U201" s="147">
        <f ca="1">INDEX(Photobiology!$21:$421,1+$H201-380,U$14)</f>
        <v>0.86004878500831672</v>
      </c>
      <c r="V201" s="147">
        <f ca="1">INDEX(Photobiology!$21:$421,1+$H201-380,V$14)</f>
        <v>0.99744961672068455</v>
      </c>
      <c r="W201" s="147">
        <f ca="1">INDEX(Photobiology!$21:$421,1+$H201-380,W$14)</f>
        <v>0.29681043129388163</v>
      </c>
      <c r="X201" s="147">
        <f ca="1">INDEX(Photobiology!$21:$421,1+$H201-380,X$14)</f>
        <v>0.10349310111456306</v>
      </c>
      <c r="Y201" s="147">
        <f t="shared" si="54"/>
        <v>1.3398709916189E-3</v>
      </c>
      <c r="Z201" s="147">
        <f t="shared" ca="1" si="68"/>
        <v>5.4791478447370839E-7</v>
      </c>
      <c r="AA201" s="147">
        <f t="shared" ca="1" si="55"/>
        <v>1.1937567201118673E-3</v>
      </c>
      <c r="AB201" s="147">
        <f t="shared" ca="1" si="56"/>
        <v>1.3206250846952861E-3</v>
      </c>
      <c r="AC201" s="147">
        <f t="shared" ca="1" si="57"/>
        <v>4.4054958204429431E-4</v>
      </c>
      <c r="AD201" s="147">
        <f t="shared" ca="1" si="58"/>
        <v>1.5880954915262175E-4</v>
      </c>
      <c r="AH201" s="147">
        <f t="shared" si="69"/>
        <v>560</v>
      </c>
      <c r="AI201" s="147">
        <f>IF($AH201&gt;$AH200,INDEX(Spectra!201:201,1,MATCH($AI$20,Spectra!$20:$20,0)),AI200)</f>
        <v>100</v>
      </c>
      <c r="AJ201" s="147">
        <f>((Physics!$C$9*Physics!$C$10)/(Physics!$C$11*Physics!$C$12*$AH201))^($AJ$17-$AJ$18)</f>
        <v>2.8198946273017088E+18</v>
      </c>
      <c r="AK201" s="147">
        <f t="shared" si="70"/>
        <v>1</v>
      </c>
      <c r="AL201" s="147">
        <f>INDEX(Photobiology!$21:$421,1+$AH201-380,10)</f>
        <v>0.995</v>
      </c>
      <c r="AM201" s="147">
        <f t="shared" si="71"/>
        <v>1.3855600381514122E-3</v>
      </c>
      <c r="AN201" s="147">
        <f ca="1">INDEX(Photobiology!$21:$421,1+$AH201-380,AN$14)</f>
        <v>4.0893100000000002E-4</v>
      </c>
      <c r="AO201" s="147">
        <f ca="1">INDEX(Photobiology!$21:$421,1+$AH201-380,AO$14)</f>
        <v>0.89094899999999999</v>
      </c>
      <c r="AP201" s="147">
        <f ca="1">INDEX(Photobiology!$21:$421,1+$AH201-380,AP$14)</f>
        <v>0.98563599999999996</v>
      </c>
      <c r="AQ201" s="147">
        <f ca="1">INDEX(Photobiology!$21:$421,1+$AH201-380,AQ$14)</f>
        <v>0.32879999999999998</v>
      </c>
      <c r="AR201" s="147">
        <f ca="1">INDEX(Photobiology!$21:$421,1+$AH201-380,AR$14)</f>
        <v>0.11852600000000001</v>
      </c>
      <c r="AS201" s="147">
        <f t="shared" si="72"/>
        <v>3907133307387118</v>
      </c>
      <c r="AT201" s="147">
        <f ca="1">INDEX(Photobiology!$21:$421,1+$AH201-380,AT$14)</f>
        <v>3.2672887925327027E-4</v>
      </c>
      <c r="AU201" s="147">
        <f ca="1">INDEX(Photobiology!$21:$421,1+$AH201-380,AU$14)</f>
        <v>0.86004878500831672</v>
      </c>
      <c r="AV201" s="147">
        <f ca="1">INDEX(Photobiology!$21:$421,1+$AH201-380,AV$14)</f>
        <v>0.99744961672068455</v>
      </c>
      <c r="AW201" s="147">
        <f ca="1">INDEX(Photobiology!$21:$421,1+$AH201-380,AW$14)</f>
        <v>0.29681043129388163</v>
      </c>
      <c r="AX201" s="147">
        <f ca="1">INDEX(Photobiology!$21:$421,1+$AH201-380,AX$14)</f>
        <v>0.10349310111456306</v>
      </c>
      <c r="AY201" s="147">
        <f t="shared" si="59"/>
        <v>1.3855600381514122E-3</v>
      </c>
      <c r="AZ201" s="147">
        <f t="shared" ca="1" si="73"/>
        <v>5.6659845196129515E-7</v>
      </c>
      <c r="BA201" s="147">
        <f t="shared" ca="1" si="60"/>
        <v>1.2344633304309626E-3</v>
      </c>
      <c r="BB201" s="147">
        <f t="shared" ca="1" si="61"/>
        <v>1.3656578537634054E-3</v>
      </c>
      <c r="BC201" s="147">
        <f t="shared" ca="1" si="62"/>
        <v>4.5557214054418432E-4</v>
      </c>
      <c r="BD201" s="147">
        <f t="shared" ca="1" si="63"/>
        <v>1.642248890819343E-4</v>
      </c>
    </row>
    <row r="202" spans="8:56" s="147" customFormat="1" ht="0.25" customHeight="1" x14ac:dyDescent="0.2">
      <c r="H202" s="147">
        <f t="shared" si="64"/>
        <v>561</v>
      </c>
      <c r="I202" s="147">
        <f>IF($H202&gt;$H201,INDEX(Spectra!202:202,1,MATCH($I$20,Spectra!$20:$20,0)),I201)</f>
        <v>1.33487147299345E-3</v>
      </c>
      <c r="J202" s="147">
        <f>((Physics!$C$9*Physics!$C$10)/(Physics!$C$11*Physics!$C$12*$H202))^($J$17-$J$18)</f>
        <v>2.82493015342189E+18</v>
      </c>
      <c r="K202" s="147">
        <f t="shared" si="65"/>
        <v>1</v>
      </c>
      <c r="L202" s="147">
        <f>INDEX(Photobiology!$21:$421,1+$H202-380,10)</f>
        <v>0.9926005</v>
      </c>
      <c r="M202" s="147">
        <f t="shared" si="66"/>
        <v>1.33487147299345E-3</v>
      </c>
      <c r="N202" s="147">
        <f ca="1">INDEX(Photobiology!$21:$421,1+$H202-380,N$14)</f>
        <v>3.7113599999999999E-4</v>
      </c>
      <c r="O202" s="147">
        <f ca="1">INDEX(Photobiology!$21:$421,1+$H202-380,O$14)</f>
        <v>0.881386</v>
      </c>
      <c r="P202" s="147">
        <f ca="1">INDEX(Photobiology!$21:$421,1+$H202-380,P$14)</f>
        <v>0.98808499999999999</v>
      </c>
      <c r="Q202" s="147">
        <f ca="1">INDEX(Photobiology!$21:$421,1+$H202-380,Q$14)</f>
        <v>0.31509999999999999</v>
      </c>
      <c r="R202" s="147">
        <f ca="1">INDEX(Photobiology!$21:$421,1+$H202-380,R$14)</f>
        <v>0.11100699999999999</v>
      </c>
      <c r="S202" s="147">
        <f t="shared" si="67"/>
        <v>3770918675001891</v>
      </c>
      <c r="T202" s="147">
        <f ca="1">INDEX(Photobiology!$21:$421,1+$H202-380,T$14)</f>
        <v>2.9600274394448746E-4</v>
      </c>
      <c r="U202" s="147">
        <f ca="1">INDEX(Photobiology!$21:$421,1+$H202-380,U$14)</f>
        <v>0.84930084377846971</v>
      </c>
      <c r="V202" s="147">
        <f ca="1">INDEX(Photobiology!$21:$421,1+$H202-380,V$14)</f>
        <v>0.99814556709866864</v>
      </c>
      <c r="W202" s="147">
        <f ca="1">INDEX(Photobiology!$21:$421,1+$H202-380,W$14)</f>
        <v>0.28393630088125338</v>
      </c>
      <c r="X202" s="147">
        <f ca="1">INDEX(Photobiology!$21:$421,1+$H202-380,X$14)</f>
        <v>9.6754974768919713E-2</v>
      </c>
      <c r="Y202" s="147">
        <f t="shared" si="54"/>
        <v>1.33487147299345E-3</v>
      </c>
      <c r="Z202" s="147">
        <f t="shared" ca="1" si="68"/>
        <v>4.9541885900089708E-7</v>
      </c>
      <c r="AA202" s="147">
        <f t="shared" ca="1" si="55"/>
        <v>1.176537028095805E-3</v>
      </c>
      <c r="AB202" s="147">
        <f t="shared" ca="1" si="56"/>
        <v>1.318966479392733E-3</v>
      </c>
      <c r="AC202" s="147">
        <f t="shared" ca="1" si="57"/>
        <v>4.2061800114023612E-4</v>
      </c>
      <c r="AD202" s="147">
        <f t="shared" ca="1" si="58"/>
        <v>1.481800776025839E-4</v>
      </c>
      <c r="AH202" s="147">
        <f t="shared" si="69"/>
        <v>561</v>
      </c>
      <c r="AI202" s="147">
        <f>IF($AH202&gt;$AH201,INDEX(Spectra!202:202,1,MATCH($AI$20,Spectra!$20:$20,0)),AI201)</f>
        <v>99.633399999999995</v>
      </c>
      <c r="AJ202" s="147">
        <f>((Physics!$C$9*Physics!$C$10)/(Physics!$C$11*Physics!$C$12*$AH202))^($AJ$17-$AJ$18)</f>
        <v>2.82493015342189E+18</v>
      </c>
      <c r="AK202" s="147">
        <f t="shared" si="70"/>
        <v>1</v>
      </c>
      <c r="AL202" s="147">
        <f>INDEX(Photobiology!$21:$421,1+$AH202-380,10)</f>
        <v>0.9926005</v>
      </c>
      <c r="AM202" s="147">
        <f t="shared" si="71"/>
        <v>1.380480575051549E-3</v>
      </c>
      <c r="AN202" s="147">
        <f ca="1">INDEX(Photobiology!$21:$421,1+$AH202-380,AN$14)</f>
        <v>3.7113599999999999E-4</v>
      </c>
      <c r="AO202" s="147">
        <f ca="1">INDEX(Photobiology!$21:$421,1+$AH202-380,AO$14)</f>
        <v>0.881386</v>
      </c>
      <c r="AP202" s="147">
        <f ca="1">INDEX(Photobiology!$21:$421,1+$AH202-380,AP$14)</f>
        <v>0.98808499999999999</v>
      </c>
      <c r="AQ202" s="147">
        <f ca="1">INDEX(Photobiology!$21:$421,1+$AH202-380,AQ$14)</f>
        <v>0.31509999999999999</v>
      </c>
      <c r="AR202" s="147">
        <f ca="1">INDEX(Photobiology!$21:$421,1+$AH202-380,AR$14)</f>
        <v>0.11100699999999999</v>
      </c>
      <c r="AS202" s="147">
        <f t="shared" si="72"/>
        <v>3899761202676311.5</v>
      </c>
      <c r="AT202" s="147">
        <f ca="1">INDEX(Photobiology!$21:$421,1+$AH202-380,AT$14)</f>
        <v>2.9600274394448746E-4</v>
      </c>
      <c r="AU202" s="147">
        <f ca="1">INDEX(Photobiology!$21:$421,1+$AH202-380,AU$14)</f>
        <v>0.84930084377846971</v>
      </c>
      <c r="AV202" s="147">
        <f ca="1">INDEX(Photobiology!$21:$421,1+$AH202-380,AV$14)</f>
        <v>0.99814556709866864</v>
      </c>
      <c r="AW202" s="147">
        <f ca="1">INDEX(Photobiology!$21:$421,1+$AH202-380,AW$14)</f>
        <v>0.28393630088125338</v>
      </c>
      <c r="AX202" s="147">
        <f ca="1">INDEX(Photobiology!$21:$421,1+$AH202-380,AX$14)</f>
        <v>9.6754974768919713E-2</v>
      </c>
      <c r="AY202" s="147">
        <f t="shared" si="59"/>
        <v>1.380480575051549E-3</v>
      </c>
      <c r="AZ202" s="147">
        <f t="shared" ca="1" si="73"/>
        <v>5.1234603870233164E-7</v>
      </c>
      <c r="BA202" s="147">
        <f t="shared" ca="1" si="60"/>
        <v>1.2167362521223845E-3</v>
      </c>
      <c r="BB202" s="147">
        <f t="shared" ca="1" si="61"/>
        <v>1.3640321489998097E-3</v>
      </c>
      <c r="BC202" s="147">
        <f t="shared" ca="1" si="62"/>
        <v>4.3498942919874311E-4</v>
      </c>
      <c r="BD202" s="147">
        <f t="shared" ca="1" si="63"/>
        <v>1.532430071947473E-4</v>
      </c>
    </row>
    <row r="203" spans="8:56" s="147" customFormat="1" ht="0.25" customHeight="1" x14ac:dyDescent="0.2">
      <c r="H203" s="147">
        <f t="shared" si="64"/>
        <v>562</v>
      </c>
      <c r="I203" s="147">
        <f>IF($H203&gt;$H202,INDEX(Spectra!203:203,1,MATCH($I$20,Spectra!$20:$20,0)),I202)</f>
        <v>1.32487243574257E-3</v>
      </c>
      <c r="J203" s="147">
        <f>((Physics!$C$9*Physics!$C$10)/(Physics!$C$11*Physics!$C$12*$H203))^($J$17-$J$18)</f>
        <v>2.8299656795420718E+18</v>
      </c>
      <c r="K203" s="147">
        <f t="shared" si="65"/>
        <v>1</v>
      </c>
      <c r="L203" s="147">
        <f>INDEX(Photobiology!$21:$421,1+$H203-380,10)</f>
        <v>0.98974260000000003</v>
      </c>
      <c r="M203" s="147">
        <f t="shared" si="66"/>
        <v>1.32487243574257E-3</v>
      </c>
      <c r="N203" s="147">
        <f ca="1">INDEX(Photobiology!$21:$421,1+$H203-380,N$14)</f>
        <v>3.36838E-4</v>
      </c>
      <c r="O203" s="147">
        <f ca="1">INDEX(Photobiology!$21:$421,1+$H203-380,O$14)</f>
        <v>0.871834</v>
      </c>
      <c r="P203" s="147">
        <f ca="1">INDEX(Photobiology!$21:$421,1+$H203-380,P$14)</f>
        <v>0.99056</v>
      </c>
      <c r="Q203" s="147">
        <f ca="1">INDEX(Photobiology!$21:$421,1+$H203-380,Q$14)</f>
        <v>0.30180000000000001</v>
      </c>
      <c r="R203" s="147">
        <f ca="1">INDEX(Photobiology!$21:$421,1+$H203-380,R$14)</f>
        <v>0.103793</v>
      </c>
      <c r="S203" s="147">
        <f t="shared" si="67"/>
        <v>3749343522922782</v>
      </c>
      <c r="T203" s="147">
        <f ca="1">INDEX(Photobiology!$21:$421,1+$H203-380,T$14)</f>
        <v>2.6817005432535712E-4</v>
      </c>
      <c r="U203" s="147">
        <f ca="1">INDEX(Photobiology!$21:$421,1+$H203-380,U$14)</f>
        <v>0.83860173215558897</v>
      </c>
      <c r="V203" s="147">
        <f ca="1">INDEX(Photobiology!$21:$421,1+$H203-380,V$14)</f>
        <v>0.99886525877951315</v>
      </c>
      <c r="W203" s="147">
        <f ca="1">INDEX(Photobiology!$21:$421,1+$H203-380,W$14)</f>
        <v>0.27146778413532413</v>
      </c>
      <c r="X203" s="147">
        <f ca="1">INDEX(Photobiology!$21:$421,1+$H203-380,X$14)</f>
        <v>9.0306195992238603E-2</v>
      </c>
      <c r="Y203" s="147">
        <f t="shared" si="54"/>
        <v>1.32487243574257E-3</v>
      </c>
      <c r="Z203" s="147">
        <f t="shared" ca="1" si="68"/>
        <v>4.462673815106558E-7</v>
      </c>
      <c r="AA203" s="147">
        <f t="shared" ca="1" si="55"/>
        <v>1.1550688351431879E-3</v>
      </c>
      <c r="AB203" s="147">
        <f t="shared" ca="1" si="56"/>
        <v>1.3123656399491601E-3</v>
      </c>
      <c r="AC203" s="147">
        <f t="shared" ca="1" si="57"/>
        <v>3.9984650110710767E-4</v>
      </c>
      <c r="AD203" s="147">
        <f t="shared" ca="1" si="58"/>
        <v>1.3751248472302857E-4</v>
      </c>
      <c r="AH203" s="147">
        <f t="shared" si="69"/>
        <v>562</v>
      </c>
      <c r="AI203" s="147">
        <f>IF($AH203&gt;$AH202,INDEX(Spectra!203:203,1,MATCH($AI$20,Spectra!$20:$20,0)),AI202)</f>
        <v>99.266800000000003</v>
      </c>
      <c r="AJ203" s="147">
        <f>((Physics!$C$9*Physics!$C$10)/(Physics!$C$11*Physics!$C$12*$AH203))^($AJ$17-$AJ$18)</f>
        <v>2.8299656795420718E+18</v>
      </c>
      <c r="AK203" s="147">
        <f t="shared" si="70"/>
        <v>1</v>
      </c>
      <c r="AL203" s="147">
        <f>INDEX(Photobiology!$21:$421,1+$AH203-380,10)</f>
        <v>0.98974260000000003</v>
      </c>
      <c r="AM203" s="147">
        <f t="shared" si="71"/>
        <v>1.375401111951686E-3</v>
      </c>
      <c r="AN203" s="147">
        <f ca="1">INDEX(Photobiology!$21:$421,1+$AH203-380,AN$14)</f>
        <v>3.36838E-4</v>
      </c>
      <c r="AO203" s="147">
        <f ca="1">INDEX(Photobiology!$21:$421,1+$AH203-380,AO$14)</f>
        <v>0.871834</v>
      </c>
      <c r="AP203" s="147">
        <f ca="1">INDEX(Photobiology!$21:$421,1+$AH203-380,AP$14)</f>
        <v>0.99056</v>
      </c>
      <c r="AQ203" s="147">
        <f ca="1">INDEX(Photobiology!$21:$421,1+$AH203-380,AQ$14)</f>
        <v>0.30180000000000001</v>
      </c>
      <c r="AR203" s="147">
        <f ca="1">INDEX(Photobiology!$21:$421,1+$AH203-380,AR$14)</f>
        <v>0.103793</v>
      </c>
      <c r="AS203" s="147">
        <f t="shared" si="72"/>
        <v>3892337942427274.5</v>
      </c>
      <c r="AT203" s="147">
        <f ca="1">INDEX(Photobiology!$21:$421,1+$AH203-380,AT$14)</f>
        <v>2.6817005432535712E-4</v>
      </c>
      <c r="AU203" s="147">
        <f ca="1">INDEX(Photobiology!$21:$421,1+$AH203-380,AU$14)</f>
        <v>0.83860173215558897</v>
      </c>
      <c r="AV203" s="147">
        <f ca="1">INDEX(Photobiology!$21:$421,1+$AH203-380,AV$14)</f>
        <v>0.99886525877951315</v>
      </c>
      <c r="AW203" s="147">
        <f ca="1">INDEX(Photobiology!$21:$421,1+$AH203-380,AW$14)</f>
        <v>0.27146778413532413</v>
      </c>
      <c r="AX203" s="147">
        <f ca="1">INDEX(Photobiology!$21:$421,1+$AH203-380,AX$14)</f>
        <v>9.0306195992238603E-2</v>
      </c>
      <c r="AY203" s="147">
        <f t="shared" si="59"/>
        <v>1.375401111951686E-3</v>
      </c>
      <c r="AZ203" s="147">
        <f t="shared" ca="1" si="73"/>
        <v>4.6328735974758203E-7</v>
      </c>
      <c r="BA203" s="147">
        <f t="shared" ca="1" si="60"/>
        <v>1.1991214530372863E-3</v>
      </c>
      <c r="BB203" s="147">
        <f t="shared" ca="1" si="61"/>
        <v>1.3624173254548622E-3</v>
      </c>
      <c r="BC203" s="147">
        <f t="shared" ca="1" si="62"/>
        <v>4.1509605558701887E-4</v>
      </c>
      <c r="BD203" s="147">
        <f t="shared" ca="1" si="63"/>
        <v>1.4275700761280134E-4</v>
      </c>
    </row>
    <row r="204" spans="8:56" s="147" customFormat="1" ht="0.25" customHeight="1" x14ac:dyDescent="0.2">
      <c r="H204" s="147">
        <f t="shared" si="64"/>
        <v>563</v>
      </c>
      <c r="I204" s="147">
        <f>IF($H204&gt;$H203,INDEX(Spectra!204:204,1,MATCH($I$20,Spectra!$20:$20,0)),I203)</f>
        <v>1.31487339849168E-3</v>
      </c>
      <c r="J204" s="147">
        <f>((Physics!$C$9*Physics!$C$10)/(Physics!$C$11*Physics!$C$12*$H204))^($J$17-$J$18)</f>
        <v>2.8350012056622536E+18</v>
      </c>
      <c r="K204" s="147">
        <f t="shared" si="65"/>
        <v>1</v>
      </c>
      <c r="L204" s="147">
        <f>INDEX(Photobiology!$21:$421,1+$H204-380,10)</f>
        <v>0.9864444</v>
      </c>
      <c r="M204" s="147">
        <f t="shared" si="66"/>
        <v>1.31487339849168E-3</v>
      </c>
      <c r="N204" s="147">
        <f ca="1">INDEX(Photobiology!$21:$421,1+$H204-380,N$14)</f>
        <v>3.0572299999999999E-4</v>
      </c>
      <c r="O204" s="147">
        <f ca="1">INDEX(Photobiology!$21:$421,1+$H204-380,O$14)</f>
        <v>0.86205900000000002</v>
      </c>
      <c r="P204" s="147">
        <f ca="1">INDEX(Photobiology!$21:$421,1+$H204-380,P$14)</f>
        <v>0.99294499999999997</v>
      </c>
      <c r="Q204" s="147">
        <f ca="1">INDEX(Photobiology!$21:$421,1+$H204-380,Q$14)</f>
        <v>0.2888</v>
      </c>
      <c r="R204" s="147">
        <f ca="1">INDEX(Photobiology!$21:$421,1+$H204-380,R$14)</f>
        <v>9.6920599999999996E-2</v>
      </c>
      <c r="S204" s="147">
        <f t="shared" si="67"/>
        <v>3727667670017137.5</v>
      </c>
      <c r="T204" s="147">
        <f ca="1">INDEX(Photobiology!$21:$421,1+$H204-380,T$14)</f>
        <v>2.4296584859928325E-4</v>
      </c>
      <c r="U204" s="147">
        <f ca="1">INDEX(Photobiology!$21:$421,1+$H204-380,U$14)</f>
        <v>0.82772650926540303</v>
      </c>
      <c r="V204" s="147">
        <f ca="1">INDEX(Photobiology!$21:$421,1+$H204-380,V$14)</f>
        <v>0.99949180043069985</v>
      </c>
      <c r="W204" s="147">
        <f ca="1">INDEX(Photobiology!$21:$421,1+$H204-380,W$14)</f>
        <v>0.25931292990873156</v>
      </c>
      <c r="X204" s="147">
        <f ca="1">INDEX(Photobiology!$21:$421,1+$H204-380,X$14)</f>
        <v>8.4177010622922849E-2</v>
      </c>
      <c r="Y204" s="147">
        <f t="shared" si="54"/>
        <v>1.31487339849168E-3</v>
      </c>
      <c r="Z204" s="147">
        <f t="shared" ca="1" si="68"/>
        <v>4.0198704000707185E-7</v>
      </c>
      <c r="AA204" s="147">
        <f t="shared" ca="1" si="55"/>
        <v>1.1334984470303391E-3</v>
      </c>
      <c r="AB204" s="147">
        <f t="shared" ca="1" si="56"/>
        <v>1.3055969666653212E-3</v>
      </c>
      <c r="AC204" s="147">
        <f t="shared" ca="1" si="57"/>
        <v>3.797354374843972E-4</v>
      </c>
      <c r="AD204" s="147">
        <f t="shared" ca="1" si="58"/>
        <v>1.2743831870585271E-4</v>
      </c>
      <c r="AH204" s="147">
        <f t="shared" si="69"/>
        <v>563</v>
      </c>
      <c r="AI204" s="147">
        <f>IF($AH204&gt;$AH203,INDEX(Spectra!204:204,1,MATCH($AI$20,Spectra!$20:$20,0)),AI203)</f>
        <v>98.900300000000001</v>
      </c>
      <c r="AJ204" s="147">
        <f>((Physics!$C$9*Physics!$C$10)/(Physics!$C$11*Physics!$C$12*$AH204))^($AJ$17-$AJ$18)</f>
        <v>2.8350012056622536E+18</v>
      </c>
      <c r="AK204" s="147">
        <f t="shared" si="70"/>
        <v>1</v>
      </c>
      <c r="AL204" s="147">
        <f>INDEX(Photobiology!$21:$421,1+$AH204-380,10)</f>
        <v>0.9864444</v>
      </c>
      <c r="AM204" s="147">
        <f t="shared" si="71"/>
        <v>1.3703230344118611E-3</v>
      </c>
      <c r="AN204" s="147">
        <f ca="1">INDEX(Photobiology!$21:$421,1+$AH204-380,AN$14)</f>
        <v>3.0572299999999999E-4</v>
      </c>
      <c r="AO204" s="147">
        <f ca="1">INDEX(Photobiology!$21:$421,1+$AH204-380,AO$14)</f>
        <v>0.86205900000000002</v>
      </c>
      <c r="AP204" s="147">
        <f ca="1">INDEX(Photobiology!$21:$421,1+$AH204-380,AP$14)</f>
        <v>0.99294499999999997</v>
      </c>
      <c r="AQ204" s="147">
        <f ca="1">INDEX(Photobiology!$21:$421,1+$AH204-380,AQ$14)</f>
        <v>0.2888</v>
      </c>
      <c r="AR204" s="147">
        <f ca="1">INDEX(Photobiology!$21:$421,1+$AH204-380,AR$14)</f>
        <v>9.6920599999999996E-2</v>
      </c>
      <c r="AS204" s="147">
        <f t="shared" si="72"/>
        <v>3884867454704384</v>
      </c>
      <c r="AT204" s="147">
        <f ca="1">INDEX(Photobiology!$21:$421,1+$AH204-380,AT$14)</f>
        <v>2.4296584859928325E-4</v>
      </c>
      <c r="AU204" s="147">
        <f ca="1">INDEX(Photobiology!$21:$421,1+$AH204-380,AU$14)</f>
        <v>0.82772650926540303</v>
      </c>
      <c r="AV204" s="147">
        <f ca="1">INDEX(Photobiology!$21:$421,1+$AH204-380,AV$14)</f>
        <v>0.99949180043069985</v>
      </c>
      <c r="AW204" s="147">
        <f ca="1">INDEX(Photobiology!$21:$421,1+$AH204-380,AW$14)</f>
        <v>0.25931292990873156</v>
      </c>
      <c r="AX204" s="147">
        <f ca="1">INDEX(Photobiology!$21:$421,1+$AH204-380,AX$14)</f>
        <v>8.4177010622922849E-2</v>
      </c>
      <c r="AY204" s="147">
        <f t="shared" si="59"/>
        <v>1.3703230344118611E-3</v>
      </c>
      <c r="AZ204" s="147">
        <f t="shared" ca="1" si="73"/>
        <v>4.1893926904949739E-7</v>
      </c>
      <c r="BA204" s="147">
        <f t="shared" ca="1" si="60"/>
        <v>1.1812993047220545E-3</v>
      </c>
      <c r="BB204" s="147">
        <f t="shared" ca="1" si="61"/>
        <v>1.3606554054040854E-3</v>
      </c>
      <c r="BC204" s="147">
        <f t="shared" ca="1" si="62"/>
        <v>3.9574929233814548E-4</v>
      </c>
      <c r="BD204" s="147">
        <f t="shared" ca="1" si="63"/>
        <v>1.328125306890182E-4</v>
      </c>
    </row>
    <row r="205" spans="8:56" s="147" customFormat="1" ht="0.25" customHeight="1" x14ac:dyDescent="0.2">
      <c r="H205" s="147">
        <f t="shared" si="64"/>
        <v>564</v>
      </c>
      <c r="I205" s="147">
        <f>IF($H205&gt;$H204,INDEX(Spectra!205:205,1,MATCH($I$20,Spectra!$20:$20,0)),I204)</f>
        <v>1.30987387986624E-3</v>
      </c>
      <c r="J205" s="147">
        <f>((Physics!$C$9*Physics!$C$10)/(Physics!$C$11*Physics!$C$12*$H205))^($J$17-$J$18)</f>
        <v>2.8400367317824348E+18</v>
      </c>
      <c r="K205" s="147">
        <f t="shared" si="65"/>
        <v>1</v>
      </c>
      <c r="L205" s="147">
        <f>INDEX(Photobiology!$21:$421,1+$H205-380,10)</f>
        <v>0.98272409999999999</v>
      </c>
      <c r="M205" s="147">
        <f t="shared" si="66"/>
        <v>1.30987387986624E-3</v>
      </c>
      <c r="N205" s="147">
        <f ca="1">INDEX(Photobiology!$21:$421,1+$H205-380,N$14)</f>
        <v>2.7750399999999998E-4</v>
      </c>
      <c r="O205" s="147">
        <f ca="1">INDEX(Photobiology!$21:$421,1+$H205-380,O$14)</f>
        <v>0.85184000000000004</v>
      </c>
      <c r="P205" s="147">
        <f ca="1">INDEX(Photobiology!$21:$421,1+$H205-380,P$14)</f>
        <v>0.99512400000000001</v>
      </c>
      <c r="Q205" s="147">
        <f ca="1">INDEX(Photobiology!$21:$421,1+$H205-380,Q$14)</f>
        <v>0.2762</v>
      </c>
      <c r="R205" s="147">
        <f ca="1">INDEX(Photobiology!$21:$421,1+$H205-380,R$14)</f>
        <v>9.0425900000000003E-2</v>
      </c>
      <c r="S205" s="147">
        <f t="shared" si="67"/>
        <v>3720089932822494</v>
      </c>
      <c r="T205" s="147">
        <f ca="1">INDEX(Photobiology!$21:$421,1+$H205-380,T$14)</f>
        <v>2.2014846367311738E-4</v>
      </c>
      <c r="U205" s="147">
        <f ca="1">INDEX(Photobiology!$21:$421,1+$H205-380,U$14)</f>
        <v>0.81646428968737805</v>
      </c>
      <c r="V205" s="147">
        <f ca="1">INDEX(Photobiology!$21:$421,1+$H205-380,V$14)</f>
        <v>0.99990912973625234</v>
      </c>
      <c r="W205" s="147">
        <f ca="1">INDEX(Photobiology!$21:$421,1+$H205-380,W$14)</f>
        <v>0.24755970037772893</v>
      </c>
      <c r="X205" s="147">
        <f ca="1">INDEX(Photobiology!$21:$421,1+$H205-380,X$14)</f>
        <v>7.8397016502262579E-2</v>
      </c>
      <c r="Y205" s="147">
        <f t="shared" si="54"/>
        <v>1.30987387986624E-3</v>
      </c>
      <c r="Z205" s="147">
        <f t="shared" ca="1" si="68"/>
        <v>3.6349524115840103E-7</v>
      </c>
      <c r="AA205" s="147">
        <f t="shared" ca="1" si="55"/>
        <v>1.115802965825258E-3</v>
      </c>
      <c r="AB205" s="147">
        <f t="shared" ca="1" si="56"/>
        <v>1.3034869348280123E-3</v>
      </c>
      <c r="AC205" s="147">
        <f t="shared" ca="1" si="57"/>
        <v>3.617871656190555E-4</v>
      </c>
      <c r="AD205" s="147">
        <f t="shared" ca="1" si="58"/>
        <v>1.1844652447339664E-4</v>
      </c>
      <c r="AH205" s="147">
        <f t="shared" si="69"/>
        <v>564</v>
      </c>
      <c r="AI205" s="147">
        <f>IF($AH205&gt;$AH204,INDEX(Spectra!205:205,1,MATCH($AI$20,Spectra!$20:$20,0)),AI204)</f>
        <v>98.533699999999996</v>
      </c>
      <c r="AJ205" s="147">
        <f>((Physics!$C$9*Physics!$C$10)/(Physics!$C$11*Physics!$C$12*$AH205))^($AJ$17-$AJ$18)</f>
        <v>2.8400367317824348E+18</v>
      </c>
      <c r="AK205" s="147">
        <f t="shared" si="70"/>
        <v>1</v>
      </c>
      <c r="AL205" s="147">
        <f>INDEX(Photobiology!$21:$421,1+$AH205-380,10)</f>
        <v>0.98272409999999999</v>
      </c>
      <c r="AM205" s="147">
        <f t="shared" si="71"/>
        <v>1.3652435713119981E-3</v>
      </c>
      <c r="AN205" s="147">
        <f ca="1">INDEX(Photobiology!$21:$421,1+$AH205-380,AN$14)</f>
        <v>2.7750399999999998E-4</v>
      </c>
      <c r="AO205" s="147">
        <f ca="1">INDEX(Photobiology!$21:$421,1+$AH205-380,AO$14)</f>
        <v>0.85184000000000004</v>
      </c>
      <c r="AP205" s="147">
        <f ca="1">INDEX(Photobiology!$21:$421,1+$AH205-380,AP$14)</f>
        <v>0.99512400000000001</v>
      </c>
      <c r="AQ205" s="147">
        <f ca="1">INDEX(Photobiology!$21:$421,1+$AH205-380,AQ$14)</f>
        <v>0.2762</v>
      </c>
      <c r="AR205" s="147">
        <f ca="1">INDEX(Photobiology!$21:$421,1+$AH205-380,AR$14)</f>
        <v>9.0425900000000003E-2</v>
      </c>
      <c r="AS205" s="147">
        <f t="shared" si="72"/>
        <v>3877341890355906.5</v>
      </c>
      <c r="AT205" s="147">
        <f ca="1">INDEX(Photobiology!$21:$421,1+$AH205-380,AT$14)</f>
        <v>2.2014846367311738E-4</v>
      </c>
      <c r="AU205" s="147">
        <f ca="1">INDEX(Photobiology!$21:$421,1+$AH205-380,AU$14)</f>
        <v>0.81646428968737805</v>
      </c>
      <c r="AV205" s="147">
        <f ca="1">INDEX(Photobiology!$21:$421,1+$AH205-380,AV$14)</f>
        <v>0.99990912973625234</v>
      </c>
      <c r="AW205" s="147">
        <f ca="1">INDEX(Photobiology!$21:$421,1+$AH205-380,AW$14)</f>
        <v>0.24755970037772893</v>
      </c>
      <c r="AX205" s="147">
        <f ca="1">INDEX(Photobiology!$21:$421,1+$AH205-380,AX$14)</f>
        <v>7.8397016502262579E-2</v>
      </c>
      <c r="AY205" s="147">
        <f t="shared" si="59"/>
        <v>1.3652435713119981E-3</v>
      </c>
      <c r="AZ205" s="147">
        <f t="shared" ca="1" si="73"/>
        <v>3.7886055201336468E-7</v>
      </c>
      <c r="BA205" s="147">
        <f t="shared" ca="1" si="60"/>
        <v>1.1629690837864125E-3</v>
      </c>
      <c r="BB205" s="147">
        <f t="shared" ca="1" si="61"/>
        <v>1.3585866436582807E-3</v>
      </c>
      <c r="BC205" s="147">
        <f t="shared" ca="1" si="62"/>
        <v>3.7708027439637386E-4</v>
      </c>
      <c r="BD205" s="147">
        <f t="shared" ca="1" si="63"/>
        <v>1.2345337865510162E-4</v>
      </c>
    </row>
    <row r="206" spans="8:56" s="147" customFormat="1" ht="0.25" customHeight="1" x14ac:dyDescent="0.2">
      <c r="H206" s="147">
        <f t="shared" si="64"/>
        <v>565</v>
      </c>
      <c r="I206" s="147">
        <f>IF($H206&gt;$H205,INDEX(Spectra!206:206,1,MATCH($I$20,Spectra!$20:$20,0)),I205)</f>
        <v>1.29987484261535E-3</v>
      </c>
      <c r="J206" s="147">
        <f>((Physics!$C$9*Physics!$C$10)/(Physics!$C$11*Physics!$C$12*$H206))^($J$17-$J$18)</f>
        <v>2.8450722579026166E+18</v>
      </c>
      <c r="K206" s="147">
        <f t="shared" si="65"/>
        <v>1</v>
      </c>
      <c r="L206" s="147">
        <f>INDEX(Photobiology!$21:$421,1+$H206-380,10)</f>
        <v>0.97860000000000003</v>
      </c>
      <c r="M206" s="147">
        <f t="shared" si="66"/>
        <v>1.29987484261535E-3</v>
      </c>
      <c r="N206" s="147">
        <f ca="1">INDEX(Photobiology!$21:$421,1+$H206-380,N$14)</f>
        <v>2.5191800000000001E-4</v>
      </c>
      <c r="O206" s="147">
        <f ca="1">INDEX(Photobiology!$21:$421,1+$H206-380,O$14)</f>
        <v>0.84096899999999997</v>
      </c>
      <c r="P206" s="147">
        <f ca="1">INDEX(Photobiology!$21:$421,1+$H206-380,P$14)</f>
        <v>0.99697899999999995</v>
      </c>
      <c r="Q206" s="147">
        <f ca="1">INDEX(Photobiology!$21:$421,1+$H206-380,Q$14)</f>
        <v>0.26390000000000002</v>
      </c>
      <c r="R206" s="147">
        <f ca="1">INDEX(Photobiology!$21:$421,1+$H206-380,R$14)</f>
        <v>8.4345699999999996E-2</v>
      </c>
      <c r="S206" s="147">
        <f t="shared" si="67"/>
        <v>3698237853470462</v>
      </c>
      <c r="T206" s="147">
        <f ca="1">INDEX(Photobiology!$21:$421,1+$H206-380,T$14)</f>
        <v>1.9949695323715576E-4</v>
      </c>
      <c r="U206" s="147">
        <f ca="1">INDEX(Photobiology!$21:$421,1+$H206-380,U$14)</f>
        <v>0.804618119070171</v>
      </c>
      <c r="V206" s="147">
        <f ca="1">INDEX(Photobiology!$21:$421,1+$H206-380,V$14)</f>
        <v>1</v>
      </c>
      <c r="W206" s="147">
        <f ca="1">INDEX(Photobiology!$21:$421,1+$H206-380,W$14)</f>
        <v>0.23611649106611873</v>
      </c>
      <c r="X206" s="147">
        <f ca="1">INDEX(Photobiology!$21:$421,1+$H206-380,X$14)</f>
        <v>7.2996207737849192E-2</v>
      </c>
      <c r="Y206" s="147">
        <f t="shared" si="54"/>
        <v>1.29987484261535E-3</v>
      </c>
      <c r="Z206" s="147">
        <f t="shared" ca="1" si="68"/>
        <v>3.2746187060197377E-7</v>
      </c>
      <c r="AA206" s="147">
        <f t="shared" ca="1" si="55"/>
        <v>1.0931544465193883E-3</v>
      </c>
      <c r="AB206" s="147">
        <f t="shared" ca="1" si="56"/>
        <v>1.2959479207158089E-3</v>
      </c>
      <c r="AC206" s="147">
        <f t="shared" ca="1" si="57"/>
        <v>3.4303697096619087E-4</v>
      </c>
      <c r="AD206" s="147">
        <f t="shared" ca="1" si="58"/>
        <v>1.0963885351278152E-4</v>
      </c>
      <c r="AH206" s="147">
        <f t="shared" si="69"/>
        <v>565</v>
      </c>
      <c r="AI206" s="147">
        <f>IF($AH206&gt;$AH205,INDEX(Spectra!206:206,1,MATCH($AI$20,Spectra!$20:$20,0)),AI205)</f>
        <v>98.167100000000005</v>
      </c>
      <c r="AJ206" s="147">
        <f>((Physics!$C$9*Physics!$C$10)/(Physics!$C$11*Physics!$C$12*$AH206))^($AJ$17-$AJ$18)</f>
        <v>2.8450722579026166E+18</v>
      </c>
      <c r="AK206" s="147">
        <f t="shared" si="70"/>
        <v>1</v>
      </c>
      <c r="AL206" s="147">
        <f>INDEX(Photobiology!$21:$421,1+$AH206-380,10)</f>
        <v>0.97860000000000003</v>
      </c>
      <c r="AM206" s="147">
        <f t="shared" si="71"/>
        <v>1.3601641082121351E-3</v>
      </c>
      <c r="AN206" s="147">
        <f ca="1">INDEX(Photobiology!$21:$421,1+$AH206-380,AN$14)</f>
        <v>2.5191800000000001E-4</v>
      </c>
      <c r="AO206" s="147">
        <f ca="1">INDEX(Photobiology!$21:$421,1+$AH206-380,AO$14)</f>
        <v>0.84096899999999997</v>
      </c>
      <c r="AP206" s="147">
        <f ca="1">INDEX(Photobiology!$21:$421,1+$AH206-380,AP$14)</f>
        <v>0.99697899999999995</v>
      </c>
      <c r="AQ206" s="147">
        <f ca="1">INDEX(Photobiology!$21:$421,1+$AH206-380,AQ$14)</f>
        <v>0.26390000000000002</v>
      </c>
      <c r="AR206" s="147">
        <f ca="1">INDEX(Photobiology!$21:$421,1+$AH206-380,AR$14)</f>
        <v>8.4345699999999996E-2</v>
      </c>
      <c r="AS206" s="147">
        <f t="shared" si="72"/>
        <v>3869765170469198</v>
      </c>
      <c r="AT206" s="147">
        <f ca="1">INDEX(Photobiology!$21:$421,1+$AH206-380,AT$14)</f>
        <v>1.9949695323715576E-4</v>
      </c>
      <c r="AU206" s="147">
        <f ca="1">INDEX(Photobiology!$21:$421,1+$AH206-380,AU$14)</f>
        <v>0.804618119070171</v>
      </c>
      <c r="AV206" s="147">
        <f ca="1">INDEX(Photobiology!$21:$421,1+$AH206-380,AV$14)</f>
        <v>1</v>
      </c>
      <c r="AW206" s="147">
        <f ca="1">INDEX(Photobiology!$21:$421,1+$AH206-380,AW$14)</f>
        <v>0.23611649106611873</v>
      </c>
      <c r="AX206" s="147">
        <f ca="1">INDEX(Photobiology!$21:$421,1+$AH206-380,AX$14)</f>
        <v>7.2996207737849192E-2</v>
      </c>
      <c r="AY206" s="147">
        <f t="shared" si="59"/>
        <v>1.3601641082121351E-3</v>
      </c>
      <c r="AZ206" s="147">
        <f t="shared" ca="1" si="73"/>
        <v>3.4264982181258465E-7</v>
      </c>
      <c r="BA206" s="147">
        <f t="shared" ca="1" si="60"/>
        <v>1.143855849919051E-3</v>
      </c>
      <c r="BB206" s="147">
        <f t="shared" ca="1" si="61"/>
        <v>1.3560550524412262E-3</v>
      </c>
      <c r="BC206" s="147">
        <f t="shared" ca="1" si="62"/>
        <v>3.5894730815718247E-4</v>
      </c>
      <c r="BD206" s="147">
        <f t="shared" ca="1" si="63"/>
        <v>1.1472399382202827E-4</v>
      </c>
    </row>
    <row r="207" spans="8:56" s="147" customFormat="1" ht="0.25" customHeight="1" x14ac:dyDescent="0.2">
      <c r="H207" s="147">
        <f t="shared" si="64"/>
        <v>566</v>
      </c>
      <c r="I207" s="147">
        <f>IF($H207&gt;$H206,INDEX(Spectra!207:207,1,MATCH($I$20,Spectra!$20:$20,0)),I206)</f>
        <v>1.28987580536446E-3</v>
      </c>
      <c r="J207" s="147">
        <f>((Physics!$C$9*Physics!$C$10)/(Physics!$C$11*Physics!$C$12*$H207))^($J$17-$J$18)</f>
        <v>2.8501077840227983E+18</v>
      </c>
      <c r="K207" s="147">
        <f t="shared" si="65"/>
        <v>1</v>
      </c>
      <c r="L207" s="147">
        <f>INDEX(Photobiology!$21:$421,1+$H207-380,10)</f>
        <v>0.9740837</v>
      </c>
      <c r="M207" s="147">
        <f t="shared" si="66"/>
        <v>1.28987580536446E-3</v>
      </c>
      <c r="N207" s="147">
        <f ca="1">INDEX(Photobiology!$21:$421,1+$H207-380,N$14)</f>
        <v>2.2872499999999999E-4</v>
      </c>
      <c r="O207" s="147">
        <f ca="1">INDEX(Photobiology!$21:$421,1+$H207-380,O$14)</f>
        <v>0.82930300000000001</v>
      </c>
      <c r="P207" s="147">
        <f ca="1">INDEX(Photobiology!$21:$421,1+$H207-380,P$14)</f>
        <v>0.99841100000000005</v>
      </c>
      <c r="Q207" s="147">
        <f ca="1">INDEX(Photobiology!$21:$421,1+$H207-380,Q$14)</f>
        <v>0.25190000000000001</v>
      </c>
      <c r="R207" s="147">
        <f ca="1">INDEX(Photobiology!$21:$421,1+$H207-380,R$14)</f>
        <v>7.8619800000000004E-2</v>
      </c>
      <c r="S207" s="147">
        <f t="shared" si="67"/>
        <v>3676285073291923.5</v>
      </c>
      <c r="T207" s="147">
        <f ca="1">INDEX(Photobiology!$21:$421,1+$H207-380,T$14)</f>
        <v>1.8081011424156117E-4</v>
      </c>
      <c r="U207" s="147">
        <f ca="1">INDEX(Photobiology!$21:$421,1+$H207-380,U$14)</f>
        <v>0.7920545154643106</v>
      </c>
      <c r="V207" s="147">
        <f ca="1">INDEX(Photobiology!$21:$421,1+$H207-380,V$14)</f>
        <v>0.99966701702663552</v>
      </c>
      <c r="W207" s="147">
        <f ca="1">INDEX(Photobiology!$21:$421,1+$H207-380,W$14)</f>
        <v>0.22498165875719031</v>
      </c>
      <c r="X207" s="147">
        <f ca="1">INDEX(Photobiology!$21:$421,1+$H207-380,X$14)</f>
        <v>6.7920567027469236E-2</v>
      </c>
      <c r="Y207" s="147">
        <f t="shared" si="54"/>
        <v>1.28987580536446E-3</v>
      </c>
      <c r="Z207" s="147">
        <f t="shared" ca="1" si="68"/>
        <v>2.9502684358198612E-7</v>
      </c>
      <c r="AA207" s="147">
        <f t="shared" ca="1" si="55"/>
        <v>1.0696978750161627E-3</v>
      </c>
      <c r="AB207" s="147">
        <f t="shared" ca="1" si="56"/>
        <v>1.2878261927097359E-3</v>
      </c>
      <c r="AC207" s="147">
        <f t="shared" ca="1" si="57"/>
        <v>3.249197153713075E-4</v>
      </c>
      <c r="AD207" s="147">
        <f t="shared" ca="1" si="58"/>
        <v>1.0140977784259278E-4</v>
      </c>
      <c r="AH207" s="147">
        <f t="shared" si="69"/>
        <v>566</v>
      </c>
      <c r="AI207" s="147">
        <f>IF($AH207&gt;$AH206,INDEX(Spectra!207:207,1,MATCH($AI$20,Spectra!$20:$20,0)),AI206)</f>
        <v>97.8005</v>
      </c>
      <c r="AJ207" s="147">
        <f>((Physics!$C$9*Physics!$C$10)/(Physics!$C$11*Physics!$C$12*$AH207))^($AJ$17-$AJ$18)</f>
        <v>2.8501077840227983E+18</v>
      </c>
      <c r="AK207" s="147">
        <f t="shared" si="70"/>
        <v>1</v>
      </c>
      <c r="AL207" s="147">
        <f>INDEX(Photobiology!$21:$421,1+$AH207-380,10)</f>
        <v>0.9740837</v>
      </c>
      <c r="AM207" s="147">
        <f t="shared" si="71"/>
        <v>1.3550846451122719E-3</v>
      </c>
      <c r="AN207" s="147">
        <f ca="1">INDEX(Photobiology!$21:$421,1+$AH207-380,AN$14)</f>
        <v>2.2872499999999999E-4</v>
      </c>
      <c r="AO207" s="147">
        <f ca="1">INDEX(Photobiology!$21:$421,1+$AH207-380,AO$14)</f>
        <v>0.82930300000000001</v>
      </c>
      <c r="AP207" s="147">
        <f ca="1">INDEX(Photobiology!$21:$421,1+$AH207-380,AP$14)</f>
        <v>0.99841100000000005</v>
      </c>
      <c r="AQ207" s="147">
        <f ca="1">INDEX(Photobiology!$21:$421,1+$AH207-380,AQ$14)</f>
        <v>0.25190000000000001</v>
      </c>
      <c r="AR207" s="147">
        <f ca="1">INDEX(Photobiology!$21:$421,1+$AH207-380,AR$14)</f>
        <v>7.8619800000000004E-2</v>
      </c>
      <c r="AS207" s="147">
        <f t="shared" si="72"/>
        <v>3862137295044257.5</v>
      </c>
      <c r="AT207" s="147">
        <f ca="1">INDEX(Photobiology!$21:$421,1+$AH207-380,AT$14)</f>
        <v>1.8081011424156117E-4</v>
      </c>
      <c r="AU207" s="147">
        <f ca="1">INDEX(Photobiology!$21:$421,1+$AH207-380,AU$14)</f>
        <v>0.7920545154643106</v>
      </c>
      <c r="AV207" s="147">
        <f ca="1">INDEX(Photobiology!$21:$421,1+$AH207-380,AV$14)</f>
        <v>0.99966701702663552</v>
      </c>
      <c r="AW207" s="147">
        <f ca="1">INDEX(Photobiology!$21:$421,1+$AH207-380,AW$14)</f>
        <v>0.22498165875719031</v>
      </c>
      <c r="AX207" s="147">
        <f ca="1">INDEX(Photobiology!$21:$421,1+$AH207-380,AX$14)</f>
        <v>6.7920567027469236E-2</v>
      </c>
      <c r="AY207" s="147">
        <f t="shared" si="59"/>
        <v>1.3550846451122719E-3</v>
      </c>
      <c r="AZ207" s="147">
        <f t="shared" ca="1" si="73"/>
        <v>3.0994173545330437E-7</v>
      </c>
      <c r="BA207" s="147">
        <f t="shared" ca="1" si="60"/>
        <v>1.1237757614455425E-3</v>
      </c>
      <c r="BB207" s="147">
        <f t="shared" ca="1" si="61"/>
        <v>1.3529314156111886E-3</v>
      </c>
      <c r="BC207" s="147">
        <f t="shared" ca="1" si="62"/>
        <v>3.4134582210378132E-4</v>
      </c>
      <c r="BD207" s="147">
        <f t="shared" ca="1" si="63"/>
        <v>1.065364837817978E-4</v>
      </c>
    </row>
    <row r="208" spans="8:56" s="147" customFormat="1" ht="0.25" customHeight="1" x14ac:dyDescent="0.2">
      <c r="H208" s="147">
        <f t="shared" si="64"/>
        <v>567</v>
      </c>
      <c r="I208" s="147">
        <f>IF($H208&gt;$H207,INDEX(Spectra!208:208,1,MATCH($I$20,Spectra!$20:$20,0)),I207)</f>
        <v>1.27487724948813E-3</v>
      </c>
      <c r="J208" s="147">
        <f>((Physics!$C$9*Physics!$C$10)/(Physics!$C$11*Physics!$C$12*$H208))^($J$17-$J$18)</f>
        <v>2.8551433101429796E+18</v>
      </c>
      <c r="K208" s="147">
        <f t="shared" si="65"/>
        <v>1</v>
      </c>
      <c r="L208" s="147">
        <f>INDEX(Photobiology!$21:$421,1+$H208-380,10)</f>
        <v>0.96917120000000001</v>
      </c>
      <c r="M208" s="147">
        <f t="shared" si="66"/>
        <v>1.27487724948813E-3</v>
      </c>
      <c r="N208" s="147">
        <f ca="1">INDEX(Photobiology!$21:$421,1+$H208-380,N$14)</f>
        <v>2.0769899999999999E-4</v>
      </c>
      <c r="O208" s="147">
        <f ca="1">INDEX(Photobiology!$21:$421,1+$H208-380,O$14)</f>
        <v>0.81691100000000005</v>
      </c>
      <c r="P208" s="147">
        <f ca="1">INDEX(Photobiology!$21:$421,1+$H208-380,P$14)</f>
        <v>0.99939100000000003</v>
      </c>
      <c r="Q208" s="147">
        <f ca="1">INDEX(Photobiology!$21:$421,1+$H208-380,Q$14)</f>
        <v>0.24030000000000001</v>
      </c>
      <c r="R208" s="147">
        <f ca="1">INDEX(Photobiology!$21:$421,1+$H208-380,R$14)</f>
        <v>7.3175000000000004E-2</v>
      </c>
      <c r="S208" s="147">
        <f t="shared" si="67"/>
        <v>3639957250129517</v>
      </c>
      <c r="T208" s="147">
        <f ca="1">INDEX(Photobiology!$21:$421,1+$H208-380,T$14)</f>
        <v>1.6389921072325548E-4</v>
      </c>
      <c r="U208" s="147">
        <f ca="1">INDEX(Photobiology!$21:$421,1+$H208-380,U$14)</f>
        <v>0.7788430594209973</v>
      </c>
      <c r="V208" s="147">
        <f ca="1">INDEX(Photobiology!$21:$421,1+$H208-380,V$14)</f>
        <v>0.99888343815414171</v>
      </c>
      <c r="W208" s="147">
        <f ca="1">INDEX(Photobiology!$21:$421,1+$H208-380,W$14)</f>
        <v>0.21424272818455367</v>
      </c>
      <c r="X208" s="147">
        <f ca="1">INDEX(Photobiology!$21:$421,1+$H208-380,X$14)</f>
        <v>6.3105247098428185E-2</v>
      </c>
      <c r="Y208" s="147">
        <f t="shared" si="54"/>
        <v>1.27487724948813E-3</v>
      </c>
      <c r="Z208" s="147">
        <f t="shared" ca="1" si="68"/>
        <v>2.6479072984143509E-7</v>
      </c>
      <c r="AA208" s="147">
        <f t="shared" ca="1" si="55"/>
        <v>1.0414612487565978E-3</v>
      </c>
      <c r="AB208" s="147">
        <f t="shared" ca="1" si="56"/>
        <v>1.2741008492431918E-3</v>
      </c>
      <c r="AC208" s="147">
        <f t="shared" ca="1" si="57"/>
        <v>3.0635300305199766E-4</v>
      </c>
      <c r="AD208" s="147">
        <f t="shared" ca="1" si="58"/>
        <v>9.3289142731293914E-5</v>
      </c>
      <c r="AH208" s="147">
        <f t="shared" si="69"/>
        <v>567</v>
      </c>
      <c r="AI208" s="147">
        <f>IF($AH208&gt;$AH207,INDEX(Spectra!208:208,1,MATCH($AI$20,Spectra!$20:$20,0)),AI207)</f>
        <v>97.433899999999994</v>
      </c>
      <c r="AJ208" s="147">
        <f>((Physics!$C$9*Physics!$C$10)/(Physics!$C$11*Physics!$C$12*$AH208))^($AJ$17-$AJ$18)</f>
        <v>2.8551433101429796E+18</v>
      </c>
      <c r="AK208" s="147">
        <f t="shared" si="70"/>
        <v>1</v>
      </c>
      <c r="AL208" s="147">
        <f>INDEX(Photobiology!$21:$421,1+$AH208-380,10)</f>
        <v>0.96917120000000001</v>
      </c>
      <c r="AM208" s="147">
        <f t="shared" si="71"/>
        <v>1.3500051820124087E-3</v>
      </c>
      <c r="AN208" s="147">
        <f ca="1">INDEX(Photobiology!$21:$421,1+$AH208-380,AN$14)</f>
        <v>2.0769899999999999E-4</v>
      </c>
      <c r="AO208" s="147">
        <f ca="1">INDEX(Photobiology!$21:$421,1+$AH208-380,AO$14)</f>
        <v>0.81691100000000005</v>
      </c>
      <c r="AP208" s="147">
        <f ca="1">INDEX(Photobiology!$21:$421,1+$AH208-380,AP$14)</f>
        <v>0.99939100000000003</v>
      </c>
      <c r="AQ208" s="147">
        <f ca="1">INDEX(Photobiology!$21:$421,1+$AH208-380,AQ$14)</f>
        <v>0.24030000000000001</v>
      </c>
      <c r="AR208" s="147">
        <f ca="1">INDEX(Photobiology!$21:$421,1+$AH208-380,AR$14)</f>
        <v>7.3175000000000004E-2</v>
      </c>
      <c r="AS208" s="147">
        <f t="shared" si="72"/>
        <v>3854458264081084</v>
      </c>
      <c r="AT208" s="147">
        <f ca="1">INDEX(Photobiology!$21:$421,1+$AH208-380,AT$14)</f>
        <v>1.6389921072325548E-4</v>
      </c>
      <c r="AU208" s="147">
        <f ca="1">INDEX(Photobiology!$21:$421,1+$AH208-380,AU$14)</f>
        <v>0.7788430594209973</v>
      </c>
      <c r="AV208" s="147">
        <f ca="1">INDEX(Photobiology!$21:$421,1+$AH208-380,AV$14)</f>
        <v>0.99888343815414171</v>
      </c>
      <c r="AW208" s="147">
        <f ca="1">INDEX(Photobiology!$21:$421,1+$AH208-380,AW$14)</f>
        <v>0.21424272818455367</v>
      </c>
      <c r="AX208" s="147">
        <f ca="1">INDEX(Photobiology!$21:$421,1+$AH208-380,AX$14)</f>
        <v>6.3105247098428185E-2</v>
      </c>
      <c r="AY208" s="147">
        <f t="shared" si="59"/>
        <v>1.3500051820124087E-3</v>
      </c>
      <c r="AZ208" s="147">
        <f t="shared" ca="1" si="73"/>
        <v>2.8039472629879524E-7</v>
      </c>
      <c r="BA208" s="147">
        <f t="shared" ca="1" si="60"/>
        <v>1.1028340832429388E-3</v>
      </c>
      <c r="BB208" s="147">
        <f t="shared" ca="1" si="61"/>
        <v>1.3491830288565631E-3</v>
      </c>
      <c r="BC208" s="147">
        <f t="shared" ca="1" si="62"/>
        <v>3.2440624523758183E-4</v>
      </c>
      <c r="BD208" s="147">
        <f t="shared" ca="1" si="63"/>
        <v>9.8786629193758007E-5</v>
      </c>
    </row>
    <row r="209" spans="8:56" s="147" customFormat="1" ht="0.25" customHeight="1" x14ac:dyDescent="0.2">
      <c r="H209" s="147">
        <f t="shared" si="64"/>
        <v>568</v>
      </c>
      <c r="I209" s="147">
        <f>IF($H209&gt;$H208,INDEX(Spectra!209:209,1,MATCH($I$20,Spectra!$20:$20,0)),I208)</f>
        <v>1.2598786936118E-3</v>
      </c>
      <c r="J209" s="147">
        <f>((Physics!$C$9*Physics!$C$10)/(Physics!$C$11*Physics!$C$12*$H209))^($J$17-$J$18)</f>
        <v>2.8601788362631613E+18</v>
      </c>
      <c r="K209" s="147">
        <f t="shared" si="65"/>
        <v>1</v>
      </c>
      <c r="L209" s="147">
        <f>INDEX(Photobiology!$21:$421,1+$H209-380,10)</f>
        <v>0.96385679999999996</v>
      </c>
      <c r="M209" s="147">
        <f t="shared" si="66"/>
        <v>1.2598786936118E-3</v>
      </c>
      <c r="N209" s="147">
        <f ca="1">INDEX(Photobiology!$21:$421,1+$H209-380,N$14)</f>
        <v>1.8863800000000001E-4</v>
      </c>
      <c r="O209" s="147">
        <f ca="1">INDEX(Photobiology!$21:$421,1+$H209-380,O$14)</f>
        <v>0.80391000000000001</v>
      </c>
      <c r="P209" s="147">
        <f ca="1">INDEX(Photobiology!$21:$421,1+$H209-380,P$14)</f>
        <v>0.99991200000000002</v>
      </c>
      <c r="Q209" s="147">
        <f ca="1">INDEX(Photobiology!$21:$421,1+$H209-380,Q$14)</f>
        <v>0.2291</v>
      </c>
      <c r="R209" s="147">
        <f ca="1">INDEX(Photobiology!$21:$421,1+$H209-380,R$14)</f>
        <v>6.80288E-2</v>
      </c>
      <c r="S209" s="147">
        <f t="shared" si="67"/>
        <v>3603478375727350</v>
      </c>
      <c r="T209" s="147">
        <f ca="1">INDEX(Photobiology!$21:$421,1+$H209-380,T$14)</f>
        <v>1.4859574135670629E-4</v>
      </c>
      <c r="U209" s="147">
        <f ca="1">INDEX(Photobiology!$21:$421,1+$H209-380,U$14)</f>
        <v>0.7650985241251067</v>
      </c>
      <c r="V209" s="147">
        <f ca="1">INDEX(Photobiology!$21:$421,1+$H209-380,V$14)</f>
        <v>0.99764465916321954</v>
      </c>
      <c r="W209" s="147">
        <f ca="1">INDEX(Photobiology!$21:$421,1+$H209-380,W$14)</f>
        <v>0.20389760831791148</v>
      </c>
      <c r="X209" s="147">
        <f ca="1">INDEX(Photobiology!$21:$421,1+$H209-380,X$14)</f>
        <v>5.8563938238209941E-2</v>
      </c>
      <c r="Y209" s="147">
        <f t="shared" si="54"/>
        <v>1.2598786936118E-3</v>
      </c>
      <c r="Z209" s="147">
        <f t="shared" ca="1" si="68"/>
        <v>2.3766099700554273E-7</v>
      </c>
      <c r="AA209" s="147">
        <f t="shared" ca="1" si="55"/>
        <v>1.0128290805814621E-3</v>
      </c>
      <c r="AB209" s="147">
        <f t="shared" ca="1" si="56"/>
        <v>1.2597678242867623E-3</v>
      </c>
      <c r="AC209" s="147">
        <f t="shared" ca="1" si="57"/>
        <v>2.8863820870646338E-4</v>
      </c>
      <c r="AD209" s="147">
        <f t="shared" ca="1" si="58"/>
        <v>8.5708035671978419E-5</v>
      </c>
      <c r="AH209" s="147">
        <f t="shared" si="69"/>
        <v>568</v>
      </c>
      <c r="AI209" s="147">
        <f>IF($AH209&gt;$AH208,INDEX(Spectra!209:209,1,MATCH($AI$20,Spectra!$20:$20,0)),AI208)</f>
        <v>97.067400000000006</v>
      </c>
      <c r="AJ209" s="147">
        <f>((Physics!$C$9*Physics!$C$10)/(Physics!$C$11*Physics!$C$12*$AH209))^($AJ$17-$AJ$18)</f>
        <v>2.8601788362631613E+18</v>
      </c>
      <c r="AK209" s="147">
        <f t="shared" si="70"/>
        <v>1</v>
      </c>
      <c r="AL209" s="147">
        <f>INDEX(Photobiology!$21:$421,1+$AH209-380,10)</f>
        <v>0.96385679999999996</v>
      </c>
      <c r="AM209" s="147">
        <f t="shared" si="71"/>
        <v>1.3449271044725839E-3</v>
      </c>
      <c r="AN209" s="147">
        <f ca="1">INDEX(Photobiology!$21:$421,1+$AH209-380,AN$14)</f>
        <v>1.8863800000000001E-4</v>
      </c>
      <c r="AO209" s="147">
        <f ca="1">INDEX(Photobiology!$21:$421,1+$AH209-380,AO$14)</f>
        <v>0.80391000000000001</v>
      </c>
      <c r="AP209" s="147">
        <f ca="1">INDEX(Photobiology!$21:$421,1+$AH209-380,AP$14)</f>
        <v>0.99991200000000002</v>
      </c>
      <c r="AQ209" s="147">
        <f ca="1">INDEX(Photobiology!$21:$421,1+$AH209-380,AQ$14)</f>
        <v>0.2291</v>
      </c>
      <c r="AR209" s="147">
        <f ca="1">INDEX(Photobiology!$21:$421,1+$AH209-380,AR$14)</f>
        <v>6.80288E-2</v>
      </c>
      <c r="AS209" s="147">
        <f t="shared" si="72"/>
        <v>3846732040529178</v>
      </c>
      <c r="AT209" s="147">
        <f ca="1">INDEX(Photobiology!$21:$421,1+$AH209-380,AT$14)</f>
        <v>1.4859574135670629E-4</v>
      </c>
      <c r="AU209" s="147">
        <f ca="1">INDEX(Photobiology!$21:$421,1+$AH209-380,AU$14)</f>
        <v>0.7650985241251067</v>
      </c>
      <c r="AV209" s="147">
        <f ca="1">INDEX(Photobiology!$21:$421,1+$AH209-380,AV$14)</f>
        <v>0.99764465916321954</v>
      </c>
      <c r="AW209" s="147">
        <f ca="1">INDEX(Photobiology!$21:$421,1+$AH209-380,AW$14)</f>
        <v>0.20389760831791148</v>
      </c>
      <c r="AX209" s="147">
        <f ca="1">INDEX(Photobiology!$21:$421,1+$AH209-380,AX$14)</f>
        <v>5.8563938238209941E-2</v>
      </c>
      <c r="AY209" s="147">
        <f t="shared" si="59"/>
        <v>1.3449271044725839E-3</v>
      </c>
      <c r="AZ209" s="147">
        <f t="shared" ca="1" si="73"/>
        <v>2.5370435913349931E-7</v>
      </c>
      <c r="BA209" s="147">
        <f t="shared" ca="1" si="60"/>
        <v>1.081200348556555E-3</v>
      </c>
      <c r="BB209" s="147">
        <f t="shared" ca="1" si="61"/>
        <v>1.3448087508873903E-3</v>
      </c>
      <c r="BC209" s="147">
        <f t="shared" ca="1" si="62"/>
        <v>3.0812279963466895E-4</v>
      </c>
      <c r="BD209" s="147">
        <f t="shared" ca="1" si="63"/>
        <v>9.1493777004744521E-5</v>
      </c>
    </row>
    <row r="210" spans="8:56" s="147" customFormat="1" ht="0.25" customHeight="1" x14ac:dyDescent="0.2">
      <c r="H210" s="147">
        <f t="shared" si="64"/>
        <v>569</v>
      </c>
      <c r="I210" s="147">
        <f>IF($H210&gt;$H209,INDEX(Spectra!210:210,1,MATCH($I$20,Spectra!$20:$20,0)),I209)</f>
        <v>1.24987965636091E-3</v>
      </c>
      <c r="J210" s="147">
        <f>((Physics!$C$9*Physics!$C$10)/(Physics!$C$11*Physics!$C$12*$H210))^($J$17-$J$18)</f>
        <v>2.8652143623833436E+18</v>
      </c>
      <c r="K210" s="147">
        <f t="shared" si="65"/>
        <v>1</v>
      </c>
      <c r="L210" s="147">
        <f>INDEX(Photobiology!$21:$421,1+$H210-380,10)</f>
        <v>0.95813490000000001</v>
      </c>
      <c r="M210" s="147">
        <f t="shared" si="66"/>
        <v>1.24987965636091E-3</v>
      </c>
      <c r="N210" s="147">
        <f ca="1">INDEX(Photobiology!$21:$421,1+$H210-380,N$14)</f>
        <v>1.7135699999999999E-4</v>
      </c>
      <c r="O210" s="147">
        <f ca="1">INDEX(Photobiology!$21:$421,1+$H210-380,O$14)</f>
        <v>0.79041300000000003</v>
      </c>
      <c r="P210" s="147">
        <f ca="1">INDEX(Photobiology!$21:$421,1+$H210-380,P$14)</f>
        <v>0.99996499999999999</v>
      </c>
      <c r="Q210" s="147">
        <f ca="1">INDEX(Photobiology!$21:$421,1+$H210-380,Q$14)</f>
        <v>0.21820000000000001</v>
      </c>
      <c r="R210" s="147">
        <f ca="1">INDEX(Photobiology!$21:$421,1+$H210-380,R$14)</f>
        <v>6.3198400000000002E-2</v>
      </c>
      <c r="S210" s="147">
        <f t="shared" si="67"/>
        <v>3581173142656037.5</v>
      </c>
      <c r="T210" s="147">
        <f ca="1">INDEX(Photobiology!$21:$421,1+$H210-380,T$14)</f>
        <v>1.347457572286473E-4</v>
      </c>
      <c r="U210" s="147">
        <f ca="1">INDEX(Photobiology!$21:$421,1+$H210-380,U$14)</f>
        <v>0.75093107572416706</v>
      </c>
      <c r="V210" s="147">
        <f ca="1">INDEX(Photobiology!$21:$421,1+$H210-380,V$14)</f>
        <v>0.9959441162437136</v>
      </c>
      <c r="W210" s="147">
        <f ca="1">INDEX(Photobiology!$21:$421,1+$H210-380,W$14)</f>
        <v>0.19385537984780352</v>
      </c>
      <c r="X210" s="147">
        <f ca="1">INDEX(Photobiology!$21:$421,1+$H210-380,X$14)</f>
        <v>5.4309976686212715E-2</v>
      </c>
      <c r="Y210" s="147">
        <f t="shared" si="54"/>
        <v>1.24987965636091E-3</v>
      </c>
      <c r="Z210" s="147">
        <f t="shared" ca="1" si="68"/>
        <v>2.1417562827503644E-7</v>
      </c>
      <c r="AA210" s="147">
        <f t="shared" ca="1" si="55"/>
        <v>9.8792112882319593E-4</v>
      </c>
      <c r="AB210" s="147">
        <f t="shared" ca="1" si="56"/>
        <v>1.2498359105729373E-3</v>
      </c>
      <c r="AC210" s="147">
        <f t="shared" ca="1" si="57"/>
        <v>2.7272374101795056E-4</v>
      </c>
      <c r="AD210" s="147">
        <f t="shared" ca="1" si="58"/>
        <v>7.8990394474559342E-5</v>
      </c>
      <c r="AH210" s="147">
        <f t="shared" si="69"/>
        <v>569</v>
      </c>
      <c r="AI210" s="147">
        <f>IF($AH210&gt;$AH209,INDEX(Spectra!210:210,1,MATCH($AI$20,Spectra!$20:$20,0)),AI209)</f>
        <v>96.700800000000001</v>
      </c>
      <c r="AJ210" s="147">
        <f>((Physics!$C$9*Physics!$C$10)/(Physics!$C$11*Physics!$C$12*$AH210))^($AJ$17-$AJ$18)</f>
        <v>2.8652143623833436E+18</v>
      </c>
      <c r="AK210" s="147">
        <f t="shared" si="70"/>
        <v>1</v>
      </c>
      <c r="AL210" s="147">
        <f>INDEX(Photobiology!$21:$421,1+$AH210-380,10)</f>
        <v>0.95813490000000001</v>
      </c>
      <c r="AM210" s="147">
        <f t="shared" si="71"/>
        <v>1.3398476413727209E-3</v>
      </c>
      <c r="AN210" s="147">
        <f ca="1">INDEX(Photobiology!$21:$421,1+$AH210-380,AN$14)</f>
        <v>1.7135699999999999E-4</v>
      </c>
      <c r="AO210" s="147">
        <f ca="1">INDEX(Photobiology!$21:$421,1+$AH210-380,AO$14)</f>
        <v>0.79041300000000003</v>
      </c>
      <c r="AP210" s="147">
        <f ca="1">INDEX(Photobiology!$21:$421,1+$AH210-380,AP$14)</f>
        <v>0.99996499999999999</v>
      </c>
      <c r="AQ210" s="147">
        <f ca="1">INDEX(Photobiology!$21:$421,1+$AH210-380,AQ$14)</f>
        <v>0.21820000000000001</v>
      </c>
      <c r="AR210" s="147">
        <f ca="1">INDEX(Photobiology!$21:$421,1+$AH210-380,AR$14)</f>
        <v>6.3198400000000002E-2</v>
      </c>
      <c r="AS210" s="147">
        <f t="shared" si="72"/>
        <v>3838950705466567.5</v>
      </c>
      <c r="AT210" s="147">
        <f ca="1">INDEX(Photobiology!$21:$421,1+$AH210-380,AT$14)</f>
        <v>1.347457572286473E-4</v>
      </c>
      <c r="AU210" s="147">
        <f ca="1">INDEX(Photobiology!$21:$421,1+$AH210-380,AU$14)</f>
        <v>0.75093107572416706</v>
      </c>
      <c r="AV210" s="147">
        <f ca="1">INDEX(Photobiology!$21:$421,1+$AH210-380,AV$14)</f>
        <v>0.9959441162437136</v>
      </c>
      <c r="AW210" s="147">
        <f ca="1">INDEX(Photobiology!$21:$421,1+$AH210-380,AW$14)</f>
        <v>0.19385537984780352</v>
      </c>
      <c r="AX210" s="147">
        <f ca="1">INDEX(Photobiology!$21:$421,1+$AH210-380,AX$14)</f>
        <v>5.4309976686212715E-2</v>
      </c>
      <c r="AY210" s="147">
        <f t="shared" si="59"/>
        <v>1.3398476413727209E-3</v>
      </c>
      <c r="AZ210" s="147">
        <f t="shared" ca="1" si="73"/>
        <v>2.2959227228270534E-7</v>
      </c>
      <c r="BA210" s="147">
        <f t="shared" ca="1" si="60"/>
        <v>1.0590329937603365E-3</v>
      </c>
      <c r="BB210" s="147">
        <f t="shared" ca="1" si="61"/>
        <v>1.3398007467052728E-3</v>
      </c>
      <c r="BC210" s="147">
        <f t="shared" ca="1" si="62"/>
        <v>2.9235475534752773E-4</v>
      </c>
      <c r="BD210" s="147">
        <f t="shared" ca="1" si="63"/>
        <v>8.4676227178529773E-5</v>
      </c>
    </row>
    <row r="211" spans="8:56" s="147" customFormat="1" ht="0.25" customHeight="1" x14ac:dyDescent="0.2">
      <c r="H211" s="147">
        <f t="shared" si="64"/>
        <v>570</v>
      </c>
      <c r="I211" s="147">
        <f>IF($H211&gt;$H210,INDEX(Spectra!211:211,1,MATCH($I$20,Spectra!$20:$20,0)),I210)</f>
        <v>1.23988061911002E-3</v>
      </c>
      <c r="J211" s="147">
        <f>((Physics!$C$9*Physics!$C$10)/(Physics!$C$11*Physics!$C$12*$H211))^($J$17-$J$18)</f>
        <v>2.8702498885035249E+18</v>
      </c>
      <c r="K211" s="147">
        <f t="shared" si="65"/>
        <v>1</v>
      </c>
      <c r="L211" s="147">
        <f>INDEX(Photobiology!$21:$421,1+$H211-380,10)</f>
        <v>0.95199999999999996</v>
      </c>
      <c r="M211" s="147">
        <f t="shared" si="66"/>
        <v>1.23988061911002E-3</v>
      </c>
      <c r="N211" s="147">
        <f ca="1">INDEX(Photobiology!$21:$421,1+$H211-380,N$14)</f>
        <v>1.5568799999999999E-4</v>
      </c>
      <c r="O211" s="147">
        <f ca="1">INDEX(Photobiology!$21:$421,1+$H211-380,O$14)</f>
        <v>0.77652600000000005</v>
      </c>
      <c r="P211" s="147">
        <f ca="1">INDEX(Photobiology!$21:$421,1+$H211-380,P$14)</f>
        <v>0.99954299999999996</v>
      </c>
      <c r="Q211" s="147">
        <f ca="1">INDEX(Photobiology!$21:$421,1+$H211-380,Q$14)</f>
        <v>0.20760000000000001</v>
      </c>
      <c r="R211" s="147">
        <f ca="1">INDEX(Photobiology!$21:$421,1+$H211-380,R$14)</f>
        <v>5.8701299999999998E-2</v>
      </c>
      <c r="S211" s="147">
        <f t="shared" si="67"/>
        <v>3558767208758216.5</v>
      </c>
      <c r="T211" s="147">
        <f ca="1">INDEX(Photobiology!$21:$421,1+$H211-380,T$14)</f>
        <v>1.2220973418533893E-4</v>
      </c>
      <c r="U211" s="147">
        <f ca="1">INDEX(Photobiology!$21:$421,1+$H211-380,U$14)</f>
        <v>0.73644346859424314</v>
      </c>
      <c r="V211" s="147">
        <f ca="1">INDEX(Photobiology!$21:$421,1+$H211-380,V$14)</f>
        <v>0.99377728011058253</v>
      </c>
      <c r="W211" s="147">
        <f ca="1">INDEX(Photobiology!$21:$421,1+$H211-380,W$14)</f>
        <v>0.18411444860898485</v>
      </c>
      <c r="X211" s="147">
        <f ca="1">INDEX(Photobiology!$21:$421,1+$H211-380,X$14)</f>
        <v>5.0356862448945668E-2</v>
      </c>
      <c r="Y211" s="147">
        <f t="shared" si="54"/>
        <v>1.23988061911002E-3</v>
      </c>
      <c r="Z211" s="147">
        <f t="shared" ca="1" si="68"/>
        <v>1.9303453382800079E-7</v>
      </c>
      <c r="AA211" s="147">
        <f t="shared" ca="1" si="55"/>
        <v>9.627995376350275E-4</v>
      </c>
      <c r="AB211" s="147">
        <f t="shared" ca="1" si="56"/>
        <v>1.2393139936670867E-3</v>
      </c>
      <c r="AC211" s="147">
        <f t="shared" ca="1" si="57"/>
        <v>2.5739921652724015E-4</v>
      </c>
      <c r="AD211" s="147">
        <f t="shared" ca="1" si="58"/>
        <v>7.2782604186563012E-5</v>
      </c>
      <c r="AH211" s="147">
        <f t="shared" si="69"/>
        <v>570</v>
      </c>
      <c r="AI211" s="147">
        <f>IF($AH211&gt;$AH210,INDEX(Spectra!211:211,1,MATCH($AI$20,Spectra!$20:$20,0)),AI210)</f>
        <v>96.334199999999996</v>
      </c>
      <c r="AJ211" s="147">
        <f>((Physics!$C$9*Physics!$C$10)/(Physics!$C$11*Physics!$C$12*$AH211))^($AJ$17-$AJ$18)</f>
        <v>2.8702498885035249E+18</v>
      </c>
      <c r="AK211" s="147">
        <f t="shared" si="70"/>
        <v>1</v>
      </c>
      <c r="AL211" s="147">
        <f>INDEX(Photobiology!$21:$421,1+$AH211-380,10)</f>
        <v>0.95199999999999996</v>
      </c>
      <c r="AM211" s="147">
        <f t="shared" si="71"/>
        <v>1.3347681782728577E-3</v>
      </c>
      <c r="AN211" s="147">
        <f ca="1">INDEX(Photobiology!$21:$421,1+$AH211-380,AN$14)</f>
        <v>1.5568799999999999E-4</v>
      </c>
      <c r="AO211" s="147">
        <f ca="1">INDEX(Photobiology!$21:$421,1+$AH211-380,AO$14)</f>
        <v>0.77652600000000005</v>
      </c>
      <c r="AP211" s="147">
        <f ca="1">INDEX(Photobiology!$21:$421,1+$AH211-380,AP$14)</f>
        <v>0.99954299999999996</v>
      </c>
      <c r="AQ211" s="147">
        <f ca="1">INDEX(Photobiology!$21:$421,1+$AH211-380,AQ$14)</f>
        <v>0.20760000000000001</v>
      </c>
      <c r="AR211" s="147">
        <f ca="1">INDEX(Photobiology!$21:$421,1+$AH211-380,AR$14)</f>
        <v>5.8701299999999998E-2</v>
      </c>
      <c r="AS211" s="147">
        <f t="shared" si="72"/>
        <v>3831118214865723</v>
      </c>
      <c r="AT211" s="147">
        <f ca="1">INDEX(Photobiology!$21:$421,1+$AH211-380,AT$14)</f>
        <v>1.2220973418533893E-4</v>
      </c>
      <c r="AU211" s="147">
        <f ca="1">INDEX(Photobiology!$21:$421,1+$AH211-380,AU$14)</f>
        <v>0.73644346859424314</v>
      </c>
      <c r="AV211" s="147">
        <f ca="1">INDEX(Photobiology!$21:$421,1+$AH211-380,AV$14)</f>
        <v>0.99377728011058253</v>
      </c>
      <c r="AW211" s="147">
        <f ca="1">INDEX(Photobiology!$21:$421,1+$AH211-380,AW$14)</f>
        <v>0.18411444860898485</v>
      </c>
      <c r="AX211" s="147">
        <f ca="1">INDEX(Photobiology!$21:$421,1+$AH211-380,AX$14)</f>
        <v>5.0356862448945668E-2</v>
      </c>
      <c r="AY211" s="147">
        <f t="shared" si="59"/>
        <v>1.3347681782728577E-3</v>
      </c>
      <c r="AZ211" s="147">
        <f t="shared" ca="1" si="73"/>
        <v>2.0780738813894464E-7</v>
      </c>
      <c r="BA211" s="147">
        <f t="shared" ca="1" si="60"/>
        <v>1.0364821944015092E-3</v>
      </c>
      <c r="BB211" s="147">
        <f t="shared" ca="1" si="61"/>
        <v>1.3341581892153869E-3</v>
      </c>
      <c r="BC211" s="147">
        <f t="shared" ca="1" si="62"/>
        <v>2.7709787380944529E-4</v>
      </c>
      <c r="BD211" s="147">
        <f t="shared" ca="1" si="63"/>
        <v>7.8352627263248502E-5</v>
      </c>
    </row>
    <row r="212" spans="8:56" s="147" customFormat="1" ht="0.25" customHeight="1" x14ac:dyDescent="0.2">
      <c r="H212" s="147">
        <f t="shared" si="64"/>
        <v>571</v>
      </c>
      <c r="I212" s="147">
        <f>IF($H212&gt;$H211,INDEX(Spectra!212:212,1,MATCH($I$20,Spectra!$20:$20,0)),I211)</f>
        <v>1.23488110048458E-3</v>
      </c>
      <c r="J212" s="147">
        <f>((Physics!$C$9*Physics!$C$10)/(Physics!$C$11*Physics!$C$12*$H212))^($J$17-$J$18)</f>
        <v>2.8752854146237061E+18</v>
      </c>
      <c r="K212" s="147">
        <f t="shared" si="65"/>
        <v>1</v>
      </c>
      <c r="L212" s="147">
        <f>INDEX(Photobiology!$21:$421,1+$H212-380,10)</f>
        <v>0.94545040000000002</v>
      </c>
      <c r="M212" s="147">
        <f t="shared" si="66"/>
        <v>1.23488110048458E-3</v>
      </c>
      <c r="N212" s="147">
        <f ca="1">INDEX(Photobiology!$21:$421,1+$H212-380,N$14)</f>
        <v>1.4148000000000001E-4</v>
      </c>
      <c r="O212" s="147">
        <f ca="1">INDEX(Photobiology!$21:$421,1+$H212-380,O$14)</f>
        <v>0.76231099999999996</v>
      </c>
      <c r="P212" s="147">
        <f ca="1">INDEX(Photobiology!$21:$421,1+$H212-380,P$14)</f>
        <v>0.99861500000000003</v>
      </c>
      <c r="Q212" s="147">
        <f ca="1">INDEX(Photobiology!$21:$421,1+$H212-380,Q$14)</f>
        <v>0.19739999999999999</v>
      </c>
      <c r="R212" s="147">
        <f ca="1">INDEX(Photobiology!$21:$421,1+$H212-380,R$14)</f>
        <v>5.4483200000000002E-2</v>
      </c>
      <c r="S212" s="147">
        <f t="shared" si="67"/>
        <v>3550635617017784</v>
      </c>
      <c r="T212" s="147">
        <f ca="1">INDEX(Photobiology!$21:$421,1+$H212-380,T$14)</f>
        <v>1.1086244652118913E-4</v>
      </c>
      <c r="U212" s="147">
        <f ca="1">INDEX(Photobiology!$21:$421,1+$H212-380,U$14)</f>
        <v>0.72169608155251053</v>
      </c>
      <c r="V212" s="147">
        <f ca="1">INDEX(Photobiology!$21:$421,1+$H212-380,V$14)</f>
        <v>0.99111583343719212</v>
      </c>
      <c r="W212" s="147">
        <f ca="1">INDEX(Photobiology!$21:$421,1+$H212-380,W$14)</f>
        <v>0.17476176339877775</v>
      </c>
      <c r="X212" s="147">
        <f ca="1">INDEX(Photobiology!$21:$421,1+$H212-380,X$14)</f>
        <v>4.6656515260009142E-2</v>
      </c>
      <c r="Y212" s="147">
        <f t="shared" si="54"/>
        <v>1.23488110048458E-3</v>
      </c>
      <c r="Z212" s="147">
        <f t="shared" ca="1" si="68"/>
        <v>1.747109780965584E-7</v>
      </c>
      <c r="AA212" s="147">
        <f t="shared" ca="1" si="55"/>
        <v>9.4136344659150062E-4</v>
      </c>
      <c r="AB212" s="147">
        <f t="shared" ca="1" si="56"/>
        <v>1.2331707901604089E-3</v>
      </c>
      <c r="AC212" s="147">
        <f t="shared" ca="1" si="57"/>
        <v>2.4376552923565609E-4</v>
      </c>
      <c r="AD212" s="147">
        <f t="shared" ca="1" si="58"/>
        <v>6.7280273973921478E-5</v>
      </c>
      <c r="AH212" s="147">
        <f t="shared" si="69"/>
        <v>571</v>
      </c>
      <c r="AI212" s="147">
        <f>IF($AH212&gt;$AH211,INDEX(Spectra!212:212,1,MATCH($AI$20,Spectra!$20:$20,0)),AI211)</f>
        <v>96.279600000000002</v>
      </c>
      <c r="AJ212" s="147">
        <f>((Physics!$C$9*Physics!$C$10)/(Physics!$C$11*Physics!$C$12*$AH212))^($AJ$17-$AJ$18)</f>
        <v>2.8752854146237061E+18</v>
      </c>
      <c r="AK212" s="147">
        <f t="shared" si="70"/>
        <v>1</v>
      </c>
      <c r="AL212" s="147">
        <f>INDEX(Photobiology!$21:$421,1+$AH212-380,10)</f>
        <v>0.94545040000000002</v>
      </c>
      <c r="AM212" s="147">
        <f t="shared" si="71"/>
        <v>1.3340116624920271E-3</v>
      </c>
      <c r="AN212" s="147">
        <f ca="1">INDEX(Photobiology!$21:$421,1+$AH212-380,AN$14)</f>
        <v>1.4148000000000001E-4</v>
      </c>
      <c r="AO212" s="147">
        <f ca="1">INDEX(Photobiology!$21:$421,1+$AH212-380,AO$14)</f>
        <v>0.76231099999999996</v>
      </c>
      <c r="AP212" s="147">
        <f ca="1">INDEX(Photobiology!$21:$421,1+$AH212-380,AP$14)</f>
        <v>0.99861500000000003</v>
      </c>
      <c r="AQ212" s="147">
        <f ca="1">INDEX(Photobiology!$21:$421,1+$AH212-380,AQ$14)</f>
        <v>0.19739999999999999</v>
      </c>
      <c r="AR212" s="147">
        <f ca="1">INDEX(Photobiology!$21:$421,1+$AH212-380,AR$14)</f>
        <v>5.4483200000000002E-2</v>
      </c>
      <c r="AS212" s="147">
        <f t="shared" si="72"/>
        <v>3835664276101247.5</v>
      </c>
      <c r="AT212" s="147">
        <f ca="1">INDEX(Photobiology!$21:$421,1+$AH212-380,AT$14)</f>
        <v>1.1086244652118913E-4</v>
      </c>
      <c r="AU212" s="147">
        <f ca="1">INDEX(Photobiology!$21:$421,1+$AH212-380,AU$14)</f>
        <v>0.72169608155251053</v>
      </c>
      <c r="AV212" s="147">
        <f ca="1">INDEX(Photobiology!$21:$421,1+$AH212-380,AV$14)</f>
        <v>0.99111583343719212</v>
      </c>
      <c r="AW212" s="147">
        <f ca="1">INDEX(Photobiology!$21:$421,1+$AH212-380,AW$14)</f>
        <v>0.17476176339877775</v>
      </c>
      <c r="AX212" s="147">
        <f ca="1">INDEX(Photobiology!$21:$421,1+$AH212-380,AX$14)</f>
        <v>4.6656515260009142E-2</v>
      </c>
      <c r="AY212" s="147">
        <f t="shared" si="59"/>
        <v>1.3340116624920271E-3</v>
      </c>
      <c r="AZ212" s="147">
        <f t="shared" ca="1" si="73"/>
        <v>1.88735970009372E-7</v>
      </c>
      <c r="BA212" s="147">
        <f t="shared" ca="1" si="60"/>
        <v>1.0169317644459597E-3</v>
      </c>
      <c r="BB212" s="147">
        <f t="shared" ca="1" si="61"/>
        <v>1.3321640563394757E-3</v>
      </c>
      <c r="BC212" s="147">
        <f t="shared" ca="1" si="62"/>
        <v>2.6333390217592612E-4</v>
      </c>
      <c r="BD212" s="147">
        <f t="shared" ca="1" si="63"/>
        <v>7.268122420988562E-5</v>
      </c>
    </row>
    <row r="213" spans="8:56" s="147" customFormat="1" ht="0.25" customHeight="1" x14ac:dyDescent="0.2">
      <c r="H213" s="147">
        <f t="shared" si="64"/>
        <v>572</v>
      </c>
      <c r="I213" s="147">
        <f>IF($H213&gt;$H212,INDEX(Spectra!213:213,1,MATCH($I$20,Spectra!$20:$20,0)),I212)</f>
        <v>1.22988158185914E-3</v>
      </c>
      <c r="J213" s="147">
        <f>((Physics!$C$9*Physics!$C$10)/(Physics!$C$11*Physics!$C$12*$H213))^($J$17-$J$18)</f>
        <v>2.8803209407438884E+18</v>
      </c>
      <c r="K213" s="147">
        <f t="shared" si="65"/>
        <v>1</v>
      </c>
      <c r="L213" s="147">
        <f>INDEX(Photobiology!$21:$421,1+$H213-380,10)</f>
        <v>0.93849919999999998</v>
      </c>
      <c r="M213" s="147">
        <f t="shared" si="66"/>
        <v>1.22988158185914E-3</v>
      </c>
      <c r="N213" s="147">
        <f ca="1">INDEX(Photobiology!$21:$421,1+$H213-380,N$14)</f>
        <v>1.28596E-4</v>
      </c>
      <c r="O213" s="147">
        <f ca="1">INDEX(Photobiology!$21:$421,1+$H213-380,O$14)</f>
        <v>0.74766900000000003</v>
      </c>
      <c r="P213" s="147">
        <f ca="1">INDEX(Photobiology!$21:$421,1+$H213-380,P$14)</f>
        <v>0.99705100000000002</v>
      </c>
      <c r="Q213" s="147">
        <f ca="1">INDEX(Photobiology!$21:$421,1+$H213-380,Q$14)</f>
        <v>0.18759999999999999</v>
      </c>
      <c r="R213" s="147">
        <f ca="1">INDEX(Photobiology!$21:$421,1+$H213-380,R$14)</f>
        <v>5.0488900000000003E-2</v>
      </c>
      <c r="S213" s="147">
        <f t="shared" si="67"/>
        <v>3542453674864100</v>
      </c>
      <c r="T213" s="147">
        <f ca="1">INDEX(Photobiology!$21:$421,1+$H213-380,T$14)</f>
        <v>1.0059049532923401E-4</v>
      </c>
      <c r="U213" s="147">
        <f ca="1">INDEX(Photobiology!$21:$421,1+$H213-380,U$14)</f>
        <v>0.70659671552526016</v>
      </c>
      <c r="V213" s="147">
        <f ca="1">INDEX(Photobiology!$21:$421,1+$H213-380,V$14)</f>
        <v>0.98783357214452561</v>
      </c>
      <c r="W213" s="147">
        <f ca="1">INDEX(Photobiology!$21:$421,1+$H213-380,W$14)</f>
        <v>0.16579528796178744</v>
      </c>
      <c r="X213" s="147">
        <f ca="1">INDEX(Photobiology!$21:$421,1+$H213-380,X$14)</f>
        <v>4.3160421713900242E-2</v>
      </c>
      <c r="Y213" s="147">
        <f t="shared" ref="Y213:Y276" si="74">IF(TRUE,M213,S213)</f>
        <v>1.22988158185914E-3</v>
      </c>
      <c r="Z213" s="147">
        <f t="shared" ca="1" si="68"/>
        <v>1.5815785190075797E-7</v>
      </c>
      <c r="AA213" s="147">
        <f t="shared" ref="AA213:AA276" ca="1" si="75">$Y213*O213</f>
        <v>9.1954433242704141E-4</v>
      </c>
      <c r="AB213" s="147">
        <f t="shared" ref="AB213:AB276" ca="1" si="76">$Y213*P213</f>
        <v>1.2262546610742374E-3</v>
      </c>
      <c r="AC213" s="147">
        <f t="shared" ref="AC213:AC276" ca="1" si="77">$Y213*Q213</f>
        <v>2.3072578475677466E-4</v>
      </c>
      <c r="AD213" s="147">
        <f t="shared" ref="AD213:AD276" ca="1" si="78">$Y213*R213</f>
        <v>6.2095368198327941E-5</v>
      </c>
      <c r="AH213" s="147">
        <f t="shared" si="69"/>
        <v>572</v>
      </c>
      <c r="AI213" s="147">
        <f>IF($AH213&gt;$AH212,INDEX(Spectra!213:213,1,MATCH($AI$20,Spectra!$20:$20,0)),AI212)</f>
        <v>96.224999999999994</v>
      </c>
      <c r="AJ213" s="147">
        <f>((Physics!$C$9*Physics!$C$10)/(Physics!$C$11*Physics!$C$12*$AH213))^($AJ$17-$AJ$18)</f>
        <v>2.8803209407438884E+18</v>
      </c>
      <c r="AK213" s="147">
        <f t="shared" si="70"/>
        <v>1</v>
      </c>
      <c r="AL213" s="147">
        <f>INDEX(Photobiology!$21:$421,1+$AH213-380,10)</f>
        <v>0.93849919999999998</v>
      </c>
      <c r="AM213" s="147">
        <f t="shared" si="71"/>
        <v>1.3332551467111963E-3</v>
      </c>
      <c r="AN213" s="147">
        <f ca="1">INDEX(Photobiology!$21:$421,1+$AH213-380,AN$14)</f>
        <v>1.28596E-4</v>
      </c>
      <c r="AO213" s="147">
        <f ca="1">INDEX(Photobiology!$21:$421,1+$AH213-380,AO$14)</f>
        <v>0.74766900000000003</v>
      </c>
      <c r="AP213" s="147">
        <f ca="1">INDEX(Photobiology!$21:$421,1+$AH213-380,AP$14)</f>
        <v>0.99705100000000002</v>
      </c>
      <c r="AQ213" s="147">
        <f ca="1">INDEX(Photobiology!$21:$421,1+$AH213-380,AQ$14)</f>
        <v>0.18759999999999999</v>
      </c>
      <c r="AR213" s="147">
        <f ca="1">INDEX(Photobiology!$21:$421,1+$AH213-380,AR$14)</f>
        <v>5.0488900000000003E-2</v>
      </c>
      <c r="AS213" s="147">
        <f t="shared" si="72"/>
        <v>3840202718426824</v>
      </c>
      <c r="AT213" s="147">
        <f ca="1">INDEX(Photobiology!$21:$421,1+$AH213-380,AT$14)</f>
        <v>1.0059049532923401E-4</v>
      </c>
      <c r="AU213" s="147">
        <f ca="1">INDEX(Photobiology!$21:$421,1+$AH213-380,AU$14)</f>
        <v>0.70659671552526016</v>
      </c>
      <c r="AV213" s="147">
        <f ca="1">INDEX(Photobiology!$21:$421,1+$AH213-380,AV$14)</f>
        <v>0.98783357214452561</v>
      </c>
      <c r="AW213" s="147">
        <f ca="1">INDEX(Photobiology!$21:$421,1+$AH213-380,AW$14)</f>
        <v>0.16579528796178744</v>
      </c>
      <c r="AX213" s="147">
        <f ca="1">INDEX(Photobiology!$21:$421,1+$AH213-380,AX$14)</f>
        <v>4.3160421713900242E-2</v>
      </c>
      <c r="AY213" s="147">
        <f t="shared" ref="AY213:AY276" si="79">IF(TRUE,AM213,AS213)</f>
        <v>1.3332551467111963E-3</v>
      </c>
      <c r="AZ213" s="147">
        <f t="shared" ca="1" si="73"/>
        <v>1.71451278846473E-7</v>
      </c>
      <c r="BA213" s="147">
        <f t="shared" ref="BA213:BA276" ca="1" si="80">$AY213*AO213</f>
        <v>9.9683354228641339E-4</v>
      </c>
      <c r="BB213" s="147">
        <f t="shared" ref="BB213:BB276" ca="1" si="81">$AY213*AP213</f>
        <v>1.329323377283545E-3</v>
      </c>
      <c r="BC213" s="147">
        <f t="shared" ref="BC213:BC276" ca="1" si="82">$AY213*AQ213</f>
        <v>2.5011866552302039E-4</v>
      </c>
      <c r="BD213" s="147">
        <f t="shared" ref="BD213:BD276" ca="1" si="83">$AY213*AR213</f>
        <v>6.7314585776786926E-5</v>
      </c>
    </row>
    <row r="214" spans="8:56" s="147" customFormat="1" ht="0.25" customHeight="1" x14ac:dyDescent="0.2">
      <c r="H214" s="147">
        <f t="shared" ref="H214:H277" si="84">MIN(780,H213+$J$14)</f>
        <v>573</v>
      </c>
      <c r="I214" s="147">
        <f>IF($H214&gt;$H213,INDEX(Spectra!214:214,1,MATCH($I$20,Spectra!$20:$20,0)),I213)</f>
        <v>1.22488206323369E-3</v>
      </c>
      <c r="J214" s="147">
        <f>((Physics!$C$9*Physics!$C$10)/(Physics!$C$11*Physics!$C$12*$H214))^($J$17-$J$18)</f>
        <v>2.8853564668640696E+18</v>
      </c>
      <c r="K214" s="147">
        <f t="shared" ref="K214:K277" si="85">(H214&lt;&gt;H213)*1</f>
        <v>1</v>
      </c>
      <c r="L214" s="147">
        <f>INDEX(Photobiology!$21:$421,1+$H214-380,10)</f>
        <v>0.93116279999999996</v>
      </c>
      <c r="M214" s="147">
        <f t="shared" ref="M214:M277" si="86">$I214*$J$15*IF($J$18,1,$J214)</f>
        <v>1.22488206323369E-3</v>
      </c>
      <c r="N214" s="147">
        <f ca="1">INDEX(Photobiology!$21:$421,1+$H214-380,N$14)</f>
        <v>1.1691199999999999E-4</v>
      </c>
      <c r="O214" s="147">
        <f ca="1">INDEX(Photobiology!$21:$421,1+$H214-380,O$14)</f>
        <v>0.73247600000000002</v>
      </c>
      <c r="P214" s="147">
        <f ca="1">INDEX(Photobiology!$21:$421,1+$H214-380,P$14)</f>
        <v>0.99470099999999995</v>
      </c>
      <c r="Q214" s="147">
        <f ca="1">INDEX(Photobiology!$21:$421,1+$H214-380,Q$14)</f>
        <v>0.1782</v>
      </c>
      <c r="R214" s="147">
        <f ca="1">INDEX(Photobiology!$21:$421,1+$H214-380,R$14)</f>
        <v>4.6734400000000002E-2</v>
      </c>
      <c r="S214" s="147">
        <f t="shared" ref="S214:S277" si="87">$I214*$J$15*IF($J$17,1,$J214)</f>
        <v>3534221382297132</v>
      </c>
      <c r="T214" s="147">
        <f ca="1">INDEX(Photobiology!$21:$421,1+$H214-380,T$14)</f>
        <v>9.1291424444556505E-5</v>
      </c>
      <c r="U214" s="147">
        <f ca="1">INDEX(Photobiology!$21:$421,1+$H214-380,U$14)</f>
        <v>0.69103022964009264</v>
      </c>
      <c r="V214" s="147">
        <f ca="1">INDEX(Photobiology!$21:$421,1+$H214-380,V$14)</f>
        <v>0.9837853926344996</v>
      </c>
      <c r="W214" s="147">
        <f ca="1">INDEX(Photobiology!$21:$421,1+$H214-380,W$14)</f>
        <v>0.15721300025731644</v>
      </c>
      <c r="X214" s="147">
        <f ca="1">INDEX(Photobiology!$21:$421,1+$H214-380,X$14)</f>
        <v>3.9881166145090165E-2</v>
      </c>
      <c r="Y214" s="147">
        <f t="shared" si="74"/>
        <v>1.22488206323369E-3</v>
      </c>
      <c r="Z214" s="147">
        <f t="shared" ref="Z214:Z277" ca="1" si="88">$Y214*N214</f>
        <v>1.4320341177677717E-7</v>
      </c>
      <c r="AA214" s="147">
        <f t="shared" ca="1" si="75"/>
        <v>8.9719671414916033E-4</v>
      </c>
      <c r="AB214" s="147">
        <f t="shared" ca="1" si="76"/>
        <v>1.2183914131806146E-3</v>
      </c>
      <c r="AC214" s="147">
        <f t="shared" ca="1" si="77"/>
        <v>2.1827398366824357E-4</v>
      </c>
      <c r="AD214" s="147">
        <f t="shared" ca="1" si="78"/>
        <v>5.7244128295988568E-5</v>
      </c>
      <c r="AH214" s="147">
        <f t="shared" ref="AH214:AH277" si="89">MIN(780,AH213+$AJ$14)</f>
        <v>573</v>
      </c>
      <c r="AI214" s="147">
        <f>IF($AH214&gt;$AH213,INDEX(Spectra!214:214,1,MATCH($AI$20,Spectra!$20:$20,0)),AI213)</f>
        <v>96.170299999999997</v>
      </c>
      <c r="AJ214" s="147">
        <f>((Physics!$C$9*Physics!$C$10)/(Physics!$C$11*Physics!$C$12*$AH214))^($AJ$17-$AJ$18)</f>
        <v>2.8853564668640696E+18</v>
      </c>
      <c r="AK214" s="147">
        <f t="shared" ref="AK214:AK277" si="90">(AH214&lt;&gt;AH213)*1</f>
        <v>1</v>
      </c>
      <c r="AL214" s="147">
        <f>INDEX(Photobiology!$21:$421,1+$AH214-380,10)</f>
        <v>0.93116279999999996</v>
      </c>
      <c r="AM214" s="147">
        <f t="shared" ref="AM214:AM277" si="91">$AI214*$AJ$15*IF($AJ$18,1,$AJ214)</f>
        <v>1.3324972453703276E-3</v>
      </c>
      <c r="AN214" s="147">
        <f ca="1">INDEX(Photobiology!$21:$421,1+$AH214-380,AN$14)</f>
        <v>1.1691199999999999E-4</v>
      </c>
      <c r="AO214" s="147">
        <f ca="1">INDEX(Photobiology!$21:$421,1+$AH214-380,AO$14)</f>
        <v>0.73247600000000002</v>
      </c>
      <c r="AP214" s="147">
        <f ca="1">INDEX(Photobiology!$21:$421,1+$AH214-380,AP$14)</f>
        <v>0.99470099999999995</v>
      </c>
      <c r="AQ214" s="147">
        <f ca="1">INDEX(Photobiology!$21:$421,1+$AH214-380,AQ$14)</f>
        <v>0.1782</v>
      </c>
      <c r="AR214" s="147">
        <f ca="1">INDEX(Photobiology!$21:$421,1+$AH214-380,AR$14)</f>
        <v>4.6734400000000002E-2</v>
      </c>
      <c r="AS214" s="147">
        <f t="shared" ref="AS214:AS277" si="92">$AI214*$AJ$15*IF($AJ$17,1,$AJ214)</f>
        <v>3844729544007833.5</v>
      </c>
      <c r="AT214" s="147">
        <f ca="1">INDEX(Photobiology!$21:$421,1+$AH214-380,AT$14)</f>
        <v>9.1291424444556505E-5</v>
      </c>
      <c r="AU214" s="147">
        <f ca="1">INDEX(Photobiology!$21:$421,1+$AH214-380,AU$14)</f>
        <v>0.69103022964009264</v>
      </c>
      <c r="AV214" s="147">
        <f ca="1">INDEX(Photobiology!$21:$421,1+$AH214-380,AV$14)</f>
        <v>0.9837853926344996</v>
      </c>
      <c r="AW214" s="147">
        <f ca="1">INDEX(Photobiology!$21:$421,1+$AH214-380,AW$14)</f>
        <v>0.15721300025731644</v>
      </c>
      <c r="AX214" s="147">
        <f ca="1">INDEX(Photobiology!$21:$421,1+$AH214-380,AX$14)</f>
        <v>3.9881166145090165E-2</v>
      </c>
      <c r="AY214" s="147">
        <f t="shared" si="79"/>
        <v>1.3324972453703276E-3</v>
      </c>
      <c r="AZ214" s="147">
        <f t="shared" ref="AZ214:AZ277" ca="1" si="93">$AY214*AN214</f>
        <v>1.5578491795073573E-7</v>
      </c>
      <c r="BA214" s="147">
        <f t="shared" ca="1" si="80"/>
        <v>9.7602225229987609E-4</v>
      </c>
      <c r="BB214" s="147">
        <f t="shared" ca="1" si="81"/>
        <v>1.3254363424671102E-3</v>
      </c>
      <c r="BC214" s="147">
        <f t="shared" ca="1" si="82"/>
        <v>2.3745100912499236E-4</v>
      </c>
      <c r="BD214" s="147">
        <f t="shared" ca="1" si="83"/>
        <v>6.2273459264035037E-5</v>
      </c>
    </row>
    <row r="215" spans="8:56" s="147" customFormat="1" ht="0.25" customHeight="1" x14ac:dyDescent="0.2">
      <c r="H215" s="147">
        <f t="shared" si="84"/>
        <v>574</v>
      </c>
      <c r="I215" s="147">
        <f>IF($H215&gt;$H214,INDEX(Spectra!215:215,1,MATCH($I$20,Spectra!$20:$20,0)),I214)</f>
        <v>1.22488206323369E-3</v>
      </c>
      <c r="J215" s="147">
        <f>((Physics!$C$9*Physics!$C$10)/(Physics!$C$11*Physics!$C$12*$H215))^($J$17-$J$18)</f>
        <v>2.8903919929842509E+18</v>
      </c>
      <c r="K215" s="147">
        <f t="shared" si="85"/>
        <v>1</v>
      </c>
      <c r="L215" s="147">
        <f>INDEX(Photobiology!$21:$421,1+$H215-380,10)</f>
        <v>0.92345759999999999</v>
      </c>
      <c r="M215" s="147">
        <f t="shared" si="86"/>
        <v>1.22488206323369E-3</v>
      </c>
      <c r="N215" s="147">
        <f ca="1">INDEX(Photobiology!$21:$421,1+$H215-380,N$14)</f>
        <v>1.06316E-4</v>
      </c>
      <c r="O215" s="147">
        <f ca="1">INDEX(Photobiology!$21:$421,1+$H215-380,O$14)</f>
        <v>0.71662199999999998</v>
      </c>
      <c r="P215" s="147">
        <f ca="1">INDEX(Photobiology!$21:$421,1+$H215-380,P$14)</f>
        <v>0.99141599999999996</v>
      </c>
      <c r="Q215" s="147">
        <f ca="1">INDEX(Photobiology!$21:$421,1+$H215-380,Q$14)</f>
        <v>0.16900000000000001</v>
      </c>
      <c r="R215" s="147">
        <f ca="1">INDEX(Photobiology!$21:$421,1+$H215-380,R$14)</f>
        <v>4.3235700000000002E-2</v>
      </c>
      <c r="S215" s="147">
        <f t="shared" si="87"/>
        <v>3540389307920686.5</v>
      </c>
      <c r="T215" s="147">
        <f ca="1">INDEX(Photobiology!$21:$421,1+$H215-380,T$14)</f>
        <v>8.2872845628714339E-5</v>
      </c>
      <c r="U215" s="147">
        <f ca="1">INDEX(Photobiology!$21:$421,1+$H215-380,U$14)</f>
        <v>0.67489547022631302</v>
      </c>
      <c r="V215" s="147">
        <f ca="1">INDEX(Photobiology!$21:$421,1+$H215-380,V$14)</f>
        <v>0.97882818978713093</v>
      </c>
      <c r="W215" s="147">
        <f ca="1">INDEX(Photobiology!$21:$421,1+$H215-380,W$14)</f>
        <v>0.14883675416493383</v>
      </c>
      <c r="X215" s="147">
        <f ca="1">INDEX(Photobiology!$21:$421,1+$H215-380,X$14)</f>
        <v>3.6831245192339518E-2</v>
      </c>
      <c r="Y215" s="147">
        <f t="shared" si="74"/>
        <v>1.22488206323369E-3</v>
      </c>
      <c r="Z215" s="147">
        <f t="shared" ca="1" si="88"/>
        <v>1.3022456143475299E-7</v>
      </c>
      <c r="AA215" s="147">
        <f t="shared" ca="1" si="75"/>
        <v>8.7777743391865345E-4</v>
      </c>
      <c r="AB215" s="147">
        <f t="shared" ca="1" si="76"/>
        <v>1.214367675602892E-3</v>
      </c>
      <c r="AC215" s="147">
        <f t="shared" ca="1" si="77"/>
        <v>2.0700506868649363E-4</v>
      </c>
      <c r="AD215" s="147">
        <f t="shared" ca="1" si="78"/>
        <v>5.2958633421352855E-5</v>
      </c>
      <c r="AH215" s="147">
        <f t="shared" si="89"/>
        <v>574</v>
      </c>
      <c r="AI215" s="147">
        <f>IF($AH215&gt;$AH214,INDEX(Spectra!215:215,1,MATCH($AI$20,Spectra!$20:$20,0)),AI214)</f>
        <v>96.115700000000004</v>
      </c>
      <c r="AJ215" s="147">
        <f>((Physics!$C$9*Physics!$C$10)/(Physics!$C$11*Physics!$C$12*$AH215))^($AJ$17-$AJ$18)</f>
        <v>2.8903919929842509E+18</v>
      </c>
      <c r="AK215" s="147">
        <f t="shared" si="90"/>
        <v>1</v>
      </c>
      <c r="AL215" s="147">
        <f>INDEX(Photobiology!$21:$421,1+$AH215-380,10)</f>
        <v>0.92345759999999999</v>
      </c>
      <c r="AM215" s="147">
        <f t="shared" si="91"/>
        <v>1.331740729589497E-3</v>
      </c>
      <c r="AN215" s="147">
        <f ca="1">INDEX(Photobiology!$21:$421,1+$AH215-380,AN$14)</f>
        <v>1.06316E-4</v>
      </c>
      <c r="AO215" s="147">
        <f ca="1">INDEX(Photobiology!$21:$421,1+$AH215-380,AO$14)</f>
        <v>0.71662199999999998</v>
      </c>
      <c r="AP215" s="147">
        <f ca="1">INDEX(Photobiology!$21:$421,1+$AH215-380,AP$14)</f>
        <v>0.99141599999999996</v>
      </c>
      <c r="AQ215" s="147">
        <f ca="1">INDEX(Photobiology!$21:$421,1+$AH215-380,AQ$14)</f>
        <v>0.16900000000000001</v>
      </c>
      <c r="AR215" s="147">
        <f ca="1">INDEX(Photobiology!$21:$421,1+$AH215-380,AR$14)</f>
        <v>4.3235700000000002E-2</v>
      </c>
      <c r="AS215" s="147">
        <f t="shared" si="92"/>
        <v>3849252741536486.5</v>
      </c>
      <c r="AT215" s="147">
        <f ca="1">INDEX(Photobiology!$21:$421,1+$AH215-380,AT$14)</f>
        <v>8.2872845628714339E-5</v>
      </c>
      <c r="AU215" s="147">
        <f ca="1">INDEX(Photobiology!$21:$421,1+$AH215-380,AU$14)</f>
        <v>0.67489547022631302</v>
      </c>
      <c r="AV215" s="147">
        <f ca="1">INDEX(Photobiology!$21:$421,1+$AH215-380,AV$14)</f>
        <v>0.97882818978713093</v>
      </c>
      <c r="AW215" s="147">
        <f ca="1">INDEX(Photobiology!$21:$421,1+$AH215-380,AW$14)</f>
        <v>0.14883675416493383</v>
      </c>
      <c r="AX215" s="147">
        <f ca="1">INDEX(Photobiology!$21:$421,1+$AH215-380,AX$14)</f>
        <v>3.6831245192339518E-2</v>
      </c>
      <c r="AY215" s="147">
        <f t="shared" si="79"/>
        <v>1.331740729589497E-3</v>
      </c>
      <c r="AZ215" s="147">
        <f t="shared" ca="1" si="93"/>
        <v>1.4158534740703697E-7</v>
      </c>
      <c r="BA215" s="147">
        <f t="shared" ca="1" si="80"/>
        <v>9.543547051198845E-4</v>
      </c>
      <c r="BB215" s="147">
        <f t="shared" ca="1" si="81"/>
        <v>1.3203090671667008E-3</v>
      </c>
      <c r="BC215" s="147">
        <f t="shared" ca="1" si="82"/>
        <v>2.25064183300625E-4</v>
      </c>
      <c r="BD215" s="147">
        <f t="shared" ca="1" si="83"/>
        <v>5.7578742662312618E-5</v>
      </c>
    </row>
    <row r="216" spans="8:56" s="147" customFormat="1" ht="0.25" customHeight="1" x14ac:dyDescent="0.2">
      <c r="H216" s="147">
        <f t="shared" si="84"/>
        <v>575</v>
      </c>
      <c r="I216" s="147">
        <f>IF($H216&gt;$H215,INDEX(Spectra!216:216,1,MATCH($I$20,Spectra!$20:$20,0)),I215)</f>
        <v>1.21488302598281E-3</v>
      </c>
      <c r="J216" s="147">
        <f>((Physics!$C$9*Physics!$C$10)/(Physics!$C$11*Physics!$C$12*$H216))^($J$17-$J$18)</f>
        <v>2.8954275191044326E+18</v>
      </c>
      <c r="K216" s="147">
        <f t="shared" si="85"/>
        <v>1</v>
      </c>
      <c r="L216" s="147">
        <f>INDEX(Photobiology!$21:$421,1+$H216-380,10)</f>
        <v>0.91539999999999999</v>
      </c>
      <c r="M216" s="147">
        <f t="shared" si="86"/>
        <v>1.21488302598281E-3</v>
      </c>
      <c r="N216" s="147">
        <f ca="1">INDEX(Photobiology!$21:$421,1+$H216-380,N$14)</f>
        <v>9.6704499999999995E-5</v>
      </c>
      <c r="O216" s="147">
        <f ca="1">INDEX(Photobiology!$21:$421,1+$H216-380,O$14)</f>
        <v>0.700013</v>
      </c>
      <c r="P216" s="147">
        <f ca="1">INDEX(Photobiology!$21:$421,1+$H216-380,P$14)</f>
        <v>0.98705699999999996</v>
      </c>
      <c r="Q216" s="147">
        <f ca="1">INDEX(Photobiology!$21:$421,1+$H216-380,Q$14)</f>
        <v>0.16020000000000001</v>
      </c>
      <c r="R216" s="147">
        <f ca="1">INDEX(Photobiology!$21:$421,1+$H216-380,R$14)</f>
        <v>4.00089E-2</v>
      </c>
      <c r="S216" s="147">
        <f t="shared" si="87"/>
        <v>3517605745923493.5</v>
      </c>
      <c r="T216" s="147">
        <f ca="1">INDEX(Photobiology!$21:$421,1+$H216-380,T$14)</f>
        <v>7.524962753299109E-5</v>
      </c>
      <c r="U216" s="147">
        <f ca="1">INDEX(Photobiology!$21:$421,1+$H216-380,U$14)</f>
        <v>0.65810702945796873</v>
      </c>
      <c r="V216" s="147">
        <f ca="1">INDEX(Photobiology!$21:$421,1+$H216-380,V$14)</f>
        <v>0.97282970985782824</v>
      </c>
      <c r="W216" s="147">
        <f ca="1">INDEX(Photobiology!$21:$421,1+$H216-380,W$14)</f>
        <v>0.1408413065282805</v>
      </c>
      <c r="X216" s="147">
        <f ca="1">INDEX(Photobiology!$21:$421,1+$H216-380,X$14)</f>
        <v>3.4023153600232531E-2</v>
      </c>
      <c r="Y216" s="147">
        <f t="shared" si="74"/>
        <v>1.21488302598281E-3</v>
      </c>
      <c r="Z216" s="147">
        <f t="shared" ca="1" si="88"/>
        <v>1.1748465558615465E-7</v>
      </c>
      <c r="AA216" s="147">
        <f t="shared" ca="1" si="75"/>
        <v>8.5043391166730474E-4</v>
      </c>
      <c r="AB216" s="147">
        <f t="shared" ca="1" si="76"/>
        <v>1.1991587949775145E-3</v>
      </c>
      <c r="AC216" s="147">
        <f t="shared" ca="1" si="77"/>
        <v>1.9462426076244618E-4</v>
      </c>
      <c r="AD216" s="147">
        <f t="shared" ca="1" si="78"/>
        <v>4.860613349824365E-5</v>
      </c>
      <c r="AH216" s="147">
        <f t="shared" si="89"/>
        <v>575</v>
      </c>
      <c r="AI216" s="147">
        <f>IF($AH216&gt;$AH215,INDEX(Spectra!216:216,1,MATCH($AI$20,Spectra!$20:$20,0)),AI215)</f>
        <v>96.061099999999996</v>
      </c>
      <c r="AJ216" s="147">
        <f>((Physics!$C$9*Physics!$C$10)/(Physics!$C$11*Physics!$C$12*$AH216))^($AJ$17-$AJ$18)</f>
        <v>2.8954275191044326E+18</v>
      </c>
      <c r="AK216" s="147">
        <f t="shared" si="90"/>
        <v>1</v>
      </c>
      <c r="AL216" s="147">
        <f>INDEX(Photobiology!$21:$421,1+$AH216-380,10)</f>
        <v>0.91539999999999999</v>
      </c>
      <c r="AM216" s="147">
        <f t="shared" si="91"/>
        <v>1.3309842138086662E-3</v>
      </c>
      <c r="AN216" s="147">
        <f ca="1">INDEX(Photobiology!$21:$421,1+$AH216-380,AN$14)</f>
        <v>9.6704499999999995E-5</v>
      </c>
      <c r="AO216" s="147">
        <f ca="1">INDEX(Photobiology!$21:$421,1+$AH216-380,AO$14)</f>
        <v>0.700013</v>
      </c>
      <c r="AP216" s="147">
        <f ca="1">INDEX(Photobiology!$21:$421,1+$AH216-380,AP$14)</f>
        <v>0.98705699999999996</v>
      </c>
      <c r="AQ216" s="147">
        <f ca="1">INDEX(Photobiology!$21:$421,1+$AH216-380,AQ$14)</f>
        <v>0.16020000000000001</v>
      </c>
      <c r="AR216" s="147">
        <f ca="1">INDEX(Photobiology!$21:$421,1+$AH216-380,AR$14)</f>
        <v>4.00089E-2</v>
      </c>
      <c r="AS216" s="147">
        <f t="shared" si="92"/>
        <v>3853768320155190</v>
      </c>
      <c r="AT216" s="147">
        <f ca="1">INDEX(Photobiology!$21:$421,1+$AH216-380,AT$14)</f>
        <v>7.524962753299109E-5</v>
      </c>
      <c r="AU216" s="147">
        <f ca="1">INDEX(Photobiology!$21:$421,1+$AH216-380,AU$14)</f>
        <v>0.65810702945796873</v>
      </c>
      <c r="AV216" s="147">
        <f ca="1">INDEX(Photobiology!$21:$421,1+$AH216-380,AV$14)</f>
        <v>0.97282970985782824</v>
      </c>
      <c r="AW216" s="147">
        <f ca="1">INDEX(Photobiology!$21:$421,1+$AH216-380,AW$14)</f>
        <v>0.1408413065282805</v>
      </c>
      <c r="AX216" s="147">
        <f ca="1">INDEX(Photobiology!$21:$421,1+$AH216-380,AX$14)</f>
        <v>3.4023153600232531E-2</v>
      </c>
      <c r="AY216" s="147">
        <f t="shared" si="79"/>
        <v>1.3309842138086662E-3</v>
      </c>
      <c r="AZ216" s="147">
        <f t="shared" ca="1" si="93"/>
        <v>1.2871216290426016E-7</v>
      </c>
      <c r="BA216" s="147">
        <f t="shared" ca="1" si="80"/>
        <v>9.3170625246084588E-4</v>
      </c>
      <c r="BB216" s="147">
        <f t="shared" ca="1" si="81"/>
        <v>1.3137572851293405E-3</v>
      </c>
      <c r="BC216" s="147">
        <f t="shared" ca="1" si="82"/>
        <v>2.1322367105214833E-4</v>
      </c>
      <c r="BD216" s="147">
        <f t="shared" ca="1" si="83"/>
        <v>5.3251214311849546E-5</v>
      </c>
    </row>
    <row r="217" spans="8:56" s="147" customFormat="1" ht="0.25" customHeight="1" x14ac:dyDescent="0.2">
      <c r="H217" s="147">
        <f t="shared" si="84"/>
        <v>576</v>
      </c>
      <c r="I217" s="147">
        <f>IF($H217&gt;$H216,INDEX(Spectra!217:217,1,MATCH($I$20,Spectra!$20:$20,0)),I216)</f>
        <v>1.20488398873192E-3</v>
      </c>
      <c r="J217" s="147">
        <f>((Physics!$C$9*Physics!$C$10)/(Physics!$C$11*Physics!$C$12*$H217))^($J$17-$J$18)</f>
        <v>2.9004630452246144E+18</v>
      </c>
      <c r="K217" s="147">
        <f t="shared" si="85"/>
        <v>1</v>
      </c>
      <c r="L217" s="147">
        <f>INDEX(Photobiology!$21:$421,1+$H217-380,10)</f>
        <v>0.90700639999999999</v>
      </c>
      <c r="M217" s="147">
        <f t="shared" si="86"/>
        <v>1.20488398873192E-3</v>
      </c>
      <c r="N217" s="147">
        <f ca="1">INDEX(Photobiology!$21:$421,1+$H217-380,N$14)</f>
        <v>8.7985799999999994E-5</v>
      </c>
      <c r="O217" s="147">
        <f ca="1">INDEX(Photobiology!$21:$421,1+$H217-380,O$14)</f>
        <v>0.682647</v>
      </c>
      <c r="P217" s="147">
        <f ca="1">INDEX(Photobiology!$21:$421,1+$H217-380,P$14)</f>
        <v>0.981599</v>
      </c>
      <c r="Q217" s="147">
        <f ca="1">INDEX(Photobiology!$21:$421,1+$H217-380,Q$14)</f>
        <v>0.1517</v>
      </c>
      <c r="R217" s="147">
        <f ca="1">INDEX(Photobiology!$21:$421,1+$H217-380,R$14)</f>
        <v>3.70102E-2</v>
      </c>
      <c r="S217" s="147">
        <f t="shared" si="87"/>
        <v>3494721483099765</v>
      </c>
      <c r="T217" s="147">
        <f ca="1">INDEX(Photobiology!$21:$421,1+$H217-380,T$14)</f>
        <v>6.8346396108055955E-5</v>
      </c>
      <c r="U217" s="147">
        <f ca="1">INDEX(Photobiology!$21:$421,1+$H217-380,U$14)</f>
        <v>0.64066643491892827</v>
      </c>
      <c r="V217" s="147">
        <f ca="1">INDEX(Photobiology!$21:$421,1+$H217-380,V$14)</f>
        <v>0.96577077928811839</v>
      </c>
      <c r="W217" s="147">
        <f ca="1">INDEX(Photobiology!$21:$421,1+$H217-380,W$14)</f>
        <v>0.13313691073219658</v>
      </c>
      <c r="X217" s="147">
        <f ca="1">INDEX(Photobiology!$21:$421,1+$H217-380,X$14)</f>
        <v>3.1418449440173711E-2</v>
      </c>
      <c r="Y217" s="147">
        <f t="shared" si="74"/>
        <v>1.20488398873192E-3</v>
      </c>
      <c r="Z217" s="147">
        <f t="shared" ca="1" si="88"/>
        <v>1.0601268165576896E-7</v>
      </c>
      <c r="AA217" s="147">
        <f t="shared" ca="1" si="75"/>
        <v>8.2251044025587899E-4</v>
      </c>
      <c r="AB217" s="147">
        <f t="shared" ca="1" si="76"/>
        <v>1.1827129184552639E-3</v>
      </c>
      <c r="AC217" s="147">
        <f t="shared" ca="1" si="77"/>
        <v>1.8278090109063227E-4</v>
      </c>
      <c r="AD217" s="147">
        <f t="shared" ca="1" si="78"/>
        <v>4.4592997399766107E-5</v>
      </c>
      <c r="AH217" s="147">
        <f t="shared" si="89"/>
        <v>576</v>
      </c>
      <c r="AI217" s="147">
        <f>IF($AH217&gt;$AH216,INDEX(Spectra!217:217,1,MATCH($AI$20,Spectra!$20:$20,0)),AI216)</f>
        <v>96.006500000000003</v>
      </c>
      <c r="AJ217" s="147">
        <f>((Physics!$C$9*Physics!$C$10)/(Physics!$C$11*Physics!$C$12*$AH217))^($AJ$17-$AJ$18)</f>
        <v>2.9004630452246144E+18</v>
      </c>
      <c r="AK217" s="147">
        <f t="shared" si="90"/>
        <v>1</v>
      </c>
      <c r="AL217" s="147">
        <f>INDEX(Photobiology!$21:$421,1+$AH217-380,10)</f>
        <v>0.90700639999999999</v>
      </c>
      <c r="AM217" s="147">
        <f t="shared" si="91"/>
        <v>1.3302276980278356E-3</v>
      </c>
      <c r="AN217" s="147">
        <f ca="1">INDEX(Photobiology!$21:$421,1+$AH217-380,AN$14)</f>
        <v>8.7985799999999994E-5</v>
      </c>
      <c r="AO217" s="147">
        <f ca="1">INDEX(Photobiology!$21:$421,1+$AH217-380,AO$14)</f>
        <v>0.682647</v>
      </c>
      <c r="AP217" s="147">
        <f ca="1">INDEX(Photobiology!$21:$421,1+$AH217-380,AP$14)</f>
        <v>0.981599</v>
      </c>
      <c r="AQ217" s="147">
        <f ca="1">INDEX(Photobiology!$21:$421,1+$AH217-380,AQ$14)</f>
        <v>0.1517</v>
      </c>
      <c r="AR217" s="147">
        <f ca="1">INDEX(Photobiology!$21:$421,1+$AH217-380,AR$14)</f>
        <v>3.70102E-2</v>
      </c>
      <c r="AS217" s="147">
        <f t="shared" si="92"/>
        <v>3858276279863945</v>
      </c>
      <c r="AT217" s="147">
        <f ca="1">INDEX(Photobiology!$21:$421,1+$AH217-380,AT$14)</f>
        <v>6.8346396108055955E-5</v>
      </c>
      <c r="AU217" s="147">
        <f ca="1">INDEX(Photobiology!$21:$421,1+$AH217-380,AU$14)</f>
        <v>0.64066643491892827</v>
      </c>
      <c r="AV217" s="147">
        <f ca="1">INDEX(Photobiology!$21:$421,1+$AH217-380,AV$14)</f>
        <v>0.96577077928811839</v>
      </c>
      <c r="AW217" s="147">
        <f ca="1">INDEX(Photobiology!$21:$421,1+$AH217-380,AW$14)</f>
        <v>0.13313691073219658</v>
      </c>
      <c r="AX217" s="147">
        <f ca="1">INDEX(Photobiology!$21:$421,1+$AH217-380,AX$14)</f>
        <v>3.1418449440173711E-2</v>
      </c>
      <c r="AY217" s="147">
        <f t="shared" si="79"/>
        <v>1.3302276980278356E-3</v>
      </c>
      <c r="AZ217" s="147">
        <f t="shared" ca="1" si="93"/>
        <v>1.1704114819313753E-7</v>
      </c>
      <c r="BA217" s="147">
        <f t="shared" ca="1" si="80"/>
        <v>9.0807594737560792E-4</v>
      </c>
      <c r="BB217" s="147">
        <f t="shared" ca="1" si="81"/>
        <v>1.3057501781564254E-3</v>
      </c>
      <c r="BC217" s="147">
        <f t="shared" ca="1" si="82"/>
        <v>2.0179554179082266E-4</v>
      </c>
      <c r="BD217" s="147">
        <f t="shared" ca="1" si="83"/>
        <v>4.9231993149549799E-5</v>
      </c>
    </row>
    <row r="218" spans="8:56" s="147" customFormat="1" ht="0.25" customHeight="1" x14ac:dyDescent="0.2">
      <c r="H218" s="147">
        <f t="shared" si="84"/>
        <v>577</v>
      </c>
      <c r="I218" s="147">
        <f>IF($H218&gt;$H217,INDEX(Spectra!218:218,1,MATCH($I$20,Spectra!$20:$20,0)),I217)</f>
        <v>1.19488495148103E-3</v>
      </c>
      <c r="J218" s="147">
        <f>((Physics!$C$9*Physics!$C$10)/(Physics!$C$11*Physics!$C$12*$H218))^($J$17-$J$18)</f>
        <v>2.9054985713447956E+18</v>
      </c>
      <c r="K218" s="147">
        <f t="shared" si="85"/>
        <v>1</v>
      </c>
      <c r="L218" s="147">
        <f>INDEX(Photobiology!$21:$421,1+$H218-380,10)</f>
        <v>0.8982772</v>
      </c>
      <c r="M218" s="147">
        <f t="shared" si="86"/>
        <v>1.19488495148103E-3</v>
      </c>
      <c r="N218" s="147">
        <f ca="1">INDEX(Photobiology!$21:$421,1+$H218-380,N$14)</f>
        <v>8.0075599999999996E-5</v>
      </c>
      <c r="O218" s="147">
        <f ca="1">INDEX(Photobiology!$21:$421,1+$H218-380,O$14)</f>
        <v>0.66481699999999999</v>
      </c>
      <c r="P218" s="147">
        <f ca="1">INDEX(Photobiology!$21:$421,1+$H218-380,P$14)</f>
        <v>0.97545099999999996</v>
      </c>
      <c r="Q218" s="147">
        <f ca="1">INDEX(Photobiology!$21:$421,1+$H218-380,Q$14)</f>
        <v>0.14360000000000001</v>
      </c>
      <c r="R218" s="147">
        <f ca="1">INDEX(Photobiology!$21:$421,1+$H218-380,R$14)</f>
        <v>3.41903E-2</v>
      </c>
      <c r="S218" s="147">
        <f t="shared" si="87"/>
        <v>3471736519449528</v>
      </c>
      <c r="T218" s="147">
        <f ca="1">INDEX(Photobiology!$21:$421,1+$H218-380,T$14)</f>
        <v>6.2094038104170947E-5</v>
      </c>
      <c r="U218" s="147">
        <f ca="1">INDEX(Photobiology!$21:$421,1+$H218-380,U$14)</f>
        <v>0.62285158224089554</v>
      </c>
      <c r="V218" s="147">
        <f ca="1">INDEX(Photobiology!$21:$421,1+$H218-380,V$14)</f>
        <v>0.95805861917865998</v>
      </c>
      <c r="W218" s="147">
        <f ca="1">INDEX(Photobiology!$21:$421,1+$H218-380,W$14)</f>
        <v>0.12580966469599439</v>
      </c>
      <c r="X218" s="147">
        <f ca="1">INDEX(Photobiology!$21:$421,1+$H218-380,X$14)</f>
        <v>2.8974296347718066E-2</v>
      </c>
      <c r="Y218" s="147">
        <f t="shared" si="74"/>
        <v>1.19488495148103E-3</v>
      </c>
      <c r="Z218" s="147">
        <f t="shared" ca="1" si="88"/>
        <v>9.5681129420814359E-8</v>
      </c>
      <c r="AA218" s="147">
        <f t="shared" ca="1" si="75"/>
        <v>7.9437982878876397E-4</v>
      </c>
      <c r="AB218" s="147">
        <f t="shared" ca="1" si="76"/>
        <v>1.1655517208071222E-3</v>
      </c>
      <c r="AC218" s="147">
        <f t="shared" ca="1" si="77"/>
        <v>1.7158547903267592E-4</v>
      </c>
      <c r="AD218" s="147">
        <f t="shared" ca="1" si="78"/>
        <v>4.085347495662186E-5</v>
      </c>
      <c r="AH218" s="147">
        <f t="shared" si="89"/>
        <v>577</v>
      </c>
      <c r="AI218" s="147">
        <f>IF($AH218&gt;$AH217,INDEX(Spectra!218:218,1,MATCH($AI$20,Spectra!$20:$20,0)),AI217)</f>
        <v>95.951899999999995</v>
      </c>
      <c r="AJ218" s="147">
        <f>((Physics!$C$9*Physics!$C$10)/(Physics!$C$11*Physics!$C$12*$AH218))^($AJ$17-$AJ$18)</f>
        <v>2.9054985713447956E+18</v>
      </c>
      <c r="AK218" s="147">
        <f t="shared" si="90"/>
        <v>1</v>
      </c>
      <c r="AL218" s="147">
        <f>INDEX(Photobiology!$21:$421,1+$AH218-380,10)</f>
        <v>0.8982772</v>
      </c>
      <c r="AM218" s="147">
        <f t="shared" si="91"/>
        <v>1.3294711822470049E-3</v>
      </c>
      <c r="AN218" s="147">
        <f ca="1">INDEX(Photobiology!$21:$421,1+$AH218-380,AN$14)</f>
        <v>8.0075599999999996E-5</v>
      </c>
      <c r="AO218" s="147">
        <f ca="1">INDEX(Photobiology!$21:$421,1+$AH218-380,AO$14)</f>
        <v>0.66481699999999999</v>
      </c>
      <c r="AP218" s="147">
        <f ca="1">INDEX(Photobiology!$21:$421,1+$AH218-380,AP$14)</f>
        <v>0.97545099999999996</v>
      </c>
      <c r="AQ218" s="147">
        <f ca="1">INDEX(Photobiology!$21:$421,1+$AH218-380,AQ$14)</f>
        <v>0.14360000000000001</v>
      </c>
      <c r="AR218" s="147">
        <f ca="1">INDEX(Photobiology!$21:$421,1+$AH218-380,AR$14)</f>
        <v>3.41903E-2</v>
      </c>
      <c r="AS218" s="147">
        <f t="shared" si="92"/>
        <v>3862776620662749</v>
      </c>
      <c r="AT218" s="147">
        <f ca="1">INDEX(Photobiology!$21:$421,1+$AH218-380,AT$14)</f>
        <v>6.2094038104170947E-5</v>
      </c>
      <c r="AU218" s="147">
        <f ca="1">INDEX(Photobiology!$21:$421,1+$AH218-380,AU$14)</f>
        <v>0.62285158224089554</v>
      </c>
      <c r="AV218" s="147">
        <f ca="1">INDEX(Photobiology!$21:$421,1+$AH218-380,AV$14)</f>
        <v>0.95805861917865998</v>
      </c>
      <c r="AW218" s="147">
        <f ca="1">INDEX(Photobiology!$21:$421,1+$AH218-380,AW$14)</f>
        <v>0.12580966469599439</v>
      </c>
      <c r="AX218" s="147">
        <f ca="1">INDEX(Photobiology!$21:$421,1+$AH218-380,AX$14)</f>
        <v>2.8974296347718066E-2</v>
      </c>
      <c r="AY218" s="147">
        <f t="shared" si="79"/>
        <v>1.3294711822470049E-3</v>
      </c>
      <c r="AZ218" s="147">
        <f t="shared" ca="1" si="93"/>
        <v>1.0645820260113825E-7</v>
      </c>
      <c r="BA218" s="147">
        <f t="shared" ca="1" si="80"/>
        <v>8.8385504296790702E-4</v>
      </c>
      <c r="BB218" s="147">
        <f t="shared" ca="1" si="81"/>
        <v>1.2968339941940232E-3</v>
      </c>
      <c r="BC218" s="147">
        <f t="shared" ca="1" si="82"/>
        <v>1.9091206177066991E-4</v>
      </c>
      <c r="BD218" s="147">
        <f t="shared" ca="1" si="83"/>
        <v>4.5455018562379767E-5</v>
      </c>
    </row>
    <row r="219" spans="8:56" s="147" customFormat="1" ht="0.25" customHeight="1" x14ac:dyDescent="0.2">
      <c r="H219" s="147">
        <f t="shared" si="84"/>
        <v>578</v>
      </c>
      <c r="I219" s="147">
        <f>IF($H219&gt;$H218,INDEX(Spectra!219:219,1,MATCH($I$20,Spectra!$20:$20,0)),I218)</f>
        <v>1.18988543285559E-3</v>
      </c>
      <c r="J219" s="147">
        <f>((Physics!$C$9*Physics!$C$10)/(Physics!$C$11*Physics!$C$12*$H219))^($J$17-$J$18)</f>
        <v>2.9105340974649779E+18</v>
      </c>
      <c r="K219" s="147">
        <f t="shared" si="85"/>
        <v>1</v>
      </c>
      <c r="L219" s="147">
        <f>INDEX(Photobiology!$21:$421,1+$H219-380,10)</f>
        <v>0.88920480000000002</v>
      </c>
      <c r="M219" s="147">
        <f t="shared" si="86"/>
        <v>1.18988543285559E-3</v>
      </c>
      <c r="N219" s="147">
        <f ca="1">INDEX(Photobiology!$21:$421,1+$H219-380,N$14)</f>
        <v>7.2897899999999999E-5</v>
      </c>
      <c r="O219" s="147">
        <f ca="1">INDEX(Photobiology!$21:$421,1+$H219-380,O$14)</f>
        <v>0.64685800000000004</v>
      </c>
      <c r="P219" s="147">
        <f ca="1">INDEX(Photobiology!$21:$421,1+$H219-380,P$14)</f>
        <v>0.96911999999999998</v>
      </c>
      <c r="Q219" s="147">
        <f ca="1">INDEX(Photobiology!$21:$421,1+$H219-380,Q$14)</f>
        <v>0.1358</v>
      </c>
      <c r="R219" s="147">
        <f ca="1">INDEX(Photobiology!$21:$421,1+$H219-380,R$14)</f>
        <v>3.15562E-2</v>
      </c>
      <c r="S219" s="147">
        <f t="shared" si="87"/>
        <v>3463202124403069.5</v>
      </c>
      <c r="T219" s="147">
        <f ca="1">INDEX(Photobiology!$21:$421,1+$H219-380,T$14)</f>
        <v>5.6430343603002835E-5</v>
      </c>
      <c r="U219" s="147">
        <f ca="1">INDEX(Photobiology!$21:$421,1+$H219-380,U$14)</f>
        <v>0.60497772464785626</v>
      </c>
      <c r="V219" s="147">
        <f ca="1">INDEX(Photobiology!$21:$421,1+$H219-380,V$14)</f>
        <v>0.95019371861493929</v>
      </c>
      <c r="W219" s="147">
        <f ca="1">INDEX(Photobiology!$21:$421,1+$H219-380,W$14)</f>
        <v>0.11877015128430274</v>
      </c>
      <c r="X219" s="147">
        <f ca="1">INDEX(Photobiology!$21:$421,1+$H219-380,X$14)</f>
        <v>2.6695782843715338E-2</v>
      </c>
      <c r="Y219" s="147">
        <f t="shared" si="74"/>
        <v>1.18988543285559E-3</v>
      </c>
      <c r="Z219" s="147">
        <f t="shared" ca="1" si="88"/>
        <v>8.6740149295763516E-8</v>
      </c>
      <c r="AA219" s="147">
        <f t="shared" ca="1" si="75"/>
        <v>7.6968691132610128E-4</v>
      </c>
      <c r="AB219" s="147">
        <f t="shared" ca="1" si="76"/>
        <v>1.1531417706890095E-3</v>
      </c>
      <c r="AC219" s="147">
        <f t="shared" ca="1" si="77"/>
        <v>1.6158644178178912E-4</v>
      </c>
      <c r="AD219" s="147">
        <f t="shared" ca="1" si="78"/>
        <v>3.7548262696277566E-5</v>
      </c>
      <c r="AH219" s="147">
        <f t="shared" si="89"/>
        <v>578</v>
      </c>
      <c r="AI219" s="147">
        <f>IF($AH219&gt;$AH218,INDEX(Spectra!219:219,1,MATCH($AI$20,Spectra!$20:$20,0)),AI218)</f>
        <v>95.897199999999998</v>
      </c>
      <c r="AJ219" s="147">
        <f>((Physics!$C$9*Physics!$C$10)/(Physics!$C$11*Physics!$C$12*$AH219))^($AJ$17-$AJ$18)</f>
        <v>2.9105340974649779E+18</v>
      </c>
      <c r="AK219" s="147">
        <f t="shared" si="90"/>
        <v>1</v>
      </c>
      <c r="AL219" s="147">
        <f>INDEX(Photobiology!$21:$421,1+$AH219-380,10)</f>
        <v>0.88920480000000002</v>
      </c>
      <c r="AM219" s="147">
        <f t="shared" si="91"/>
        <v>1.3287132809061361E-3</v>
      </c>
      <c r="AN219" s="147">
        <f ca="1">INDEX(Photobiology!$21:$421,1+$AH219-380,AN$14)</f>
        <v>7.2897899999999999E-5</v>
      </c>
      <c r="AO219" s="147">
        <f ca="1">INDEX(Photobiology!$21:$421,1+$AH219-380,AO$14)</f>
        <v>0.64685800000000004</v>
      </c>
      <c r="AP219" s="147">
        <f ca="1">INDEX(Photobiology!$21:$421,1+$AH219-380,AP$14)</f>
        <v>0.96911999999999998</v>
      </c>
      <c r="AQ219" s="147">
        <f ca="1">INDEX(Photobiology!$21:$421,1+$AH219-380,AQ$14)</f>
        <v>0.1358</v>
      </c>
      <c r="AR219" s="147">
        <f ca="1">INDEX(Photobiology!$21:$421,1+$AH219-380,AR$14)</f>
        <v>3.15562E-2</v>
      </c>
      <c r="AS219" s="147">
        <f t="shared" si="92"/>
        <v>3867265309831870.5</v>
      </c>
      <c r="AT219" s="147">
        <f ca="1">INDEX(Photobiology!$21:$421,1+$AH219-380,AT$14)</f>
        <v>5.6430343603002835E-5</v>
      </c>
      <c r="AU219" s="147">
        <f ca="1">INDEX(Photobiology!$21:$421,1+$AH219-380,AU$14)</f>
        <v>0.60497772464785626</v>
      </c>
      <c r="AV219" s="147">
        <f ca="1">INDEX(Photobiology!$21:$421,1+$AH219-380,AV$14)</f>
        <v>0.95019371861493929</v>
      </c>
      <c r="AW219" s="147">
        <f ca="1">INDEX(Photobiology!$21:$421,1+$AH219-380,AW$14)</f>
        <v>0.11877015128430274</v>
      </c>
      <c r="AX219" s="147">
        <f ca="1">INDEX(Photobiology!$21:$421,1+$AH219-380,AX$14)</f>
        <v>2.6695782843715338E-2</v>
      </c>
      <c r="AY219" s="147">
        <f t="shared" si="79"/>
        <v>1.3287132809061361E-3</v>
      </c>
      <c r="AZ219" s="147">
        <f t="shared" ca="1" si="93"/>
        <v>9.686040788016741E-8</v>
      </c>
      <c r="BA219" s="147">
        <f t="shared" ca="1" si="80"/>
        <v>8.5948881546038145E-4</v>
      </c>
      <c r="BB219" s="147">
        <f t="shared" ca="1" si="81"/>
        <v>1.2876826147917545E-3</v>
      </c>
      <c r="BC219" s="147">
        <f t="shared" ca="1" si="82"/>
        <v>1.8043926354705328E-4</v>
      </c>
      <c r="BD219" s="147">
        <f t="shared" ca="1" si="83"/>
        <v>4.1929142034930209E-5</v>
      </c>
    </row>
    <row r="220" spans="8:56" s="147" customFormat="1" ht="0.25" customHeight="1" x14ac:dyDescent="0.2">
      <c r="H220" s="147">
        <f t="shared" si="84"/>
        <v>579</v>
      </c>
      <c r="I220" s="147">
        <f>IF($H220&gt;$H219,INDEX(Spectra!220:220,1,MATCH($I$20,Spectra!$20:$20,0)),I219)</f>
        <v>1.19988447010648E-3</v>
      </c>
      <c r="J220" s="147">
        <f>((Physics!$C$9*Physics!$C$10)/(Physics!$C$11*Physics!$C$12*$H220))^($J$17-$J$18)</f>
        <v>2.9155696235851597E+18</v>
      </c>
      <c r="K220" s="147">
        <f t="shared" si="85"/>
        <v>1</v>
      </c>
      <c r="L220" s="147">
        <f>INDEX(Photobiology!$21:$421,1+$H220-380,10)</f>
        <v>0.87978160000000005</v>
      </c>
      <c r="M220" s="147">
        <f t="shared" si="86"/>
        <v>1.19988447010648E-3</v>
      </c>
      <c r="N220" s="147">
        <f ca="1">INDEX(Photobiology!$21:$421,1+$H220-380,N$14)</f>
        <v>6.6383699999999999E-5</v>
      </c>
      <c r="O220" s="147">
        <f ca="1">INDEX(Photobiology!$21:$421,1+$H220-380,O$14)</f>
        <v>0.62907199999999996</v>
      </c>
      <c r="P220" s="147">
        <f ca="1">INDEX(Photobiology!$21:$421,1+$H220-380,P$14)</f>
        <v>0.96309299999999998</v>
      </c>
      <c r="Q220" s="147">
        <f ca="1">INDEX(Photobiology!$21:$421,1+$H220-380,Q$14)</f>
        <v>0.12839999999999999</v>
      </c>
      <c r="R220" s="147">
        <f ca="1">INDEX(Photobiology!$21:$421,1+$H220-380,R$14)</f>
        <v>2.91153E-2</v>
      </c>
      <c r="S220" s="147">
        <f t="shared" si="87"/>
        <v>3498346712854028.5</v>
      </c>
      <c r="T220" s="147">
        <f ca="1">INDEX(Photobiology!$21:$421,1+$H220-380,T$14)</f>
        <v>5.1298941810000494E-5</v>
      </c>
      <c r="U220" s="147">
        <f ca="1">INDEX(Photobiology!$21:$421,1+$H220-380,U$14)</f>
        <v>0.58732712731049386</v>
      </c>
      <c r="V220" s="147">
        <f ca="1">INDEX(Photobiology!$21:$421,1+$H220-380,V$14)</f>
        <v>0.94265353352685721</v>
      </c>
      <c r="W220" s="147">
        <f ca="1">INDEX(Photobiology!$21:$421,1+$H220-380,W$14)</f>
        <v>0.11210418821230531</v>
      </c>
      <c r="X220" s="147">
        <f ca="1">INDEX(Photobiology!$21:$421,1+$H220-380,X$14)</f>
        <v>2.4588300101055185E-2</v>
      </c>
      <c r="Y220" s="147">
        <f t="shared" si="74"/>
        <v>1.19988447010648E-3</v>
      </c>
      <c r="Z220" s="147">
        <f t="shared" ca="1" si="88"/>
        <v>7.9652770698207543E-8</v>
      </c>
      <c r="AA220" s="147">
        <f t="shared" ca="1" si="75"/>
        <v>7.5481372337882354E-4</v>
      </c>
      <c r="AB220" s="147">
        <f t="shared" ca="1" si="76"/>
        <v>1.1556003339682601E-3</v>
      </c>
      <c r="AC220" s="147">
        <f t="shared" ca="1" si="77"/>
        <v>1.5406516596167203E-4</v>
      </c>
      <c r="AD220" s="147">
        <f t="shared" ca="1" si="78"/>
        <v>3.4934996312491196E-5</v>
      </c>
      <c r="AH220" s="147">
        <f t="shared" si="89"/>
        <v>579</v>
      </c>
      <c r="AI220" s="147">
        <f>IF($AH220&gt;$AH219,INDEX(Spectra!220:220,1,MATCH($AI$20,Spectra!$20:$20,0)),AI219)</f>
        <v>95.842600000000004</v>
      </c>
      <c r="AJ220" s="147">
        <f>((Physics!$C$9*Physics!$C$10)/(Physics!$C$11*Physics!$C$12*$AH220))^($AJ$17-$AJ$18)</f>
        <v>2.9155696235851597E+18</v>
      </c>
      <c r="AK220" s="147">
        <f t="shared" si="90"/>
        <v>1</v>
      </c>
      <c r="AL220" s="147">
        <f>INDEX(Photobiology!$21:$421,1+$AH220-380,10)</f>
        <v>0.87978160000000005</v>
      </c>
      <c r="AM220" s="147">
        <f t="shared" si="91"/>
        <v>1.3279567651253055E-3</v>
      </c>
      <c r="AN220" s="147">
        <f ca="1">INDEX(Photobiology!$21:$421,1+$AH220-380,AN$14)</f>
        <v>6.6383699999999999E-5</v>
      </c>
      <c r="AO220" s="147">
        <f ca="1">INDEX(Photobiology!$21:$421,1+$AH220-380,AO$14)</f>
        <v>0.62907199999999996</v>
      </c>
      <c r="AP220" s="147">
        <f ca="1">INDEX(Photobiology!$21:$421,1+$AH220-380,AP$14)</f>
        <v>0.96309299999999998</v>
      </c>
      <c r="AQ220" s="147">
        <f ca="1">INDEX(Photobiology!$21:$421,1+$AH220-380,AQ$14)</f>
        <v>0.12839999999999999</v>
      </c>
      <c r="AR220" s="147">
        <f ca="1">INDEX(Photobiology!$21:$421,1+$AH220-380,AR$14)</f>
        <v>2.91153E-2</v>
      </c>
      <c r="AS220" s="147">
        <f t="shared" si="92"/>
        <v>3871750405833753</v>
      </c>
      <c r="AT220" s="147">
        <f ca="1">INDEX(Photobiology!$21:$421,1+$AH220-380,AT$14)</f>
        <v>5.1298941810000494E-5</v>
      </c>
      <c r="AU220" s="147">
        <f ca="1">INDEX(Photobiology!$21:$421,1+$AH220-380,AU$14)</f>
        <v>0.58732712731049386</v>
      </c>
      <c r="AV220" s="147">
        <f ca="1">INDEX(Photobiology!$21:$421,1+$AH220-380,AV$14)</f>
        <v>0.94265353352685721</v>
      </c>
      <c r="AW220" s="147">
        <f ca="1">INDEX(Photobiology!$21:$421,1+$AH220-380,AW$14)</f>
        <v>0.11210418821230531</v>
      </c>
      <c r="AX220" s="147">
        <f ca="1">INDEX(Photobiology!$21:$421,1+$AH220-380,AX$14)</f>
        <v>2.4588300101055185E-2</v>
      </c>
      <c r="AY220" s="147">
        <f t="shared" si="79"/>
        <v>1.3279567651253055E-3</v>
      </c>
      <c r="AZ220" s="147">
        <f t="shared" ca="1" si="93"/>
        <v>8.8154683509048735E-8</v>
      </c>
      <c r="BA220" s="147">
        <f t="shared" ca="1" si="80"/>
        <v>8.3538041815090609E-4</v>
      </c>
      <c r="BB220" s="147">
        <f t="shared" ca="1" si="81"/>
        <v>1.2789458647948259E-3</v>
      </c>
      <c r="BC220" s="147">
        <f t="shared" ca="1" si="82"/>
        <v>1.7050964864208921E-4</v>
      </c>
      <c r="BD220" s="147">
        <f t="shared" ca="1" si="83"/>
        <v>3.8663859603652804E-5</v>
      </c>
    </row>
    <row r="221" spans="8:56" s="147" customFormat="1" ht="0.25" customHeight="1" x14ac:dyDescent="0.2">
      <c r="H221" s="147">
        <f t="shared" si="84"/>
        <v>580</v>
      </c>
      <c r="I221" s="147">
        <f>IF($H221&gt;$H220,INDEX(Spectra!221:221,1,MATCH($I$20,Spectra!$20:$20,0)),I220)</f>
        <v>1.21488302598281E-3</v>
      </c>
      <c r="J221" s="147">
        <f>((Physics!$C$9*Physics!$C$10)/(Physics!$C$11*Physics!$C$12*$H221))^($J$17-$J$18)</f>
        <v>2.9206051497053414E+18</v>
      </c>
      <c r="K221" s="147">
        <f t="shared" si="85"/>
        <v>1</v>
      </c>
      <c r="L221" s="147">
        <f>INDEX(Photobiology!$21:$421,1+$H221-380,10)</f>
        <v>0.87</v>
      </c>
      <c r="M221" s="147">
        <f t="shared" si="86"/>
        <v>1.21488302598281E-3</v>
      </c>
      <c r="N221" s="147">
        <f ca="1">INDEX(Photobiology!$21:$421,1+$H221-380,N$14)</f>
        <v>6.0470500000000003E-5</v>
      </c>
      <c r="O221" s="147">
        <f ca="1">INDEX(Photobiology!$21:$421,1+$H221-380,O$14)</f>
        <v>0.61172800000000005</v>
      </c>
      <c r="P221" s="147">
        <f ca="1">INDEX(Photobiology!$21:$421,1+$H221-380,P$14)</f>
        <v>0.95784100000000005</v>
      </c>
      <c r="Q221" s="147">
        <f ca="1">INDEX(Photobiology!$21:$421,1+$H221-380,Q$14)</f>
        <v>0.1212</v>
      </c>
      <c r="R221" s="147">
        <f ca="1">INDEX(Photobiology!$21:$421,1+$H221-380,R$14)</f>
        <v>2.6874700000000001E-2</v>
      </c>
      <c r="S221" s="147">
        <f t="shared" si="87"/>
        <v>3548193621975003</v>
      </c>
      <c r="T221" s="147">
        <f ca="1">INDEX(Photobiology!$21:$421,1+$H221-380,T$14)</f>
        <v>4.6648865001234639E-5</v>
      </c>
      <c r="U221" s="147">
        <f ca="1">INDEX(Photobiology!$21:$421,1+$H221-380,U$14)</f>
        <v>0.5701493517259606</v>
      </c>
      <c r="V221" s="147">
        <f ca="1">INDEX(Photobiology!$21:$421,1+$H221-380,V$14)</f>
        <v>0.93589659360929378</v>
      </c>
      <c r="W221" s="147">
        <f ca="1">INDEX(Photobiology!$21:$421,1+$H221-380,W$14)</f>
        <v>0.10563552727146958</v>
      </c>
      <c r="X221" s="147">
        <f ca="1">INDEX(Photobiology!$21:$421,1+$H221-380,X$14)</f>
        <v>2.2656949194519622E-2</v>
      </c>
      <c r="Y221" s="147">
        <f t="shared" si="74"/>
        <v>1.21488302598281E-3</v>
      </c>
      <c r="Z221" s="147">
        <f t="shared" ca="1" si="88"/>
        <v>7.3464584022693511E-8</v>
      </c>
      <c r="AA221" s="147">
        <f t="shared" ca="1" si="75"/>
        <v>7.431779637184125E-4</v>
      </c>
      <c r="AB221" s="147">
        <f t="shared" ca="1" si="76"/>
        <v>1.1636647724904009E-3</v>
      </c>
      <c r="AC221" s="147">
        <f t="shared" ca="1" si="77"/>
        <v>1.4724382274911658E-4</v>
      </c>
      <c r="AD221" s="147">
        <f t="shared" ca="1" si="78"/>
        <v>3.2649616858380224E-5</v>
      </c>
      <c r="AH221" s="147">
        <f t="shared" si="89"/>
        <v>580</v>
      </c>
      <c r="AI221" s="147">
        <f>IF($AH221&gt;$AH220,INDEX(Spectra!221:221,1,MATCH($AI$20,Spectra!$20:$20,0)),AI220)</f>
        <v>95.787999999999997</v>
      </c>
      <c r="AJ221" s="147">
        <f>((Physics!$C$9*Physics!$C$10)/(Physics!$C$11*Physics!$C$12*$AH221))^($AJ$17-$AJ$18)</f>
        <v>2.9206051497053414E+18</v>
      </c>
      <c r="AK221" s="147">
        <f t="shared" si="90"/>
        <v>1</v>
      </c>
      <c r="AL221" s="147">
        <f>INDEX(Photobiology!$21:$421,1+$AH221-380,10)</f>
        <v>0.87</v>
      </c>
      <c r="AM221" s="147">
        <f t="shared" si="91"/>
        <v>1.3272002493444747E-3</v>
      </c>
      <c r="AN221" s="147">
        <f ca="1">INDEX(Photobiology!$21:$421,1+$AH221-380,AN$14)</f>
        <v>6.0470500000000003E-5</v>
      </c>
      <c r="AO221" s="147">
        <f ca="1">INDEX(Photobiology!$21:$421,1+$AH221-380,AO$14)</f>
        <v>0.61172800000000005</v>
      </c>
      <c r="AP221" s="147">
        <f ca="1">INDEX(Photobiology!$21:$421,1+$AH221-380,AP$14)</f>
        <v>0.95784100000000005</v>
      </c>
      <c r="AQ221" s="147">
        <f ca="1">INDEX(Photobiology!$21:$421,1+$AH221-380,AQ$14)</f>
        <v>0.1212</v>
      </c>
      <c r="AR221" s="147">
        <f ca="1">INDEX(Photobiology!$21:$421,1+$AH221-380,AR$14)</f>
        <v>2.6874700000000001E-2</v>
      </c>
      <c r="AS221" s="147">
        <f t="shared" si="92"/>
        <v>3876227882925686</v>
      </c>
      <c r="AT221" s="147">
        <f ca="1">INDEX(Photobiology!$21:$421,1+$AH221-380,AT$14)</f>
        <v>4.6648865001234639E-5</v>
      </c>
      <c r="AU221" s="147">
        <f ca="1">INDEX(Photobiology!$21:$421,1+$AH221-380,AU$14)</f>
        <v>0.5701493517259606</v>
      </c>
      <c r="AV221" s="147">
        <f ca="1">INDEX(Photobiology!$21:$421,1+$AH221-380,AV$14)</f>
        <v>0.93589659360929378</v>
      </c>
      <c r="AW221" s="147">
        <f ca="1">INDEX(Photobiology!$21:$421,1+$AH221-380,AW$14)</f>
        <v>0.10563552727146958</v>
      </c>
      <c r="AX221" s="147">
        <f ca="1">INDEX(Photobiology!$21:$421,1+$AH221-380,AX$14)</f>
        <v>2.2656949194519622E-2</v>
      </c>
      <c r="AY221" s="147">
        <f t="shared" si="79"/>
        <v>1.3272002493444747E-3</v>
      </c>
      <c r="AZ221" s="147">
        <f t="shared" ca="1" si="93"/>
        <v>8.0256462677985059E-8</v>
      </c>
      <c r="BA221" s="147">
        <f t="shared" ca="1" si="80"/>
        <v>8.1188555413099688E-4</v>
      </c>
      <c r="BB221" s="147">
        <f t="shared" ca="1" si="81"/>
        <v>1.271246814032361E-3</v>
      </c>
      <c r="BC221" s="147">
        <f t="shared" ca="1" si="82"/>
        <v>1.6085667022055033E-4</v>
      </c>
      <c r="BD221" s="147">
        <f t="shared" ca="1" si="83"/>
        <v>3.5668108541057955E-5</v>
      </c>
    </row>
    <row r="222" spans="8:56" s="147" customFormat="1" ht="0.25" customHeight="1" x14ac:dyDescent="0.2">
      <c r="H222" s="147">
        <f t="shared" si="84"/>
        <v>581</v>
      </c>
      <c r="I222" s="147">
        <f>IF($H222&gt;$H221,INDEX(Spectra!222:222,1,MATCH($I$20,Spectra!$20:$20,0)),I221)</f>
        <v>1.22988158185914E-3</v>
      </c>
      <c r="J222" s="147">
        <f>((Physics!$C$9*Physics!$C$10)/(Physics!$C$11*Physics!$C$12*$H222))^($J$17-$J$18)</f>
        <v>2.9256406758255227E+18</v>
      </c>
      <c r="K222" s="147">
        <f t="shared" si="85"/>
        <v>1</v>
      </c>
      <c r="L222" s="147">
        <f>INDEX(Photobiology!$21:$421,1+$H222-380,10)</f>
        <v>0.85986130000000005</v>
      </c>
      <c r="M222" s="147">
        <f t="shared" si="86"/>
        <v>1.22988158185914E-3</v>
      </c>
      <c r="N222" s="147">
        <f ca="1">INDEX(Photobiology!$21:$421,1+$H222-380,N$14)</f>
        <v>5.5102000000000002E-5</v>
      </c>
      <c r="O222" s="147">
        <f ca="1">INDEX(Photobiology!$21:$421,1+$H222-380,O$14)</f>
        <v>0.59499800000000003</v>
      </c>
      <c r="P222" s="147">
        <f ca="1">INDEX(Photobiology!$21:$421,1+$H222-380,P$14)</f>
        <v>0.95366399999999996</v>
      </c>
      <c r="Q222" s="147">
        <f ca="1">INDEX(Photobiology!$21:$421,1+$H222-380,Q$14)</f>
        <v>0.1143</v>
      </c>
      <c r="R222" s="147">
        <f ca="1">INDEX(Photobiology!$21:$421,1+$H222-380,R$14)</f>
        <v>2.4801400000000001E-2</v>
      </c>
      <c r="S222" s="147">
        <f t="shared" si="87"/>
        <v>3598191582335737.5</v>
      </c>
      <c r="T222" s="147">
        <f ca="1">INDEX(Photobiology!$21:$421,1+$H222-380,T$14)</f>
        <v>4.2434270994169718E-5</v>
      </c>
      <c r="U222" s="147">
        <f ca="1">INDEX(Photobiology!$21:$421,1+$H222-380,U$14)</f>
        <v>0.55360198985589948</v>
      </c>
      <c r="V222" s="147">
        <f ca="1">INDEX(Photobiology!$21:$421,1+$H222-380,V$14)</f>
        <v>0.93021147696140127</v>
      </c>
      <c r="W222" s="147">
        <f ca="1">INDEX(Photobiology!$21:$421,1+$H222-380,W$14)</f>
        <v>9.9450157702021716E-2</v>
      </c>
      <c r="X222" s="147">
        <f ca="1">INDEX(Photobiology!$21:$421,1+$H222-380,X$14)</f>
        <v>2.0873047613427703E-2</v>
      </c>
      <c r="Y222" s="147">
        <f t="shared" si="74"/>
        <v>1.22988158185914E-3</v>
      </c>
      <c r="Z222" s="147">
        <f t="shared" ca="1" si="88"/>
        <v>6.7768934923602332E-8</v>
      </c>
      <c r="AA222" s="147">
        <f t="shared" ca="1" si="75"/>
        <v>7.317770814430246E-4</v>
      </c>
      <c r="AB222" s="147">
        <f t="shared" ca="1" si="76"/>
        <v>1.172893788882115E-3</v>
      </c>
      <c r="AC222" s="147">
        <f t="shared" ca="1" si="77"/>
        <v>1.405754648064997E-4</v>
      </c>
      <c r="AD222" s="147">
        <f t="shared" ca="1" si="78"/>
        <v>3.0502785064321278E-5</v>
      </c>
      <c r="AH222" s="147">
        <f t="shared" si="89"/>
        <v>581</v>
      </c>
      <c r="AI222" s="147">
        <f>IF($AH222&gt;$AH221,INDEX(Spectra!222:222,1,MATCH($AI$20,Spectra!$20:$20,0)),AI221)</f>
        <v>95.077799999999996</v>
      </c>
      <c r="AJ222" s="147">
        <f>((Physics!$C$9*Physics!$C$10)/(Physics!$C$11*Physics!$C$12*$AH222))^($AJ$17-$AJ$18)</f>
        <v>2.9256406758255227E+18</v>
      </c>
      <c r="AK222" s="147">
        <f t="shared" si="90"/>
        <v>1</v>
      </c>
      <c r="AL222" s="147">
        <f>INDEX(Photobiology!$21:$421,1+$AH222-380,10)</f>
        <v>0.85986130000000005</v>
      </c>
      <c r="AM222" s="147">
        <f t="shared" si="91"/>
        <v>1.3173600019535233E-3</v>
      </c>
      <c r="AN222" s="147">
        <f ca="1">INDEX(Photobiology!$21:$421,1+$AH222-380,AN$14)</f>
        <v>5.5102000000000002E-5</v>
      </c>
      <c r="AO222" s="147">
        <f ca="1">INDEX(Photobiology!$21:$421,1+$AH222-380,AO$14)</f>
        <v>0.59499800000000003</v>
      </c>
      <c r="AP222" s="147">
        <f ca="1">INDEX(Photobiology!$21:$421,1+$AH222-380,AP$14)</f>
        <v>0.95366399999999996</v>
      </c>
      <c r="AQ222" s="147">
        <f ca="1">INDEX(Photobiology!$21:$421,1+$AH222-380,AQ$14)</f>
        <v>0.1143</v>
      </c>
      <c r="AR222" s="147">
        <f ca="1">INDEX(Photobiology!$21:$421,1+$AH222-380,AR$14)</f>
        <v>2.4801400000000001E-2</v>
      </c>
      <c r="AS222" s="147">
        <f t="shared" si="92"/>
        <v>3854122006420818</v>
      </c>
      <c r="AT222" s="147">
        <f ca="1">INDEX(Photobiology!$21:$421,1+$AH222-380,AT$14)</f>
        <v>4.2434270994169718E-5</v>
      </c>
      <c r="AU222" s="147">
        <f ca="1">INDEX(Photobiology!$21:$421,1+$AH222-380,AU$14)</f>
        <v>0.55360198985589948</v>
      </c>
      <c r="AV222" s="147">
        <f ca="1">INDEX(Photobiology!$21:$421,1+$AH222-380,AV$14)</f>
        <v>0.93021147696140127</v>
      </c>
      <c r="AW222" s="147">
        <f ca="1">INDEX(Photobiology!$21:$421,1+$AH222-380,AW$14)</f>
        <v>9.9450157702021716E-2</v>
      </c>
      <c r="AX222" s="147">
        <f ca="1">INDEX(Photobiology!$21:$421,1+$AH222-380,AX$14)</f>
        <v>2.0873047613427703E-2</v>
      </c>
      <c r="AY222" s="147">
        <f t="shared" si="79"/>
        <v>1.3173600019535233E-3</v>
      </c>
      <c r="AZ222" s="147">
        <f t="shared" ca="1" si="93"/>
        <v>7.258917082764305E-8</v>
      </c>
      <c r="BA222" s="147">
        <f t="shared" ca="1" si="80"/>
        <v>7.8382656644234252E-4</v>
      </c>
      <c r="BB222" s="147">
        <f t="shared" ca="1" si="81"/>
        <v>1.2563188089030049E-3</v>
      </c>
      <c r="BC222" s="147">
        <f t="shared" ca="1" si="82"/>
        <v>1.5057424822328771E-4</v>
      </c>
      <c r="BD222" s="147">
        <f t="shared" ca="1" si="83"/>
        <v>3.2672372352450117E-5</v>
      </c>
    </row>
    <row r="223" spans="8:56" s="147" customFormat="1" ht="0.25" customHeight="1" x14ac:dyDescent="0.2">
      <c r="H223" s="147">
        <f t="shared" si="84"/>
        <v>582</v>
      </c>
      <c r="I223" s="147">
        <f>IF($H223&gt;$H222,INDEX(Spectra!223:223,1,MATCH($I$20,Spectra!$20:$20,0)),I222)</f>
        <v>1.23988061911002E-3</v>
      </c>
      <c r="J223" s="147">
        <f>((Physics!$C$9*Physics!$C$10)/(Physics!$C$11*Physics!$C$12*$H223))^($J$17-$J$18)</f>
        <v>2.9306762019457044E+18</v>
      </c>
      <c r="K223" s="147">
        <f t="shared" si="85"/>
        <v>1</v>
      </c>
      <c r="L223" s="147">
        <f>INDEX(Photobiology!$21:$421,1+$H223-380,10)</f>
        <v>0.84939200000000004</v>
      </c>
      <c r="M223" s="147">
        <f t="shared" si="86"/>
        <v>1.23988061911002E-3</v>
      </c>
      <c r="N223" s="147">
        <f ca="1">INDEX(Photobiology!$21:$421,1+$H223-380,N$14)</f>
        <v>5.0226899999999998E-5</v>
      </c>
      <c r="O223" s="147">
        <f ca="1">INDEX(Photobiology!$21:$421,1+$H223-380,O$14)</f>
        <v>0.57878300000000005</v>
      </c>
      <c r="P223" s="147">
        <f ca="1">INDEX(Photobiology!$21:$421,1+$H223-380,P$14)</f>
        <v>0.95023599999999997</v>
      </c>
      <c r="Q223" s="147">
        <f ca="1">INDEX(Photobiology!$21:$421,1+$H223-380,Q$14)</f>
        <v>0.10780000000000001</v>
      </c>
      <c r="R223" s="147">
        <f ca="1">INDEX(Photobiology!$21:$421,1+$H223-380,R$14)</f>
        <v>2.28597E-2</v>
      </c>
      <c r="S223" s="147">
        <f t="shared" si="87"/>
        <v>3633688623679442</v>
      </c>
      <c r="T223" s="147">
        <f ca="1">INDEX(Photobiology!$21:$421,1+$H223-380,T$14)</f>
        <v>3.8613476576838056E-5</v>
      </c>
      <c r="U223" s="147">
        <f ca="1">INDEX(Photobiology!$21:$421,1+$H223-380,U$14)</f>
        <v>0.53758983817618566</v>
      </c>
      <c r="V223" s="147">
        <f ca="1">INDEX(Photobiology!$21:$421,1+$H223-380,V$14)</f>
        <v>0.92527522208164759</v>
      </c>
      <c r="W223" s="147">
        <f ca="1">INDEX(Photobiology!$21:$421,1+$H223-380,W$14)</f>
        <v>9.3633477752846181E-2</v>
      </c>
      <c r="X223" s="147">
        <f ca="1">INDEX(Photobiology!$21:$421,1+$H223-380,X$14)</f>
        <v>1.9205841541505318E-2</v>
      </c>
      <c r="Y223" s="147">
        <f t="shared" si="74"/>
        <v>1.23988061911002E-3</v>
      </c>
      <c r="Z223" s="147">
        <f t="shared" ca="1" si="88"/>
        <v>6.2275359867977066E-8</v>
      </c>
      <c r="AA223" s="147">
        <f t="shared" ca="1" si="75"/>
        <v>7.1762182437035474E-4</v>
      </c>
      <c r="AB223" s="147">
        <f t="shared" ca="1" si="76"/>
        <v>1.178179199980629E-3</v>
      </c>
      <c r="AC223" s="147">
        <f t="shared" ca="1" si="77"/>
        <v>1.3365913074006016E-4</v>
      </c>
      <c r="AD223" s="147">
        <f t="shared" ca="1" si="78"/>
        <v>2.8343298988669326E-5</v>
      </c>
      <c r="AH223" s="147">
        <f t="shared" si="89"/>
        <v>582</v>
      </c>
      <c r="AI223" s="147">
        <f>IF($AH223&gt;$AH222,INDEX(Spectra!223:223,1,MATCH($AI$20,Spectra!$20:$20,0)),AI222)</f>
        <v>94.367500000000007</v>
      </c>
      <c r="AJ223" s="147">
        <f>((Physics!$C$9*Physics!$C$10)/(Physics!$C$11*Physics!$C$12*$AH223))^($AJ$17-$AJ$18)</f>
        <v>2.9306762019457044E+18</v>
      </c>
      <c r="AK223" s="147">
        <f t="shared" si="90"/>
        <v>1</v>
      </c>
      <c r="AL223" s="147">
        <f>INDEX(Photobiology!$21:$421,1+$AH223-380,10)</f>
        <v>0.84939200000000004</v>
      </c>
      <c r="AM223" s="147">
        <f t="shared" si="91"/>
        <v>1.307518369002534E-3</v>
      </c>
      <c r="AN223" s="147">
        <f ca="1">INDEX(Photobiology!$21:$421,1+$AH223-380,AN$14)</f>
        <v>5.0226899999999998E-5</v>
      </c>
      <c r="AO223" s="147">
        <f ca="1">INDEX(Photobiology!$21:$421,1+$AH223-380,AO$14)</f>
        <v>0.57878300000000005</v>
      </c>
      <c r="AP223" s="147">
        <f ca="1">INDEX(Photobiology!$21:$421,1+$AH223-380,AP$14)</f>
        <v>0.95023599999999997</v>
      </c>
      <c r="AQ223" s="147">
        <f ca="1">INDEX(Photobiology!$21:$421,1+$AH223-380,AQ$14)</f>
        <v>0.10780000000000001</v>
      </c>
      <c r="AR223" s="147">
        <f ca="1">INDEX(Photobiology!$21:$421,1+$AH223-380,AR$14)</f>
        <v>2.28597E-2</v>
      </c>
      <c r="AS223" s="147">
        <f t="shared" si="92"/>
        <v>3831912967642588.5</v>
      </c>
      <c r="AT223" s="147">
        <f ca="1">INDEX(Photobiology!$21:$421,1+$AH223-380,AT$14)</f>
        <v>3.8613476576838056E-5</v>
      </c>
      <c r="AU223" s="147">
        <f ca="1">INDEX(Photobiology!$21:$421,1+$AH223-380,AU$14)</f>
        <v>0.53758983817618566</v>
      </c>
      <c r="AV223" s="147">
        <f ca="1">INDEX(Photobiology!$21:$421,1+$AH223-380,AV$14)</f>
        <v>0.92527522208164759</v>
      </c>
      <c r="AW223" s="147">
        <f ca="1">INDEX(Photobiology!$21:$421,1+$AH223-380,AW$14)</f>
        <v>9.3633477752846181E-2</v>
      </c>
      <c r="AX223" s="147">
        <f ca="1">INDEX(Photobiology!$21:$421,1+$AH223-380,AX$14)</f>
        <v>1.9205841541505318E-2</v>
      </c>
      <c r="AY223" s="147">
        <f t="shared" si="79"/>
        <v>1.307518369002534E-3</v>
      </c>
      <c r="AZ223" s="147">
        <f t="shared" ca="1" si="93"/>
        <v>6.567259436805337E-8</v>
      </c>
      <c r="BA223" s="147">
        <f t="shared" ca="1" si="80"/>
        <v>7.5676940416639362E-4</v>
      </c>
      <c r="BB223" s="147">
        <f t="shared" ca="1" si="81"/>
        <v>1.2424510248874919E-3</v>
      </c>
      <c r="BC223" s="147">
        <f t="shared" ca="1" si="82"/>
        <v>1.4095048017847317E-4</v>
      </c>
      <c r="BD223" s="147">
        <f t="shared" ca="1" si="83"/>
        <v>2.9889477659887224E-5</v>
      </c>
    </row>
    <row r="224" spans="8:56" s="147" customFormat="1" ht="0.25" customHeight="1" x14ac:dyDescent="0.2">
      <c r="H224" s="147">
        <f t="shared" si="84"/>
        <v>583</v>
      </c>
      <c r="I224" s="147">
        <f>IF($H224&gt;$H223,INDEX(Spectra!224:224,1,MATCH($I$20,Spectra!$20:$20,0)),I223)</f>
        <v>1.24987965636091E-3</v>
      </c>
      <c r="J224" s="147">
        <f>((Physics!$C$9*Physics!$C$10)/(Physics!$C$11*Physics!$C$12*$H224))^($J$17-$J$18)</f>
        <v>2.9357117280658862E+18</v>
      </c>
      <c r="K224" s="147">
        <f t="shared" si="85"/>
        <v>1</v>
      </c>
      <c r="L224" s="147">
        <f>INDEX(Photobiology!$21:$421,1+$H224-380,10)</f>
        <v>0.83862199999999998</v>
      </c>
      <c r="M224" s="147">
        <f t="shared" si="86"/>
        <v>1.24987965636091E-3</v>
      </c>
      <c r="N224" s="147">
        <f ca="1">INDEX(Photobiology!$21:$421,1+$H224-380,N$14)</f>
        <v>4.5798799999999999E-5</v>
      </c>
      <c r="O224" s="147">
        <f ca="1">INDEX(Photobiology!$21:$421,1+$H224-380,O$14)</f>
        <v>0.56293499999999996</v>
      </c>
      <c r="P224" s="147">
        <f ca="1">INDEX(Photobiology!$21:$421,1+$H224-380,P$14)</f>
        <v>0.94708599999999998</v>
      </c>
      <c r="Q224" s="147">
        <f ca="1">INDEX(Photobiology!$21:$421,1+$H224-380,Q$14)</f>
        <v>0.10150000000000001</v>
      </c>
      <c r="R224" s="147">
        <f ca="1">INDEX(Photobiology!$21:$421,1+$H224-380,R$14)</f>
        <v>2.10534E-2</v>
      </c>
      <c r="S224" s="147">
        <f t="shared" si="87"/>
        <v>3669286365849683</v>
      </c>
      <c r="T224" s="147">
        <f ca="1">INDEX(Photobiology!$21:$421,1+$H224-380,T$14)</f>
        <v>3.514884509292451E-5</v>
      </c>
      <c r="U224" s="147">
        <f ca="1">INDEX(Photobiology!$21:$421,1+$H224-380,U$14)</f>
        <v>0.52197291185580985</v>
      </c>
      <c r="V224" s="147">
        <f ca="1">INDEX(Photobiology!$21:$421,1+$H224-380,V$14)</f>
        <v>0.92062613436495255</v>
      </c>
      <c r="W224" s="147">
        <f ca="1">INDEX(Photobiology!$21:$421,1+$H224-380,W$14)</f>
        <v>8.8010171165296927E-2</v>
      </c>
      <c r="X224" s="147">
        <f ca="1">INDEX(Photobiology!$21:$421,1+$H224-380,X$14)</f>
        <v>1.7657917625082405E-2</v>
      </c>
      <c r="Y224" s="147">
        <f t="shared" si="74"/>
        <v>1.24987965636091E-3</v>
      </c>
      <c r="Z224" s="147">
        <f t="shared" ca="1" si="88"/>
        <v>5.7242988405742044E-8</v>
      </c>
      <c r="AA224" s="147">
        <f t="shared" ca="1" si="75"/>
        <v>7.0360100435352881E-4</v>
      </c>
      <c r="AB224" s="147">
        <f t="shared" ca="1" si="76"/>
        <v>1.1837435242242288E-3</v>
      </c>
      <c r="AC224" s="147">
        <f t="shared" ca="1" si="77"/>
        <v>1.2686278512063237E-4</v>
      </c>
      <c r="AD224" s="147">
        <f t="shared" ca="1" si="78"/>
        <v>2.6314216357228783E-5</v>
      </c>
      <c r="AH224" s="147">
        <f t="shared" si="89"/>
        <v>583</v>
      </c>
      <c r="AI224" s="147">
        <f>IF($AH224&gt;$AH223,INDEX(Spectra!224:224,1,MATCH($AI$20,Spectra!$20:$20,0)),AI223)</f>
        <v>93.657300000000006</v>
      </c>
      <c r="AJ224" s="147">
        <f>((Physics!$C$9*Physics!$C$10)/(Physics!$C$11*Physics!$C$12*$AH224))^($AJ$17-$AJ$18)</f>
        <v>2.9357117280658862E+18</v>
      </c>
      <c r="AK224" s="147">
        <f t="shared" si="90"/>
        <v>1</v>
      </c>
      <c r="AL224" s="147">
        <f>INDEX(Photobiology!$21:$421,1+$AH224-380,10)</f>
        <v>0.83862199999999998</v>
      </c>
      <c r="AM224" s="147">
        <f t="shared" si="91"/>
        <v>1.2976781216115826E-3</v>
      </c>
      <c r="AN224" s="147">
        <f ca="1">INDEX(Photobiology!$21:$421,1+$AH224-380,AN$14)</f>
        <v>4.5798799999999999E-5</v>
      </c>
      <c r="AO224" s="147">
        <f ca="1">INDEX(Photobiology!$21:$421,1+$AH224-380,AO$14)</f>
        <v>0.56293499999999996</v>
      </c>
      <c r="AP224" s="147">
        <f ca="1">INDEX(Photobiology!$21:$421,1+$AH224-380,AP$14)</f>
        <v>0.94708599999999998</v>
      </c>
      <c r="AQ224" s="147">
        <f ca="1">INDEX(Photobiology!$21:$421,1+$AH224-380,AQ$14)</f>
        <v>0.10150000000000001</v>
      </c>
      <c r="AR224" s="147">
        <f ca="1">INDEX(Photobiology!$21:$421,1+$AH224-380,AR$14)</f>
        <v>2.10534E-2</v>
      </c>
      <c r="AS224" s="147">
        <f t="shared" si="92"/>
        <v>3809608880869632.5</v>
      </c>
      <c r="AT224" s="147">
        <f ca="1">INDEX(Photobiology!$21:$421,1+$AH224-380,AT$14)</f>
        <v>3.514884509292451E-5</v>
      </c>
      <c r="AU224" s="147">
        <f ca="1">INDEX(Photobiology!$21:$421,1+$AH224-380,AU$14)</f>
        <v>0.52197291185580985</v>
      </c>
      <c r="AV224" s="147">
        <f ca="1">INDEX(Photobiology!$21:$421,1+$AH224-380,AV$14)</f>
        <v>0.92062613436495255</v>
      </c>
      <c r="AW224" s="147">
        <f ca="1">INDEX(Photobiology!$21:$421,1+$AH224-380,AW$14)</f>
        <v>8.8010171165296927E-2</v>
      </c>
      <c r="AX224" s="147">
        <f ca="1">INDEX(Photobiology!$21:$421,1+$AH224-380,AX$14)</f>
        <v>1.7657917625082405E-2</v>
      </c>
      <c r="AY224" s="147">
        <f t="shared" si="79"/>
        <v>1.2976781216115826E-3</v>
      </c>
      <c r="AZ224" s="147">
        <f t="shared" ca="1" si="93"/>
        <v>5.9432100756064545E-8</v>
      </c>
      <c r="BA224" s="147">
        <f t="shared" ca="1" si="80"/>
        <v>7.305084333894162E-4</v>
      </c>
      <c r="BB224" s="147">
        <f t="shared" ca="1" si="81"/>
        <v>1.2290127814846273E-3</v>
      </c>
      <c r="BC224" s="147">
        <f t="shared" ca="1" si="82"/>
        <v>1.3171432934357564E-4</v>
      </c>
      <c r="BD224" s="147">
        <f t="shared" ca="1" si="83"/>
        <v>2.7320536565537294E-5</v>
      </c>
    </row>
    <row r="225" spans="8:56" s="147" customFormat="1" ht="0.25" customHeight="1" x14ac:dyDescent="0.2">
      <c r="H225" s="147">
        <f t="shared" si="84"/>
        <v>584</v>
      </c>
      <c r="I225" s="147">
        <f>IF($H225&gt;$H224,INDEX(Spectra!225:225,1,MATCH($I$20,Spectra!$20:$20,0)),I224)</f>
        <v>1.24987965636091E-3</v>
      </c>
      <c r="J225" s="147">
        <f>((Physics!$C$9*Physics!$C$10)/(Physics!$C$11*Physics!$C$12*$H225))^($J$17-$J$18)</f>
        <v>2.9407472541860675E+18</v>
      </c>
      <c r="K225" s="147">
        <f t="shared" si="85"/>
        <v>1</v>
      </c>
      <c r="L225" s="147">
        <f>INDEX(Photobiology!$21:$421,1+$H225-380,10)</f>
        <v>0.82758129999999996</v>
      </c>
      <c r="M225" s="147">
        <f t="shared" si="86"/>
        <v>1.24987965636091E-3</v>
      </c>
      <c r="N225" s="147">
        <f ca="1">INDEX(Photobiology!$21:$421,1+$H225-380,N$14)</f>
        <v>4.1775900000000001E-5</v>
      </c>
      <c r="O225" s="147">
        <f ca="1">INDEX(Photobiology!$21:$421,1+$H225-380,O$14)</f>
        <v>0.54732099999999995</v>
      </c>
      <c r="P225" s="147">
        <f ca="1">INDEX(Photobiology!$21:$421,1+$H225-380,P$14)</f>
        <v>0.94375200000000004</v>
      </c>
      <c r="Q225" s="147">
        <f ca="1">INDEX(Photobiology!$21:$421,1+$H225-380,Q$14)</f>
        <v>9.5600000000000004E-2</v>
      </c>
      <c r="R225" s="147">
        <f ca="1">INDEX(Photobiology!$21:$421,1+$H225-380,R$14)</f>
        <v>1.9386400000000002E-2</v>
      </c>
      <c r="S225" s="147">
        <f t="shared" si="87"/>
        <v>3675580167506371.5</v>
      </c>
      <c r="T225" s="147">
        <f ca="1">INDEX(Photobiology!$21:$421,1+$H225-380,T$14)</f>
        <v>3.2006521952200216E-5</v>
      </c>
      <c r="U225" s="147">
        <f ca="1">INDEX(Photobiology!$21:$421,1+$H225-380,U$14)</f>
        <v>0.50662606956973988</v>
      </c>
      <c r="V225" s="147">
        <f ca="1">INDEX(Photobiology!$21:$421,1+$H225-380,V$14)</f>
        <v>0.91581441507396588</v>
      </c>
      <c r="W225" s="147">
        <f ca="1">INDEX(Photobiology!$21:$421,1+$H225-380,W$14)</f>
        <v>8.2752366689108417E-2</v>
      </c>
      <c r="X225" s="147">
        <f ca="1">INDEX(Photobiology!$21:$421,1+$H225-380,X$14)</f>
        <v>1.6231928522164096E-2</v>
      </c>
      <c r="Y225" s="147">
        <f t="shared" si="74"/>
        <v>1.24987965636091E-3</v>
      </c>
      <c r="Z225" s="147">
        <f t="shared" ca="1" si="88"/>
        <v>5.2214847536167742E-8</v>
      </c>
      <c r="AA225" s="147">
        <f t="shared" ca="1" si="75"/>
        <v>6.8408538339910952E-4</v>
      </c>
      <c r="AB225" s="147">
        <f t="shared" ca="1" si="76"/>
        <v>1.1795764254499217E-3</v>
      </c>
      <c r="AC225" s="147">
        <f t="shared" ca="1" si="77"/>
        <v>1.19488495148103E-4</v>
      </c>
      <c r="AD225" s="147">
        <f t="shared" ca="1" si="78"/>
        <v>2.4230666970075147E-5</v>
      </c>
      <c r="AH225" s="147">
        <f t="shared" si="89"/>
        <v>584</v>
      </c>
      <c r="AI225" s="147">
        <f>IF($AH225&gt;$AH224,INDEX(Spectra!225:225,1,MATCH($AI$20,Spectra!$20:$20,0)),AI224)</f>
        <v>92.947000000000003</v>
      </c>
      <c r="AJ225" s="147">
        <f>((Physics!$C$9*Physics!$C$10)/(Physics!$C$11*Physics!$C$12*$AH225))^($AJ$17-$AJ$18)</f>
        <v>2.9407472541860675E+18</v>
      </c>
      <c r="AK225" s="147">
        <f t="shared" si="90"/>
        <v>1</v>
      </c>
      <c r="AL225" s="147">
        <f>INDEX(Photobiology!$21:$421,1+$AH225-380,10)</f>
        <v>0.82758129999999996</v>
      </c>
      <c r="AM225" s="147">
        <f t="shared" si="91"/>
        <v>1.2878364886605932E-3</v>
      </c>
      <c r="AN225" s="147">
        <f ca="1">INDEX(Photobiology!$21:$421,1+$AH225-380,AN$14)</f>
        <v>4.1775900000000001E-5</v>
      </c>
      <c r="AO225" s="147">
        <f ca="1">INDEX(Photobiology!$21:$421,1+$AH225-380,AO$14)</f>
        <v>0.54732099999999995</v>
      </c>
      <c r="AP225" s="147">
        <f ca="1">INDEX(Photobiology!$21:$421,1+$AH225-380,AP$14)</f>
        <v>0.94375200000000004</v>
      </c>
      <c r="AQ225" s="147">
        <f ca="1">INDEX(Photobiology!$21:$421,1+$AH225-380,AQ$14)</f>
        <v>9.5600000000000004E-2</v>
      </c>
      <c r="AR225" s="147">
        <f ca="1">INDEX(Photobiology!$21:$421,1+$AH225-380,AR$14)</f>
        <v>1.9386400000000002E-2</v>
      </c>
      <c r="AS225" s="147">
        <f t="shared" si="92"/>
        <v>3787201617869266</v>
      </c>
      <c r="AT225" s="147">
        <f ca="1">INDEX(Photobiology!$21:$421,1+$AH225-380,AT$14)</f>
        <v>3.2006521952200216E-5</v>
      </c>
      <c r="AU225" s="147">
        <f ca="1">INDEX(Photobiology!$21:$421,1+$AH225-380,AU$14)</f>
        <v>0.50662606956973988</v>
      </c>
      <c r="AV225" s="147">
        <f ca="1">INDEX(Photobiology!$21:$421,1+$AH225-380,AV$14)</f>
        <v>0.91581441507396588</v>
      </c>
      <c r="AW225" s="147">
        <f ca="1">INDEX(Photobiology!$21:$421,1+$AH225-380,AW$14)</f>
        <v>8.2752366689108417E-2</v>
      </c>
      <c r="AX225" s="147">
        <f ca="1">INDEX(Photobiology!$21:$421,1+$AH225-380,AX$14)</f>
        <v>1.6231928522164096E-2</v>
      </c>
      <c r="AY225" s="147">
        <f t="shared" si="79"/>
        <v>1.2878364886605932E-3</v>
      </c>
      <c r="AZ225" s="147">
        <f t="shared" ca="1" si="93"/>
        <v>5.3800528366636075E-8</v>
      </c>
      <c r="BA225" s="147">
        <f t="shared" ca="1" si="80"/>
        <v>7.0485995481020449E-4</v>
      </c>
      <c r="BB225" s="147">
        <f t="shared" ca="1" si="81"/>
        <v>1.2153982618464123E-3</v>
      </c>
      <c r="BC225" s="147">
        <f t="shared" ca="1" si="82"/>
        <v>1.2311716831595271E-4</v>
      </c>
      <c r="BD225" s="147">
        <f t="shared" ca="1" si="83"/>
        <v>2.4966513303769726E-5</v>
      </c>
    </row>
    <row r="226" spans="8:56" s="147" customFormat="1" ht="0.25" customHeight="1" x14ac:dyDescent="0.2">
      <c r="H226" s="147">
        <f t="shared" si="84"/>
        <v>585</v>
      </c>
      <c r="I226" s="147">
        <f>IF($H226&gt;$H225,INDEX(Spectra!226:226,1,MATCH($I$20,Spectra!$20:$20,0)),I225)</f>
        <v>1.23988061911002E-3</v>
      </c>
      <c r="J226" s="147">
        <f>((Physics!$C$9*Physics!$C$10)/(Physics!$C$11*Physics!$C$12*$H226))^($J$17-$J$18)</f>
        <v>2.9457827803062492E+18</v>
      </c>
      <c r="K226" s="147">
        <f t="shared" si="85"/>
        <v>1</v>
      </c>
      <c r="L226" s="147">
        <f>INDEX(Photobiology!$21:$421,1+$H226-380,10)</f>
        <v>0.81630000000000003</v>
      </c>
      <c r="M226" s="147">
        <f t="shared" si="86"/>
        <v>1.23988061911002E-3</v>
      </c>
      <c r="N226" s="147">
        <f ca="1">INDEX(Photobiology!$21:$421,1+$H226-380,N$14)</f>
        <v>3.8120200000000001E-5</v>
      </c>
      <c r="O226" s="147">
        <f ca="1">INDEX(Photobiology!$21:$421,1+$H226-380,O$14)</f>
        <v>0.53182499999999999</v>
      </c>
      <c r="P226" s="147">
        <f ca="1">INDEX(Photobiology!$21:$421,1+$H226-380,P$14)</f>
        <v>0.93978099999999998</v>
      </c>
      <c r="Q226" s="147">
        <f ca="1">INDEX(Photobiology!$21:$421,1+$H226-380,Q$14)</f>
        <v>8.9899999999999994E-2</v>
      </c>
      <c r="R226" s="147">
        <f ca="1">INDEX(Photobiology!$21:$421,1+$H226-380,R$14)</f>
        <v>1.78624E-2</v>
      </c>
      <c r="S226" s="147">
        <f t="shared" si="87"/>
        <v>3652418977409748.5</v>
      </c>
      <c r="T226" s="147">
        <f ca="1">INDEX(Photobiology!$21:$421,1+$H226-380,T$14)</f>
        <v>2.9155790434500555E-5</v>
      </c>
      <c r="U226" s="147">
        <f ca="1">INDEX(Photobiology!$21:$421,1+$H226-380,U$14)</f>
        <v>0.49144073476084393</v>
      </c>
      <c r="V226" s="147">
        <f ca="1">INDEX(Photobiology!$21:$421,1+$H226-380,V$14)</f>
        <v>0.910402059664983</v>
      </c>
      <c r="W226" s="147">
        <f ca="1">INDEX(Photobiology!$21:$421,1+$H226-380,W$14)</f>
        <v>7.7685363783658659E-2</v>
      </c>
      <c r="X226" s="147">
        <f ca="1">INDEX(Photobiology!$21:$421,1+$H226-380,X$14)</f>
        <v>1.4930341582312307E-2</v>
      </c>
      <c r="Y226" s="147">
        <f t="shared" si="74"/>
        <v>1.23988061911002E-3</v>
      </c>
      <c r="Z226" s="147">
        <f t="shared" ca="1" si="88"/>
        <v>4.7264497176597789E-8</v>
      </c>
      <c r="AA226" s="147">
        <f t="shared" ca="1" si="75"/>
        <v>6.5939951025818636E-4</v>
      </c>
      <c r="AB226" s="147">
        <f t="shared" ca="1" si="76"/>
        <v>1.1652162481078337E-3</v>
      </c>
      <c r="AC226" s="147">
        <f t="shared" ca="1" si="77"/>
        <v>1.114652676579908E-4</v>
      </c>
      <c r="AD226" s="147">
        <f t="shared" ca="1" si="78"/>
        <v>2.2147243570790822E-5</v>
      </c>
      <c r="AH226" s="147">
        <f t="shared" si="89"/>
        <v>585</v>
      </c>
      <c r="AI226" s="147">
        <f>IF($AH226&gt;$AH225,INDEX(Spectra!226:226,1,MATCH($AI$20,Spectra!$20:$20,0)),AI225)</f>
        <v>92.236800000000002</v>
      </c>
      <c r="AJ226" s="147">
        <f>((Physics!$C$9*Physics!$C$10)/(Physics!$C$11*Physics!$C$12*$AH226))^($AJ$17-$AJ$18)</f>
        <v>2.9457827803062492E+18</v>
      </c>
      <c r="AK226" s="147">
        <f t="shared" si="90"/>
        <v>1</v>
      </c>
      <c r="AL226" s="147">
        <f>INDEX(Photobiology!$21:$421,1+$AH226-380,10)</f>
        <v>0.81630000000000003</v>
      </c>
      <c r="AM226" s="147">
        <f t="shared" si="91"/>
        <v>1.2779962412696418E-3</v>
      </c>
      <c r="AN226" s="147">
        <f ca="1">INDEX(Photobiology!$21:$421,1+$AH226-380,AN$14)</f>
        <v>3.8120200000000001E-5</v>
      </c>
      <c r="AO226" s="147">
        <f ca="1">INDEX(Photobiology!$21:$421,1+$AH226-380,AO$14)</f>
        <v>0.53182499999999999</v>
      </c>
      <c r="AP226" s="147">
        <f ca="1">INDEX(Photobiology!$21:$421,1+$AH226-380,AP$14)</f>
        <v>0.93978099999999998</v>
      </c>
      <c r="AQ226" s="147">
        <f ca="1">INDEX(Photobiology!$21:$421,1+$AH226-380,AQ$14)</f>
        <v>8.9899999999999994E-2</v>
      </c>
      <c r="AR226" s="147">
        <f ca="1">INDEX(Photobiology!$21:$421,1+$AH226-380,AR$14)</f>
        <v>1.78624E-2</v>
      </c>
      <c r="AS226" s="147">
        <f t="shared" si="92"/>
        <v>3764699320828221.5</v>
      </c>
      <c r="AT226" s="147">
        <f ca="1">INDEX(Photobiology!$21:$421,1+$AH226-380,AT$14)</f>
        <v>2.9155790434500555E-5</v>
      </c>
      <c r="AU226" s="147">
        <f ca="1">INDEX(Photobiology!$21:$421,1+$AH226-380,AU$14)</f>
        <v>0.49144073476084393</v>
      </c>
      <c r="AV226" s="147">
        <f ca="1">INDEX(Photobiology!$21:$421,1+$AH226-380,AV$14)</f>
        <v>0.910402059664983</v>
      </c>
      <c r="AW226" s="147">
        <f ca="1">INDEX(Photobiology!$21:$421,1+$AH226-380,AW$14)</f>
        <v>7.7685363783658659E-2</v>
      </c>
      <c r="AX226" s="147">
        <f ca="1">INDEX(Photobiology!$21:$421,1+$AH226-380,AX$14)</f>
        <v>1.4930341582312307E-2</v>
      </c>
      <c r="AY226" s="147">
        <f t="shared" si="79"/>
        <v>1.2779962412696418E-3</v>
      </c>
      <c r="AZ226" s="147">
        <f t="shared" ca="1" si="93"/>
        <v>4.8717472316447E-8</v>
      </c>
      <c r="BA226" s="147">
        <f t="shared" ca="1" si="80"/>
        <v>6.7967035101322722E-4</v>
      </c>
      <c r="BB226" s="147">
        <f t="shared" ca="1" si="81"/>
        <v>1.2010365856166252E-3</v>
      </c>
      <c r="BC226" s="147">
        <f t="shared" ca="1" si="82"/>
        <v>1.1489186209014079E-4</v>
      </c>
      <c r="BD226" s="147">
        <f t="shared" ca="1" si="83"/>
        <v>2.2828080060054851E-5</v>
      </c>
    </row>
    <row r="227" spans="8:56" s="147" customFormat="1" ht="0.25" customHeight="1" x14ac:dyDescent="0.2">
      <c r="H227" s="147">
        <f t="shared" si="84"/>
        <v>586</v>
      </c>
      <c r="I227" s="147">
        <f>IF($H227&gt;$H226,INDEX(Spectra!227:227,1,MATCH($I$20,Spectra!$20:$20,0)),I226)</f>
        <v>1.22488206323369E-3</v>
      </c>
      <c r="J227" s="147">
        <f>((Physics!$C$9*Physics!$C$10)/(Physics!$C$11*Physics!$C$12*$H227))^($J$17-$J$18)</f>
        <v>2.950818306426431E+18</v>
      </c>
      <c r="K227" s="147">
        <f t="shared" si="85"/>
        <v>1</v>
      </c>
      <c r="L227" s="147">
        <f>INDEX(Photobiology!$21:$421,1+$H227-380,10)</f>
        <v>0.80479469999999997</v>
      </c>
      <c r="M227" s="147">
        <f t="shared" si="86"/>
        <v>1.22488206323369E-3</v>
      </c>
      <c r="N227" s="147">
        <f ca="1">INDEX(Photobiology!$21:$421,1+$H227-380,N$14)</f>
        <v>3.47974E-5</v>
      </c>
      <c r="O227" s="147">
        <f ca="1">INDEX(Photobiology!$21:$421,1+$H227-380,O$14)</f>
        <v>0.51635399999999998</v>
      </c>
      <c r="P227" s="147">
        <f ca="1">INDEX(Photobiology!$21:$421,1+$H227-380,P$14)</f>
        <v>0.93482600000000005</v>
      </c>
      <c r="Q227" s="147">
        <f ca="1">INDEX(Photobiology!$21:$421,1+$H227-380,Q$14)</f>
        <v>8.4500000000000006E-2</v>
      </c>
      <c r="R227" s="147">
        <f ca="1">INDEX(Photobiology!$21:$421,1+$H227-380,R$14)</f>
        <v>1.6457800000000002E-2</v>
      </c>
      <c r="S227" s="147">
        <f t="shared" si="87"/>
        <v>3614404415403350</v>
      </c>
      <c r="T227" s="147">
        <f ca="1">INDEX(Photobiology!$21:$421,1+$H227-380,T$14)</f>
        <v>2.6568968562774455E-5</v>
      </c>
      <c r="U227" s="147">
        <f ca="1">INDEX(Photobiology!$21:$421,1+$H227-380,U$14)</f>
        <v>0.47633028922935683</v>
      </c>
      <c r="V227" s="147">
        <f ca="1">INDEX(Photobiology!$21:$421,1+$H227-380,V$14)</f>
        <v>0.90405656443747973</v>
      </c>
      <c r="W227" s="147">
        <f ca="1">INDEX(Photobiology!$21:$421,1+$H227-380,W$14)</f>
        <v>7.2894451271904456E-2</v>
      </c>
      <c r="X227" s="147">
        <f ca="1">INDEX(Photobiology!$21:$421,1+$H227-380,X$14)</f>
        <v>1.3732827464664562E-2</v>
      </c>
      <c r="Y227" s="147">
        <f t="shared" si="74"/>
        <v>1.22488206323369E-3</v>
      </c>
      <c r="Z227" s="147">
        <f t="shared" ca="1" si="88"/>
        <v>4.2622711107168006E-8</v>
      </c>
      <c r="AA227" s="147">
        <f t="shared" ca="1" si="75"/>
        <v>6.3247275287896872E-4</v>
      </c>
      <c r="AB227" s="147">
        <f t="shared" ca="1" si="76"/>
        <v>1.1450515996444975E-3</v>
      </c>
      <c r="AC227" s="147">
        <f t="shared" ca="1" si="77"/>
        <v>1.0350253434324681E-4</v>
      </c>
      <c r="AD227" s="147">
        <f t="shared" ca="1" si="78"/>
        <v>2.0158864020287424E-5</v>
      </c>
      <c r="AH227" s="147">
        <f t="shared" si="89"/>
        <v>586</v>
      </c>
      <c r="AI227" s="147">
        <f>IF($AH227&gt;$AH226,INDEX(Spectra!227:227,1,MATCH($AI$20,Spectra!$20:$20,0)),AI226)</f>
        <v>91.526600000000002</v>
      </c>
      <c r="AJ227" s="147">
        <f>((Physics!$C$9*Physics!$C$10)/(Physics!$C$11*Physics!$C$12*$AH227))^($AJ$17-$AJ$18)</f>
        <v>2.950818306426431E+18</v>
      </c>
      <c r="AK227" s="147">
        <f t="shared" si="90"/>
        <v>1</v>
      </c>
      <c r="AL227" s="147">
        <f>INDEX(Photobiology!$21:$421,1+$AH227-380,10)</f>
        <v>0.80479469999999997</v>
      </c>
      <c r="AM227" s="147">
        <f t="shared" si="91"/>
        <v>1.2681559938786905E-3</v>
      </c>
      <c r="AN227" s="147">
        <f ca="1">INDEX(Photobiology!$21:$421,1+$AH227-380,AN$14)</f>
        <v>3.47974E-5</v>
      </c>
      <c r="AO227" s="147">
        <f ca="1">INDEX(Photobiology!$21:$421,1+$AH227-380,AO$14)</f>
        <v>0.51635399999999998</v>
      </c>
      <c r="AP227" s="147">
        <f ca="1">INDEX(Photobiology!$21:$421,1+$AH227-380,AP$14)</f>
        <v>0.93482600000000005</v>
      </c>
      <c r="AQ227" s="147">
        <f ca="1">INDEX(Photobiology!$21:$421,1+$AH227-380,AQ$14)</f>
        <v>8.4500000000000006E-2</v>
      </c>
      <c r="AR227" s="147">
        <f ca="1">INDEX(Photobiology!$21:$421,1+$AH227-380,AR$14)</f>
        <v>1.6457800000000002E-2</v>
      </c>
      <c r="AS227" s="147">
        <f t="shared" si="92"/>
        <v>3742097922141645</v>
      </c>
      <c r="AT227" s="147">
        <f ca="1">INDEX(Photobiology!$21:$421,1+$AH227-380,AT$14)</f>
        <v>2.6568968562774455E-5</v>
      </c>
      <c r="AU227" s="147">
        <f ca="1">INDEX(Photobiology!$21:$421,1+$AH227-380,AU$14)</f>
        <v>0.47633028922935683</v>
      </c>
      <c r="AV227" s="147">
        <f ca="1">INDEX(Photobiology!$21:$421,1+$AH227-380,AV$14)</f>
        <v>0.90405656443747973</v>
      </c>
      <c r="AW227" s="147">
        <f ca="1">INDEX(Photobiology!$21:$421,1+$AH227-380,AW$14)</f>
        <v>7.2894451271904456E-2</v>
      </c>
      <c r="AX227" s="147">
        <f ca="1">INDEX(Photobiology!$21:$421,1+$AH227-380,AX$14)</f>
        <v>1.3732827464664562E-2</v>
      </c>
      <c r="AY227" s="147">
        <f t="shared" si="79"/>
        <v>1.2681559938786905E-3</v>
      </c>
      <c r="AZ227" s="147">
        <f t="shared" ca="1" si="93"/>
        <v>4.4128531381394343E-8</v>
      </c>
      <c r="BA227" s="147">
        <f t="shared" ca="1" si="80"/>
        <v>6.5481742006323737E-4</v>
      </c>
      <c r="BB227" s="147">
        <f t="shared" ca="1" si="81"/>
        <v>1.1855051951336407E-3</v>
      </c>
      <c r="BC227" s="147">
        <f t="shared" ca="1" si="82"/>
        <v>1.0715918148274936E-4</v>
      </c>
      <c r="BD227" s="147">
        <f t="shared" ca="1" si="83"/>
        <v>2.0871057716056713E-5</v>
      </c>
    </row>
    <row r="228" spans="8:56" s="147" customFormat="1" ht="0.25" customHeight="1" x14ac:dyDescent="0.2">
      <c r="H228" s="147">
        <f t="shared" si="84"/>
        <v>587</v>
      </c>
      <c r="I228" s="147">
        <f>IF($H228&gt;$H227,INDEX(Spectra!228:228,1,MATCH($I$20,Spectra!$20:$20,0)),I227)</f>
        <v>1.19988447010648E-3</v>
      </c>
      <c r="J228" s="147">
        <f>((Physics!$C$9*Physics!$C$10)/(Physics!$C$11*Physics!$C$12*$H228))^($J$17-$J$18)</f>
        <v>2.9558538325466122E+18</v>
      </c>
      <c r="K228" s="147">
        <f t="shared" si="85"/>
        <v>1</v>
      </c>
      <c r="L228" s="147">
        <f>INDEX(Photobiology!$21:$421,1+$H228-380,10)</f>
        <v>0.79308199999999995</v>
      </c>
      <c r="M228" s="147">
        <f t="shared" si="86"/>
        <v>1.19988447010648E-3</v>
      </c>
      <c r="N228" s="147">
        <f ca="1">INDEX(Photobiology!$21:$421,1+$H228-380,N$14)</f>
        <v>3.1776300000000003E-5</v>
      </c>
      <c r="O228" s="147">
        <f ca="1">INDEX(Photobiology!$21:$421,1+$H228-380,O$14)</f>
        <v>0.50087000000000004</v>
      </c>
      <c r="P228" s="147">
        <f ca="1">INDEX(Photobiology!$21:$421,1+$H228-380,P$14)</f>
        <v>0.92891699999999999</v>
      </c>
      <c r="Q228" s="147">
        <f ca="1">INDEX(Photobiology!$21:$421,1+$H228-380,Q$14)</f>
        <v>7.9299999999999995E-2</v>
      </c>
      <c r="R228" s="147">
        <f ca="1">INDEX(Photobiology!$21:$421,1+$H228-380,R$14)</f>
        <v>1.5147000000000001E-2</v>
      </c>
      <c r="S228" s="147">
        <f t="shared" si="87"/>
        <v>3546683109577400</v>
      </c>
      <c r="T228" s="147">
        <f ca="1">INDEX(Photobiology!$21:$421,1+$H228-380,T$14)</f>
        <v>2.4220925914034245E-5</v>
      </c>
      <c r="U228" s="147">
        <f ca="1">INDEX(Photobiology!$21:$421,1+$H228-380,U$14)</f>
        <v>0.46125935541618696</v>
      </c>
      <c r="V228" s="147">
        <f ca="1">INDEX(Photobiology!$21:$421,1+$H228-380,V$14)</f>
        <v>0.89681166155596603</v>
      </c>
      <c r="W228" s="147">
        <f ca="1">INDEX(Photobiology!$21:$421,1+$H228-380,W$14)</f>
        <v>6.8292099467055334E-2</v>
      </c>
      <c r="X228" s="147">
        <f ca="1">INDEX(Photobiology!$21:$421,1+$H228-380,X$14)</f>
        <v>1.2617529348445065E-2</v>
      </c>
      <c r="Y228" s="147">
        <f t="shared" si="74"/>
        <v>1.19988447010648E-3</v>
      </c>
      <c r="Z228" s="147">
        <f t="shared" ca="1" si="88"/>
        <v>3.8127888887444545E-8</v>
      </c>
      <c r="AA228" s="147">
        <f t="shared" ca="1" si="75"/>
        <v>6.0098613454223268E-4</v>
      </c>
      <c r="AB228" s="147">
        <f t="shared" ca="1" si="76"/>
        <v>1.1145930823179011E-3</v>
      </c>
      <c r="AC228" s="147">
        <f t="shared" ca="1" si="77"/>
        <v>9.5150838479443858E-5</v>
      </c>
      <c r="AD228" s="147">
        <f t="shared" ca="1" si="78"/>
        <v>1.8174650068702853E-5</v>
      </c>
      <c r="AH228" s="147">
        <f t="shared" si="89"/>
        <v>587</v>
      </c>
      <c r="AI228" s="147">
        <f>IF($AH228&gt;$AH227,INDEX(Spectra!228:228,1,MATCH($AI$20,Spectra!$20:$20,0)),AI227)</f>
        <v>90.816299999999998</v>
      </c>
      <c r="AJ228" s="147">
        <f>((Physics!$C$9*Physics!$C$10)/(Physics!$C$11*Physics!$C$12*$AH228))^($AJ$17-$AJ$18)</f>
        <v>2.9558538325466122E+18</v>
      </c>
      <c r="AK228" s="147">
        <f t="shared" si="90"/>
        <v>1</v>
      </c>
      <c r="AL228" s="147">
        <f>INDEX(Photobiology!$21:$421,1+$AH228-380,10)</f>
        <v>0.79308199999999995</v>
      </c>
      <c r="AM228" s="147">
        <f t="shared" si="91"/>
        <v>1.2583143609277009E-3</v>
      </c>
      <c r="AN228" s="147">
        <f ca="1">INDEX(Photobiology!$21:$421,1+$AH228-380,AN$14)</f>
        <v>3.1776300000000003E-5</v>
      </c>
      <c r="AO228" s="147">
        <f ca="1">INDEX(Photobiology!$21:$421,1+$AH228-380,AO$14)</f>
        <v>0.50087000000000004</v>
      </c>
      <c r="AP228" s="147">
        <f ca="1">INDEX(Photobiology!$21:$421,1+$AH228-380,AP$14)</f>
        <v>0.92891699999999999</v>
      </c>
      <c r="AQ228" s="147">
        <f ca="1">INDEX(Photobiology!$21:$421,1+$AH228-380,AQ$14)</f>
        <v>7.9299999999999995E-2</v>
      </c>
      <c r="AR228" s="147">
        <f ca="1">INDEX(Photobiology!$21:$421,1+$AH228-380,AR$14)</f>
        <v>1.5147000000000001E-2</v>
      </c>
      <c r="AS228" s="147">
        <f t="shared" si="92"/>
        <v>3719393326296585.5</v>
      </c>
      <c r="AT228" s="147">
        <f ca="1">INDEX(Photobiology!$21:$421,1+$AH228-380,AT$14)</f>
        <v>2.4220925914034245E-5</v>
      </c>
      <c r="AU228" s="147">
        <f ca="1">INDEX(Photobiology!$21:$421,1+$AH228-380,AU$14)</f>
        <v>0.46125935541618696</v>
      </c>
      <c r="AV228" s="147">
        <f ca="1">INDEX(Photobiology!$21:$421,1+$AH228-380,AV$14)</f>
        <v>0.89681166155596603</v>
      </c>
      <c r="AW228" s="147">
        <f ca="1">INDEX(Photobiology!$21:$421,1+$AH228-380,AW$14)</f>
        <v>6.8292099467055334E-2</v>
      </c>
      <c r="AX228" s="147">
        <f ca="1">INDEX(Photobiology!$21:$421,1+$AH228-380,AX$14)</f>
        <v>1.2617529348445065E-2</v>
      </c>
      <c r="AY228" s="147">
        <f t="shared" si="79"/>
        <v>1.2583143609277009E-3</v>
      </c>
      <c r="AZ228" s="147">
        <f t="shared" ca="1" si="93"/>
        <v>3.9984574627146907E-8</v>
      </c>
      <c r="BA228" s="147">
        <f t="shared" ca="1" si="80"/>
        <v>6.302519139578576E-4</v>
      </c>
      <c r="BB228" s="147">
        <f t="shared" ca="1" si="81"/>
        <v>1.1688696012098771E-3</v>
      </c>
      <c r="BC228" s="147">
        <f t="shared" ca="1" si="82"/>
        <v>9.9784328821566674E-5</v>
      </c>
      <c r="BD228" s="147">
        <f t="shared" ca="1" si="83"/>
        <v>1.9059687624971887E-5</v>
      </c>
    </row>
    <row r="229" spans="8:56" s="147" customFormat="1" ht="0.25" customHeight="1" x14ac:dyDescent="0.2">
      <c r="H229" s="147">
        <f t="shared" si="84"/>
        <v>588</v>
      </c>
      <c r="I229" s="147">
        <f>IF($H229&gt;$H228,INDEX(Spectra!229:229,1,MATCH($I$20,Spectra!$20:$20,0)),I228)</f>
        <v>1.17488687697926E-3</v>
      </c>
      <c r="J229" s="147">
        <f>((Physics!$C$9*Physics!$C$10)/(Physics!$C$11*Physics!$C$12*$H229))^($J$17-$J$18)</f>
        <v>2.960889358666794E+18</v>
      </c>
      <c r="K229" s="147">
        <f t="shared" si="85"/>
        <v>1</v>
      </c>
      <c r="L229" s="147">
        <f>INDEX(Photobiology!$21:$421,1+$H229-380,10)</f>
        <v>0.781192</v>
      </c>
      <c r="M229" s="147">
        <f t="shared" si="86"/>
        <v>1.17488687697926E-3</v>
      </c>
      <c r="N229" s="147">
        <f ca="1">INDEX(Photobiology!$21:$421,1+$H229-380,N$14)</f>
        <v>2.9028799999999999E-5</v>
      </c>
      <c r="O229" s="147">
        <f ca="1">INDEX(Photobiology!$21:$421,1+$H229-380,O$14)</f>
        <v>0.48535</v>
      </c>
      <c r="P229" s="147">
        <f ca="1">INDEX(Photobiology!$21:$421,1+$H229-380,P$14)</f>
        <v>0.92217700000000002</v>
      </c>
      <c r="Q229" s="147">
        <f ca="1">INDEX(Photobiology!$21:$421,1+$H229-380,Q$14)</f>
        <v>7.4499999999999997E-2</v>
      </c>
      <c r="R229" s="147">
        <f ca="1">INDEX(Photobiology!$21:$421,1+$H229-380,R$14)</f>
        <v>1.39314E-2</v>
      </c>
      <c r="S229" s="147">
        <f t="shared" si="87"/>
        <v>3478710051685153.5</v>
      </c>
      <c r="T229" s="147">
        <f ca="1">INDEX(Photobiology!$21:$421,1+$H229-380,T$14)</f>
        <v>2.2089061922467372E-5</v>
      </c>
      <c r="U229" s="147">
        <f ca="1">INDEX(Photobiology!$21:$421,1+$H229-380,U$14)</f>
        <v>0.44620658667789337</v>
      </c>
      <c r="V229" s="147">
        <f ca="1">INDEX(Photobiology!$21:$421,1+$H229-380,V$14)</f>
        <v>0.88879048674071581</v>
      </c>
      <c r="W229" s="147">
        <f ca="1">INDEX(Photobiology!$21:$421,1+$H229-380,W$14)</f>
        <v>6.4049290729330854E-2</v>
      </c>
      <c r="X229" s="147">
        <f ca="1">INDEX(Photobiology!$21:$421,1+$H229-380,X$14)</f>
        <v>1.1585191988154688E-2</v>
      </c>
      <c r="Y229" s="147">
        <f t="shared" si="74"/>
        <v>1.17488687697926E-3</v>
      </c>
      <c r="Z229" s="147">
        <f t="shared" ca="1" si="88"/>
        <v>3.410555617445554E-8</v>
      </c>
      <c r="AA229" s="147">
        <f t="shared" ca="1" si="75"/>
        <v>5.7023134574188384E-4</v>
      </c>
      <c r="AB229" s="147">
        <f t="shared" ca="1" si="76"/>
        <v>1.0834536555521031E-3</v>
      </c>
      <c r="AC229" s="147">
        <f t="shared" ca="1" si="77"/>
        <v>8.7529072334954875E-5</v>
      </c>
      <c r="AD229" s="147">
        <f t="shared" ca="1" si="78"/>
        <v>1.6367819037948863E-5</v>
      </c>
      <c r="AH229" s="147">
        <f t="shared" si="89"/>
        <v>588</v>
      </c>
      <c r="AI229" s="147">
        <f>IF($AH229&gt;$AH228,INDEX(Spectra!229:229,1,MATCH($AI$20,Spectra!$20:$20,0)),AI228)</f>
        <v>90.106099999999998</v>
      </c>
      <c r="AJ229" s="147">
        <f>((Physics!$C$9*Physics!$C$10)/(Physics!$C$11*Physics!$C$12*$AH229))^($AJ$17-$AJ$18)</f>
        <v>2.960889358666794E+18</v>
      </c>
      <c r="AK229" s="147">
        <f t="shared" si="90"/>
        <v>1</v>
      </c>
      <c r="AL229" s="147">
        <f>INDEX(Photobiology!$21:$421,1+$AH229-380,10)</f>
        <v>0.781192</v>
      </c>
      <c r="AM229" s="147">
        <f t="shared" si="91"/>
        <v>1.2484741135367497E-3</v>
      </c>
      <c r="AN229" s="147">
        <f ca="1">INDEX(Photobiology!$21:$421,1+$AH229-380,AN$14)</f>
        <v>2.9028799999999999E-5</v>
      </c>
      <c r="AO229" s="147">
        <f ca="1">INDEX(Photobiology!$21:$421,1+$AH229-380,AO$14)</f>
        <v>0.48535</v>
      </c>
      <c r="AP229" s="147">
        <f ca="1">INDEX(Photobiology!$21:$421,1+$AH229-380,AP$14)</f>
        <v>0.92217700000000002</v>
      </c>
      <c r="AQ229" s="147">
        <f ca="1">INDEX(Photobiology!$21:$421,1+$AH229-380,AQ$14)</f>
        <v>7.4499999999999997E-2</v>
      </c>
      <c r="AR229" s="147">
        <f ca="1">INDEX(Photobiology!$21:$421,1+$AH229-380,AR$14)</f>
        <v>1.39314E-2</v>
      </c>
      <c r="AS229" s="147">
        <f t="shared" si="92"/>
        <v>3696593717341921</v>
      </c>
      <c r="AT229" s="147">
        <f ca="1">INDEX(Photobiology!$21:$421,1+$AH229-380,AT$14)</f>
        <v>2.2089061922467372E-5</v>
      </c>
      <c r="AU229" s="147">
        <f ca="1">INDEX(Photobiology!$21:$421,1+$AH229-380,AU$14)</f>
        <v>0.44620658667789337</v>
      </c>
      <c r="AV229" s="147">
        <f ca="1">INDEX(Photobiology!$21:$421,1+$AH229-380,AV$14)</f>
        <v>0.88879048674071581</v>
      </c>
      <c r="AW229" s="147">
        <f ca="1">INDEX(Photobiology!$21:$421,1+$AH229-380,AW$14)</f>
        <v>6.4049290729330854E-2</v>
      </c>
      <c r="AX229" s="147">
        <f ca="1">INDEX(Photobiology!$21:$421,1+$AH229-380,AX$14)</f>
        <v>1.1585191988154688E-2</v>
      </c>
      <c r="AY229" s="147">
        <f t="shared" si="79"/>
        <v>1.2484741135367497E-3</v>
      </c>
      <c r="AZ229" s="147">
        <f t="shared" ca="1" si="93"/>
        <v>3.6241705347035602E-8</v>
      </c>
      <c r="BA229" s="147">
        <f t="shared" ca="1" si="80"/>
        <v>6.0594691100506154E-4</v>
      </c>
      <c r="BB229" s="147">
        <f t="shared" ca="1" si="81"/>
        <v>1.1513141125989793E-3</v>
      </c>
      <c r="BC229" s="147">
        <f t="shared" ca="1" si="82"/>
        <v>9.3011321458487848E-5</v>
      </c>
      <c r="BD229" s="147">
        <f t="shared" ca="1" si="83"/>
        <v>1.7392992265325877E-5</v>
      </c>
    </row>
    <row r="230" spans="8:56" s="147" customFormat="1" ht="0.25" customHeight="1" x14ac:dyDescent="0.2">
      <c r="H230" s="147">
        <f t="shared" si="84"/>
        <v>589</v>
      </c>
      <c r="I230" s="147">
        <f>IF($H230&gt;$H229,INDEX(Spectra!230:230,1,MATCH($I$20,Spectra!$20:$20,0)),I229)</f>
        <v>1.15488880247748E-3</v>
      </c>
      <c r="J230" s="147">
        <f>((Physics!$C$9*Physics!$C$10)/(Physics!$C$11*Physics!$C$12*$H230))^($J$17-$J$18)</f>
        <v>2.9659248847869757E+18</v>
      </c>
      <c r="K230" s="147">
        <f t="shared" si="85"/>
        <v>1</v>
      </c>
      <c r="L230" s="147">
        <f>INDEX(Photobiology!$21:$421,1+$H230-380,10)</f>
        <v>0.76915469999999997</v>
      </c>
      <c r="M230" s="147">
        <f t="shared" si="86"/>
        <v>1.15488880247748E-3</v>
      </c>
      <c r="N230" s="147">
        <f ca="1">INDEX(Photobiology!$21:$421,1+$H230-380,N$14)</f>
        <v>2.65294E-5</v>
      </c>
      <c r="O230" s="147">
        <f ca="1">INDEX(Photobiology!$21:$421,1+$H230-380,O$14)</f>
        <v>0.469777</v>
      </c>
      <c r="P230" s="147">
        <f ca="1">INDEX(Photobiology!$21:$421,1+$H230-380,P$14)</f>
        <v>0.91472900000000001</v>
      </c>
      <c r="Q230" s="147">
        <f ca="1">INDEX(Photobiology!$21:$421,1+$H230-380,Q$14)</f>
        <v>6.9900000000000004E-2</v>
      </c>
      <c r="R230" s="147">
        <f ca="1">INDEX(Photobiology!$21:$421,1+$H230-380,R$14)</f>
        <v>1.2812E-2</v>
      </c>
      <c r="S230" s="147">
        <f t="shared" si="87"/>
        <v>3425313438429788.5</v>
      </c>
      <c r="T230" s="147">
        <f ca="1">INDEX(Photobiology!$21:$421,1+$H230-380,T$14)</f>
        <v>2.0152904581473931E-5</v>
      </c>
      <c r="U230" s="147">
        <f ca="1">INDEX(Photobiology!$21:$421,1+$H230-380,U$14)</f>
        <v>0.43115628807534812</v>
      </c>
      <c r="V230" s="147">
        <f ca="1">INDEX(Photobiology!$21:$421,1+$H230-380,V$14)</f>
        <v>0.88011533947621134</v>
      </c>
      <c r="W230" s="147">
        <f ca="1">INDEX(Photobiology!$21:$421,1+$H230-380,W$14)</f>
        <v>5.9992541291105921E-2</v>
      </c>
      <c r="X230" s="147">
        <f ca="1">INDEX(Photobiology!$21:$421,1+$H230-380,X$14)</f>
        <v>1.0636223009885946E-2</v>
      </c>
      <c r="Y230" s="147">
        <f t="shared" si="74"/>
        <v>1.15488880247748E-3</v>
      </c>
      <c r="Z230" s="147">
        <f t="shared" ca="1" si="88"/>
        <v>3.063850699644606E-8</v>
      </c>
      <c r="AA230" s="147">
        <f t="shared" ca="1" si="75"/>
        <v>5.4254019696146319E-4</v>
      </c>
      <c r="AB230" s="147">
        <f t="shared" ca="1" si="76"/>
        <v>1.0564102794014228E-3</v>
      </c>
      <c r="AC230" s="147">
        <f t="shared" ca="1" si="77"/>
        <v>8.0726727293175865E-5</v>
      </c>
      <c r="AD230" s="147">
        <f t="shared" ca="1" si="78"/>
        <v>1.4796435337341475E-5</v>
      </c>
      <c r="AH230" s="147">
        <f t="shared" si="89"/>
        <v>589</v>
      </c>
      <c r="AI230" s="147">
        <f>IF($AH230&gt;$AH229,INDEX(Spectra!230:230,1,MATCH($AI$20,Spectra!$20:$20,0)),AI229)</f>
        <v>89.395799999999994</v>
      </c>
      <c r="AJ230" s="147">
        <f>((Physics!$C$9*Physics!$C$10)/(Physics!$C$11*Physics!$C$12*$AH230))^($AJ$17-$AJ$18)</f>
        <v>2.9659248847869757E+18</v>
      </c>
      <c r="AK230" s="147">
        <f t="shared" si="90"/>
        <v>1</v>
      </c>
      <c r="AL230" s="147">
        <f>INDEX(Photobiology!$21:$421,1+$AH230-380,10)</f>
        <v>0.76915469999999997</v>
      </c>
      <c r="AM230" s="147">
        <f t="shared" si="91"/>
        <v>1.2386324805857601E-3</v>
      </c>
      <c r="AN230" s="147">
        <f ca="1">INDEX(Photobiology!$21:$421,1+$AH230-380,AN$14)</f>
        <v>2.65294E-5</v>
      </c>
      <c r="AO230" s="147">
        <f ca="1">INDEX(Photobiology!$21:$421,1+$AH230-380,AO$14)</f>
        <v>0.469777</v>
      </c>
      <c r="AP230" s="147">
        <f ca="1">INDEX(Photobiology!$21:$421,1+$AH230-380,AP$14)</f>
        <v>0.91472900000000001</v>
      </c>
      <c r="AQ230" s="147">
        <f ca="1">INDEX(Photobiology!$21:$421,1+$AH230-380,AQ$14)</f>
        <v>6.9900000000000004E-2</v>
      </c>
      <c r="AR230" s="147">
        <f ca="1">INDEX(Photobiology!$21:$421,1+$AH230-380,AR$14)</f>
        <v>1.2812E-2</v>
      </c>
      <c r="AS230" s="147">
        <f t="shared" si="92"/>
        <v>3673690897274726.5</v>
      </c>
      <c r="AT230" s="147">
        <f ca="1">INDEX(Photobiology!$21:$421,1+$AH230-380,AT$14)</f>
        <v>2.0152904581473931E-5</v>
      </c>
      <c r="AU230" s="147">
        <f ca="1">INDEX(Photobiology!$21:$421,1+$AH230-380,AU$14)</f>
        <v>0.43115628807534812</v>
      </c>
      <c r="AV230" s="147">
        <f ca="1">INDEX(Photobiology!$21:$421,1+$AH230-380,AV$14)</f>
        <v>0.88011533947621134</v>
      </c>
      <c r="AW230" s="147">
        <f ca="1">INDEX(Photobiology!$21:$421,1+$AH230-380,AW$14)</f>
        <v>5.9992541291105921E-2</v>
      </c>
      <c r="AX230" s="147">
        <f ca="1">INDEX(Photobiology!$21:$421,1+$AH230-380,AX$14)</f>
        <v>1.0636223009885946E-2</v>
      </c>
      <c r="AY230" s="147">
        <f t="shared" si="79"/>
        <v>1.2386324805857601E-3</v>
      </c>
      <c r="AZ230" s="147">
        <f t="shared" ca="1" si="93"/>
        <v>3.2860176530451863E-8</v>
      </c>
      <c r="BA230" s="147">
        <f t="shared" ca="1" si="80"/>
        <v>5.8188105083213659E-4</v>
      </c>
      <c r="BB230" s="147">
        <f t="shared" ca="1" si="81"/>
        <v>1.1330130503337317E-3</v>
      </c>
      <c r="BC230" s="147">
        <f t="shared" ca="1" si="82"/>
        <v>8.6580410392944631E-5</v>
      </c>
      <c r="BD230" s="147">
        <f t="shared" ca="1" si="83"/>
        <v>1.5869359341264759E-5</v>
      </c>
    </row>
    <row r="231" spans="8:56" s="147" customFormat="1" ht="0.25" customHeight="1" x14ac:dyDescent="0.2">
      <c r="H231" s="147">
        <f t="shared" si="84"/>
        <v>590</v>
      </c>
      <c r="I231" s="147">
        <f>IF($H231&gt;$H230,INDEX(Spectra!231:231,1,MATCH($I$20,Spectra!$20:$20,0)),I230)</f>
        <v>1.1448897652266E-3</v>
      </c>
      <c r="J231" s="147">
        <f>((Physics!$C$9*Physics!$C$10)/(Physics!$C$11*Physics!$C$12*$H231))^($J$17-$J$18)</f>
        <v>2.9709604109071575E+18</v>
      </c>
      <c r="K231" s="147">
        <f t="shared" si="85"/>
        <v>1</v>
      </c>
      <c r="L231" s="147">
        <f>INDEX(Photobiology!$21:$421,1+$H231-380,10)</f>
        <v>0.75700000000000001</v>
      </c>
      <c r="M231" s="147">
        <f t="shared" si="86"/>
        <v>1.1448897652266E-3</v>
      </c>
      <c r="N231" s="147">
        <f ca="1">INDEX(Photobiology!$21:$421,1+$H231-380,N$14)</f>
        <v>2.42549E-5</v>
      </c>
      <c r="O231" s="147">
        <f ca="1">INDEX(Photobiology!$21:$421,1+$H231-380,O$14)</f>
        <v>0.45414199999999999</v>
      </c>
      <c r="P231" s="147">
        <f ca="1">INDEX(Photobiology!$21:$421,1+$H231-380,P$14)</f>
        <v>0.90669299999999997</v>
      </c>
      <c r="Q231" s="147">
        <f ca="1">INDEX(Photobiology!$21:$421,1+$H231-380,Q$14)</f>
        <v>6.5500000000000003E-2</v>
      </c>
      <c r="R231" s="147">
        <f ca="1">INDEX(Photobiology!$21:$421,1+$H231-380,R$14)</f>
        <v>1.17901E-2</v>
      </c>
      <c r="S231" s="147">
        <f t="shared" si="87"/>
        <v>3401422167341018.5</v>
      </c>
      <c r="T231" s="147">
        <f ca="1">INDEX(Photobiology!$21:$421,1+$H231-380,T$14)</f>
        <v>1.8393864898031908E-5</v>
      </c>
      <c r="U231" s="147">
        <f ca="1">INDEX(Photobiology!$21:$421,1+$H231-380,U$14)</f>
        <v>0.41610020094531897</v>
      </c>
      <c r="V231" s="147">
        <f ca="1">INDEX(Photobiology!$21:$421,1+$H231-380,V$14)</f>
        <v>0.87090480851125829</v>
      </c>
      <c r="W231" s="147">
        <f ca="1">INDEX(Photobiology!$21:$421,1+$H231-380,W$14)</f>
        <v>5.6120905088145795E-2</v>
      </c>
      <c r="X231" s="147">
        <f ca="1">INDEX(Photobiology!$21:$421,1+$H231-380,X$14)</f>
        <v>9.7712759070305317E-3</v>
      </c>
      <c r="Y231" s="147">
        <f t="shared" si="74"/>
        <v>1.1448897652266E-3</v>
      </c>
      <c r="Z231" s="147">
        <f t="shared" ca="1" si="88"/>
        <v>2.776918676659466E-8</v>
      </c>
      <c r="AA231" s="147">
        <f t="shared" ca="1" si="75"/>
        <v>5.1994252775953856E-4</v>
      </c>
      <c r="AB231" s="147">
        <f t="shared" ca="1" si="76"/>
        <v>1.0380635359026017E-3</v>
      </c>
      <c r="AC231" s="147">
        <f t="shared" ca="1" si="77"/>
        <v>7.4990279622342301E-5</v>
      </c>
      <c r="AD231" s="147">
        <f t="shared" ca="1" si="78"/>
        <v>1.3498364820998137E-5</v>
      </c>
      <c r="AH231" s="147">
        <f t="shared" si="89"/>
        <v>590</v>
      </c>
      <c r="AI231" s="147">
        <f>IF($AH231&gt;$AH230,INDEX(Spectra!231:231,1,MATCH($AI$20,Spectra!$20:$20,0)),AI230)</f>
        <v>88.685599999999994</v>
      </c>
      <c r="AJ231" s="147">
        <f>((Physics!$C$9*Physics!$C$10)/(Physics!$C$11*Physics!$C$12*$AH231))^($AJ$17-$AJ$18)</f>
        <v>2.9709604109071575E+18</v>
      </c>
      <c r="AK231" s="147">
        <f t="shared" si="90"/>
        <v>1</v>
      </c>
      <c r="AL231" s="147">
        <f>INDEX(Photobiology!$21:$421,1+$AH231-380,10)</f>
        <v>0.75700000000000001</v>
      </c>
      <c r="AM231" s="147">
        <f t="shared" si="91"/>
        <v>1.2287922331948088E-3</v>
      </c>
      <c r="AN231" s="147">
        <f ca="1">INDEX(Photobiology!$21:$421,1+$AH231-380,AN$14)</f>
        <v>2.42549E-5</v>
      </c>
      <c r="AO231" s="147">
        <f ca="1">INDEX(Photobiology!$21:$421,1+$AH231-380,AO$14)</f>
        <v>0.45414199999999999</v>
      </c>
      <c r="AP231" s="147">
        <f ca="1">INDEX(Photobiology!$21:$421,1+$AH231-380,AP$14)</f>
        <v>0.90669299999999997</v>
      </c>
      <c r="AQ231" s="147">
        <f ca="1">INDEX(Photobiology!$21:$421,1+$AH231-380,AQ$14)</f>
        <v>6.5500000000000003E-2</v>
      </c>
      <c r="AR231" s="147">
        <f ca="1">INDEX(Photobiology!$21:$421,1+$AH231-380,AR$14)</f>
        <v>1.17901E-2</v>
      </c>
      <c r="AS231" s="147">
        <f t="shared" si="92"/>
        <v>3650693078051973</v>
      </c>
      <c r="AT231" s="147">
        <f ca="1">INDEX(Photobiology!$21:$421,1+$AH231-380,AT$14)</f>
        <v>1.8393864898031908E-5</v>
      </c>
      <c r="AU231" s="147">
        <f ca="1">INDEX(Photobiology!$21:$421,1+$AH231-380,AU$14)</f>
        <v>0.41610020094531897</v>
      </c>
      <c r="AV231" s="147">
        <f ca="1">INDEX(Photobiology!$21:$421,1+$AH231-380,AV$14)</f>
        <v>0.87090480851125829</v>
      </c>
      <c r="AW231" s="147">
        <f ca="1">INDEX(Photobiology!$21:$421,1+$AH231-380,AW$14)</f>
        <v>5.6120905088145795E-2</v>
      </c>
      <c r="AX231" s="147">
        <f ca="1">INDEX(Photobiology!$21:$421,1+$AH231-380,AX$14)</f>
        <v>9.7712759070305317E-3</v>
      </c>
      <c r="AY231" s="147">
        <f t="shared" si="79"/>
        <v>1.2287922331948088E-3</v>
      </c>
      <c r="AZ231" s="147">
        <f t="shared" ca="1" si="93"/>
        <v>2.9804232736916766E-8</v>
      </c>
      <c r="BA231" s="147">
        <f t="shared" ca="1" si="80"/>
        <v>5.5804616236755688E-4</v>
      </c>
      <c r="BB231" s="147">
        <f t="shared" ca="1" si="81"/>
        <v>1.1141373162921007E-3</v>
      </c>
      <c r="BC231" s="147">
        <f t="shared" ca="1" si="82"/>
        <v>8.0485891274259975E-5</v>
      </c>
      <c r="BD231" s="147">
        <f t="shared" ca="1" si="83"/>
        <v>1.4487583308590113E-5</v>
      </c>
    </row>
    <row r="232" spans="8:56" s="147" customFormat="1" ht="0.25" customHeight="1" x14ac:dyDescent="0.2">
      <c r="H232" s="147">
        <f t="shared" si="84"/>
        <v>591</v>
      </c>
      <c r="I232" s="147">
        <f>IF($H232&gt;$H231,INDEX(Spectra!232:232,1,MATCH($I$20,Spectra!$20:$20,0)),I231)</f>
        <v>1.1448897652266E-3</v>
      </c>
      <c r="J232" s="147">
        <f>((Physics!$C$9*Physics!$C$10)/(Physics!$C$11*Physics!$C$12*$H232))^($J$17-$J$18)</f>
        <v>2.9759959370273388E+18</v>
      </c>
      <c r="K232" s="147">
        <f t="shared" si="85"/>
        <v>1</v>
      </c>
      <c r="L232" s="147">
        <f>INDEX(Photobiology!$21:$421,1+$H232-380,10)</f>
        <v>0.74475409999999997</v>
      </c>
      <c r="M232" s="147">
        <f t="shared" si="86"/>
        <v>1.1448897652266E-3</v>
      </c>
      <c r="N232" s="147">
        <f ca="1">INDEX(Photobiology!$21:$421,1+$H232-380,N$14)</f>
        <v>2.2184700000000001E-5</v>
      </c>
      <c r="O232" s="147">
        <f ca="1">INDEX(Photobiology!$21:$421,1+$H232-380,O$14)</f>
        <v>0.43845400000000001</v>
      </c>
      <c r="P232" s="147">
        <f ca="1">INDEX(Photobiology!$21:$421,1+$H232-380,P$14)</f>
        <v>0.89817000000000002</v>
      </c>
      <c r="Q232" s="147">
        <f ca="1">INDEX(Photobiology!$21:$421,1+$H232-380,Q$14)</f>
        <v>6.13E-2</v>
      </c>
      <c r="R232" s="147">
        <f ca="1">INDEX(Photobiology!$21:$421,1+$H232-380,R$14)</f>
        <v>1.08488E-2</v>
      </c>
      <c r="S232" s="147">
        <f t="shared" si="87"/>
        <v>3407187289658545.5</v>
      </c>
      <c r="T232" s="147">
        <f ca="1">INDEX(Photobiology!$21:$421,1+$H232-380,T$14)</f>
        <v>1.6795448084000975E-5</v>
      </c>
      <c r="U232" s="147">
        <f ca="1">INDEX(Photobiology!$21:$421,1+$H232-380,U$14)</f>
        <v>0.40104658682161687</v>
      </c>
      <c r="V232" s="147">
        <f ca="1">INDEX(Photobiology!$21:$421,1+$H232-380,V$14)</f>
        <v>0.86125846079483293</v>
      </c>
      <c r="W232" s="147">
        <f ca="1">INDEX(Photobiology!$21:$421,1+$H232-380,W$14)</f>
        <v>5.2433442459357764E-2</v>
      </c>
      <c r="X232" s="147">
        <f ca="1">INDEX(Photobiology!$21:$421,1+$H232-380,X$14)</f>
        <v>8.9759416663238514E-3</v>
      </c>
      <c r="Y232" s="147">
        <f t="shared" si="74"/>
        <v>1.1448897652266E-3</v>
      </c>
      <c r="Z232" s="147">
        <f t="shared" ca="1" si="88"/>
        <v>2.5399035974622555E-8</v>
      </c>
      <c r="AA232" s="147">
        <f t="shared" ca="1" si="75"/>
        <v>5.0198149712266365E-4</v>
      </c>
      <c r="AB232" s="147">
        <f t="shared" ca="1" si="76"/>
        <v>1.0283056404335753E-3</v>
      </c>
      <c r="AC232" s="147">
        <f t="shared" ca="1" si="77"/>
        <v>7.0181742608390577E-5</v>
      </c>
      <c r="AD232" s="147">
        <f t="shared" ca="1" si="78"/>
        <v>1.2420680084990339E-5</v>
      </c>
      <c r="AH232" s="147">
        <f t="shared" si="89"/>
        <v>591</v>
      </c>
      <c r="AI232" s="147">
        <f>IF($AH232&gt;$AH231,INDEX(Spectra!232:232,1,MATCH($AI$20,Spectra!$20:$20,0)),AI231)</f>
        <v>88.817700000000002</v>
      </c>
      <c r="AJ232" s="147">
        <f>((Physics!$C$9*Physics!$C$10)/(Physics!$C$11*Physics!$C$12*$AH232))^($AJ$17-$AJ$18)</f>
        <v>2.9759959370273388E+18</v>
      </c>
      <c r="AK232" s="147">
        <f t="shared" si="90"/>
        <v>1</v>
      </c>
      <c r="AL232" s="147">
        <f>INDEX(Photobiology!$21:$421,1+$AH232-380,10)</f>
        <v>0.74475409999999997</v>
      </c>
      <c r="AM232" s="147">
        <f t="shared" si="91"/>
        <v>1.2306225580052069E-3</v>
      </c>
      <c r="AN232" s="147">
        <f ca="1">INDEX(Photobiology!$21:$421,1+$AH232-380,AN$14)</f>
        <v>2.2184700000000001E-5</v>
      </c>
      <c r="AO232" s="147">
        <f ca="1">INDEX(Photobiology!$21:$421,1+$AH232-380,AO$14)</f>
        <v>0.43845400000000001</v>
      </c>
      <c r="AP232" s="147">
        <f ca="1">INDEX(Photobiology!$21:$421,1+$AH232-380,AP$14)</f>
        <v>0.89817000000000002</v>
      </c>
      <c r="AQ232" s="147">
        <f ca="1">INDEX(Photobiology!$21:$421,1+$AH232-380,AQ$14)</f>
        <v>6.13E-2</v>
      </c>
      <c r="AR232" s="147">
        <f ca="1">INDEX(Photobiology!$21:$421,1+$AH232-380,AR$14)</f>
        <v>1.08488E-2</v>
      </c>
      <c r="AS232" s="147">
        <f t="shared" si="92"/>
        <v>3662327732637686.5</v>
      </c>
      <c r="AT232" s="147">
        <f ca="1">INDEX(Photobiology!$21:$421,1+$AH232-380,AT$14)</f>
        <v>1.6795448084000975E-5</v>
      </c>
      <c r="AU232" s="147">
        <f ca="1">INDEX(Photobiology!$21:$421,1+$AH232-380,AU$14)</f>
        <v>0.40104658682161687</v>
      </c>
      <c r="AV232" s="147">
        <f ca="1">INDEX(Photobiology!$21:$421,1+$AH232-380,AV$14)</f>
        <v>0.86125846079483293</v>
      </c>
      <c r="AW232" s="147">
        <f ca="1">INDEX(Photobiology!$21:$421,1+$AH232-380,AW$14)</f>
        <v>5.2433442459357764E-2</v>
      </c>
      <c r="AX232" s="147">
        <f ca="1">INDEX(Photobiology!$21:$421,1+$AH232-380,AX$14)</f>
        <v>8.9759416663238514E-3</v>
      </c>
      <c r="AY232" s="147">
        <f t="shared" si="79"/>
        <v>1.2306225580052069E-3</v>
      </c>
      <c r="AZ232" s="147">
        <f t="shared" ca="1" si="93"/>
        <v>2.7300992262578117E-8</v>
      </c>
      <c r="BA232" s="147">
        <f t="shared" ca="1" si="80"/>
        <v>5.3957138304761498E-4</v>
      </c>
      <c r="BB232" s="147">
        <f t="shared" ca="1" si="81"/>
        <v>1.1053082629235368E-3</v>
      </c>
      <c r="BC232" s="147">
        <f t="shared" ca="1" si="82"/>
        <v>7.5437162805719186E-5</v>
      </c>
      <c r="BD232" s="147">
        <f t="shared" ca="1" si="83"/>
        <v>1.335077800728689E-5</v>
      </c>
    </row>
    <row r="233" spans="8:56" s="147" customFormat="1" ht="0.25" customHeight="1" x14ac:dyDescent="0.2">
      <c r="H233" s="147">
        <f t="shared" si="84"/>
        <v>592</v>
      </c>
      <c r="I233" s="147">
        <f>IF($H233&gt;$H232,INDEX(Spectra!233:233,1,MATCH($I$20,Spectra!$20:$20,0)),I232)</f>
        <v>1.15488880247748E-3</v>
      </c>
      <c r="J233" s="147">
        <f>((Physics!$C$9*Physics!$C$10)/(Physics!$C$11*Physics!$C$12*$H233))^($J$17-$J$18)</f>
        <v>2.9810314631475205E+18</v>
      </c>
      <c r="K233" s="147">
        <f t="shared" si="85"/>
        <v>1</v>
      </c>
      <c r="L233" s="147">
        <f>INDEX(Photobiology!$21:$421,1+$H233-380,10)</f>
        <v>0.73242240000000003</v>
      </c>
      <c r="M233" s="147">
        <f t="shared" si="86"/>
        <v>1.15488880247748E-3</v>
      </c>
      <c r="N233" s="147">
        <f ca="1">INDEX(Photobiology!$21:$421,1+$H233-380,N$14)</f>
        <v>2.0299600000000001E-5</v>
      </c>
      <c r="O233" s="147">
        <f ca="1">INDEX(Photobiology!$21:$421,1+$H233-380,O$14)</f>
        <v>0.42277799999999999</v>
      </c>
      <c r="P233" s="147">
        <f ca="1">INDEX(Photobiology!$21:$421,1+$H233-380,P$14)</f>
        <v>0.88918799999999998</v>
      </c>
      <c r="Q233" s="147">
        <f ca="1">INDEX(Photobiology!$21:$421,1+$H233-380,Q$14)</f>
        <v>5.74E-2</v>
      </c>
      <c r="R233" s="147">
        <f ca="1">INDEX(Photobiology!$21:$421,1+$H233-380,R$14)</f>
        <v>9.97112E-3</v>
      </c>
      <c r="S233" s="147">
        <f t="shared" si="87"/>
        <v>3442759856622130</v>
      </c>
      <c r="T233" s="147">
        <f ca="1">INDEX(Photobiology!$21:$421,1+$H233-380,T$14)</f>
        <v>1.5342328915010835E-5</v>
      </c>
      <c r="U233" s="147">
        <f ca="1">INDEX(Photobiology!$21:$421,1+$H233-380,U$14)</f>
        <v>0.38605478716207087</v>
      </c>
      <c r="V233" s="147">
        <f ca="1">INDEX(Photobiology!$21:$421,1+$H233-380,V$14)</f>
        <v>0.85120530880546896</v>
      </c>
      <c r="W233" s="147">
        <f ca="1">INDEX(Photobiology!$21:$421,1+$H233-380,W$14)</f>
        <v>4.9014611401772885E-2</v>
      </c>
      <c r="X233" s="147">
        <f ca="1">INDEX(Photobiology!$21:$421,1+$H233-380,X$14)</f>
        <v>8.2358425551265681E-3</v>
      </c>
      <c r="Y233" s="147">
        <f t="shared" si="74"/>
        <v>1.15488880247748E-3</v>
      </c>
      <c r="Z233" s="147">
        <f t="shared" ca="1" si="88"/>
        <v>2.3443780734771856E-8</v>
      </c>
      <c r="AA233" s="147">
        <f t="shared" ca="1" si="75"/>
        <v>4.8826157813382405E-4</v>
      </c>
      <c r="AB233" s="147">
        <f t="shared" ca="1" si="76"/>
        <v>1.0269132644973454E-3</v>
      </c>
      <c r="AC233" s="147">
        <f t="shared" ca="1" si="77"/>
        <v>6.6290617262207348E-5</v>
      </c>
      <c r="AD233" s="147">
        <f t="shared" ca="1" si="78"/>
        <v>1.1515534836159251E-5</v>
      </c>
      <c r="AH233" s="147">
        <f t="shared" si="89"/>
        <v>592</v>
      </c>
      <c r="AI233" s="147">
        <f>IF($AH233&gt;$AH232,INDEX(Spectra!233:233,1,MATCH($AI$20,Spectra!$20:$20,0)),AI232)</f>
        <v>88.949700000000007</v>
      </c>
      <c r="AJ233" s="147">
        <f>((Physics!$C$9*Physics!$C$10)/(Physics!$C$11*Physics!$C$12*$AH233))^($AJ$17-$AJ$18)</f>
        <v>2.9810314631475205E+18</v>
      </c>
      <c r="AK233" s="147">
        <f t="shared" si="90"/>
        <v>1</v>
      </c>
      <c r="AL233" s="147">
        <f>INDEX(Photobiology!$21:$421,1+$AH233-380,10)</f>
        <v>0.73242240000000003</v>
      </c>
      <c r="AM233" s="147">
        <f t="shared" si="91"/>
        <v>1.2324514972555669E-3</v>
      </c>
      <c r="AN233" s="147">
        <f ca="1">INDEX(Photobiology!$21:$421,1+$AH233-380,AN$14)</f>
        <v>2.0299600000000001E-5</v>
      </c>
      <c r="AO233" s="147">
        <f ca="1">INDEX(Photobiology!$21:$421,1+$AH233-380,AO$14)</f>
        <v>0.42277799999999999</v>
      </c>
      <c r="AP233" s="147">
        <f ca="1">INDEX(Photobiology!$21:$421,1+$AH233-380,AP$14)</f>
        <v>0.88918799999999998</v>
      </c>
      <c r="AQ233" s="147">
        <f ca="1">INDEX(Photobiology!$21:$421,1+$AH233-380,AQ$14)</f>
        <v>5.74E-2</v>
      </c>
      <c r="AR233" s="147">
        <f ca="1">INDEX(Photobiology!$21:$421,1+$AH233-380,AR$14)</f>
        <v>9.97112E-3</v>
      </c>
      <c r="AS233" s="147">
        <f t="shared" si="92"/>
        <v>3673976690122115</v>
      </c>
      <c r="AT233" s="147">
        <f ca="1">INDEX(Photobiology!$21:$421,1+$AH233-380,AT$14)</f>
        <v>1.5342328915010835E-5</v>
      </c>
      <c r="AU233" s="147">
        <f ca="1">INDEX(Photobiology!$21:$421,1+$AH233-380,AU$14)</f>
        <v>0.38605478716207087</v>
      </c>
      <c r="AV233" s="147">
        <f ca="1">INDEX(Photobiology!$21:$421,1+$AH233-380,AV$14)</f>
        <v>0.85120530880546896</v>
      </c>
      <c r="AW233" s="147">
        <f ca="1">INDEX(Photobiology!$21:$421,1+$AH233-380,AW$14)</f>
        <v>4.9014611401772885E-2</v>
      </c>
      <c r="AX233" s="147">
        <f ca="1">INDEX(Photobiology!$21:$421,1+$AH233-380,AX$14)</f>
        <v>8.2358425551265681E-3</v>
      </c>
      <c r="AY233" s="147">
        <f t="shared" si="79"/>
        <v>1.2324514972555669E-3</v>
      </c>
      <c r="AZ233" s="147">
        <f t="shared" ca="1" si="93"/>
        <v>2.5018272413689108E-8</v>
      </c>
      <c r="BA233" s="147">
        <f t="shared" ca="1" si="80"/>
        <v>5.2105337910671407E-4</v>
      </c>
      <c r="BB233" s="147">
        <f t="shared" ca="1" si="81"/>
        <v>1.095881081941683E-3</v>
      </c>
      <c r="BC233" s="147">
        <f t="shared" ca="1" si="82"/>
        <v>7.0742715942469542E-5</v>
      </c>
      <c r="BD233" s="147">
        <f t="shared" ca="1" si="83"/>
        <v>1.2288921773314927E-5</v>
      </c>
    </row>
    <row r="234" spans="8:56" s="147" customFormat="1" ht="0.25" customHeight="1" x14ac:dyDescent="0.2">
      <c r="H234" s="147">
        <f t="shared" si="84"/>
        <v>593</v>
      </c>
      <c r="I234" s="147">
        <f>IF($H234&gt;$H233,INDEX(Spectra!234:234,1,MATCH($I$20,Spectra!$20:$20,0)),I233)</f>
        <v>1.15988832110293E-3</v>
      </c>
      <c r="J234" s="147">
        <f>((Physics!$C$9*Physics!$C$10)/(Physics!$C$11*Physics!$C$12*$H234))^($J$17-$J$18)</f>
        <v>2.9860669892677023E+18</v>
      </c>
      <c r="K234" s="147">
        <f t="shared" si="85"/>
        <v>1</v>
      </c>
      <c r="L234" s="147">
        <f>INDEX(Photobiology!$21:$421,1+$H234-380,10)</f>
        <v>0.72000359999999997</v>
      </c>
      <c r="M234" s="147">
        <f t="shared" si="86"/>
        <v>1.15988832110293E-3</v>
      </c>
      <c r="N234" s="147">
        <f ca="1">INDEX(Photobiology!$21:$421,1+$H234-380,N$14)</f>
        <v>1.8582600000000001E-5</v>
      </c>
      <c r="O234" s="147">
        <f ca="1">INDEX(Photobiology!$21:$421,1+$H234-380,O$14)</f>
        <v>0.40718799999999999</v>
      </c>
      <c r="P234" s="147">
        <f ca="1">INDEX(Photobiology!$21:$421,1+$H234-380,P$14)</f>
        <v>0.87975899999999996</v>
      </c>
      <c r="Q234" s="147">
        <f ca="1">INDEX(Photobiology!$21:$421,1+$H234-380,Q$14)</f>
        <v>5.3699999999999998E-2</v>
      </c>
      <c r="R234" s="147">
        <f ca="1">INDEX(Photobiology!$21:$421,1+$H234-380,R$14)</f>
        <v>9.1585E-3</v>
      </c>
      <c r="S234" s="147">
        <f t="shared" si="87"/>
        <v>3463504226882596</v>
      </c>
      <c r="T234" s="147">
        <f ca="1">INDEX(Photobiology!$21:$421,1+$H234-380,T$14)</f>
        <v>1.4020945485138493E-5</v>
      </c>
      <c r="U234" s="147">
        <f ca="1">INDEX(Photobiology!$21:$421,1+$H234-380,U$14)</f>
        <v>0.37119194753086499</v>
      </c>
      <c r="V234" s="147">
        <f ca="1">INDEX(Photobiology!$21:$421,1+$H234-380,V$14)</f>
        <v>0.84075887860937848</v>
      </c>
      <c r="W234" s="147">
        <f ca="1">INDEX(Photobiology!$21:$421,1+$H234-380,W$14)</f>
        <v>4.5777805592155892E-2</v>
      </c>
      <c r="X234" s="147">
        <f ca="1">INDEX(Photobiology!$21:$421,1+$H234-380,X$14)</f>
        <v>7.5518865282847465E-3</v>
      </c>
      <c r="Y234" s="147">
        <f t="shared" si="74"/>
        <v>1.15988832110293E-3</v>
      </c>
      <c r="Z234" s="147">
        <f t="shared" ca="1" si="88"/>
        <v>2.1553740715727308E-8</v>
      </c>
      <c r="AA234" s="147">
        <f t="shared" ca="1" si="75"/>
        <v>4.7229260569325984E-4</v>
      </c>
      <c r="AB234" s="147">
        <f t="shared" ca="1" si="76"/>
        <v>1.0204221894851925E-3</v>
      </c>
      <c r="AC234" s="147">
        <f t="shared" ca="1" si="77"/>
        <v>6.2286002843227342E-5</v>
      </c>
      <c r="AD234" s="147">
        <f t="shared" ca="1" si="78"/>
        <v>1.0622837188821185E-5</v>
      </c>
      <c r="AH234" s="147">
        <f t="shared" si="89"/>
        <v>593</v>
      </c>
      <c r="AI234" s="147">
        <f>IF($AH234&gt;$AH233,INDEX(Spectra!234:234,1,MATCH($AI$20,Spectra!$20:$20,0)),AI233)</f>
        <v>89.081800000000001</v>
      </c>
      <c r="AJ234" s="147">
        <f>((Physics!$C$9*Physics!$C$10)/(Physics!$C$11*Physics!$C$12*$AH234))^($AJ$17-$AJ$18)</f>
        <v>2.9860669892677023E+18</v>
      </c>
      <c r="AK234" s="147">
        <f t="shared" si="90"/>
        <v>1</v>
      </c>
      <c r="AL234" s="147">
        <f>INDEX(Photobiology!$21:$421,1+$AH234-380,10)</f>
        <v>0.72000359999999997</v>
      </c>
      <c r="AM234" s="147">
        <f t="shared" si="91"/>
        <v>1.2342818220659648E-3</v>
      </c>
      <c r="AN234" s="147">
        <f ca="1">INDEX(Photobiology!$21:$421,1+$AH234-380,AN$14)</f>
        <v>1.8582600000000001E-5</v>
      </c>
      <c r="AO234" s="147">
        <f ca="1">INDEX(Photobiology!$21:$421,1+$AH234-380,AO$14)</f>
        <v>0.40718799999999999</v>
      </c>
      <c r="AP234" s="147">
        <f ca="1">INDEX(Photobiology!$21:$421,1+$AH234-380,AP$14)</f>
        <v>0.87975899999999996</v>
      </c>
      <c r="AQ234" s="147">
        <f ca="1">INDEX(Photobiology!$21:$421,1+$AH234-380,AQ$14)</f>
        <v>5.3699999999999998E-2</v>
      </c>
      <c r="AR234" s="147">
        <f ca="1">INDEX(Photobiology!$21:$421,1+$AH234-380,AR$14)</f>
        <v>9.1585E-3</v>
      </c>
      <c r="AS234" s="147">
        <f t="shared" si="92"/>
        <v>3685648204324369.5</v>
      </c>
      <c r="AT234" s="147">
        <f ca="1">INDEX(Photobiology!$21:$421,1+$AH234-380,AT$14)</f>
        <v>1.4020945485138493E-5</v>
      </c>
      <c r="AU234" s="147">
        <f ca="1">INDEX(Photobiology!$21:$421,1+$AH234-380,AU$14)</f>
        <v>0.37119194753086499</v>
      </c>
      <c r="AV234" s="147">
        <f ca="1">INDEX(Photobiology!$21:$421,1+$AH234-380,AV$14)</f>
        <v>0.84075887860937848</v>
      </c>
      <c r="AW234" s="147">
        <f ca="1">INDEX(Photobiology!$21:$421,1+$AH234-380,AW$14)</f>
        <v>4.5777805592155892E-2</v>
      </c>
      <c r="AX234" s="147">
        <f ca="1">INDEX(Photobiology!$21:$421,1+$AH234-380,AX$14)</f>
        <v>7.5518865282847465E-3</v>
      </c>
      <c r="AY234" s="147">
        <f t="shared" si="79"/>
        <v>1.2342818220659648E-3</v>
      </c>
      <c r="AZ234" s="147">
        <f t="shared" ca="1" si="93"/>
        <v>2.2936165386722998E-8</v>
      </c>
      <c r="BA234" s="147">
        <f t="shared" ca="1" si="80"/>
        <v>5.025847465633961E-4</v>
      </c>
      <c r="BB234" s="147">
        <f t="shared" ca="1" si="81"/>
        <v>1.085870541498931E-3</v>
      </c>
      <c r="BC234" s="147">
        <f t="shared" ca="1" si="82"/>
        <v>6.6280933844942315E-5</v>
      </c>
      <c r="BD234" s="147">
        <f t="shared" ca="1" si="83"/>
        <v>1.130417006739114E-5</v>
      </c>
    </row>
    <row r="235" spans="8:56" s="147" customFormat="1" ht="0.25" customHeight="1" x14ac:dyDescent="0.2">
      <c r="H235" s="147">
        <f t="shared" si="84"/>
        <v>594</v>
      </c>
      <c r="I235" s="147">
        <f>IF($H235&gt;$H234,INDEX(Spectra!235:235,1,MATCH($I$20,Spectra!$20:$20,0)),I234)</f>
        <v>1.15488880247748E-3</v>
      </c>
      <c r="J235" s="147">
        <f>((Physics!$C$9*Physics!$C$10)/(Physics!$C$11*Physics!$C$12*$H235))^($J$17-$J$18)</f>
        <v>2.9911025153878835E+18</v>
      </c>
      <c r="K235" s="147">
        <f t="shared" si="85"/>
        <v>1</v>
      </c>
      <c r="L235" s="147">
        <f>INDEX(Photobiology!$21:$421,1+$H235-380,10)</f>
        <v>0.70749649999999997</v>
      </c>
      <c r="M235" s="147">
        <f t="shared" si="86"/>
        <v>1.15488880247748E-3</v>
      </c>
      <c r="N235" s="147">
        <f ca="1">INDEX(Photobiology!$21:$421,1+$H235-380,N$14)</f>
        <v>1.7018199999999999E-5</v>
      </c>
      <c r="O235" s="147">
        <f ca="1">INDEX(Photobiology!$21:$421,1+$H235-380,O$14)</f>
        <v>0.39175199999999999</v>
      </c>
      <c r="P235" s="147">
        <f ca="1">INDEX(Photobiology!$21:$421,1+$H235-380,P$14)</f>
        <v>0.86989399999999995</v>
      </c>
      <c r="Q235" s="147">
        <f ca="1">INDEX(Photobiology!$21:$421,1+$H235-380,Q$14)</f>
        <v>5.0200000000000002E-2</v>
      </c>
      <c r="R235" s="147">
        <f ca="1">INDEX(Photobiology!$21:$421,1+$H235-380,R$14)</f>
        <v>8.4124200000000003E-3</v>
      </c>
      <c r="S235" s="147">
        <f t="shared" si="87"/>
        <v>3454390802083691</v>
      </c>
      <c r="T235" s="147">
        <f ca="1">INDEX(Photobiology!$21:$421,1+$H235-380,T$14)</f>
        <v>1.2818957089245107E-5</v>
      </c>
      <c r="U235" s="147">
        <f ca="1">INDEX(Photobiology!$21:$421,1+$H235-380,U$14)</f>
        <v>0.35651930095089834</v>
      </c>
      <c r="V235" s="147">
        <f ca="1">INDEX(Photobiology!$21:$421,1+$H235-380,V$14)</f>
        <v>0.82993165112748379</v>
      </c>
      <c r="W235" s="147">
        <f ca="1">INDEX(Photobiology!$21:$421,1+$H235-380,W$14)</f>
        <v>4.2722105711072614E-2</v>
      </c>
      <c r="X235" s="147">
        <f ca="1">INDEX(Photobiology!$21:$421,1+$H235-380,X$14)</f>
        <v>6.9250083540149344E-3</v>
      </c>
      <c r="Y235" s="147">
        <f t="shared" si="74"/>
        <v>1.15488880247748E-3</v>
      </c>
      <c r="Z235" s="147">
        <f t="shared" ca="1" si="88"/>
        <v>1.9654128618322249E-8</v>
      </c>
      <c r="AA235" s="147">
        <f t="shared" ca="1" si="75"/>
        <v>4.5242999814815773E-4</v>
      </c>
      <c r="AB235" s="147">
        <f t="shared" ca="1" si="76"/>
        <v>1.0046308399423449E-3</v>
      </c>
      <c r="AC235" s="147">
        <f t="shared" ca="1" si="77"/>
        <v>5.7975417884369503E-5</v>
      </c>
      <c r="AD235" s="147">
        <f t="shared" ca="1" si="78"/>
        <v>9.7154096597376028E-6</v>
      </c>
      <c r="AH235" s="147">
        <f t="shared" si="89"/>
        <v>594</v>
      </c>
      <c r="AI235" s="147">
        <f>IF($AH235&gt;$AH234,INDEX(Spectra!235:235,1,MATCH($AI$20,Spectra!$20:$20,0)),AI234)</f>
        <v>89.213800000000006</v>
      </c>
      <c r="AJ235" s="147">
        <f>((Physics!$C$9*Physics!$C$10)/(Physics!$C$11*Physics!$C$12*$AH235))^($AJ$17-$AJ$18)</f>
        <v>2.9911025153878835E+18</v>
      </c>
      <c r="AK235" s="147">
        <f t="shared" si="90"/>
        <v>1</v>
      </c>
      <c r="AL235" s="147">
        <f>INDEX(Photobiology!$21:$421,1+$AH235-380,10)</f>
        <v>0.70749649999999997</v>
      </c>
      <c r="AM235" s="147">
        <f t="shared" si="91"/>
        <v>1.2361107613163248E-3</v>
      </c>
      <c r="AN235" s="147">
        <f ca="1">INDEX(Photobiology!$21:$421,1+$AH235-380,AN$14)</f>
        <v>1.7018199999999999E-5</v>
      </c>
      <c r="AO235" s="147">
        <f ca="1">INDEX(Photobiology!$21:$421,1+$AH235-380,AO$14)</f>
        <v>0.39175199999999999</v>
      </c>
      <c r="AP235" s="147">
        <f ca="1">INDEX(Photobiology!$21:$421,1+$AH235-380,AP$14)</f>
        <v>0.86989399999999995</v>
      </c>
      <c r="AQ235" s="147">
        <f ca="1">INDEX(Photobiology!$21:$421,1+$AH235-380,AQ$14)</f>
        <v>5.0200000000000002E-2</v>
      </c>
      <c r="AR235" s="147">
        <f ca="1">INDEX(Photobiology!$21:$421,1+$AH235-380,AR$14)</f>
        <v>8.4124200000000003E-3</v>
      </c>
      <c r="AS235" s="147">
        <f t="shared" si="92"/>
        <v>3697334007471290.5</v>
      </c>
      <c r="AT235" s="147">
        <f ca="1">INDEX(Photobiology!$21:$421,1+$AH235-380,AT$14)</f>
        <v>1.2818957089245107E-5</v>
      </c>
      <c r="AU235" s="147">
        <f ca="1">INDEX(Photobiology!$21:$421,1+$AH235-380,AU$14)</f>
        <v>0.35651930095089834</v>
      </c>
      <c r="AV235" s="147">
        <f ca="1">INDEX(Photobiology!$21:$421,1+$AH235-380,AV$14)</f>
        <v>0.82993165112748379</v>
      </c>
      <c r="AW235" s="147">
        <f ca="1">INDEX(Photobiology!$21:$421,1+$AH235-380,AW$14)</f>
        <v>4.2722105711072614E-2</v>
      </c>
      <c r="AX235" s="147">
        <f ca="1">INDEX(Photobiology!$21:$421,1+$AH235-380,AX$14)</f>
        <v>6.9250083540149344E-3</v>
      </c>
      <c r="AY235" s="147">
        <f t="shared" si="79"/>
        <v>1.2361107613163248E-3</v>
      </c>
      <c r="AZ235" s="147">
        <f t="shared" ca="1" si="93"/>
        <v>2.1036380158233476E-8</v>
      </c>
      <c r="BA235" s="147">
        <f t="shared" ca="1" si="80"/>
        <v>4.8424886296719282E-4</v>
      </c>
      <c r="BB235" s="147">
        <f t="shared" ca="1" si="81"/>
        <v>1.075285334604503E-3</v>
      </c>
      <c r="BC235" s="147">
        <f t="shared" ca="1" si="82"/>
        <v>6.2052760218079509E-5</v>
      </c>
      <c r="BD235" s="147">
        <f t="shared" ca="1" si="83"/>
        <v>1.0398682890712678E-5</v>
      </c>
    </row>
    <row r="236" spans="8:56" s="147" customFormat="1" ht="0.25" customHeight="1" x14ac:dyDescent="0.2">
      <c r="H236" s="147">
        <f t="shared" si="84"/>
        <v>595</v>
      </c>
      <c r="I236" s="147">
        <f>IF($H236&gt;$H235,INDEX(Spectra!236:236,1,MATCH($I$20,Spectra!$20:$20,0)),I235)</f>
        <v>1.14988928385204E-3</v>
      </c>
      <c r="J236" s="147">
        <f>((Physics!$C$9*Physics!$C$10)/(Physics!$C$11*Physics!$C$12*$H236))^($J$17-$J$18)</f>
        <v>2.9961380415080653E+18</v>
      </c>
      <c r="K236" s="147">
        <f t="shared" si="85"/>
        <v>1</v>
      </c>
      <c r="L236" s="147">
        <f>INDEX(Photobiology!$21:$421,1+$H236-380,10)</f>
        <v>0.69489999999999996</v>
      </c>
      <c r="M236" s="147">
        <f t="shared" si="86"/>
        <v>1.14988928385204E-3</v>
      </c>
      <c r="N236" s="147">
        <f ca="1">INDEX(Photobiology!$21:$421,1+$H236-380,N$14)</f>
        <v>1.55924E-5</v>
      </c>
      <c r="O236" s="147">
        <f ca="1">INDEX(Photobiology!$21:$421,1+$H236-380,O$14)</f>
        <v>0.376527</v>
      </c>
      <c r="P236" s="147">
        <f ca="1">INDEX(Photobiology!$21:$421,1+$H236-380,P$14)</f>
        <v>0.85960499999999995</v>
      </c>
      <c r="Q236" s="147">
        <f ca="1">INDEX(Photobiology!$21:$421,1+$H236-380,Q$14)</f>
        <v>4.6899999999999997E-2</v>
      </c>
      <c r="R236" s="147">
        <f ca="1">INDEX(Photobiology!$21:$421,1+$H236-380,R$14)</f>
        <v>7.7343000000000004E-3</v>
      </c>
      <c r="S236" s="147">
        <f t="shared" si="87"/>
        <v>3445227026871563</v>
      </c>
      <c r="T236" s="147">
        <f ca="1">INDEX(Photobiology!$21:$421,1+$H236-380,T$14)</f>
        <v>1.1725233960784562E-5</v>
      </c>
      <c r="U236" s="147">
        <f ca="1">INDEX(Photobiology!$21:$421,1+$H236-380,U$14)</f>
        <v>0.34208767491776443</v>
      </c>
      <c r="V236" s="147">
        <f ca="1">INDEX(Photobiology!$21:$421,1+$H236-380,V$14)</f>
        <v>0.81873697583256166</v>
      </c>
      <c r="W236" s="147">
        <f ca="1">INDEX(Photobiology!$21:$421,1+$H236-380,W$14)</f>
        <v>3.9846598619387573E-2</v>
      </c>
      <c r="X236" s="147">
        <f ca="1">INDEX(Photobiology!$21:$421,1+$H236-380,X$14)</f>
        <v>6.3560872080714193E-3</v>
      </c>
      <c r="Y236" s="147">
        <f t="shared" si="74"/>
        <v>1.14988928385204E-3</v>
      </c>
      <c r="Z236" s="147">
        <f t="shared" ca="1" si="88"/>
        <v>1.7929533669534549E-8</v>
      </c>
      <c r="AA236" s="147">
        <f t="shared" ca="1" si="75"/>
        <v>4.3296436238095709E-4</v>
      </c>
      <c r="AB236" s="147">
        <f t="shared" ca="1" si="76"/>
        <v>9.8845057784563276E-4</v>
      </c>
      <c r="AC236" s="147">
        <f t="shared" ca="1" si="77"/>
        <v>5.3929807412660675E-5</v>
      </c>
      <c r="AD236" s="147">
        <f t="shared" ca="1" si="78"/>
        <v>8.8935886880968331E-6</v>
      </c>
      <c r="AH236" s="147">
        <f t="shared" si="89"/>
        <v>595</v>
      </c>
      <c r="AI236" s="147">
        <f>IF($AH236&gt;$AH235,INDEX(Spectra!236:236,1,MATCH($AI$20,Spectra!$20:$20,0)),AI235)</f>
        <v>89.3459</v>
      </c>
      <c r="AJ236" s="147">
        <f>((Physics!$C$9*Physics!$C$10)/(Physics!$C$11*Physics!$C$12*$AH236))^($AJ$17-$AJ$18)</f>
        <v>2.9961380415080653E+18</v>
      </c>
      <c r="AK236" s="147">
        <f t="shared" si="90"/>
        <v>1</v>
      </c>
      <c r="AL236" s="147">
        <f>INDEX(Photobiology!$21:$421,1+$AH236-380,10)</f>
        <v>0.69489999999999996</v>
      </c>
      <c r="AM236" s="147">
        <f t="shared" si="91"/>
        <v>1.2379410861267227E-3</v>
      </c>
      <c r="AN236" s="147">
        <f ca="1">INDEX(Photobiology!$21:$421,1+$AH236-380,AN$14)</f>
        <v>1.55924E-5</v>
      </c>
      <c r="AO236" s="147">
        <f ca="1">INDEX(Photobiology!$21:$421,1+$AH236-380,AO$14)</f>
        <v>0.376527</v>
      </c>
      <c r="AP236" s="147">
        <f ca="1">INDEX(Photobiology!$21:$421,1+$AH236-380,AP$14)</f>
        <v>0.85960499999999995</v>
      </c>
      <c r="AQ236" s="147">
        <f ca="1">INDEX(Photobiology!$21:$421,1+$AH236-380,AQ$14)</f>
        <v>4.6899999999999997E-2</v>
      </c>
      <c r="AR236" s="147">
        <f ca="1">INDEX(Photobiology!$21:$421,1+$AH236-380,AR$14)</f>
        <v>7.7343000000000004E-3</v>
      </c>
      <c r="AS236" s="147">
        <f t="shared" si="92"/>
        <v>3709042381290086</v>
      </c>
      <c r="AT236" s="147">
        <f ca="1">INDEX(Photobiology!$21:$421,1+$AH236-380,AT$14)</f>
        <v>1.1725233960784562E-5</v>
      </c>
      <c r="AU236" s="147">
        <f ca="1">INDEX(Photobiology!$21:$421,1+$AH236-380,AU$14)</f>
        <v>0.34208767491776443</v>
      </c>
      <c r="AV236" s="147">
        <f ca="1">INDEX(Photobiology!$21:$421,1+$AH236-380,AV$14)</f>
        <v>0.81873697583256166</v>
      </c>
      <c r="AW236" s="147">
        <f ca="1">INDEX(Photobiology!$21:$421,1+$AH236-380,AW$14)</f>
        <v>3.9846598619387573E-2</v>
      </c>
      <c r="AX236" s="147">
        <f ca="1">INDEX(Photobiology!$21:$421,1+$AH236-380,AX$14)</f>
        <v>6.3560872080714193E-3</v>
      </c>
      <c r="AY236" s="147">
        <f t="shared" si="79"/>
        <v>1.2379410861267227E-3</v>
      </c>
      <c r="AZ236" s="147">
        <f t="shared" ca="1" si="93"/>
        <v>1.9302472591322311E-8</v>
      </c>
      <c r="BA236" s="147">
        <f t="shared" ca="1" si="80"/>
        <v>4.6611824333603655E-4</v>
      </c>
      <c r="BB236" s="147">
        <f t="shared" ca="1" si="81"/>
        <v>1.0641403473399614E-3</v>
      </c>
      <c r="BC236" s="147">
        <f t="shared" ca="1" si="82"/>
        <v>5.8059436939343289E-5</v>
      </c>
      <c r="BD236" s="147">
        <f t="shared" ca="1" si="83"/>
        <v>9.5746077424299117E-6</v>
      </c>
    </row>
    <row r="237" spans="8:56" s="147" customFormat="1" ht="0.25" customHeight="1" x14ac:dyDescent="0.2">
      <c r="H237" s="147">
        <f t="shared" si="84"/>
        <v>596</v>
      </c>
      <c r="I237" s="147">
        <f>IF($H237&gt;$H236,INDEX(Spectra!237:237,1,MATCH($I$20,Spectra!$20:$20,0)),I236)</f>
        <v>1.14988928385204E-3</v>
      </c>
      <c r="J237" s="147">
        <f>((Physics!$C$9*Physics!$C$10)/(Physics!$C$11*Physics!$C$12*$H237))^($J$17-$J$18)</f>
        <v>3.001173567628247E+18</v>
      </c>
      <c r="K237" s="147">
        <f t="shared" si="85"/>
        <v>1</v>
      </c>
      <c r="L237" s="147">
        <f>INDEX(Photobiology!$21:$421,1+$H237-380,10)</f>
        <v>0.68221920000000003</v>
      </c>
      <c r="M237" s="147">
        <f t="shared" si="86"/>
        <v>1.14988928385204E-3</v>
      </c>
      <c r="N237" s="147">
        <f ca="1">INDEX(Photobiology!$21:$421,1+$H237-380,N$14)</f>
        <v>1.4292400000000001E-5</v>
      </c>
      <c r="O237" s="147">
        <f ca="1">INDEX(Photobiology!$21:$421,1+$H237-380,O$14)</f>
        <v>0.36155900000000002</v>
      </c>
      <c r="P237" s="147">
        <f ca="1">INDEX(Photobiology!$21:$421,1+$H237-380,P$14)</f>
        <v>0.848912</v>
      </c>
      <c r="Q237" s="147">
        <f ca="1">INDEX(Photobiology!$21:$421,1+$H237-380,Q$14)</f>
        <v>4.3799999999999999E-2</v>
      </c>
      <c r="R237" s="147">
        <f ca="1">INDEX(Photobiology!$21:$421,1+$H237-380,R$14)</f>
        <v>7.1125499999999996E-3</v>
      </c>
      <c r="S237" s="147">
        <f t="shared" si="87"/>
        <v>3451017324395717</v>
      </c>
      <c r="T237" s="147">
        <f ca="1">INDEX(Photobiology!$21:$421,1+$H237-380,T$14)</f>
        <v>1.0729621896264207E-5</v>
      </c>
      <c r="U237" s="147">
        <f ca="1">INDEX(Photobiology!$21:$421,1+$H237-380,U$14)</f>
        <v>0.32793757869444318</v>
      </c>
      <c r="V237" s="147">
        <f ca="1">INDEX(Photobiology!$21:$421,1+$H237-380,V$14)</f>
        <v>0.80719571947659252</v>
      </c>
      <c r="W237" s="147">
        <f ca="1">INDEX(Photobiology!$21:$421,1+$H237-380,W$14)</f>
        <v>3.7150377306415891E-2</v>
      </c>
      <c r="X237" s="147">
        <f ca="1">INDEX(Photobiology!$21:$421,1+$H237-380,X$14)</f>
        <v>5.8353226203779135E-3</v>
      </c>
      <c r="Y237" s="147">
        <f t="shared" si="74"/>
        <v>1.14988928385204E-3</v>
      </c>
      <c r="Z237" s="147">
        <f t="shared" ca="1" si="88"/>
        <v>1.6434677600526899E-8</v>
      </c>
      <c r="AA237" s="147">
        <f t="shared" ca="1" si="75"/>
        <v>4.1575281958025975E-4</v>
      </c>
      <c r="AB237" s="147">
        <f t="shared" ca="1" si="76"/>
        <v>9.7615481173340306E-4</v>
      </c>
      <c r="AC237" s="147">
        <f t="shared" ca="1" si="77"/>
        <v>5.0365150632719354E-5</v>
      </c>
      <c r="AD237" s="147">
        <f t="shared" ca="1" si="78"/>
        <v>8.1786450258618265E-6</v>
      </c>
      <c r="AH237" s="147">
        <f t="shared" si="89"/>
        <v>596</v>
      </c>
      <c r="AI237" s="147">
        <f>IF($AH237&gt;$AH236,INDEX(Spectra!237:237,1,MATCH($AI$20,Spectra!$20:$20,0)),AI236)</f>
        <v>89.477999999999994</v>
      </c>
      <c r="AJ237" s="147">
        <f>((Physics!$C$9*Physics!$C$10)/(Physics!$C$11*Physics!$C$12*$AH237))^($AJ$17-$AJ$18)</f>
        <v>3.001173567628247E+18</v>
      </c>
      <c r="AK237" s="147">
        <f t="shared" si="90"/>
        <v>1</v>
      </c>
      <c r="AL237" s="147">
        <f>INDEX(Photobiology!$21:$421,1+$AH237-380,10)</f>
        <v>0.68221920000000003</v>
      </c>
      <c r="AM237" s="147">
        <f t="shared" si="91"/>
        <v>1.2397714109371205E-3</v>
      </c>
      <c r="AN237" s="147">
        <f ca="1">INDEX(Photobiology!$21:$421,1+$AH237-380,AN$14)</f>
        <v>1.4292400000000001E-5</v>
      </c>
      <c r="AO237" s="147">
        <f ca="1">INDEX(Photobiology!$21:$421,1+$AH237-380,AO$14)</f>
        <v>0.36155900000000002</v>
      </c>
      <c r="AP237" s="147">
        <f ca="1">INDEX(Photobiology!$21:$421,1+$AH237-380,AP$14)</f>
        <v>0.848912</v>
      </c>
      <c r="AQ237" s="147">
        <f ca="1">INDEX(Photobiology!$21:$421,1+$AH237-380,AQ$14)</f>
        <v>4.3799999999999999E-2</v>
      </c>
      <c r="AR237" s="147">
        <f ca="1">INDEX(Photobiology!$21:$421,1+$AH237-380,AR$14)</f>
        <v>7.1125499999999996E-3</v>
      </c>
      <c r="AS237" s="147">
        <f t="shared" si="92"/>
        <v>3720769188405663.5</v>
      </c>
      <c r="AT237" s="147">
        <f ca="1">INDEX(Photobiology!$21:$421,1+$AH237-380,AT$14)</f>
        <v>1.0729621896264207E-5</v>
      </c>
      <c r="AU237" s="147">
        <f ca="1">INDEX(Photobiology!$21:$421,1+$AH237-380,AU$14)</f>
        <v>0.32793757869444318</v>
      </c>
      <c r="AV237" s="147">
        <f ca="1">INDEX(Photobiology!$21:$421,1+$AH237-380,AV$14)</f>
        <v>0.80719571947659252</v>
      </c>
      <c r="AW237" s="147">
        <f ca="1">INDEX(Photobiology!$21:$421,1+$AH237-380,AW$14)</f>
        <v>3.7150377306415891E-2</v>
      </c>
      <c r="AX237" s="147">
        <f ca="1">INDEX(Photobiology!$21:$421,1+$AH237-380,AX$14)</f>
        <v>5.8353226203779135E-3</v>
      </c>
      <c r="AY237" s="147">
        <f t="shared" si="79"/>
        <v>1.2397714109371205E-3</v>
      </c>
      <c r="AZ237" s="147">
        <f t="shared" ca="1" si="93"/>
        <v>1.7719308913677702E-8</v>
      </c>
      <c r="BA237" s="147">
        <f t="shared" ca="1" si="80"/>
        <v>4.4825051156701436E-4</v>
      </c>
      <c r="BB237" s="147">
        <f t="shared" ca="1" si="81"/>
        <v>1.0524568280014528E-3</v>
      </c>
      <c r="BC237" s="147">
        <f t="shared" ca="1" si="82"/>
        <v>5.4301987799045875E-5</v>
      </c>
      <c r="BD237" s="147">
        <f t="shared" ca="1" si="83"/>
        <v>8.8179361488608152E-6</v>
      </c>
    </row>
    <row r="238" spans="8:56" s="147" customFormat="1" ht="0.25" customHeight="1" x14ac:dyDescent="0.2">
      <c r="H238" s="147">
        <f t="shared" si="84"/>
        <v>597</v>
      </c>
      <c r="I238" s="147">
        <f>IF($H238&gt;$H237,INDEX(Spectra!238:238,1,MATCH($I$20,Spectra!$20:$20,0)),I237)</f>
        <v>1.1448897652266E-3</v>
      </c>
      <c r="J238" s="147">
        <f>((Physics!$C$9*Physics!$C$10)/(Physics!$C$11*Physics!$C$12*$H238))^($J$17-$J$18)</f>
        <v>3.0062090937484283E+18</v>
      </c>
      <c r="K238" s="147">
        <f t="shared" si="85"/>
        <v>1</v>
      </c>
      <c r="L238" s="147">
        <f>INDEX(Photobiology!$21:$421,1+$H238-380,10)</f>
        <v>0.66947160000000006</v>
      </c>
      <c r="M238" s="147">
        <f t="shared" si="86"/>
        <v>1.1448897652266E-3</v>
      </c>
      <c r="N238" s="147">
        <f ca="1">INDEX(Photobiology!$21:$421,1+$H238-380,N$14)</f>
        <v>1.3106599999999999E-5</v>
      </c>
      <c r="O238" s="147">
        <f ca="1">INDEX(Photobiology!$21:$421,1+$H238-380,O$14)</f>
        <v>0.346856</v>
      </c>
      <c r="P238" s="147">
        <f ca="1">INDEX(Photobiology!$21:$421,1+$H238-380,P$14)</f>
        <v>0.83786499999999997</v>
      </c>
      <c r="Q238" s="147">
        <f ca="1">INDEX(Photobiology!$21:$421,1+$H238-380,Q$14)</f>
        <v>4.0899999999999999E-2</v>
      </c>
      <c r="R238" s="147">
        <f ca="1">INDEX(Photobiology!$21:$421,1+$H238-380,R$14)</f>
        <v>6.5347599999999997E-3</v>
      </c>
      <c r="S238" s="147">
        <f t="shared" si="87"/>
        <v>3441778023563708</v>
      </c>
      <c r="T238" s="147">
        <f ca="1">INDEX(Photobiology!$21:$421,1+$H238-380,T$14)</f>
        <v>9.8229340847000354E-6</v>
      </c>
      <c r="U238" s="147">
        <f ca="1">INDEX(Photobiology!$21:$421,1+$H238-380,U$14)</f>
        <v>0.31407484148293219</v>
      </c>
      <c r="V238" s="147">
        <f ca="1">INDEX(Photobiology!$21:$421,1+$H238-380,V$14)</f>
        <v>0.79535708699263563</v>
      </c>
      <c r="W238" s="147">
        <f ca="1">INDEX(Photobiology!$21:$421,1+$H238-380,W$14)</f>
        <v>3.4632540838596189E-2</v>
      </c>
      <c r="X238" s="147">
        <f ca="1">INDEX(Photobiology!$21:$421,1+$H238-380,X$14)</f>
        <v>5.3523081630198642E-3</v>
      </c>
      <c r="Y238" s="147">
        <f t="shared" si="74"/>
        <v>1.1448897652266E-3</v>
      </c>
      <c r="Z238" s="147">
        <f t="shared" ca="1" si="88"/>
        <v>1.5005612196918955E-8</v>
      </c>
      <c r="AA238" s="147">
        <f t="shared" ca="1" si="75"/>
        <v>3.971118844074376E-4</v>
      </c>
      <c r="AB238" s="147">
        <f t="shared" ca="1" si="76"/>
        <v>9.5926306314158519E-4</v>
      </c>
      <c r="AC238" s="147">
        <f t="shared" ca="1" si="77"/>
        <v>4.6825991397767943E-5</v>
      </c>
      <c r="AD238" s="147">
        <f t="shared" ca="1" si="78"/>
        <v>7.4815798422121767E-6</v>
      </c>
      <c r="AH238" s="147">
        <f t="shared" si="89"/>
        <v>597</v>
      </c>
      <c r="AI238" s="147">
        <f>IF($AH238&gt;$AH237,INDEX(Spectra!238:238,1,MATCH($AI$20,Spectra!$20:$20,0)),AI237)</f>
        <v>89.61</v>
      </c>
      <c r="AJ238" s="147">
        <f>((Physics!$C$9*Physics!$C$10)/(Physics!$C$11*Physics!$C$12*$AH238))^($AJ$17-$AJ$18)</f>
        <v>3.0062090937484283E+18</v>
      </c>
      <c r="AK238" s="147">
        <f t="shared" si="90"/>
        <v>1</v>
      </c>
      <c r="AL238" s="147">
        <f>INDEX(Photobiology!$21:$421,1+$AH238-380,10)</f>
        <v>0.66947160000000006</v>
      </c>
      <c r="AM238" s="147">
        <f t="shared" si="91"/>
        <v>1.2416003501874804E-3</v>
      </c>
      <c r="AN238" s="147">
        <f ca="1">INDEX(Photobiology!$21:$421,1+$AH238-380,AN$14)</f>
        <v>1.3106599999999999E-5</v>
      </c>
      <c r="AO238" s="147">
        <f ca="1">INDEX(Photobiology!$21:$421,1+$AH238-380,AO$14)</f>
        <v>0.346856</v>
      </c>
      <c r="AP238" s="147">
        <f ca="1">INDEX(Photobiology!$21:$421,1+$AH238-380,AP$14)</f>
        <v>0.83786499999999997</v>
      </c>
      <c r="AQ238" s="147">
        <f ca="1">INDEX(Photobiology!$21:$421,1+$AH238-380,AQ$14)</f>
        <v>4.0899999999999999E-2</v>
      </c>
      <c r="AR238" s="147">
        <f ca="1">INDEX(Photobiology!$21:$421,1+$AH238-380,AR$14)</f>
        <v>6.5347599999999997E-3</v>
      </c>
      <c r="AS238" s="147">
        <f t="shared" si="92"/>
        <v>3732510263534836.5</v>
      </c>
      <c r="AT238" s="147">
        <f ca="1">INDEX(Photobiology!$21:$421,1+$AH238-380,AT$14)</f>
        <v>9.8229340847000354E-6</v>
      </c>
      <c r="AU238" s="147">
        <f ca="1">INDEX(Photobiology!$21:$421,1+$AH238-380,AU$14)</f>
        <v>0.31407484148293219</v>
      </c>
      <c r="AV238" s="147">
        <f ca="1">INDEX(Photobiology!$21:$421,1+$AH238-380,AV$14)</f>
        <v>0.79535708699263563</v>
      </c>
      <c r="AW238" s="147">
        <f ca="1">INDEX(Photobiology!$21:$421,1+$AH238-380,AW$14)</f>
        <v>3.4632540838596189E-2</v>
      </c>
      <c r="AX238" s="147">
        <f ca="1">INDEX(Photobiology!$21:$421,1+$AH238-380,AX$14)</f>
        <v>5.3523081630198642E-3</v>
      </c>
      <c r="AY238" s="147">
        <f t="shared" si="79"/>
        <v>1.2416003501874804E-3</v>
      </c>
      <c r="AZ238" s="147">
        <f t="shared" ca="1" si="93"/>
        <v>1.6273159149767231E-8</v>
      </c>
      <c r="BA238" s="147">
        <f t="shared" ca="1" si="80"/>
        <v>4.3065653106462871E-4</v>
      </c>
      <c r="BB238" s="147">
        <f t="shared" ca="1" si="81"/>
        <v>1.0402934774098333E-3</v>
      </c>
      <c r="BC238" s="147">
        <f t="shared" ca="1" si="82"/>
        <v>5.0781454322667947E-5</v>
      </c>
      <c r="BD238" s="147">
        <f t="shared" ca="1" si="83"/>
        <v>8.1135603043911392E-6</v>
      </c>
    </row>
    <row r="239" spans="8:56" s="147" customFormat="1" ht="0.25" customHeight="1" x14ac:dyDescent="0.2">
      <c r="H239" s="147">
        <f t="shared" si="84"/>
        <v>598</v>
      </c>
      <c r="I239" s="147">
        <f>IF($H239&gt;$H238,INDEX(Spectra!239:239,1,MATCH($I$20,Spectra!$20:$20,0)),I238)</f>
        <v>1.13989024660115E-3</v>
      </c>
      <c r="J239" s="147">
        <f>((Physics!$C$9*Physics!$C$10)/(Physics!$C$11*Physics!$C$12*$H239))^($J$17-$J$18)</f>
        <v>3.01124461986861E+18</v>
      </c>
      <c r="K239" s="147">
        <f t="shared" si="85"/>
        <v>1</v>
      </c>
      <c r="L239" s="147">
        <f>INDEX(Photobiology!$21:$421,1+$H239-380,10)</f>
        <v>0.65667439999999999</v>
      </c>
      <c r="M239" s="147">
        <f t="shared" si="86"/>
        <v>1.13989024660115E-3</v>
      </c>
      <c r="N239" s="147">
        <f ca="1">INDEX(Photobiology!$21:$421,1+$H239-380,N$14)</f>
        <v>1.20248E-5</v>
      </c>
      <c r="O239" s="147">
        <f ca="1">INDEX(Photobiology!$21:$421,1+$H239-380,O$14)</f>
        <v>0.332422</v>
      </c>
      <c r="P239" s="147">
        <f ca="1">INDEX(Photobiology!$21:$421,1+$H239-380,P$14)</f>
        <v>0.82652199999999998</v>
      </c>
      <c r="Q239" s="147">
        <f ca="1">INDEX(Photobiology!$21:$421,1+$H239-380,Q$14)</f>
        <v>3.8159999999999999E-2</v>
      </c>
      <c r="R239" s="147">
        <f ca="1">INDEX(Photobiology!$21:$421,1+$H239-380,R$14)</f>
        <v>6.0010999999999997E-3</v>
      </c>
      <c r="S239" s="147">
        <f t="shared" si="87"/>
        <v>3432488372318416</v>
      </c>
      <c r="T239" s="147">
        <f ca="1">INDEX(Photobiology!$21:$421,1+$H239-380,T$14)</f>
        <v>8.9970926613341843E-6</v>
      </c>
      <c r="U239" s="147">
        <f ca="1">INDEX(Photobiology!$21:$421,1+$H239-380,U$14)</f>
        <v>0.30050163758837461</v>
      </c>
      <c r="V239" s="147">
        <f ca="1">INDEX(Photobiology!$21:$421,1+$H239-380,V$14)</f>
        <v>0.78327753561569702</v>
      </c>
      <c r="W239" s="147">
        <f ca="1">INDEX(Photobiology!$21:$421,1+$H239-380,W$14)</f>
        <v>3.2258380492648508E-2</v>
      </c>
      <c r="X239" s="147">
        <f ca="1">INDEX(Photobiology!$21:$421,1+$H239-380,X$14)</f>
        <v>4.9069934600694479E-3</v>
      </c>
      <c r="Y239" s="147">
        <f t="shared" si="74"/>
        <v>1.13989024660115E-3</v>
      </c>
      <c r="Z239" s="147">
        <f t="shared" ca="1" si="88"/>
        <v>1.3706952237329509E-8</v>
      </c>
      <c r="AA239" s="147">
        <f t="shared" ca="1" si="75"/>
        <v>3.7892459555564749E-4</v>
      </c>
      <c r="AB239" s="147">
        <f t="shared" ca="1" si="76"/>
        <v>9.4214436640127576E-4</v>
      </c>
      <c r="AC239" s="147">
        <f t="shared" ca="1" si="77"/>
        <v>4.3498211810299886E-5</v>
      </c>
      <c r="AD239" s="147">
        <f t="shared" ca="1" si="78"/>
        <v>6.8405953588781611E-6</v>
      </c>
      <c r="AH239" s="147">
        <f t="shared" si="89"/>
        <v>598</v>
      </c>
      <c r="AI239" s="147">
        <f>IF($AH239&gt;$AH238,INDEX(Spectra!239:239,1,MATCH($AI$20,Spectra!$20:$20,0)),AI238)</f>
        <v>89.742099999999994</v>
      </c>
      <c r="AJ239" s="147">
        <f>((Physics!$C$9*Physics!$C$10)/(Physics!$C$11*Physics!$C$12*$AH239))^($AJ$17-$AJ$18)</f>
        <v>3.01124461986861E+18</v>
      </c>
      <c r="AK239" s="147">
        <f t="shared" si="90"/>
        <v>1</v>
      </c>
      <c r="AL239" s="147">
        <f>INDEX(Photobiology!$21:$421,1+$AH239-380,10)</f>
        <v>0.65667439999999999</v>
      </c>
      <c r="AM239" s="147">
        <f t="shared" si="91"/>
        <v>1.2434306749978784E-3</v>
      </c>
      <c r="AN239" s="147">
        <f ca="1">INDEX(Photobiology!$21:$421,1+$AH239-380,AN$14)</f>
        <v>1.20248E-5</v>
      </c>
      <c r="AO239" s="147">
        <f ca="1">INDEX(Photobiology!$21:$421,1+$AH239-380,AO$14)</f>
        <v>0.332422</v>
      </c>
      <c r="AP239" s="147">
        <f ca="1">INDEX(Photobiology!$21:$421,1+$AH239-380,AP$14)</f>
        <v>0.82652199999999998</v>
      </c>
      <c r="AQ239" s="147">
        <f ca="1">INDEX(Photobiology!$21:$421,1+$AH239-380,AQ$14)</f>
        <v>3.8159999999999999E-2</v>
      </c>
      <c r="AR239" s="147">
        <f ca="1">INDEX(Photobiology!$21:$421,1+$AH239-380,AR$14)</f>
        <v>6.0010999999999997E-3</v>
      </c>
      <c r="AS239" s="147">
        <f t="shared" si="92"/>
        <v>3744273930266955.5</v>
      </c>
      <c r="AT239" s="147">
        <f ca="1">INDEX(Photobiology!$21:$421,1+$AH239-380,AT$14)</f>
        <v>8.9970926613341843E-6</v>
      </c>
      <c r="AU239" s="147">
        <f ca="1">INDEX(Photobiology!$21:$421,1+$AH239-380,AU$14)</f>
        <v>0.30050163758837461</v>
      </c>
      <c r="AV239" s="147">
        <f ca="1">INDEX(Photobiology!$21:$421,1+$AH239-380,AV$14)</f>
        <v>0.78327753561569702</v>
      </c>
      <c r="AW239" s="147">
        <f ca="1">INDEX(Photobiology!$21:$421,1+$AH239-380,AW$14)</f>
        <v>3.2258380492648508E-2</v>
      </c>
      <c r="AX239" s="147">
        <f ca="1">INDEX(Photobiology!$21:$421,1+$AH239-380,AX$14)</f>
        <v>4.9069934600694479E-3</v>
      </c>
      <c r="AY239" s="147">
        <f t="shared" si="79"/>
        <v>1.2434306749978784E-3</v>
      </c>
      <c r="AZ239" s="147">
        <f t="shared" ca="1" si="93"/>
        <v>1.4952005180714488E-8</v>
      </c>
      <c r="BA239" s="147">
        <f t="shared" ca="1" si="80"/>
        <v>4.1334371184414471E-4</v>
      </c>
      <c r="BB239" s="147">
        <f t="shared" ca="1" si="81"/>
        <v>1.0277228083605964E-3</v>
      </c>
      <c r="BC239" s="147">
        <f t="shared" ca="1" si="82"/>
        <v>4.7449314557919038E-5</v>
      </c>
      <c r="BD239" s="147">
        <f t="shared" ca="1" si="83"/>
        <v>7.4619518237297673E-6</v>
      </c>
    </row>
    <row r="240" spans="8:56" s="147" customFormat="1" ht="0.25" customHeight="1" x14ac:dyDescent="0.2">
      <c r="H240" s="147">
        <f t="shared" si="84"/>
        <v>599</v>
      </c>
      <c r="I240" s="147">
        <f>IF($H240&gt;$H239,INDEX(Spectra!240:240,1,MATCH($I$20,Spectra!$20:$20,0)),I239)</f>
        <v>1.13489072797571E-3</v>
      </c>
      <c r="J240" s="147">
        <f>((Physics!$C$9*Physics!$C$10)/(Physics!$C$11*Physics!$C$12*$H240))^($J$17-$J$18)</f>
        <v>3.0162801459887918E+18</v>
      </c>
      <c r="K240" s="147">
        <f t="shared" si="85"/>
        <v>1</v>
      </c>
      <c r="L240" s="147">
        <f>INDEX(Photobiology!$21:$421,1+$H240-380,10)</f>
        <v>0.64384479999999999</v>
      </c>
      <c r="M240" s="147">
        <f t="shared" si="86"/>
        <v>1.13489072797571E-3</v>
      </c>
      <c r="N240" s="147">
        <f ca="1">INDEX(Photobiology!$21:$421,1+$H240-380,N$14)</f>
        <v>1.10373E-5</v>
      </c>
      <c r="O240" s="147">
        <f ca="1">INDEX(Photobiology!$21:$421,1+$H240-380,O$14)</f>
        <v>0.31826100000000002</v>
      </c>
      <c r="P240" s="147">
        <f ca="1">INDEX(Photobiology!$21:$421,1+$H240-380,P$14)</f>
        <v>0.81494</v>
      </c>
      <c r="Q240" s="147">
        <f ca="1">INDEX(Photobiology!$21:$421,1+$H240-380,Q$14)</f>
        <v>3.5580000000000001E-2</v>
      </c>
      <c r="R240" s="147">
        <f ca="1">INDEX(Photobiology!$21:$421,1+$H240-380,R$14)</f>
        <v>5.5117400000000002E-3</v>
      </c>
      <c r="S240" s="147">
        <f t="shared" si="87"/>
        <v>3423148370659901</v>
      </c>
      <c r="T240" s="147">
        <f ca="1">INDEX(Photobiology!$21:$421,1+$H240-380,T$14)</f>
        <v>8.2444471849030628E-6</v>
      </c>
      <c r="U240" s="147">
        <f ca="1">INDEX(Photobiology!$21:$421,1+$H240-380,U$14)</f>
        <v>0.28722012679634668</v>
      </c>
      <c r="V240" s="147">
        <f ca="1">INDEX(Photobiology!$21:$421,1+$H240-380,V$14)</f>
        <v>0.77101219947397659</v>
      </c>
      <c r="W240" s="147">
        <f ca="1">INDEX(Photobiology!$21:$421,1+$H240-380,W$14)</f>
        <v>3.0027176688663653E-2</v>
      </c>
      <c r="X240" s="147">
        <f ca="1">INDEX(Photobiology!$21:$421,1+$H240-380,X$14)</f>
        <v>4.4993284719990262E-3</v>
      </c>
      <c r="Y240" s="147">
        <f t="shared" si="74"/>
        <v>1.13489072797571E-3</v>
      </c>
      <c r="Z240" s="147">
        <f t="shared" ca="1" si="88"/>
        <v>1.2526129431886305E-8</v>
      </c>
      <c r="AA240" s="147">
        <f t="shared" ca="1" si="75"/>
        <v>3.6119145797627747E-4</v>
      </c>
      <c r="AB240" s="147">
        <f t="shared" ca="1" si="76"/>
        <v>9.2486784985652511E-4</v>
      </c>
      <c r="AC240" s="147">
        <f t="shared" ca="1" si="77"/>
        <v>4.0379412101375764E-5</v>
      </c>
      <c r="AD240" s="147">
        <f t="shared" ca="1" si="78"/>
        <v>6.2552226210128407E-6</v>
      </c>
      <c r="AH240" s="147">
        <f t="shared" si="89"/>
        <v>599</v>
      </c>
      <c r="AI240" s="147">
        <f>IF($AH240&gt;$AH239,INDEX(Spectra!240:240,1,MATCH($AI$20,Spectra!$20:$20,0)),AI239)</f>
        <v>89.874099999999999</v>
      </c>
      <c r="AJ240" s="147">
        <f>((Physics!$C$9*Physics!$C$10)/(Physics!$C$11*Physics!$C$12*$AH240))^($AJ$17-$AJ$18)</f>
        <v>3.0162801459887918E+18</v>
      </c>
      <c r="AK240" s="147">
        <f t="shared" si="90"/>
        <v>1</v>
      </c>
      <c r="AL240" s="147">
        <f>INDEX(Photobiology!$21:$421,1+$AH240-380,10)</f>
        <v>0.64384479999999999</v>
      </c>
      <c r="AM240" s="147">
        <f t="shared" si="91"/>
        <v>1.2452596142482383E-3</v>
      </c>
      <c r="AN240" s="147">
        <f ca="1">INDEX(Photobiology!$21:$421,1+$AH240-380,AN$14)</f>
        <v>1.10373E-5</v>
      </c>
      <c r="AO240" s="147">
        <f ca="1">INDEX(Photobiology!$21:$421,1+$AH240-380,AO$14)</f>
        <v>0.31826100000000002</v>
      </c>
      <c r="AP240" s="147">
        <f ca="1">INDEX(Photobiology!$21:$421,1+$AH240-380,AP$14)</f>
        <v>0.81494</v>
      </c>
      <c r="AQ240" s="147">
        <f ca="1">INDEX(Photobiology!$21:$421,1+$AH240-380,AQ$14)</f>
        <v>3.5580000000000001E-2</v>
      </c>
      <c r="AR240" s="147">
        <f ca="1">INDEX(Photobiology!$21:$421,1+$AH240-380,AR$14)</f>
        <v>5.5117400000000002E-3</v>
      </c>
      <c r="AS240" s="147">
        <f t="shared" si="92"/>
        <v>3756051851058623</v>
      </c>
      <c r="AT240" s="147">
        <f ca="1">INDEX(Photobiology!$21:$421,1+$AH240-380,AT$14)</f>
        <v>8.2444471849030628E-6</v>
      </c>
      <c r="AU240" s="147">
        <f ca="1">INDEX(Photobiology!$21:$421,1+$AH240-380,AU$14)</f>
        <v>0.28722012679634668</v>
      </c>
      <c r="AV240" s="147">
        <f ca="1">INDEX(Photobiology!$21:$421,1+$AH240-380,AV$14)</f>
        <v>0.77101219947397659</v>
      </c>
      <c r="AW240" s="147">
        <f ca="1">INDEX(Photobiology!$21:$421,1+$AH240-380,AW$14)</f>
        <v>3.0027176688663653E-2</v>
      </c>
      <c r="AX240" s="147">
        <f ca="1">INDEX(Photobiology!$21:$421,1+$AH240-380,AX$14)</f>
        <v>4.4993284719990262E-3</v>
      </c>
      <c r="AY240" s="147">
        <f t="shared" si="79"/>
        <v>1.2452596142482383E-3</v>
      </c>
      <c r="AZ240" s="147">
        <f t="shared" ca="1" si="93"/>
        <v>1.3744303940342081E-8</v>
      </c>
      <c r="BA240" s="147">
        <f t="shared" ca="1" si="80"/>
        <v>3.9631757009025856E-4</v>
      </c>
      <c r="BB240" s="147">
        <f t="shared" ca="1" si="81"/>
        <v>1.0148118700354593E-3</v>
      </c>
      <c r="BC240" s="147">
        <f t="shared" ca="1" si="82"/>
        <v>4.430633707495232E-5</v>
      </c>
      <c r="BD240" s="147">
        <f t="shared" ca="1" si="83"/>
        <v>6.8635472262365852E-6</v>
      </c>
    </row>
    <row r="241" spans="8:56" s="147" customFormat="1" ht="0.25" customHeight="1" x14ac:dyDescent="0.2">
      <c r="H241" s="147">
        <f t="shared" si="84"/>
        <v>600</v>
      </c>
      <c r="I241" s="147">
        <f>IF($H241&gt;$H240,INDEX(Spectra!241:241,1,MATCH($I$20,Spectra!$20:$20,0)),I240)</f>
        <v>1.13489072797571E-3</v>
      </c>
      <c r="J241" s="147">
        <f>((Physics!$C$9*Physics!$C$10)/(Physics!$C$11*Physics!$C$12*$H241))^($J$17-$J$18)</f>
        <v>3.0213156721089736E+18</v>
      </c>
      <c r="K241" s="147">
        <f t="shared" si="85"/>
        <v>1</v>
      </c>
      <c r="L241" s="147">
        <f>INDEX(Photobiology!$21:$421,1+$H241-380,10)</f>
        <v>0.63100000000000001</v>
      </c>
      <c r="M241" s="147">
        <f t="shared" si="86"/>
        <v>1.13489072797571E-3</v>
      </c>
      <c r="N241" s="147">
        <f ca="1">INDEX(Photobiology!$21:$421,1+$H241-380,N$14)</f>
        <v>1.01356E-5</v>
      </c>
      <c r="O241" s="147">
        <f ca="1">INDEX(Photobiology!$21:$421,1+$H241-380,O$14)</f>
        <v>0.30437799999999998</v>
      </c>
      <c r="P241" s="147">
        <f ca="1">INDEX(Photobiology!$21:$421,1+$H241-380,P$14)</f>
        <v>0.80317300000000003</v>
      </c>
      <c r="Q241" s="147">
        <f ca="1">INDEX(Photobiology!$21:$421,1+$H241-380,Q$14)</f>
        <v>3.3149999999999999E-2</v>
      </c>
      <c r="R241" s="147">
        <f ca="1">INDEX(Photobiology!$21:$421,1+$H241-380,R$14)</f>
        <v>5.0668600000000003E-3</v>
      </c>
      <c r="S241" s="147">
        <f t="shared" si="87"/>
        <v>3428863142564174.5</v>
      </c>
      <c r="T241" s="147">
        <f ca="1">INDEX(Photobiology!$21:$421,1+$H241-380,T$14)</f>
        <v>7.5582930779409794E-6</v>
      </c>
      <c r="U241" s="147">
        <f ca="1">INDEX(Photobiology!$21:$421,1+$H241-380,U$14)</f>
        <v>0.27423335545698346</v>
      </c>
      <c r="V241" s="147">
        <f ca="1">INDEX(Photobiology!$21:$421,1+$H241-380,V$14)</f>
        <v>0.75861301157463368</v>
      </c>
      <c r="W241" s="147">
        <f ca="1">INDEX(Photobiology!$21:$421,1+$H241-380,W$14)</f>
        <v>2.7929789368104314E-2</v>
      </c>
      <c r="X241" s="147">
        <f ca="1">INDEX(Photobiology!$21:$421,1+$H241-380,X$14)</f>
        <v>4.1292716424450836E-3</v>
      </c>
      <c r="Y241" s="147">
        <f t="shared" si="74"/>
        <v>1.13489072797571E-3</v>
      </c>
      <c r="Z241" s="147">
        <f t="shared" ca="1" si="88"/>
        <v>1.1502798462470606E-8</v>
      </c>
      <c r="AA241" s="147">
        <f t="shared" ca="1" si="75"/>
        <v>3.4543576999979066E-4</v>
      </c>
      <c r="AB241" s="147">
        <f t="shared" ca="1" si="76"/>
        <v>9.1151359066043503E-4</v>
      </c>
      <c r="AC241" s="147">
        <f t="shared" ca="1" si="77"/>
        <v>3.7621627632394784E-5</v>
      </c>
      <c r="AD241" s="147">
        <f t="shared" ca="1" si="78"/>
        <v>5.7503324339510063E-6</v>
      </c>
      <c r="AH241" s="147">
        <f t="shared" si="89"/>
        <v>600</v>
      </c>
      <c r="AI241" s="147">
        <f>IF($AH241&gt;$AH240,INDEX(Spectra!241:241,1,MATCH($AI$20,Spectra!$20:$20,0)),AI240)</f>
        <v>90.006200000000007</v>
      </c>
      <c r="AJ241" s="147">
        <f>((Physics!$C$9*Physics!$C$10)/(Physics!$C$11*Physics!$C$12*$AH241))^($AJ$17-$AJ$18)</f>
        <v>3.0213156721089736E+18</v>
      </c>
      <c r="AK241" s="147">
        <f t="shared" si="90"/>
        <v>1</v>
      </c>
      <c r="AL241" s="147">
        <f>INDEX(Photobiology!$21:$421,1+$AH241-380,10)</f>
        <v>0.63100000000000001</v>
      </c>
      <c r="AM241" s="147">
        <f t="shared" si="91"/>
        <v>1.2470899390586365E-3</v>
      </c>
      <c r="AN241" s="147">
        <f ca="1">INDEX(Photobiology!$21:$421,1+$AH241-380,AN$14)</f>
        <v>1.01356E-5</v>
      </c>
      <c r="AO241" s="147">
        <f ca="1">INDEX(Photobiology!$21:$421,1+$AH241-380,AO$14)</f>
        <v>0.30437799999999998</v>
      </c>
      <c r="AP241" s="147">
        <f ca="1">INDEX(Photobiology!$21:$421,1+$AH241-380,AP$14)</f>
        <v>0.80317300000000003</v>
      </c>
      <c r="AQ241" s="147">
        <f ca="1">INDEX(Photobiology!$21:$421,1+$AH241-380,AQ$14)</f>
        <v>3.3149999999999999E-2</v>
      </c>
      <c r="AR241" s="147">
        <f ca="1">INDEX(Photobiology!$21:$421,1+$AH241-380,AR$14)</f>
        <v>5.0668600000000003E-3</v>
      </c>
      <c r="AS241" s="147">
        <f t="shared" si="92"/>
        <v>3767852377407283</v>
      </c>
      <c r="AT241" s="147">
        <f ca="1">INDEX(Photobiology!$21:$421,1+$AH241-380,AT$14)</f>
        <v>7.5582930779409794E-6</v>
      </c>
      <c r="AU241" s="147">
        <f ca="1">INDEX(Photobiology!$21:$421,1+$AH241-380,AU$14)</f>
        <v>0.27423335545698346</v>
      </c>
      <c r="AV241" s="147">
        <f ca="1">INDEX(Photobiology!$21:$421,1+$AH241-380,AV$14)</f>
        <v>0.75861301157463368</v>
      </c>
      <c r="AW241" s="147">
        <f ca="1">INDEX(Photobiology!$21:$421,1+$AH241-380,AW$14)</f>
        <v>2.7929789368104314E-2</v>
      </c>
      <c r="AX241" s="147">
        <f ca="1">INDEX(Photobiology!$21:$421,1+$AH241-380,AX$14)</f>
        <v>4.1292716424450836E-3</v>
      </c>
      <c r="AY241" s="147">
        <f t="shared" si="79"/>
        <v>1.2470899390586365E-3</v>
      </c>
      <c r="AZ241" s="147">
        <f t="shared" ca="1" si="93"/>
        <v>1.2640004786322715E-8</v>
      </c>
      <c r="BA241" s="147">
        <f t="shared" ca="1" si="80"/>
        <v>3.7958674147078961E-4</v>
      </c>
      <c r="BB241" s="147">
        <f t="shared" ca="1" si="81"/>
        <v>1.0016289676235423E-3</v>
      </c>
      <c r="BC241" s="147">
        <f t="shared" ca="1" si="82"/>
        <v>4.1341031479793798E-5</v>
      </c>
      <c r="BD241" s="147">
        <f t="shared" ca="1" si="83"/>
        <v>6.3188301286186428E-6</v>
      </c>
    </row>
    <row r="242" spans="8:56" s="147" customFormat="1" ht="0.25" customHeight="1" x14ac:dyDescent="0.2">
      <c r="H242" s="147">
        <f t="shared" si="84"/>
        <v>601</v>
      </c>
      <c r="I242" s="147">
        <f>IF($H242&gt;$H241,INDEX(Spectra!242:242,1,MATCH($I$20,Spectra!$20:$20,0)),I241)</f>
        <v>1.1298912093502601E-3</v>
      </c>
      <c r="J242" s="147">
        <f>((Physics!$C$9*Physics!$C$10)/(Physics!$C$11*Physics!$C$12*$H242))^($J$17-$J$18)</f>
        <v>3.0263511982291548E+18</v>
      </c>
      <c r="K242" s="147">
        <f t="shared" si="85"/>
        <v>1</v>
      </c>
      <c r="L242" s="147">
        <f>INDEX(Photobiology!$21:$421,1+$H242-380,10)</f>
        <v>0.61815549999999997</v>
      </c>
      <c r="M242" s="147">
        <f t="shared" si="86"/>
        <v>1.1298912093502601E-3</v>
      </c>
      <c r="N242" s="147">
        <f ca="1">INDEX(Photobiology!$21:$421,1+$H242-380,N$14)</f>
        <v>9.3120199999999997E-6</v>
      </c>
      <c r="O242" s="147">
        <f ca="1">INDEX(Photobiology!$21:$421,1+$H242-380,O$14)</f>
        <v>0.29078399999999999</v>
      </c>
      <c r="P242" s="147">
        <f ca="1">INDEX(Photobiology!$21:$421,1+$H242-380,P$14)</f>
        <v>0.79125299999999998</v>
      </c>
      <c r="Q242" s="147">
        <f ca="1">INDEX(Photobiology!$21:$421,1+$H242-380,Q$14)</f>
        <v>3.0870000000000002E-2</v>
      </c>
      <c r="R242" s="147">
        <f ca="1">INDEX(Photobiology!$21:$421,1+$H242-380,R$14)</f>
        <v>4.6586900000000001E-3</v>
      </c>
      <c r="S242" s="147">
        <f t="shared" si="87"/>
        <v>3419447615285748.5</v>
      </c>
      <c r="T242" s="147">
        <f ca="1">INDEX(Photobiology!$21:$421,1+$H242-380,T$14)</f>
        <v>6.9325808565943608E-6</v>
      </c>
      <c r="U242" s="147">
        <f ca="1">INDEX(Photobiology!$21:$421,1+$H242-380,U$14)</f>
        <v>0.26154974642934892</v>
      </c>
      <c r="V242" s="147">
        <f ca="1">INDEX(Photobiology!$21:$421,1+$H242-380,V$14)</f>
        <v>0.74611081441427229</v>
      </c>
      <c r="W242" s="147">
        <f ca="1">INDEX(Photobiology!$21:$421,1+$H242-380,W$14)</f>
        <v>2.5965550561835256E-2</v>
      </c>
      <c r="X242" s="147">
        <f ca="1">INDEX(Photobiology!$21:$421,1+$H242-380,X$14)</f>
        <v>3.7903135658544627E-3</v>
      </c>
      <c r="Y242" s="147">
        <f t="shared" si="74"/>
        <v>1.1298912093502601E-3</v>
      </c>
      <c r="Z242" s="147">
        <f t="shared" ca="1" si="88"/>
        <v>1.0521569539293809E-8</v>
      </c>
      <c r="AA242" s="147">
        <f t="shared" ca="1" si="75"/>
        <v>3.2855428541970599E-4</v>
      </c>
      <c r="AB242" s="147">
        <f t="shared" ca="1" si="76"/>
        <v>8.9402980907202125E-4</v>
      </c>
      <c r="AC242" s="147">
        <f t="shared" ca="1" si="77"/>
        <v>3.4879741632642528E-5</v>
      </c>
      <c r="AD242" s="147">
        <f t="shared" ca="1" si="78"/>
        <v>5.2638128780879633E-6</v>
      </c>
      <c r="AH242" s="147">
        <f t="shared" si="89"/>
        <v>601</v>
      </c>
      <c r="AI242" s="147">
        <f>IF($AH242&gt;$AH241,INDEX(Spectra!242:242,1,MATCH($AI$20,Spectra!$20:$20,0)),AI241)</f>
        <v>89.965500000000006</v>
      </c>
      <c r="AJ242" s="147">
        <f>((Physics!$C$9*Physics!$C$10)/(Physics!$C$11*Physics!$C$12*$AH242))^($AJ$17-$AJ$18)</f>
        <v>3.0263511982291548E+18</v>
      </c>
      <c r="AK242" s="147">
        <f t="shared" si="90"/>
        <v>1</v>
      </c>
      <c r="AL242" s="147">
        <f>INDEX(Photobiology!$21:$421,1+$AH242-380,10)</f>
        <v>0.61815549999999997</v>
      </c>
      <c r="AM242" s="147">
        <f t="shared" si="91"/>
        <v>1.2465260161231089E-3</v>
      </c>
      <c r="AN242" s="147">
        <f ca="1">INDEX(Photobiology!$21:$421,1+$AH242-380,AN$14)</f>
        <v>9.3120199999999997E-6</v>
      </c>
      <c r="AO242" s="147">
        <f ca="1">INDEX(Photobiology!$21:$421,1+$AH242-380,AO$14)</f>
        <v>0.29078399999999999</v>
      </c>
      <c r="AP242" s="147">
        <f ca="1">INDEX(Photobiology!$21:$421,1+$AH242-380,AP$14)</f>
        <v>0.79125299999999998</v>
      </c>
      <c r="AQ242" s="147">
        <f ca="1">INDEX(Photobiology!$21:$421,1+$AH242-380,AQ$14)</f>
        <v>3.0870000000000002E-2</v>
      </c>
      <c r="AR242" s="147">
        <f ca="1">INDEX(Photobiology!$21:$421,1+$AH242-380,AR$14)</f>
        <v>4.6586900000000001E-3</v>
      </c>
      <c r="AS242" s="147">
        <f t="shared" si="92"/>
        <v>3772425502517985.5</v>
      </c>
      <c r="AT242" s="147">
        <f ca="1">INDEX(Photobiology!$21:$421,1+$AH242-380,AT$14)</f>
        <v>6.9325808565943608E-6</v>
      </c>
      <c r="AU242" s="147">
        <f ca="1">INDEX(Photobiology!$21:$421,1+$AH242-380,AU$14)</f>
        <v>0.26154974642934892</v>
      </c>
      <c r="AV242" s="147">
        <f ca="1">INDEX(Photobiology!$21:$421,1+$AH242-380,AV$14)</f>
        <v>0.74611081441427229</v>
      </c>
      <c r="AW242" s="147">
        <f ca="1">INDEX(Photobiology!$21:$421,1+$AH242-380,AW$14)</f>
        <v>2.5965550561835256E-2</v>
      </c>
      <c r="AX242" s="147">
        <f ca="1">INDEX(Photobiology!$21:$421,1+$AH242-380,AX$14)</f>
        <v>3.7903135658544627E-3</v>
      </c>
      <c r="AY242" s="147">
        <f t="shared" si="79"/>
        <v>1.2465260161231089E-3</v>
      </c>
      <c r="AZ242" s="147">
        <f t="shared" ca="1" si="93"/>
        <v>1.1607675192658712E-8</v>
      </c>
      <c r="BA242" s="147">
        <f t="shared" ca="1" si="80"/>
        <v>3.6246982107234209E-4</v>
      </c>
      <c r="BB242" s="147">
        <f t="shared" ca="1" si="81"/>
        <v>9.8631744983545817E-4</v>
      </c>
      <c r="BC242" s="147">
        <f t="shared" ca="1" si="82"/>
        <v>3.8480258117720371E-5</v>
      </c>
      <c r="BD242" s="147">
        <f t="shared" ca="1" si="83"/>
        <v>5.8071782860525663E-6</v>
      </c>
    </row>
    <row r="243" spans="8:56" s="147" customFormat="1" ht="0.25" customHeight="1" x14ac:dyDescent="0.2">
      <c r="H243" s="147">
        <f t="shared" si="84"/>
        <v>602</v>
      </c>
      <c r="I243" s="147">
        <f>IF($H243&gt;$H242,INDEX(Spectra!243:243,1,MATCH($I$20,Spectra!$20:$20,0)),I242)</f>
        <v>1.12489169072482E-3</v>
      </c>
      <c r="J243" s="147">
        <f>((Physics!$C$9*Physics!$C$10)/(Physics!$C$11*Physics!$C$12*$H243))^($J$17-$J$18)</f>
        <v>3.0313867243493366E+18</v>
      </c>
      <c r="K243" s="147">
        <f t="shared" si="85"/>
        <v>1</v>
      </c>
      <c r="L243" s="147">
        <f>INDEX(Photobiology!$21:$421,1+$H243-380,10)</f>
        <v>0.60531440000000003</v>
      </c>
      <c r="M243" s="147">
        <f t="shared" si="86"/>
        <v>1.12489169072482E-3</v>
      </c>
      <c r="N243" s="147">
        <f ca="1">INDEX(Photobiology!$21:$421,1+$H243-380,N$14)</f>
        <v>8.5594100000000004E-6</v>
      </c>
      <c r="O243" s="147">
        <f ca="1">INDEX(Photobiology!$21:$421,1+$H243-380,O$14)</f>
        <v>0.27750599999999997</v>
      </c>
      <c r="P243" s="147">
        <f ca="1">INDEX(Photobiology!$21:$421,1+$H243-380,P$14)</f>
        <v>0.77911799999999998</v>
      </c>
      <c r="Q243" s="147">
        <f ca="1">INDEX(Photobiology!$21:$421,1+$H243-380,Q$14)</f>
        <v>2.8740000000000002E-2</v>
      </c>
      <c r="R243" s="147">
        <f ca="1">INDEX(Photobiology!$21:$421,1+$H243-380,R$14)</f>
        <v>4.2794599999999997E-3</v>
      </c>
      <c r="S243" s="147">
        <f t="shared" si="87"/>
        <v>3409981737594099</v>
      </c>
      <c r="T243" s="147">
        <f ca="1">INDEX(Photobiology!$21:$421,1+$H243-380,T$14)</f>
        <v>6.3616951500699158E-6</v>
      </c>
      <c r="U243" s="147">
        <f ca="1">INDEX(Photobiology!$21:$421,1+$H243-380,U$14)</f>
        <v>0.24919203412501117</v>
      </c>
      <c r="V243" s="147">
        <f ca="1">INDEX(Photobiology!$21:$421,1+$H243-380,V$14)</f>
        <v>0.73344775563655551</v>
      </c>
      <c r="W243" s="147">
        <f ca="1">INDEX(Photobiology!$21:$421,1+$H243-380,W$14)</f>
        <v>2.4133796739054372E-2</v>
      </c>
      <c r="X243" s="147">
        <f ca="1">INDEX(Photobiology!$21:$421,1+$H243-380,X$14)</f>
        <v>3.4759880885381479E-3</v>
      </c>
      <c r="Y243" s="147">
        <f t="shared" si="74"/>
        <v>1.12489169072482E-3</v>
      </c>
      <c r="Z243" s="147">
        <f t="shared" ca="1" si="88"/>
        <v>9.6284091865069322E-9</v>
      </c>
      <c r="AA243" s="147">
        <f t="shared" ca="1" si="75"/>
        <v>3.1216419352628189E-4</v>
      </c>
      <c r="AB243" s="147">
        <f t="shared" ca="1" si="76"/>
        <v>8.764233642941403E-4</v>
      </c>
      <c r="AC243" s="147">
        <f t="shared" ca="1" si="77"/>
        <v>3.232938719143133E-5</v>
      </c>
      <c r="AD243" s="147">
        <f t="shared" ca="1" si="78"/>
        <v>4.8139289947892379E-6</v>
      </c>
      <c r="AH243" s="147">
        <f t="shared" si="89"/>
        <v>602</v>
      </c>
      <c r="AI243" s="147">
        <f>IF($AH243&gt;$AH242,INDEX(Spectra!243:243,1,MATCH($AI$20,Spectra!$20:$20,0)),AI242)</f>
        <v>89.924800000000005</v>
      </c>
      <c r="AJ243" s="147">
        <f>((Physics!$C$9*Physics!$C$10)/(Physics!$C$11*Physics!$C$12*$AH243))^($AJ$17-$AJ$18)</f>
        <v>3.0313867243493366E+18</v>
      </c>
      <c r="AK243" s="147">
        <f t="shared" si="90"/>
        <v>1</v>
      </c>
      <c r="AL243" s="147">
        <f>INDEX(Photobiology!$21:$421,1+$AH243-380,10)</f>
        <v>0.60531440000000003</v>
      </c>
      <c r="AM243" s="147">
        <f t="shared" si="91"/>
        <v>1.2459620931875811E-3</v>
      </c>
      <c r="AN243" s="147">
        <f ca="1">INDEX(Photobiology!$21:$421,1+$AH243-380,AN$14)</f>
        <v>8.5594100000000004E-6</v>
      </c>
      <c r="AO243" s="147">
        <f ca="1">INDEX(Photobiology!$21:$421,1+$AH243-380,AO$14)</f>
        <v>0.27750599999999997</v>
      </c>
      <c r="AP243" s="147">
        <f ca="1">INDEX(Photobiology!$21:$421,1+$AH243-380,AP$14)</f>
        <v>0.77911799999999998</v>
      </c>
      <c r="AQ243" s="147">
        <f ca="1">INDEX(Photobiology!$21:$421,1+$AH243-380,AQ$14)</f>
        <v>2.8740000000000002E-2</v>
      </c>
      <c r="AR243" s="147">
        <f ca="1">INDEX(Photobiology!$21:$421,1+$AH243-380,AR$14)</f>
        <v>4.2794599999999997E-3</v>
      </c>
      <c r="AS243" s="147">
        <f t="shared" si="92"/>
        <v>3776992948331344.5</v>
      </c>
      <c r="AT243" s="147">
        <f ca="1">INDEX(Photobiology!$21:$421,1+$AH243-380,AT$14)</f>
        <v>6.3616951500699158E-6</v>
      </c>
      <c r="AU243" s="147">
        <f ca="1">INDEX(Photobiology!$21:$421,1+$AH243-380,AU$14)</f>
        <v>0.24919203412501117</v>
      </c>
      <c r="AV243" s="147">
        <f ca="1">INDEX(Photobiology!$21:$421,1+$AH243-380,AV$14)</f>
        <v>0.73344775563655551</v>
      </c>
      <c r="AW243" s="147">
        <f ca="1">INDEX(Photobiology!$21:$421,1+$AH243-380,AW$14)</f>
        <v>2.4133796739054372E-2</v>
      </c>
      <c r="AX243" s="147">
        <f ca="1">INDEX(Photobiology!$21:$421,1+$AH243-380,AX$14)</f>
        <v>3.4759880885381479E-3</v>
      </c>
      <c r="AY243" s="147">
        <f t="shared" si="79"/>
        <v>1.2459620931875811E-3</v>
      </c>
      <c r="AZ243" s="147">
        <f t="shared" ca="1" si="93"/>
        <v>1.0664700400050715E-8</v>
      </c>
      <c r="BA243" s="147">
        <f t="shared" ca="1" si="80"/>
        <v>3.4576195663211287E-4</v>
      </c>
      <c r="BB243" s="147">
        <f t="shared" ca="1" si="81"/>
        <v>9.7075149412012183E-4</v>
      </c>
      <c r="BC243" s="147">
        <f t="shared" ca="1" si="82"/>
        <v>3.5808950558211082E-5</v>
      </c>
      <c r="BD243" s="147">
        <f t="shared" ca="1" si="83"/>
        <v>5.3320449393125251E-6</v>
      </c>
    </row>
    <row r="244" spans="8:56" s="147" customFormat="1" ht="0.25" customHeight="1" x14ac:dyDescent="0.2">
      <c r="H244" s="147">
        <f t="shared" si="84"/>
        <v>603</v>
      </c>
      <c r="I244" s="147">
        <f>IF($H244&gt;$H243,INDEX(Spectra!244:244,1,MATCH($I$20,Spectra!$20:$20,0)),I243)</f>
        <v>1.1298912093502601E-3</v>
      </c>
      <c r="J244" s="147">
        <f>((Physics!$C$9*Physics!$C$10)/(Physics!$C$11*Physics!$C$12*$H244))^($J$17-$J$18)</f>
        <v>3.0364222504695183E+18</v>
      </c>
      <c r="K244" s="147">
        <f t="shared" si="85"/>
        <v>1</v>
      </c>
      <c r="L244" s="147">
        <f>INDEX(Photobiology!$21:$421,1+$H244-380,10)</f>
        <v>0.59247559999999999</v>
      </c>
      <c r="M244" s="147">
        <f t="shared" si="86"/>
        <v>1.1298912093502601E-3</v>
      </c>
      <c r="N244" s="147">
        <f ca="1">INDEX(Photobiology!$21:$421,1+$H244-380,N$14)</f>
        <v>7.8714099999999996E-6</v>
      </c>
      <c r="O244" s="147">
        <f ca="1">INDEX(Photobiology!$21:$421,1+$H244-380,O$14)</f>
        <v>0.264575</v>
      </c>
      <c r="P244" s="147">
        <f ca="1">INDEX(Photobiology!$21:$421,1+$H244-380,P$14)</f>
        <v>0.76669100000000001</v>
      </c>
      <c r="Q244" s="147">
        <f ca="1">INDEX(Photobiology!$21:$421,1+$H244-380,Q$14)</f>
        <v>2.674E-2</v>
      </c>
      <c r="R244" s="147">
        <f ca="1">INDEX(Photobiology!$21:$421,1+$H244-380,R$14)</f>
        <v>3.9293899999999996E-3</v>
      </c>
      <c r="S244" s="147">
        <f t="shared" si="87"/>
        <v>3430826808681042.5</v>
      </c>
      <c r="T244" s="147">
        <f ca="1">INDEX(Photobiology!$21:$421,1+$H244-380,T$14)</f>
        <v>5.840644022933146E-6</v>
      </c>
      <c r="U244" s="147">
        <f ca="1">INDEX(Photobiology!$21:$421,1+$H244-380,U$14)</f>
        <v>0.2371863880697421</v>
      </c>
      <c r="V244" s="147">
        <f ca="1">INDEX(Photobiology!$21:$421,1+$H244-380,V$14)</f>
        <v>0.72055226933434902</v>
      </c>
      <c r="W244" s="147">
        <f ca="1">INDEX(Photobiology!$21:$421,1+$H244-380,W$14)</f>
        <v>2.2417102052425933E-2</v>
      </c>
      <c r="X244" s="147">
        <f ca="1">INDEX(Photobiology!$21:$421,1+$H244-380,X$14)</f>
        <v>3.1863510587385258E-3</v>
      </c>
      <c r="Y244" s="147">
        <f t="shared" si="74"/>
        <v>1.1298912093502601E-3</v>
      </c>
      <c r="Z244" s="147">
        <f t="shared" ca="1" si="88"/>
        <v>8.8938369641917296E-9</v>
      </c>
      <c r="AA244" s="147">
        <f t="shared" ca="1" si="75"/>
        <v>2.9894096671384508E-4</v>
      </c>
      <c r="AB244" s="147">
        <f t="shared" ca="1" si="76"/>
        <v>8.662774211879602E-4</v>
      </c>
      <c r="AC244" s="147">
        <f t="shared" ca="1" si="77"/>
        <v>3.0213290938025953E-5</v>
      </c>
      <c r="AD244" s="147">
        <f t="shared" ca="1" si="78"/>
        <v>4.4397832191088179E-6</v>
      </c>
      <c r="AH244" s="147">
        <f t="shared" si="89"/>
        <v>603</v>
      </c>
      <c r="AI244" s="147">
        <f>IF($AH244&gt;$AH243,INDEX(Spectra!244:244,1,MATCH($AI$20,Spectra!$20:$20,0)),AI243)</f>
        <v>89.884100000000004</v>
      </c>
      <c r="AJ244" s="147">
        <f>((Physics!$C$9*Physics!$C$10)/(Physics!$C$11*Physics!$C$12*$AH244))^($AJ$17-$AJ$18)</f>
        <v>3.0364222504695183E+18</v>
      </c>
      <c r="AK244" s="147">
        <f t="shared" si="90"/>
        <v>1</v>
      </c>
      <c r="AL244" s="147">
        <f>INDEX(Photobiology!$21:$421,1+$AH244-380,10)</f>
        <v>0.59247559999999999</v>
      </c>
      <c r="AM244" s="147">
        <f t="shared" si="91"/>
        <v>1.2453981702520535E-3</v>
      </c>
      <c r="AN244" s="147">
        <f ca="1">INDEX(Photobiology!$21:$421,1+$AH244-380,AN$14)</f>
        <v>7.8714099999999996E-6</v>
      </c>
      <c r="AO244" s="147">
        <f ca="1">INDEX(Photobiology!$21:$421,1+$AH244-380,AO$14)</f>
        <v>0.264575</v>
      </c>
      <c r="AP244" s="147">
        <f ca="1">INDEX(Photobiology!$21:$421,1+$AH244-380,AP$14)</f>
        <v>0.76669100000000001</v>
      </c>
      <c r="AQ244" s="147">
        <f ca="1">INDEX(Photobiology!$21:$421,1+$AH244-380,AQ$14)</f>
        <v>2.674E-2</v>
      </c>
      <c r="AR244" s="147">
        <f ca="1">INDEX(Photobiology!$21:$421,1+$AH244-380,AR$14)</f>
        <v>3.9293899999999996E-3</v>
      </c>
      <c r="AS244" s="147">
        <f t="shared" si="92"/>
        <v>3781554714847361</v>
      </c>
      <c r="AT244" s="147">
        <f ca="1">INDEX(Photobiology!$21:$421,1+$AH244-380,AT$14)</f>
        <v>5.840644022933146E-6</v>
      </c>
      <c r="AU244" s="147">
        <f ca="1">INDEX(Photobiology!$21:$421,1+$AH244-380,AU$14)</f>
        <v>0.2371863880697421</v>
      </c>
      <c r="AV244" s="147">
        <f ca="1">INDEX(Photobiology!$21:$421,1+$AH244-380,AV$14)</f>
        <v>0.72055226933434902</v>
      </c>
      <c r="AW244" s="147">
        <f ca="1">INDEX(Photobiology!$21:$421,1+$AH244-380,AW$14)</f>
        <v>2.2417102052425933E-2</v>
      </c>
      <c r="AX244" s="147">
        <f ca="1">INDEX(Photobiology!$21:$421,1+$AH244-380,AX$14)</f>
        <v>3.1863510587385258E-3</v>
      </c>
      <c r="AY244" s="147">
        <f t="shared" si="79"/>
        <v>1.2453981702520535E-3</v>
      </c>
      <c r="AZ244" s="147">
        <f t="shared" ca="1" si="93"/>
        <v>9.8030396113037171E-9</v>
      </c>
      <c r="BA244" s="147">
        <f t="shared" ca="1" si="80"/>
        <v>3.2950122089443708E-4</v>
      </c>
      <c r="BB244" s="147">
        <f t="shared" ca="1" si="81"/>
        <v>9.5483556854871724E-4</v>
      </c>
      <c r="BC244" s="147">
        <f t="shared" ca="1" si="82"/>
        <v>3.3301947072539911E-5</v>
      </c>
      <c r="BD244" s="147">
        <f t="shared" ca="1" si="83"/>
        <v>4.8936551162067163E-6</v>
      </c>
    </row>
    <row r="245" spans="8:56" s="147" customFormat="1" ht="0.25" customHeight="1" x14ac:dyDescent="0.2">
      <c r="H245" s="147">
        <f t="shared" si="84"/>
        <v>604</v>
      </c>
      <c r="I245" s="147">
        <f>IF($H245&gt;$H244,INDEX(Spectra!245:245,1,MATCH($I$20,Spectra!$20:$20,0)),I244)</f>
        <v>1.13489072797571E-3</v>
      </c>
      <c r="J245" s="147">
        <f>((Physics!$C$9*Physics!$C$10)/(Physics!$C$11*Physics!$C$12*$H245))^($J$17-$J$18)</f>
        <v>3.0414577765896996E+18</v>
      </c>
      <c r="K245" s="147">
        <f t="shared" si="85"/>
        <v>1</v>
      </c>
      <c r="L245" s="147">
        <f>INDEX(Photobiology!$21:$421,1+$H245-380,10)</f>
        <v>0.57963790000000004</v>
      </c>
      <c r="M245" s="147">
        <f t="shared" si="86"/>
        <v>1.13489072797571E-3</v>
      </c>
      <c r="N245" s="147">
        <f ca="1">INDEX(Photobiology!$21:$421,1+$H245-380,N$14)</f>
        <v>7.2422099999999997E-6</v>
      </c>
      <c r="O245" s="147">
        <f ca="1">INDEX(Photobiology!$21:$421,1+$H245-380,O$14)</f>
        <v>0.25201200000000001</v>
      </c>
      <c r="P245" s="147">
        <f ca="1">INDEX(Photobiology!$21:$421,1+$H245-380,P$14)</f>
        <v>0.75390000000000001</v>
      </c>
      <c r="Q245" s="147">
        <f ca="1">INDEX(Photobiology!$21:$421,1+$H245-380,Q$14)</f>
        <v>2.487E-2</v>
      </c>
      <c r="R245" s="147">
        <f ca="1">INDEX(Photobiology!$21:$421,1+$H245-380,R$14)</f>
        <v>3.6087200000000002E-3</v>
      </c>
      <c r="S245" s="147">
        <f t="shared" si="87"/>
        <v>3451722230181268.5</v>
      </c>
      <c r="T245" s="147">
        <f ca="1">INDEX(Photobiology!$21:$421,1+$H245-380,T$14)</f>
        <v>5.3648760272945486E-6</v>
      </c>
      <c r="U245" s="147">
        <f ca="1">INDEX(Photobiology!$21:$421,1+$H245-380,U$14)</f>
        <v>0.22554985451633228</v>
      </c>
      <c r="V245" s="147">
        <f ca="1">INDEX(Photobiology!$21:$421,1+$H245-380,V$14)</f>
        <v>0.7073579548717337</v>
      </c>
      <c r="W245" s="147">
        <f ca="1">INDEX(Photobiology!$21:$421,1+$H245-380,W$14)</f>
        <v>2.081489501617435E-2</v>
      </c>
      <c r="X245" s="147">
        <f ca="1">INDEX(Photobiology!$21:$421,1+$H245-380,X$14)</f>
        <v>2.9214741460353261E-3</v>
      </c>
      <c r="Y245" s="147">
        <f t="shared" si="74"/>
        <v>1.13489072797571E-3</v>
      </c>
      <c r="Z245" s="147">
        <f t="shared" ca="1" si="88"/>
        <v>8.2191169790529661E-9</v>
      </c>
      <c r="AA245" s="147">
        <f t="shared" ca="1" si="75"/>
        <v>2.8600608213861465E-4</v>
      </c>
      <c r="AB245" s="147">
        <f t="shared" ca="1" si="76"/>
        <v>8.555941198208878E-4</v>
      </c>
      <c r="AC245" s="147">
        <f t="shared" ca="1" si="77"/>
        <v>2.8224732404755909E-5</v>
      </c>
      <c r="AD245" s="147">
        <f t="shared" ca="1" si="78"/>
        <v>4.0955028678605045E-6</v>
      </c>
      <c r="AH245" s="147">
        <f t="shared" si="89"/>
        <v>604</v>
      </c>
      <c r="AI245" s="147">
        <f>IF($AH245&gt;$AH244,INDEX(Spectra!245:245,1,MATCH($AI$20,Spectra!$20:$20,0)),AI244)</f>
        <v>89.843400000000003</v>
      </c>
      <c r="AJ245" s="147">
        <f>((Physics!$C$9*Physics!$C$10)/(Physics!$C$11*Physics!$C$12*$AH245))^($AJ$17-$AJ$18)</f>
        <v>3.0414577765896996E+18</v>
      </c>
      <c r="AK245" s="147">
        <f t="shared" si="90"/>
        <v>1</v>
      </c>
      <c r="AL245" s="147">
        <f>INDEX(Photobiology!$21:$421,1+$AH245-380,10)</f>
        <v>0.57963790000000004</v>
      </c>
      <c r="AM245" s="147">
        <f t="shared" si="91"/>
        <v>1.244834247316526E-3</v>
      </c>
      <c r="AN245" s="147">
        <f ca="1">INDEX(Photobiology!$21:$421,1+$AH245-380,AN$14)</f>
        <v>7.2422099999999997E-6</v>
      </c>
      <c r="AO245" s="147">
        <f ca="1">INDEX(Photobiology!$21:$421,1+$AH245-380,AO$14)</f>
        <v>0.25201200000000001</v>
      </c>
      <c r="AP245" s="147">
        <f ca="1">INDEX(Photobiology!$21:$421,1+$AH245-380,AP$14)</f>
        <v>0.75390000000000001</v>
      </c>
      <c r="AQ245" s="147">
        <f ca="1">INDEX(Photobiology!$21:$421,1+$AH245-380,AQ$14)</f>
        <v>2.487E-2</v>
      </c>
      <c r="AR245" s="147">
        <f ca="1">INDEX(Photobiology!$21:$421,1+$AH245-380,AR$14)</f>
        <v>3.6087200000000002E-3</v>
      </c>
      <c r="AS245" s="147">
        <f t="shared" si="92"/>
        <v>3786110802066033.5</v>
      </c>
      <c r="AT245" s="147">
        <f ca="1">INDEX(Photobiology!$21:$421,1+$AH245-380,AT$14)</f>
        <v>5.3648760272945486E-6</v>
      </c>
      <c r="AU245" s="147">
        <f ca="1">INDEX(Photobiology!$21:$421,1+$AH245-380,AU$14)</f>
        <v>0.22554985451633228</v>
      </c>
      <c r="AV245" s="147">
        <f ca="1">INDEX(Photobiology!$21:$421,1+$AH245-380,AV$14)</f>
        <v>0.7073579548717337</v>
      </c>
      <c r="AW245" s="147">
        <f ca="1">INDEX(Photobiology!$21:$421,1+$AH245-380,AW$14)</f>
        <v>2.081489501617435E-2</v>
      </c>
      <c r="AX245" s="147">
        <f ca="1">INDEX(Photobiology!$21:$421,1+$AH245-380,AX$14)</f>
        <v>2.9214741460353261E-3</v>
      </c>
      <c r="AY245" s="147">
        <f t="shared" si="79"/>
        <v>1.244834247316526E-3</v>
      </c>
      <c r="AZ245" s="147">
        <f t="shared" ca="1" si="93"/>
        <v>9.0153510342582172E-9</v>
      </c>
      <c r="BA245" s="147">
        <f t="shared" ca="1" si="80"/>
        <v>3.1371316833473235E-4</v>
      </c>
      <c r="BB245" s="147">
        <f t="shared" ca="1" si="81"/>
        <v>9.3848053905192896E-4</v>
      </c>
      <c r="BC245" s="147">
        <f t="shared" ca="1" si="82"/>
        <v>3.0959027730762002E-5</v>
      </c>
      <c r="BD245" s="147">
        <f t="shared" ca="1" si="83"/>
        <v>4.4922582449760936E-6</v>
      </c>
    </row>
    <row r="246" spans="8:56" s="147" customFormat="1" ht="0.25" customHeight="1" x14ac:dyDescent="0.2">
      <c r="H246" s="147">
        <f t="shared" si="84"/>
        <v>605</v>
      </c>
      <c r="I246" s="147">
        <f>IF($H246&gt;$H245,INDEX(Spectra!246:246,1,MATCH($I$20,Spectra!$20:$20,0)),I245)</f>
        <v>1.13989024660115E-3</v>
      </c>
      <c r="J246" s="147">
        <f>((Physics!$C$9*Physics!$C$10)/(Physics!$C$11*Physics!$C$12*$H246))^($J$17-$J$18)</f>
        <v>3.0464933027098813E+18</v>
      </c>
      <c r="K246" s="147">
        <f t="shared" si="85"/>
        <v>1</v>
      </c>
      <c r="L246" s="147">
        <f>INDEX(Photobiology!$21:$421,1+$H246-380,10)</f>
        <v>0.56679999999999997</v>
      </c>
      <c r="M246" s="147">
        <f t="shared" si="86"/>
        <v>1.13989024660115E-3</v>
      </c>
      <c r="N246" s="147">
        <f ca="1">INDEX(Photobiology!$21:$421,1+$H246-380,N$14)</f>
        <v>6.6665700000000003E-6</v>
      </c>
      <c r="O246" s="147">
        <f ca="1">INDEX(Photobiology!$21:$421,1+$H246-380,O$14)</f>
        <v>0.23983699999999999</v>
      </c>
      <c r="P246" s="147">
        <f ca="1">INDEX(Photobiology!$21:$421,1+$H246-380,P$14)</f>
        <v>0.74068000000000001</v>
      </c>
      <c r="Q246" s="147">
        <f ca="1">INDEX(Photobiology!$21:$421,1+$H246-380,Q$14)</f>
        <v>2.3120000000000002E-2</v>
      </c>
      <c r="R246" s="147">
        <f ca="1">INDEX(Photobiology!$21:$421,1+$H246-380,R$14)</f>
        <v>3.3176600000000001E-3</v>
      </c>
      <c r="S246" s="147">
        <f t="shared" si="87"/>
        <v>3472668002094718.5</v>
      </c>
      <c r="T246" s="147">
        <f ca="1">INDEX(Photobiology!$21:$421,1+$H246-380,T$14)</f>
        <v>4.9302913535052131E-6</v>
      </c>
      <c r="U246" s="147">
        <f ca="1">INDEX(Photobiology!$21:$421,1+$H246-380,U$14)</f>
        <v>0.21429847349792136</v>
      </c>
      <c r="V246" s="147">
        <f ca="1">INDEX(Photobiology!$21:$421,1+$H246-380,V$14)</f>
        <v>0.69380540762403564</v>
      </c>
      <c r="W246" s="147">
        <f ca="1">INDEX(Photobiology!$21:$421,1+$H246-380,W$14)</f>
        <v>1.9318252277493637E-2</v>
      </c>
      <c r="X246" s="147">
        <f ca="1">INDEX(Photobiology!$21:$421,1+$H246-380,X$14)</f>
        <v>2.6814042995133907E-3</v>
      </c>
      <c r="Y246" s="147">
        <f t="shared" si="74"/>
        <v>1.13989024660115E-3</v>
      </c>
      <c r="Z246" s="147">
        <f t="shared" ca="1" si="88"/>
        <v>7.5991581212838285E-9</v>
      </c>
      <c r="AA246" s="147">
        <f t="shared" ca="1" si="75"/>
        <v>2.7338785707407999E-4</v>
      </c>
      <c r="AB246" s="147">
        <f t="shared" ca="1" si="76"/>
        <v>8.4429390785253986E-4</v>
      </c>
      <c r="AC246" s="147">
        <f t="shared" ca="1" si="77"/>
        <v>2.6354262501418591E-5</v>
      </c>
      <c r="AD246" s="147">
        <f t="shared" ca="1" si="78"/>
        <v>3.7817682755387716E-6</v>
      </c>
      <c r="AH246" s="147">
        <f t="shared" si="89"/>
        <v>605</v>
      </c>
      <c r="AI246" s="147">
        <f>IF($AH246&gt;$AH245,INDEX(Spectra!246:246,1,MATCH($AI$20,Spectra!$20:$20,0)),AI245)</f>
        <v>89.802599999999998</v>
      </c>
      <c r="AJ246" s="147">
        <f>((Physics!$C$9*Physics!$C$10)/(Physics!$C$11*Physics!$C$12*$AH246))^($AJ$17-$AJ$18)</f>
        <v>3.0464933027098813E+18</v>
      </c>
      <c r="AK246" s="147">
        <f t="shared" si="90"/>
        <v>1</v>
      </c>
      <c r="AL246" s="147">
        <f>INDEX(Photobiology!$21:$421,1+$AH246-380,10)</f>
        <v>0.56679999999999997</v>
      </c>
      <c r="AM246" s="147">
        <f t="shared" si="91"/>
        <v>1.2442689388209602E-3</v>
      </c>
      <c r="AN246" s="147">
        <f ca="1">INDEX(Photobiology!$21:$421,1+$AH246-380,AN$14)</f>
        <v>6.6665700000000003E-6</v>
      </c>
      <c r="AO246" s="147">
        <f ca="1">INDEX(Photobiology!$21:$421,1+$AH246-380,AO$14)</f>
        <v>0.23983699999999999</v>
      </c>
      <c r="AP246" s="147">
        <f ca="1">INDEX(Photobiology!$21:$421,1+$AH246-380,AP$14)</f>
        <v>0.74068000000000001</v>
      </c>
      <c r="AQ246" s="147">
        <f ca="1">INDEX(Photobiology!$21:$421,1+$AH246-380,AQ$14)</f>
        <v>2.3120000000000002E-2</v>
      </c>
      <c r="AR246" s="147">
        <f ca="1">INDEX(Photobiology!$21:$421,1+$AH246-380,AR$14)</f>
        <v>3.3176600000000001E-3</v>
      </c>
      <c r="AS246" s="147">
        <f t="shared" si="92"/>
        <v>3790656988887986.5</v>
      </c>
      <c r="AT246" s="147">
        <f ca="1">INDEX(Photobiology!$21:$421,1+$AH246-380,AT$14)</f>
        <v>4.9302913535052131E-6</v>
      </c>
      <c r="AU246" s="147">
        <f ca="1">INDEX(Photobiology!$21:$421,1+$AH246-380,AU$14)</f>
        <v>0.21429847349792136</v>
      </c>
      <c r="AV246" s="147">
        <f ca="1">INDEX(Photobiology!$21:$421,1+$AH246-380,AV$14)</f>
        <v>0.69380540762403564</v>
      </c>
      <c r="AW246" s="147">
        <f ca="1">INDEX(Photobiology!$21:$421,1+$AH246-380,AW$14)</f>
        <v>1.9318252277493637E-2</v>
      </c>
      <c r="AX246" s="147">
        <f ca="1">INDEX(Photobiology!$21:$421,1+$AH246-380,AX$14)</f>
        <v>2.6814042995133907E-3</v>
      </c>
      <c r="AY246" s="147">
        <f t="shared" si="79"/>
        <v>1.2442689388209602E-3</v>
      </c>
      <c r="AZ246" s="147">
        <f t="shared" ca="1" si="93"/>
        <v>8.2950059794756483E-9</v>
      </c>
      <c r="BA246" s="147">
        <f t="shared" ca="1" si="80"/>
        <v>2.984217294800026E-4</v>
      </c>
      <c r="BB246" s="147">
        <f t="shared" ca="1" si="81"/>
        <v>9.2160511760590877E-4</v>
      </c>
      <c r="BC246" s="147">
        <f t="shared" ca="1" si="82"/>
        <v>2.8767497865540601E-5</v>
      </c>
      <c r="BD246" s="147">
        <f t="shared" ca="1" si="83"/>
        <v>4.1280612875687472E-6</v>
      </c>
    </row>
    <row r="247" spans="8:56" s="147" customFormat="1" ht="0.25" customHeight="1" x14ac:dyDescent="0.2">
      <c r="H247" s="147">
        <f t="shared" si="84"/>
        <v>606</v>
      </c>
      <c r="I247" s="147">
        <f>IF($H247&gt;$H246,INDEX(Spectra!247:247,1,MATCH($I$20,Spectra!$20:$20,0)),I246)</f>
        <v>1.13989024660115E-3</v>
      </c>
      <c r="J247" s="147">
        <f>((Physics!$C$9*Physics!$C$10)/(Physics!$C$11*Physics!$C$12*$H247))^($J$17-$J$18)</f>
        <v>3.0515288288300636E+18</v>
      </c>
      <c r="K247" s="147">
        <f t="shared" si="85"/>
        <v>1</v>
      </c>
      <c r="L247" s="147">
        <f>INDEX(Photobiology!$21:$421,1+$H247-380,10)</f>
        <v>0.55396109999999998</v>
      </c>
      <c r="M247" s="147">
        <f t="shared" si="86"/>
        <v>1.13989024660115E-3</v>
      </c>
      <c r="N247" s="147">
        <f ca="1">INDEX(Photobiology!$21:$421,1+$H247-380,N$14)</f>
        <v>6.1396999999999998E-6</v>
      </c>
      <c r="O247" s="147">
        <f ca="1">INDEX(Photobiology!$21:$421,1+$H247-380,O$14)</f>
        <v>0.22806499999999999</v>
      </c>
      <c r="P247" s="147">
        <f ca="1">INDEX(Photobiology!$21:$421,1+$H247-380,P$14)</f>
        <v>0.72699499999999995</v>
      </c>
      <c r="Q247" s="147">
        <f ca="1">INDEX(Photobiology!$21:$421,1+$H247-380,Q$14)</f>
        <v>2.147E-2</v>
      </c>
      <c r="R247" s="147">
        <f ca="1">INDEX(Photobiology!$21:$421,1+$H247-380,R$14)</f>
        <v>3.0510899999999998E-3</v>
      </c>
      <c r="S247" s="147">
        <f t="shared" si="87"/>
        <v>3478407949205620</v>
      </c>
      <c r="T247" s="147">
        <f ca="1">INDEX(Photobiology!$21:$421,1+$H247-380,T$14)</f>
        <v>4.5331495036839304E-6</v>
      </c>
      <c r="U247" s="147">
        <f ca="1">INDEX(Photobiology!$21:$421,1+$H247-380,U$14)</f>
        <v>0.20344371895932989</v>
      </c>
      <c r="V247" s="147">
        <f ca="1">INDEX(Photobiology!$21:$421,1+$H247-380,V$14)</f>
        <v>0.67986273495927563</v>
      </c>
      <c r="W247" s="147">
        <f ca="1">INDEX(Photobiology!$21:$421,1+$H247-380,W$14)</f>
        <v>1.79099675263414E-2</v>
      </c>
      <c r="X247" s="147">
        <f ca="1">INDEX(Photobiology!$21:$421,1+$H247-380,X$14)</f>
        <v>2.461887446129323E-3</v>
      </c>
      <c r="Y247" s="147">
        <f t="shared" si="74"/>
        <v>1.13989024660115E-3</v>
      </c>
      <c r="Z247" s="147">
        <f t="shared" ca="1" si="88"/>
        <v>6.9985841470570809E-9</v>
      </c>
      <c r="AA247" s="147">
        <f t="shared" ca="1" si="75"/>
        <v>2.5996906909109128E-4</v>
      </c>
      <c r="AB247" s="147">
        <f t="shared" ca="1" si="76"/>
        <v>8.2869450982780307E-4</v>
      </c>
      <c r="AC247" s="147">
        <f t="shared" ca="1" si="77"/>
        <v>2.4473443594526692E-5</v>
      </c>
      <c r="AD247" s="147">
        <f t="shared" ca="1" si="78"/>
        <v>3.4779077325023027E-6</v>
      </c>
      <c r="AH247" s="147">
        <f t="shared" si="89"/>
        <v>606</v>
      </c>
      <c r="AI247" s="147">
        <f>IF($AH247&gt;$AH246,INDEX(Spectra!247:247,1,MATCH($AI$20,Spectra!$20:$20,0)),AI246)</f>
        <v>89.761899999999997</v>
      </c>
      <c r="AJ247" s="147">
        <f>((Physics!$C$9*Physics!$C$10)/(Physics!$C$11*Physics!$C$12*$AH247))^($AJ$17-$AJ$18)</f>
        <v>3.0515288288300636E+18</v>
      </c>
      <c r="AK247" s="147">
        <f t="shared" si="90"/>
        <v>1</v>
      </c>
      <c r="AL247" s="147">
        <f>INDEX(Photobiology!$21:$421,1+$AH247-380,10)</f>
        <v>0.55396109999999998</v>
      </c>
      <c r="AM247" s="147">
        <f t="shared" si="91"/>
        <v>1.2437050158854324E-3</v>
      </c>
      <c r="AN247" s="147">
        <f ca="1">INDEX(Photobiology!$21:$421,1+$AH247-380,AN$14)</f>
        <v>6.1396999999999998E-6</v>
      </c>
      <c r="AO247" s="147">
        <f ca="1">INDEX(Photobiology!$21:$421,1+$AH247-380,AO$14)</f>
        <v>0.22806499999999999</v>
      </c>
      <c r="AP247" s="147">
        <f ca="1">INDEX(Photobiology!$21:$421,1+$AH247-380,AP$14)</f>
        <v>0.72699499999999995</v>
      </c>
      <c r="AQ247" s="147">
        <f ca="1">INDEX(Photobiology!$21:$421,1+$AH247-380,AQ$14)</f>
        <v>2.147E-2</v>
      </c>
      <c r="AR247" s="147">
        <f ca="1">INDEX(Photobiology!$21:$421,1+$AH247-380,AR$14)</f>
        <v>3.0510899999999998E-3</v>
      </c>
      <c r="AS247" s="147">
        <f t="shared" si="92"/>
        <v>3795201710534949</v>
      </c>
      <c r="AT247" s="147">
        <f ca="1">INDEX(Photobiology!$21:$421,1+$AH247-380,AT$14)</f>
        <v>4.5331495036839304E-6</v>
      </c>
      <c r="AU247" s="147">
        <f ca="1">INDEX(Photobiology!$21:$421,1+$AH247-380,AU$14)</f>
        <v>0.20344371895932989</v>
      </c>
      <c r="AV247" s="147">
        <f ca="1">INDEX(Photobiology!$21:$421,1+$AH247-380,AV$14)</f>
        <v>0.67986273495927563</v>
      </c>
      <c r="AW247" s="147">
        <f ca="1">INDEX(Photobiology!$21:$421,1+$AH247-380,AW$14)</f>
        <v>1.79099675263414E-2</v>
      </c>
      <c r="AX247" s="147">
        <f ca="1">INDEX(Photobiology!$21:$421,1+$AH247-380,AX$14)</f>
        <v>2.461887446129323E-3</v>
      </c>
      <c r="AY247" s="147">
        <f t="shared" si="79"/>
        <v>1.2437050158854324E-3</v>
      </c>
      <c r="AZ247" s="147">
        <f t="shared" ca="1" si="93"/>
        <v>7.63597568603179E-9</v>
      </c>
      <c r="BA247" s="147">
        <f t="shared" ca="1" si="80"/>
        <v>2.8364558444791114E-4</v>
      </c>
      <c r="BB247" s="147">
        <f t="shared" ca="1" si="81"/>
        <v>9.0416732802362984E-4</v>
      </c>
      <c r="BC247" s="147">
        <f t="shared" ca="1" si="82"/>
        <v>2.6702346691060232E-5</v>
      </c>
      <c r="BD247" s="147">
        <f t="shared" ca="1" si="83"/>
        <v>3.7946559369178835E-6</v>
      </c>
    </row>
    <row r="248" spans="8:56" s="147" customFormat="1" ht="0.25" customHeight="1" x14ac:dyDescent="0.2">
      <c r="H248" s="147">
        <f t="shared" si="84"/>
        <v>607</v>
      </c>
      <c r="I248" s="147">
        <f>IF($H248&gt;$H247,INDEX(Spectra!248:248,1,MATCH($I$20,Spectra!$20:$20,0)),I247)</f>
        <v>1.13489072797571E-3</v>
      </c>
      <c r="J248" s="147">
        <f>((Physics!$C$9*Physics!$C$10)/(Physics!$C$11*Physics!$C$12*$H248))^($J$17-$J$18)</f>
        <v>3.0565643549502449E+18</v>
      </c>
      <c r="K248" s="147">
        <f t="shared" si="85"/>
        <v>1</v>
      </c>
      <c r="L248" s="147">
        <f>INDEX(Photobiology!$21:$421,1+$H248-380,10)</f>
        <v>0.54113719999999998</v>
      </c>
      <c r="M248" s="147">
        <f t="shared" si="86"/>
        <v>1.13489072797571E-3</v>
      </c>
      <c r="N248" s="147">
        <f ca="1">INDEX(Photobiology!$21:$421,1+$H248-380,N$14)</f>
        <v>5.6572699999999996E-6</v>
      </c>
      <c r="O248" s="147">
        <f ca="1">INDEX(Photobiology!$21:$421,1+$H248-380,O$14)</f>
        <v>0.21670300000000001</v>
      </c>
      <c r="P248" s="147">
        <f ca="1">INDEX(Photobiology!$21:$421,1+$H248-380,P$14)</f>
        <v>0.71290500000000001</v>
      </c>
      <c r="Q248" s="147">
        <f ca="1">INDEX(Photobiology!$21:$421,1+$H248-380,Q$14)</f>
        <v>1.9939999999999999E-2</v>
      </c>
      <c r="R248" s="147">
        <f ca="1">INDEX(Photobiology!$21:$421,1+$H248-380,R$14)</f>
        <v>2.8037399999999999E-3</v>
      </c>
      <c r="S248" s="147">
        <f t="shared" si="87"/>
        <v>3468866545894090</v>
      </c>
      <c r="T248" s="147">
        <f ca="1">INDEX(Photobiology!$21:$421,1+$H248-380,T$14)</f>
        <v>4.1700737031594414E-6</v>
      </c>
      <c r="U248" s="147">
        <f ca="1">INDEX(Photobiology!$21:$421,1+$H248-380,U$14)</f>
        <v>0.19298986464965975</v>
      </c>
      <c r="V248" s="147">
        <f ca="1">INDEX(Photobiology!$21:$421,1+$H248-380,V$14)</f>
        <v>0.66558788267395341</v>
      </c>
      <c r="W248" s="147">
        <f ca="1">INDEX(Photobiology!$21:$421,1+$H248-380,W$14)</f>
        <v>1.6606260296540359E-2</v>
      </c>
      <c r="X248" s="147">
        <f ca="1">INDEX(Photobiology!$21:$421,1+$H248-380,X$14)</f>
        <v>2.2585767124883773E-3</v>
      </c>
      <c r="Y248" s="147">
        <f t="shared" si="74"/>
        <v>1.13489072797571E-3</v>
      </c>
      <c r="Z248" s="147">
        <f t="shared" ca="1" si="88"/>
        <v>6.4203832686551449E-9</v>
      </c>
      <c r="AA248" s="147">
        <f t="shared" ca="1" si="75"/>
        <v>2.4593422542452031E-4</v>
      </c>
      <c r="AB248" s="147">
        <f t="shared" ca="1" si="76"/>
        <v>8.0906927442752361E-4</v>
      </c>
      <c r="AC248" s="147">
        <f t="shared" ca="1" si="77"/>
        <v>2.2629721115835657E-5</v>
      </c>
      <c r="AD248" s="147">
        <f t="shared" ca="1" si="78"/>
        <v>3.181938529654617E-6</v>
      </c>
      <c r="AH248" s="147">
        <f t="shared" si="89"/>
        <v>607</v>
      </c>
      <c r="AI248" s="147">
        <f>IF($AH248&gt;$AH247,INDEX(Spectra!248:248,1,MATCH($AI$20,Spectra!$20:$20,0)),AI247)</f>
        <v>89.721199999999996</v>
      </c>
      <c r="AJ248" s="147">
        <f>((Physics!$C$9*Physics!$C$10)/(Physics!$C$11*Physics!$C$12*$AH248))^($AJ$17-$AJ$18)</f>
        <v>3.0565643549502449E+18</v>
      </c>
      <c r="AK248" s="147">
        <f t="shared" si="90"/>
        <v>1</v>
      </c>
      <c r="AL248" s="147">
        <f>INDEX(Photobiology!$21:$421,1+$AH248-380,10)</f>
        <v>0.54113719999999998</v>
      </c>
      <c r="AM248" s="147">
        <f t="shared" si="91"/>
        <v>1.2431410929499048E-3</v>
      </c>
      <c r="AN248" s="147">
        <f ca="1">INDEX(Photobiology!$21:$421,1+$AH248-380,AN$14)</f>
        <v>5.6572699999999996E-6</v>
      </c>
      <c r="AO248" s="147">
        <f ca="1">INDEX(Photobiology!$21:$421,1+$AH248-380,AO$14)</f>
        <v>0.21670300000000001</v>
      </c>
      <c r="AP248" s="147">
        <f ca="1">INDEX(Photobiology!$21:$421,1+$AH248-380,AP$14)</f>
        <v>0.71290500000000001</v>
      </c>
      <c r="AQ248" s="147">
        <f ca="1">INDEX(Photobiology!$21:$421,1+$AH248-380,AQ$14)</f>
        <v>1.9939999999999999E-2</v>
      </c>
      <c r="AR248" s="147">
        <f ca="1">INDEX(Photobiology!$21:$421,1+$AH248-380,AR$14)</f>
        <v>2.8037399999999999E-3</v>
      </c>
      <c r="AS248" s="147">
        <f t="shared" si="92"/>
        <v>3799740752884568.5</v>
      </c>
      <c r="AT248" s="147">
        <f ca="1">INDEX(Photobiology!$21:$421,1+$AH248-380,AT$14)</f>
        <v>4.1700737031594414E-6</v>
      </c>
      <c r="AU248" s="147">
        <f ca="1">INDEX(Photobiology!$21:$421,1+$AH248-380,AU$14)</f>
        <v>0.19298986464965975</v>
      </c>
      <c r="AV248" s="147">
        <f ca="1">INDEX(Photobiology!$21:$421,1+$AH248-380,AV$14)</f>
        <v>0.66558788267395341</v>
      </c>
      <c r="AW248" s="147">
        <f ca="1">INDEX(Photobiology!$21:$421,1+$AH248-380,AW$14)</f>
        <v>1.6606260296540359E-2</v>
      </c>
      <c r="AX248" s="147">
        <f ca="1">INDEX(Photobiology!$21:$421,1+$AH248-380,AX$14)</f>
        <v>2.2585767124883773E-3</v>
      </c>
      <c r="AY248" s="147">
        <f t="shared" si="79"/>
        <v>1.2431410929499048E-3</v>
      </c>
      <c r="AZ248" s="147">
        <f t="shared" ca="1" si="93"/>
        <v>7.0327848109127077E-9</v>
      </c>
      <c r="BA248" s="147">
        <f t="shared" ca="1" si="80"/>
        <v>2.6939240426552326E-4</v>
      </c>
      <c r="BB248" s="147">
        <f t="shared" ca="1" si="81"/>
        <v>8.8624150086945189E-4</v>
      </c>
      <c r="BC248" s="147">
        <f t="shared" ca="1" si="82"/>
        <v>2.4788233393421103E-5</v>
      </c>
      <c r="BD248" s="147">
        <f t="shared" ca="1" si="83"/>
        <v>3.4854444079473661E-6</v>
      </c>
    </row>
    <row r="249" spans="8:56" s="147" customFormat="1" ht="0.25" customHeight="1" x14ac:dyDescent="0.2">
      <c r="H249" s="147">
        <f t="shared" si="84"/>
        <v>608</v>
      </c>
      <c r="I249" s="147">
        <f>IF($H249&gt;$H248,INDEX(Spectra!249:249,1,MATCH($I$20,Spectra!$20:$20,0)),I248)</f>
        <v>1.1298912093502601E-3</v>
      </c>
      <c r="J249" s="147">
        <f>((Physics!$C$9*Physics!$C$10)/(Physics!$C$11*Physics!$C$12*$H249))^($J$17-$J$18)</f>
        <v>3.0615998810704261E+18</v>
      </c>
      <c r="K249" s="147">
        <f t="shared" si="85"/>
        <v>1</v>
      </c>
      <c r="L249" s="147">
        <f>INDEX(Photobiology!$21:$421,1+$H249-380,10)</f>
        <v>0.52835279999999996</v>
      </c>
      <c r="M249" s="147">
        <f t="shared" si="86"/>
        <v>1.1298912093502601E-3</v>
      </c>
      <c r="N249" s="147">
        <f ca="1">INDEX(Photobiology!$21:$421,1+$H249-380,N$14)</f>
        <v>5.21535E-6</v>
      </c>
      <c r="O249" s="147">
        <f ca="1">INDEX(Photobiology!$21:$421,1+$H249-380,O$14)</f>
        <v>0.20575399999999999</v>
      </c>
      <c r="P249" s="147">
        <f ca="1">INDEX(Photobiology!$21:$421,1+$H249-380,P$14)</f>
        <v>0.69849099999999997</v>
      </c>
      <c r="Q249" s="147">
        <f ca="1">INDEX(Photobiology!$21:$421,1+$H249-380,Q$14)</f>
        <v>1.8509999999999999E-2</v>
      </c>
      <c r="R249" s="147">
        <f ca="1">INDEX(Photobiology!$21:$421,1+$H249-380,R$14)</f>
        <v>2.5755999999999999E-3</v>
      </c>
      <c r="S249" s="147">
        <f t="shared" si="87"/>
        <v>3459274792169276</v>
      </c>
      <c r="T249" s="147">
        <f ca="1">INDEX(Photobiology!$21:$421,1+$H249-380,T$14)</f>
        <v>3.8380037550070538E-6</v>
      </c>
      <c r="U249" s="147">
        <f ca="1">INDEX(Photobiology!$21:$421,1+$H249-380,U$14)</f>
        <v>0.182937599767836</v>
      </c>
      <c r="V249" s="147">
        <f ca="1">INDEX(Photobiology!$21:$421,1+$H249-380,V$14)</f>
        <v>0.6510579892777133</v>
      </c>
      <c r="W249" s="147">
        <f ca="1">INDEX(Photobiology!$21:$421,1+$H249-380,W$14)</f>
        <v>1.5389985746713825E-2</v>
      </c>
      <c r="X249" s="147">
        <f ca="1">INDEX(Photobiology!$21:$421,1+$H249-380,X$14)</f>
        <v>2.0713840918478027E-3</v>
      </c>
      <c r="Y249" s="147">
        <f t="shared" si="74"/>
        <v>1.1298912093502601E-3</v>
      </c>
      <c r="Z249" s="147">
        <f t="shared" ca="1" si="88"/>
        <v>5.8927781186848791E-9</v>
      </c>
      <c r="AA249" s="147">
        <f t="shared" ca="1" si="75"/>
        <v>2.324796358886534E-4</v>
      </c>
      <c r="AB249" s="147">
        <f t="shared" ca="1" si="76"/>
        <v>7.8921884071027251E-4</v>
      </c>
      <c r="AC249" s="147">
        <f t="shared" ca="1" si="77"/>
        <v>2.0914286285073311E-5</v>
      </c>
      <c r="AD249" s="147">
        <f t="shared" ca="1" si="78"/>
        <v>2.9101477988025297E-6</v>
      </c>
      <c r="AH249" s="147">
        <f t="shared" si="89"/>
        <v>608</v>
      </c>
      <c r="AI249" s="147">
        <f>IF($AH249&gt;$AH248,INDEX(Spectra!249:249,1,MATCH($AI$20,Spectra!$20:$20,0)),AI248)</f>
        <v>89.680499999999995</v>
      </c>
      <c r="AJ249" s="147">
        <f>((Physics!$C$9*Physics!$C$10)/(Physics!$C$11*Physics!$C$12*$AH249))^($AJ$17-$AJ$18)</f>
        <v>3.0615998810704261E+18</v>
      </c>
      <c r="AK249" s="147">
        <f t="shared" si="90"/>
        <v>1</v>
      </c>
      <c r="AL249" s="147">
        <f>INDEX(Photobiology!$21:$421,1+$AH249-380,10)</f>
        <v>0.52835279999999996</v>
      </c>
      <c r="AM249" s="147">
        <f t="shared" si="91"/>
        <v>1.2425771700143773E-3</v>
      </c>
      <c r="AN249" s="147">
        <f ca="1">INDEX(Photobiology!$21:$421,1+$AH249-380,AN$14)</f>
        <v>5.21535E-6</v>
      </c>
      <c r="AO249" s="147">
        <f ca="1">INDEX(Photobiology!$21:$421,1+$AH249-380,AO$14)</f>
        <v>0.20575399999999999</v>
      </c>
      <c r="AP249" s="147">
        <f ca="1">INDEX(Photobiology!$21:$421,1+$AH249-380,AP$14)</f>
        <v>0.69849099999999997</v>
      </c>
      <c r="AQ249" s="147">
        <f ca="1">INDEX(Photobiology!$21:$421,1+$AH249-380,AQ$14)</f>
        <v>1.8509999999999999E-2</v>
      </c>
      <c r="AR249" s="147">
        <f ca="1">INDEX(Photobiology!$21:$421,1+$AH249-380,AR$14)</f>
        <v>2.5755999999999999E-3</v>
      </c>
      <c r="AS249" s="147">
        <f t="shared" si="92"/>
        <v>3804274115936844</v>
      </c>
      <c r="AT249" s="147">
        <f ca="1">INDEX(Photobiology!$21:$421,1+$AH249-380,AT$14)</f>
        <v>3.8380037550070538E-6</v>
      </c>
      <c r="AU249" s="147">
        <f ca="1">INDEX(Photobiology!$21:$421,1+$AH249-380,AU$14)</f>
        <v>0.182937599767836</v>
      </c>
      <c r="AV249" s="147">
        <f ca="1">INDEX(Photobiology!$21:$421,1+$AH249-380,AV$14)</f>
        <v>0.6510579892777133</v>
      </c>
      <c r="AW249" s="147">
        <f ca="1">INDEX(Photobiology!$21:$421,1+$AH249-380,AW$14)</f>
        <v>1.5389985746713825E-2</v>
      </c>
      <c r="AX249" s="147">
        <f ca="1">INDEX(Photobiology!$21:$421,1+$AH249-380,AX$14)</f>
        <v>2.0713840918478027E-3</v>
      </c>
      <c r="AY249" s="147">
        <f t="shared" si="79"/>
        <v>1.2425771700143773E-3</v>
      </c>
      <c r="AZ249" s="147">
        <f t="shared" ca="1" si="93"/>
        <v>6.4804748436344828E-9</v>
      </c>
      <c r="BA249" s="147">
        <f t="shared" ca="1" si="80"/>
        <v>2.5566522303913818E-4</v>
      </c>
      <c r="BB249" s="147">
        <f t="shared" ca="1" si="81"/>
        <v>8.679289700605124E-4</v>
      </c>
      <c r="BC249" s="147">
        <f t="shared" ca="1" si="82"/>
        <v>2.3000103416966122E-5</v>
      </c>
      <c r="BD249" s="147">
        <f t="shared" ca="1" si="83"/>
        <v>3.2003817590890298E-6</v>
      </c>
    </row>
    <row r="250" spans="8:56" s="147" customFormat="1" ht="0.25" customHeight="1" x14ac:dyDescent="0.2">
      <c r="H250" s="147">
        <f t="shared" si="84"/>
        <v>609</v>
      </c>
      <c r="I250" s="147">
        <f>IF($H250&gt;$H249,INDEX(Spectra!250:250,1,MATCH($I$20,Spectra!$20:$20,0)),I249)</f>
        <v>1.12489169072482E-3</v>
      </c>
      <c r="J250" s="147">
        <f>((Physics!$C$9*Physics!$C$10)/(Physics!$C$11*Physics!$C$12*$H250))^($J$17-$J$18)</f>
        <v>3.0666354071906084E+18</v>
      </c>
      <c r="K250" s="147">
        <f t="shared" si="85"/>
        <v>1</v>
      </c>
      <c r="L250" s="147">
        <f>INDEX(Photobiology!$21:$421,1+$H250-380,10)</f>
        <v>0.51563230000000004</v>
      </c>
      <c r="M250" s="147">
        <f t="shared" si="86"/>
        <v>1.12489169072482E-3</v>
      </c>
      <c r="N250" s="147">
        <f ca="1">INDEX(Photobiology!$21:$421,1+$H250-380,N$14)</f>
        <v>4.8103600000000003E-6</v>
      </c>
      <c r="O250" s="147">
        <f ca="1">INDEX(Photobiology!$21:$421,1+$H250-380,O$14)</f>
        <v>0.19522100000000001</v>
      </c>
      <c r="P250" s="147">
        <f ca="1">INDEX(Photobiology!$21:$421,1+$H250-380,P$14)</f>
        <v>0.68382900000000002</v>
      </c>
      <c r="Q250" s="147">
        <f ca="1">INDEX(Photobiology!$21:$421,1+$H250-380,Q$14)</f>
        <v>1.7180000000000001E-2</v>
      </c>
      <c r="R250" s="147">
        <f ca="1">INDEX(Photobiology!$21:$421,1+$H250-380,R$14)</f>
        <v>2.3666799999999999E-3</v>
      </c>
      <c r="S250" s="147">
        <f t="shared" si="87"/>
        <v>3449632688031240.5</v>
      </c>
      <c r="T250" s="147">
        <f ca="1">INDEX(Photobiology!$21:$421,1+$H250-380,T$14)</f>
        <v>3.534156706041853E-6</v>
      </c>
      <c r="U250" s="147">
        <f ca="1">INDEX(Photobiology!$21:$421,1+$H250-380,U$14)</f>
        <v>0.17328760898602577</v>
      </c>
      <c r="V250" s="147">
        <f ca="1">INDEX(Photobiology!$21:$421,1+$H250-380,V$14)</f>
        <v>0.63634503381513585</v>
      </c>
      <c r="W250" s="147">
        <f ca="1">INDEX(Photobiology!$21:$421,1+$H250-380,W$14)</f>
        <v>1.4260713174004772E-2</v>
      </c>
      <c r="X250" s="147">
        <f ca="1">INDEX(Photobiology!$21:$421,1+$H250-380,X$14)</f>
        <v>1.9002382137664859E-3</v>
      </c>
      <c r="Y250" s="147">
        <f t="shared" si="74"/>
        <v>1.12489169072482E-3</v>
      </c>
      <c r="Z250" s="147">
        <f t="shared" ca="1" si="88"/>
        <v>5.4111339933950457E-9</v>
      </c>
      <c r="AA250" s="147">
        <f t="shared" ca="1" si="75"/>
        <v>2.196024807549901E-4</v>
      </c>
      <c r="AB250" s="147">
        <f t="shared" ca="1" si="76"/>
        <v>7.6923355997666294E-4</v>
      </c>
      <c r="AC250" s="147">
        <f t="shared" ca="1" si="77"/>
        <v>1.932563924665241E-5</v>
      </c>
      <c r="AD250" s="147">
        <f t="shared" ca="1" si="78"/>
        <v>2.6622586666046169E-6</v>
      </c>
      <c r="AH250" s="147">
        <f t="shared" si="89"/>
        <v>609</v>
      </c>
      <c r="AI250" s="147">
        <f>IF($AH250&gt;$AH249,INDEX(Spectra!250:250,1,MATCH($AI$20,Spectra!$20:$20,0)),AI249)</f>
        <v>89.639799999999994</v>
      </c>
      <c r="AJ250" s="147">
        <f>((Physics!$C$9*Physics!$C$10)/(Physics!$C$11*Physics!$C$12*$AH250))^($AJ$17-$AJ$18)</f>
        <v>3.0666354071906084E+18</v>
      </c>
      <c r="AK250" s="147">
        <f t="shared" si="90"/>
        <v>1</v>
      </c>
      <c r="AL250" s="147">
        <f>INDEX(Photobiology!$21:$421,1+$AH250-380,10)</f>
        <v>0.51563230000000004</v>
      </c>
      <c r="AM250" s="147">
        <f t="shared" si="91"/>
        <v>1.2420132470788495E-3</v>
      </c>
      <c r="AN250" s="147">
        <f ca="1">INDEX(Photobiology!$21:$421,1+$AH250-380,AN$14)</f>
        <v>4.8103600000000003E-6</v>
      </c>
      <c r="AO250" s="147">
        <f ca="1">INDEX(Photobiology!$21:$421,1+$AH250-380,AO$14)</f>
        <v>0.19522100000000001</v>
      </c>
      <c r="AP250" s="147">
        <f ca="1">INDEX(Photobiology!$21:$421,1+$AH250-380,AP$14)</f>
        <v>0.68382900000000002</v>
      </c>
      <c r="AQ250" s="147">
        <f ca="1">INDEX(Photobiology!$21:$421,1+$AH250-380,AQ$14)</f>
        <v>1.7180000000000001E-2</v>
      </c>
      <c r="AR250" s="147">
        <f ca="1">INDEX(Photobiology!$21:$421,1+$AH250-380,AR$14)</f>
        <v>2.3666799999999999E-3</v>
      </c>
      <c r="AS250" s="147">
        <f t="shared" si="92"/>
        <v>3808801799691777.5</v>
      </c>
      <c r="AT250" s="147">
        <f ca="1">INDEX(Photobiology!$21:$421,1+$AH250-380,AT$14)</f>
        <v>3.534156706041853E-6</v>
      </c>
      <c r="AU250" s="147">
        <f ca="1">INDEX(Photobiology!$21:$421,1+$AH250-380,AU$14)</f>
        <v>0.17328760898602577</v>
      </c>
      <c r="AV250" s="147">
        <f ca="1">INDEX(Photobiology!$21:$421,1+$AH250-380,AV$14)</f>
        <v>0.63634503381513585</v>
      </c>
      <c r="AW250" s="147">
        <f ca="1">INDEX(Photobiology!$21:$421,1+$AH250-380,AW$14)</f>
        <v>1.4260713174004772E-2</v>
      </c>
      <c r="AX250" s="147">
        <f ca="1">INDEX(Photobiology!$21:$421,1+$AH250-380,AX$14)</f>
        <v>1.9002382137664859E-3</v>
      </c>
      <c r="AY250" s="147">
        <f t="shared" si="79"/>
        <v>1.2420132470788495E-3</v>
      </c>
      <c r="AZ250" s="147">
        <f t="shared" ca="1" si="93"/>
        <v>5.9745308432182149E-9</v>
      </c>
      <c r="BA250" s="147">
        <f t="shared" ca="1" si="80"/>
        <v>2.4246706810798009E-4</v>
      </c>
      <c r="BB250" s="147">
        <f t="shared" ca="1" si="81"/>
        <v>8.4932467673668258E-4</v>
      </c>
      <c r="BC250" s="147">
        <f t="shared" ca="1" si="82"/>
        <v>2.1337787584814636E-5</v>
      </c>
      <c r="BD250" s="147">
        <f t="shared" ca="1" si="83"/>
        <v>2.9394479115965713E-6</v>
      </c>
    </row>
    <row r="251" spans="8:56" s="147" customFormat="1" ht="0.25" customHeight="1" x14ac:dyDescent="0.2">
      <c r="H251" s="147">
        <f t="shared" si="84"/>
        <v>610</v>
      </c>
      <c r="I251" s="147">
        <f>IF($H251&gt;$H250,INDEX(Spectra!251:251,1,MATCH($I$20,Spectra!$20:$20,0)),I250)</f>
        <v>1.1148926534739301E-3</v>
      </c>
      <c r="J251" s="147">
        <f>((Physics!$C$9*Physics!$C$10)/(Physics!$C$11*Physics!$C$12*$H251))^($J$17-$J$18)</f>
        <v>3.0716709333107901E+18</v>
      </c>
      <c r="K251" s="147">
        <f t="shared" si="85"/>
        <v>1</v>
      </c>
      <c r="L251" s="147">
        <f>INDEX(Photobiology!$21:$421,1+$H251-380,10)</f>
        <v>0.503</v>
      </c>
      <c r="M251" s="147">
        <f t="shared" si="86"/>
        <v>1.1148926534739301E-3</v>
      </c>
      <c r="N251" s="147">
        <f ca="1">INDEX(Photobiology!$21:$421,1+$H251-380,N$14)</f>
        <v>4.4390600000000002E-6</v>
      </c>
      <c r="O251" s="147">
        <f ca="1">INDEX(Photobiology!$21:$421,1+$H251-380,O$14)</f>
        <v>0.18510399999999999</v>
      </c>
      <c r="P251" s="147">
        <f ca="1">INDEX(Photobiology!$21:$421,1+$H251-380,P$14)</f>
        <v>0.668991</v>
      </c>
      <c r="Q251" s="147">
        <f ca="1">INDEX(Photobiology!$21:$421,1+$H251-380,Q$14)</f>
        <v>1.593E-2</v>
      </c>
      <c r="R251" s="147">
        <f ca="1">INDEX(Photobiology!$21:$421,1+$H251-380,R$14)</f>
        <v>2.1769799999999998E-3</v>
      </c>
      <c r="S251" s="147">
        <f t="shared" si="87"/>
        <v>3424583357437610</v>
      </c>
      <c r="T251" s="147">
        <f ca="1">INDEX(Photobiology!$21:$421,1+$H251-380,T$14)</f>
        <v>3.256017239403979E-6</v>
      </c>
      <c r="U251" s="147">
        <f ca="1">INDEX(Photobiology!$21:$421,1+$H251-380,U$14)</f>
        <v>0.16403791390701578</v>
      </c>
      <c r="V251" s="147">
        <f ca="1">INDEX(Photobiology!$21:$421,1+$H251-380,V$14)</f>
        <v>0.62151680719256164</v>
      </c>
      <c r="W251" s="147">
        <f ca="1">INDEX(Photobiology!$21:$421,1+$H251-380,W$14)</f>
        <v>1.3201440386733971E-2</v>
      </c>
      <c r="X251" s="147">
        <f ca="1">INDEX(Photobiology!$21:$421,1+$H251-380,X$14)</f>
        <v>1.7450601598383978E-3</v>
      </c>
      <c r="Y251" s="147">
        <f t="shared" si="74"/>
        <v>1.1148926534739301E-3</v>
      </c>
      <c r="Z251" s="147">
        <f t="shared" ca="1" si="88"/>
        <v>4.9490753823299839E-9</v>
      </c>
      <c r="AA251" s="147">
        <f t="shared" ca="1" si="75"/>
        <v>2.0637108972863834E-4</v>
      </c>
      <c r="AB251" s="147">
        <f t="shared" ca="1" si="76"/>
        <v>7.4585315114017794E-4</v>
      </c>
      <c r="AC251" s="147">
        <f t="shared" ca="1" si="77"/>
        <v>1.7760239969839704E-5</v>
      </c>
      <c r="AD251" s="147">
        <f t="shared" ca="1" si="78"/>
        <v>2.4270990087596761E-6</v>
      </c>
      <c r="AH251" s="147">
        <f t="shared" si="89"/>
        <v>610</v>
      </c>
      <c r="AI251" s="147">
        <f>IF($AH251&gt;$AH250,INDEX(Spectra!251:251,1,MATCH($AI$20,Spectra!$20:$20,0)),AI250)</f>
        <v>89.599100000000007</v>
      </c>
      <c r="AJ251" s="147">
        <f>((Physics!$C$9*Physics!$C$10)/(Physics!$C$11*Physics!$C$12*$AH251))^($AJ$17-$AJ$18)</f>
        <v>3.0716709333107901E+18</v>
      </c>
      <c r="AK251" s="147">
        <f t="shared" si="90"/>
        <v>1</v>
      </c>
      <c r="AL251" s="147">
        <f>INDEX(Photobiology!$21:$421,1+$AH251-380,10)</f>
        <v>0.503</v>
      </c>
      <c r="AM251" s="147">
        <f t="shared" si="91"/>
        <v>1.2414493241433221E-3</v>
      </c>
      <c r="AN251" s="147">
        <f ca="1">INDEX(Photobiology!$21:$421,1+$AH251-380,AN$14)</f>
        <v>4.4390600000000002E-6</v>
      </c>
      <c r="AO251" s="147">
        <f ca="1">INDEX(Photobiology!$21:$421,1+$AH251-380,AO$14)</f>
        <v>0.18510399999999999</v>
      </c>
      <c r="AP251" s="147">
        <f ca="1">INDEX(Photobiology!$21:$421,1+$AH251-380,AP$14)</f>
        <v>0.668991</v>
      </c>
      <c r="AQ251" s="147">
        <f ca="1">INDEX(Photobiology!$21:$421,1+$AH251-380,AQ$14)</f>
        <v>1.593E-2</v>
      </c>
      <c r="AR251" s="147">
        <f ca="1">INDEX(Photobiology!$21:$421,1+$AH251-380,AR$14)</f>
        <v>2.1769799999999998E-3</v>
      </c>
      <c r="AS251" s="147">
        <f t="shared" si="92"/>
        <v>3813323804149368</v>
      </c>
      <c r="AT251" s="147">
        <f ca="1">INDEX(Photobiology!$21:$421,1+$AH251-380,AT$14)</f>
        <v>3.256017239403979E-6</v>
      </c>
      <c r="AU251" s="147">
        <f ca="1">INDEX(Photobiology!$21:$421,1+$AH251-380,AU$14)</f>
        <v>0.16403791390701578</v>
      </c>
      <c r="AV251" s="147">
        <f ca="1">INDEX(Photobiology!$21:$421,1+$AH251-380,AV$14)</f>
        <v>0.62151680719256164</v>
      </c>
      <c r="AW251" s="147">
        <f ca="1">INDEX(Photobiology!$21:$421,1+$AH251-380,AW$14)</f>
        <v>1.3201440386733971E-2</v>
      </c>
      <c r="AX251" s="147">
        <f ca="1">INDEX(Photobiology!$21:$421,1+$AH251-380,AX$14)</f>
        <v>1.7450601598383978E-3</v>
      </c>
      <c r="AY251" s="147">
        <f t="shared" si="79"/>
        <v>1.2414493241433221E-3</v>
      </c>
      <c r="AZ251" s="147">
        <f t="shared" ca="1" si="93"/>
        <v>5.5108680368316559E-9</v>
      </c>
      <c r="BA251" s="147">
        <f t="shared" ca="1" si="80"/>
        <v>2.2979723569622549E-4</v>
      </c>
      <c r="BB251" s="147">
        <f t="shared" ca="1" si="81"/>
        <v>8.3051842480796521E-4</v>
      </c>
      <c r="BC251" s="147">
        <f t="shared" ca="1" si="82"/>
        <v>1.977628773360312E-5</v>
      </c>
      <c r="BD251" s="147">
        <f t="shared" ca="1" si="83"/>
        <v>2.7026103496735292E-6</v>
      </c>
    </row>
    <row r="252" spans="8:56" s="147" customFormat="1" ht="0.25" customHeight="1" x14ac:dyDescent="0.2">
      <c r="H252" s="147">
        <f t="shared" si="84"/>
        <v>611</v>
      </c>
      <c r="I252" s="147">
        <f>IF($H252&gt;$H251,INDEX(Spectra!252:252,1,MATCH($I$20,Spectra!$20:$20,0)),I251)</f>
        <v>1.10989313484849E-3</v>
      </c>
      <c r="J252" s="147">
        <f>((Physics!$C$9*Physics!$C$10)/(Physics!$C$11*Physics!$C$12*$H252))^($J$17-$J$18)</f>
        <v>3.0767064594309714E+18</v>
      </c>
      <c r="K252" s="147">
        <f t="shared" si="85"/>
        <v>1</v>
      </c>
      <c r="L252" s="147">
        <f>INDEX(Photobiology!$21:$421,1+$H252-380,10)</f>
        <v>0.49046879999999998</v>
      </c>
      <c r="M252" s="147">
        <f t="shared" si="86"/>
        <v>1.10989313484849E-3</v>
      </c>
      <c r="N252" s="147">
        <f ca="1">INDEX(Photobiology!$21:$421,1+$H252-380,N$14)</f>
        <v>4.0984999999999998E-6</v>
      </c>
      <c r="O252" s="147">
        <f ca="1">INDEX(Photobiology!$21:$421,1+$H252-380,O$14)</f>
        <v>0.175398</v>
      </c>
      <c r="P252" s="147">
        <f ca="1">INDEX(Photobiology!$21:$421,1+$H252-380,P$14)</f>
        <v>0.65403699999999998</v>
      </c>
      <c r="Q252" s="147">
        <f ca="1">INDEX(Photobiology!$21:$421,1+$H252-380,Q$14)</f>
        <v>1.477E-2</v>
      </c>
      <c r="R252" s="147">
        <f ca="1">INDEX(Photobiology!$21:$421,1+$H252-380,R$14)</f>
        <v>2.0031699999999999E-3</v>
      </c>
      <c r="S252" s="147">
        <f t="shared" si="87"/>
        <v>3414815377266439.5</v>
      </c>
      <c r="T252" s="147">
        <f ca="1">INDEX(Photobiology!$21:$421,1+$H252-380,T$14)</f>
        <v>3.0012988698073541E-6</v>
      </c>
      <c r="U252" s="147">
        <f ca="1">INDEX(Photobiology!$21:$421,1+$H252-380,U$14)</f>
        <v>0.15518212537123624</v>
      </c>
      <c r="V252" s="147">
        <f ca="1">INDEX(Photobiology!$21:$421,1+$H252-380,V$14)</f>
        <v>0.60662952632603584</v>
      </c>
      <c r="W252" s="147">
        <f ca="1">INDEX(Photobiology!$21:$421,1+$H252-380,W$14)</f>
        <v>1.2220097280384526E-2</v>
      </c>
      <c r="X252" s="147">
        <f ca="1">INDEX(Photobiology!$21:$421,1+$H252-380,X$14)</f>
        <v>1.6031065797963158E-3</v>
      </c>
      <c r="Y252" s="147">
        <f t="shared" si="74"/>
        <v>1.10989313484849E-3</v>
      </c>
      <c r="Z252" s="147">
        <f t="shared" ca="1" si="88"/>
        <v>4.5488970131765365E-9</v>
      </c>
      <c r="AA252" s="147">
        <f t="shared" ca="1" si="75"/>
        <v>1.9467303606615546E-4</v>
      </c>
      <c r="AB252" s="147">
        <f t="shared" ca="1" si="76"/>
        <v>7.259111762369019E-4</v>
      </c>
      <c r="AC252" s="147">
        <f t="shared" ca="1" si="77"/>
        <v>1.6393121601712197E-5</v>
      </c>
      <c r="AD252" s="147">
        <f t="shared" ca="1" si="78"/>
        <v>2.2233046309344497E-6</v>
      </c>
      <c r="AH252" s="147">
        <f t="shared" si="89"/>
        <v>611</v>
      </c>
      <c r="AI252" s="147">
        <f>IF($AH252&gt;$AH251,INDEX(Spectra!252:252,1,MATCH($AI$20,Spectra!$20:$20,0)),AI251)</f>
        <v>89.409099999999995</v>
      </c>
      <c r="AJ252" s="147">
        <f>((Physics!$C$9*Physics!$C$10)/(Physics!$C$11*Physics!$C$12*$AH252))^($AJ$17-$AJ$18)</f>
        <v>3.0767064594309714E+18</v>
      </c>
      <c r="AK252" s="147">
        <f t="shared" si="90"/>
        <v>1</v>
      </c>
      <c r="AL252" s="147">
        <f>INDEX(Photobiology!$21:$421,1+$AH252-380,10)</f>
        <v>0.49046879999999998</v>
      </c>
      <c r="AM252" s="147">
        <f t="shared" si="91"/>
        <v>1.2388167600708342E-3</v>
      </c>
      <c r="AN252" s="147">
        <f ca="1">INDEX(Photobiology!$21:$421,1+$AH252-380,AN$14)</f>
        <v>4.0984999999999998E-6</v>
      </c>
      <c r="AO252" s="147">
        <f ca="1">INDEX(Photobiology!$21:$421,1+$AH252-380,AO$14)</f>
        <v>0.175398</v>
      </c>
      <c r="AP252" s="147">
        <f ca="1">INDEX(Photobiology!$21:$421,1+$AH252-380,AP$14)</f>
        <v>0.65403699999999998</v>
      </c>
      <c r="AQ252" s="147">
        <f ca="1">INDEX(Photobiology!$21:$421,1+$AH252-380,AQ$14)</f>
        <v>1.477E-2</v>
      </c>
      <c r="AR252" s="147">
        <f ca="1">INDEX(Photobiology!$21:$421,1+$AH252-380,AR$14)</f>
        <v>2.0031699999999999E-3</v>
      </c>
      <c r="AS252" s="147">
        <f t="shared" si="92"/>
        <v>3811475527761283.5</v>
      </c>
      <c r="AT252" s="147">
        <f ca="1">INDEX(Photobiology!$21:$421,1+$AH252-380,AT$14)</f>
        <v>3.0012988698073541E-6</v>
      </c>
      <c r="AU252" s="147">
        <f ca="1">INDEX(Photobiology!$21:$421,1+$AH252-380,AU$14)</f>
        <v>0.15518212537123624</v>
      </c>
      <c r="AV252" s="147">
        <f ca="1">INDEX(Photobiology!$21:$421,1+$AH252-380,AV$14)</f>
        <v>0.60662952632603584</v>
      </c>
      <c r="AW252" s="147">
        <f ca="1">INDEX(Photobiology!$21:$421,1+$AH252-380,AW$14)</f>
        <v>1.2220097280384526E-2</v>
      </c>
      <c r="AX252" s="147">
        <f ca="1">INDEX(Photobiology!$21:$421,1+$AH252-380,AX$14)</f>
        <v>1.6031065797963158E-3</v>
      </c>
      <c r="AY252" s="147">
        <f t="shared" si="79"/>
        <v>1.2388167600708342E-3</v>
      </c>
      <c r="AZ252" s="147">
        <f t="shared" ca="1" si="93"/>
        <v>5.0772904911503136E-9</v>
      </c>
      <c r="BA252" s="147">
        <f t="shared" ca="1" si="80"/>
        <v>2.1728598208290418E-4</v>
      </c>
      <c r="BB252" s="147">
        <f t="shared" ca="1" si="81"/>
        <v>8.1023199730644816E-4</v>
      </c>
      <c r="BC252" s="147">
        <f t="shared" ca="1" si="82"/>
        <v>1.829732354624622E-5</v>
      </c>
      <c r="BD252" s="147">
        <f t="shared" ca="1" si="83"/>
        <v>2.4815605692710926E-6</v>
      </c>
    </row>
    <row r="253" spans="8:56" s="147" customFormat="1" ht="0.25" customHeight="1" x14ac:dyDescent="0.2">
      <c r="H253" s="147">
        <f t="shared" si="84"/>
        <v>612</v>
      </c>
      <c r="I253" s="147">
        <f>IF($H253&gt;$H252,INDEX(Spectra!253:253,1,MATCH($I$20,Spectra!$20:$20,0)),I252)</f>
        <v>1.10489361622305E-3</v>
      </c>
      <c r="J253" s="147">
        <f>((Physics!$C$9*Physics!$C$10)/(Physics!$C$11*Physics!$C$12*$H253))^($J$17-$J$18)</f>
        <v>3.0817419855511532E+18</v>
      </c>
      <c r="K253" s="147">
        <f t="shared" si="85"/>
        <v>1</v>
      </c>
      <c r="L253" s="147">
        <f>INDEX(Photobiology!$21:$421,1+$H253-380,10)</f>
        <v>0.47803040000000002</v>
      </c>
      <c r="M253" s="147">
        <f t="shared" si="86"/>
        <v>1.10489361622305E-3</v>
      </c>
      <c r="N253" s="147">
        <f ca="1">INDEX(Photobiology!$21:$421,1+$H253-380,N$14)</f>
        <v>3.78599E-6</v>
      </c>
      <c r="O253" s="147">
        <f ca="1">INDEX(Photobiology!$21:$421,1+$H253-380,O$14)</f>
        <v>0.16609099999999999</v>
      </c>
      <c r="P253" s="147">
        <f ca="1">INDEX(Photobiology!$21:$421,1+$H253-380,P$14)</f>
        <v>0.63897899999999996</v>
      </c>
      <c r="Q253" s="147">
        <f ca="1">INDEX(Photobiology!$21:$421,1+$H253-380,Q$14)</f>
        <v>1.3690000000000001E-2</v>
      </c>
      <c r="R253" s="147">
        <f ca="1">INDEX(Photobiology!$21:$421,1+$H253-380,R$14)</f>
        <v>1.8419E-3</v>
      </c>
      <c r="S253" s="147">
        <f t="shared" si="87"/>
        <v>3404997046682016</v>
      </c>
      <c r="T253" s="147">
        <f ca="1">INDEX(Photobiology!$21:$421,1+$H253-380,T$14)</f>
        <v>2.7679201411365577E-6</v>
      </c>
      <c r="U253" s="147">
        <f ca="1">INDEX(Photobiology!$21:$421,1+$H253-380,U$14)</f>
        <v>0.14670771289802914</v>
      </c>
      <c r="V253" s="147">
        <f ca="1">INDEX(Photobiology!$21:$421,1+$H253-380,V$14)</f>
        <v>0.59169459269787361</v>
      </c>
      <c r="W253" s="147">
        <f ca="1">INDEX(Photobiology!$21:$421,1+$H253-380,W$14)</f>
        <v>1.1308041772375951E-2</v>
      </c>
      <c r="X253" s="147">
        <f ca="1">INDEX(Photobiology!$21:$421,1+$H253-380,X$14)</f>
        <v>1.4716360742232514E-3</v>
      </c>
      <c r="Y253" s="147">
        <f t="shared" si="74"/>
        <v>1.10489361622305E-3</v>
      </c>
      <c r="Z253" s="147">
        <f t="shared" ca="1" si="88"/>
        <v>4.1831161820843052E-9</v>
      </c>
      <c r="AA253" s="147">
        <f t="shared" ca="1" si="75"/>
        <v>1.835128856121026E-4</v>
      </c>
      <c r="AB253" s="147">
        <f t="shared" ca="1" si="76"/>
        <v>7.0600381800058824E-4</v>
      </c>
      <c r="AC253" s="147">
        <f t="shared" ca="1" si="77"/>
        <v>1.5125993606093556E-5</v>
      </c>
      <c r="AD253" s="147">
        <f t="shared" ca="1" si="78"/>
        <v>2.0351035517212359E-6</v>
      </c>
      <c r="AH253" s="147">
        <f t="shared" si="89"/>
        <v>612</v>
      </c>
      <c r="AI253" s="147">
        <f>IF($AH253&gt;$AH252,INDEX(Spectra!253:253,1,MATCH($AI$20,Spectra!$20:$20,0)),AI252)</f>
        <v>89.218999999999994</v>
      </c>
      <c r="AJ253" s="147">
        <f>((Physics!$C$9*Physics!$C$10)/(Physics!$C$11*Physics!$C$12*$AH253))^($AJ$17-$AJ$18)</f>
        <v>3.0817419855511532E+18</v>
      </c>
      <c r="AK253" s="147">
        <f t="shared" si="90"/>
        <v>1</v>
      </c>
      <c r="AL253" s="147">
        <f>INDEX(Photobiology!$21:$421,1+$AH253-380,10)</f>
        <v>0.47803040000000002</v>
      </c>
      <c r="AM253" s="147">
        <f t="shared" si="91"/>
        <v>1.2361828104383084E-3</v>
      </c>
      <c r="AN253" s="147">
        <f ca="1">INDEX(Photobiology!$21:$421,1+$AH253-380,AN$14)</f>
        <v>3.78599E-6</v>
      </c>
      <c r="AO253" s="147">
        <f ca="1">INDEX(Photobiology!$21:$421,1+$AH253-380,AO$14)</f>
        <v>0.16609099999999999</v>
      </c>
      <c r="AP253" s="147">
        <f ca="1">INDEX(Photobiology!$21:$421,1+$AH253-380,AP$14)</f>
        <v>0.63897899999999996</v>
      </c>
      <c r="AQ253" s="147">
        <f ca="1">INDEX(Photobiology!$21:$421,1+$AH253-380,AQ$14)</f>
        <v>1.3690000000000001E-2</v>
      </c>
      <c r="AR253" s="147">
        <f ca="1">INDEX(Photobiology!$21:$421,1+$AH253-380,AR$14)</f>
        <v>1.8419E-3</v>
      </c>
      <c r="AS253" s="147">
        <f t="shared" si="92"/>
        <v>3809596468744357.5</v>
      </c>
      <c r="AT253" s="147">
        <f ca="1">INDEX(Photobiology!$21:$421,1+$AH253-380,AT$14)</f>
        <v>2.7679201411365577E-6</v>
      </c>
      <c r="AU253" s="147">
        <f ca="1">INDEX(Photobiology!$21:$421,1+$AH253-380,AU$14)</f>
        <v>0.14670771289802914</v>
      </c>
      <c r="AV253" s="147">
        <f ca="1">INDEX(Photobiology!$21:$421,1+$AH253-380,AV$14)</f>
        <v>0.59169459269787361</v>
      </c>
      <c r="AW253" s="147">
        <f ca="1">INDEX(Photobiology!$21:$421,1+$AH253-380,AW$14)</f>
        <v>1.1308041772375951E-2</v>
      </c>
      <c r="AX253" s="147">
        <f ca="1">INDEX(Photobiology!$21:$421,1+$AH253-380,AX$14)</f>
        <v>1.4716360742232514E-3</v>
      </c>
      <c r="AY253" s="147">
        <f t="shared" si="79"/>
        <v>1.2361828104383084E-3</v>
      </c>
      <c r="AZ253" s="147">
        <f t="shared" ca="1" si="93"/>
        <v>4.6801757584913309E-9</v>
      </c>
      <c r="BA253" s="147">
        <f t="shared" ca="1" si="80"/>
        <v>2.0531883916850908E-4</v>
      </c>
      <c r="BB253" s="147">
        <f t="shared" ca="1" si="81"/>
        <v>7.8989485603105981E-4</v>
      </c>
      <c r="BC253" s="147">
        <f t="shared" ca="1" si="82"/>
        <v>1.6923342674900442E-5</v>
      </c>
      <c r="BD253" s="147">
        <f t="shared" ca="1" si="83"/>
        <v>2.2769251185463202E-6</v>
      </c>
    </row>
    <row r="254" spans="8:56" s="147" customFormat="1" ht="0.25" customHeight="1" x14ac:dyDescent="0.2">
      <c r="H254" s="147">
        <f t="shared" si="84"/>
        <v>613</v>
      </c>
      <c r="I254" s="147">
        <f>IF($H254&gt;$H253,INDEX(Spectra!254:254,1,MATCH($I$20,Spectra!$20:$20,0)),I253)</f>
        <v>1.0998940975976001E-3</v>
      </c>
      <c r="J254" s="147">
        <f>((Physics!$C$9*Physics!$C$10)/(Physics!$C$11*Physics!$C$12*$H254))^($J$17-$J$18)</f>
        <v>3.0867775116713344E+18</v>
      </c>
      <c r="K254" s="147">
        <f t="shared" si="85"/>
        <v>1</v>
      </c>
      <c r="L254" s="147">
        <f>INDEX(Photobiology!$21:$421,1+$H254-380,10)</f>
        <v>0.46567760000000002</v>
      </c>
      <c r="M254" s="147">
        <f t="shared" si="86"/>
        <v>1.0998940975976001E-3</v>
      </c>
      <c r="N254" s="147">
        <f ca="1">INDEX(Photobiology!$21:$421,1+$H254-380,N$14)</f>
        <v>3.4991099999999999E-6</v>
      </c>
      <c r="O254" s="147">
        <f ca="1">INDEX(Photobiology!$21:$421,1+$H254-380,O$14)</f>
        <v>0.157169</v>
      </c>
      <c r="P254" s="147">
        <f ca="1">INDEX(Photobiology!$21:$421,1+$H254-380,P$14)</f>
        <v>0.62382499999999996</v>
      </c>
      <c r="Q254" s="147">
        <f ca="1">INDEX(Photobiology!$21:$421,1+$H254-380,Q$14)</f>
        <v>1.269E-2</v>
      </c>
      <c r="R254" s="147">
        <f ca="1">INDEX(Photobiology!$21:$421,1+$H254-380,R$14)</f>
        <v>1.6931699999999999E-3</v>
      </c>
      <c r="S254" s="147">
        <f t="shared" si="87"/>
        <v>3395128365684307.5</v>
      </c>
      <c r="T254" s="147">
        <f ca="1">INDEX(Photobiology!$21:$421,1+$H254-380,T$14)</f>
        <v>2.554010253132682E-6</v>
      </c>
      <c r="U254" s="147">
        <f ca="1">INDEX(Photobiology!$21:$421,1+$H254-380,U$14)</f>
        <v>0.13860046405921145</v>
      </c>
      <c r="V254" s="147">
        <f ca="1">INDEX(Photobiology!$21:$421,1+$H254-380,V$14)</f>
        <v>0.57671963543463489</v>
      </c>
      <c r="W254" s="147">
        <f ca="1">INDEX(Photobiology!$21:$421,1+$H254-380,W$14)</f>
        <v>1.0464934771688639E-2</v>
      </c>
      <c r="X254" s="147">
        <f ca="1">INDEX(Photobiology!$21:$421,1+$H254-380,X$14)</f>
        <v>1.3505973393289808E-3</v>
      </c>
      <c r="Y254" s="147">
        <f t="shared" si="74"/>
        <v>1.0998940975976001E-3</v>
      </c>
      <c r="Z254" s="147">
        <f t="shared" ca="1" si="88"/>
        <v>3.8486504358447383E-9</v>
      </c>
      <c r="AA254" s="147">
        <f t="shared" ca="1" si="75"/>
        <v>1.7286925542531721E-4</v>
      </c>
      <c r="AB254" s="147">
        <f t="shared" ca="1" si="76"/>
        <v>6.8614143543382282E-4</v>
      </c>
      <c r="AC254" s="147">
        <f t="shared" ca="1" si="77"/>
        <v>1.3957656098513545E-5</v>
      </c>
      <c r="AD254" s="147">
        <f t="shared" ca="1" si="78"/>
        <v>1.8623076892293284E-6</v>
      </c>
      <c r="AH254" s="147">
        <f t="shared" si="89"/>
        <v>613</v>
      </c>
      <c r="AI254" s="147">
        <f>IF($AH254&gt;$AH253,INDEX(Spectra!254:254,1,MATCH($AI$20,Spectra!$20:$20,0)),AI253)</f>
        <v>89.028999999999996</v>
      </c>
      <c r="AJ254" s="147">
        <f>((Physics!$C$9*Physics!$C$10)/(Physics!$C$11*Physics!$C$12*$AH254))^($AJ$17-$AJ$18)</f>
        <v>3.0867775116713344E+18</v>
      </c>
      <c r="AK254" s="147">
        <f t="shared" si="90"/>
        <v>1</v>
      </c>
      <c r="AL254" s="147">
        <f>INDEX(Photobiology!$21:$421,1+$AH254-380,10)</f>
        <v>0.46567760000000002</v>
      </c>
      <c r="AM254" s="147">
        <f t="shared" si="91"/>
        <v>1.2335502463658207E-3</v>
      </c>
      <c r="AN254" s="147">
        <f ca="1">INDEX(Photobiology!$21:$421,1+$AH254-380,AN$14)</f>
        <v>3.4991099999999999E-6</v>
      </c>
      <c r="AO254" s="147">
        <f ca="1">INDEX(Photobiology!$21:$421,1+$AH254-380,AO$14)</f>
        <v>0.157169</v>
      </c>
      <c r="AP254" s="147">
        <f ca="1">INDEX(Photobiology!$21:$421,1+$AH254-380,AP$14)</f>
        <v>0.62382499999999996</v>
      </c>
      <c r="AQ254" s="147">
        <f ca="1">INDEX(Photobiology!$21:$421,1+$AH254-380,AQ$14)</f>
        <v>1.269E-2</v>
      </c>
      <c r="AR254" s="147">
        <f ca="1">INDEX(Photobiology!$21:$421,1+$AH254-380,AR$14)</f>
        <v>1.6931699999999999E-3</v>
      </c>
      <c r="AS254" s="147">
        <f t="shared" si="92"/>
        <v>3807695159998649.5</v>
      </c>
      <c r="AT254" s="147">
        <f ca="1">INDEX(Photobiology!$21:$421,1+$AH254-380,AT$14)</f>
        <v>2.554010253132682E-6</v>
      </c>
      <c r="AU254" s="147">
        <f ca="1">INDEX(Photobiology!$21:$421,1+$AH254-380,AU$14)</f>
        <v>0.13860046405921145</v>
      </c>
      <c r="AV254" s="147">
        <f ca="1">INDEX(Photobiology!$21:$421,1+$AH254-380,AV$14)</f>
        <v>0.57671963543463489</v>
      </c>
      <c r="AW254" s="147">
        <f ca="1">INDEX(Photobiology!$21:$421,1+$AH254-380,AW$14)</f>
        <v>1.0464934771688639E-2</v>
      </c>
      <c r="AX254" s="147">
        <f ca="1">INDEX(Photobiology!$21:$421,1+$AH254-380,AX$14)</f>
        <v>1.3505973393289808E-3</v>
      </c>
      <c r="AY254" s="147">
        <f t="shared" si="79"/>
        <v>1.2335502463658207E-3</v>
      </c>
      <c r="AZ254" s="147">
        <f t="shared" ca="1" si="93"/>
        <v>4.3163280025611066E-9</v>
      </c>
      <c r="BA254" s="147">
        <f t="shared" ca="1" si="80"/>
        <v>1.9387585867106967E-4</v>
      </c>
      <c r="BB254" s="147">
        <f t="shared" ca="1" si="81"/>
        <v>7.6951948243915804E-4</v>
      </c>
      <c r="BC254" s="147">
        <f t="shared" ca="1" si="82"/>
        <v>1.5653752626382265E-5</v>
      </c>
      <c r="BD254" s="147">
        <f t="shared" ca="1" si="83"/>
        <v>2.0886102706392164E-6</v>
      </c>
    </row>
    <row r="255" spans="8:56" s="147" customFormat="1" ht="0.25" customHeight="1" x14ac:dyDescent="0.2">
      <c r="H255" s="147">
        <f t="shared" si="84"/>
        <v>614</v>
      </c>
      <c r="I255" s="147">
        <f>IF($H255&gt;$H254,INDEX(Spectra!255:255,1,MATCH($I$20,Spectra!$20:$20,0)),I254)</f>
        <v>1.0998940975976001E-3</v>
      </c>
      <c r="J255" s="147">
        <f>((Physics!$C$9*Physics!$C$10)/(Physics!$C$11*Physics!$C$12*$H255))^($J$17-$J$18)</f>
        <v>3.0918130377915162E+18</v>
      </c>
      <c r="K255" s="147">
        <f t="shared" si="85"/>
        <v>1</v>
      </c>
      <c r="L255" s="147">
        <f>INDEX(Photobiology!$21:$421,1+$H255-380,10)</f>
        <v>0.45340320000000001</v>
      </c>
      <c r="M255" s="147">
        <f t="shared" si="86"/>
        <v>1.0998940975976001E-3</v>
      </c>
      <c r="N255" s="147">
        <f ca="1">INDEX(Photobiology!$21:$421,1+$H255-380,N$14)</f>
        <v>3.23563E-6</v>
      </c>
      <c r="O255" s="147">
        <f ca="1">INDEX(Photobiology!$21:$421,1+$H255-380,O$14)</f>
        <v>0.14862</v>
      </c>
      <c r="P255" s="147">
        <f ca="1">INDEX(Photobiology!$21:$421,1+$H255-380,P$14)</f>
        <v>0.60857899999999998</v>
      </c>
      <c r="Q255" s="147">
        <f ca="1">INDEX(Photobiology!$21:$421,1+$H255-380,Q$14)</f>
        <v>1.175E-2</v>
      </c>
      <c r="R255" s="147">
        <f ca="1">INDEX(Photobiology!$21:$421,1+$H255-380,R$14)</f>
        <v>1.55692E-3</v>
      </c>
      <c r="S255" s="147">
        <f t="shared" si="87"/>
        <v>3400666911142194</v>
      </c>
      <c r="T255" s="147">
        <f ca="1">INDEX(Photobiology!$21:$421,1+$H255-380,T$14)</f>
        <v>2.3578490488305778E-6</v>
      </c>
      <c r="U255" s="147">
        <f ca="1">INDEX(Photobiology!$21:$421,1+$H255-380,U$14)</f>
        <v>0.13084801985570133</v>
      </c>
      <c r="V255" s="147">
        <f ca="1">INDEX(Photobiology!$21:$421,1+$H255-380,V$14)</f>
        <v>0.56170854202663512</v>
      </c>
      <c r="W255" s="147">
        <f ca="1">INDEX(Photobiology!$21:$421,1+$H255-380,W$14)</f>
        <v>9.6739730592428751E-3</v>
      </c>
      <c r="X255" s="147">
        <f ca="1">INDEX(Photobiology!$21:$421,1+$H255-380,X$14)</f>
        <v>1.2398916230708117E-3</v>
      </c>
      <c r="Y255" s="147">
        <f t="shared" si="74"/>
        <v>1.0998940975976001E-3</v>
      </c>
      <c r="Z255" s="147">
        <f t="shared" ca="1" si="88"/>
        <v>3.5588503390097228E-9</v>
      </c>
      <c r="AA255" s="147">
        <f t="shared" ca="1" si="75"/>
        <v>1.6346626078495531E-4</v>
      </c>
      <c r="AB255" s="147">
        <f t="shared" ca="1" si="76"/>
        <v>6.6937245002184986E-4</v>
      </c>
      <c r="AC255" s="147">
        <f t="shared" ca="1" si="77"/>
        <v>1.29237556467718E-5</v>
      </c>
      <c r="AD255" s="147">
        <f t="shared" ca="1" si="78"/>
        <v>1.7124471184316555E-6</v>
      </c>
      <c r="AH255" s="147">
        <f t="shared" si="89"/>
        <v>614</v>
      </c>
      <c r="AI255" s="147">
        <f>IF($AH255&gt;$AH254,INDEX(Spectra!255:255,1,MATCH($AI$20,Spectra!$20:$20,0)),AI254)</f>
        <v>88.838899999999995</v>
      </c>
      <c r="AJ255" s="147">
        <f>((Physics!$C$9*Physics!$C$10)/(Physics!$C$11*Physics!$C$12*$AH255))^($AJ$17-$AJ$18)</f>
        <v>3.0918130377915162E+18</v>
      </c>
      <c r="AK255" s="147">
        <f t="shared" si="90"/>
        <v>1</v>
      </c>
      <c r="AL255" s="147">
        <f>INDEX(Photobiology!$21:$421,1+$AH255-380,10)</f>
        <v>0.45340320000000001</v>
      </c>
      <c r="AM255" s="147">
        <f t="shared" si="91"/>
        <v>1.2309162967332949E-3</v>
      </c>
      <c r="AN255" s="147">
        <f ca="1">INDEX(Photobiology!$21:$421,1+$AH255-380,AN$14)</f>
        <v>3.23563E-6</v>
      </c>
      <c r="AO255" s="147">
        <f ca="1">INDEX(Photobiology!$21:$421,1+$AH255-380,AO$14)</f>
        <v>0.14862</v>
      </c>
      <c r="AP255" s="147">
        <f ca="1">INDEX(Photobiology!$21:$421,1+$AH255-380,AP$14)</f>
        <v>0.60857899999999998</v>
      </c>
      <c r="AQ255" s="147">
        <f ca="1">INDEX(Photobiology!$21:$421,1+$AH255-380,AQ$14)</f>
        <v>1.175E-2</v>
      </c>
      <c r="AR255" s="147">
        <f ca="1">INDEX(Photobiology!$21:$421,1+$AH255-380,AR$14)</f>
        <v>1.55692E-3</v>
      </c>
      <c r="AS255" s="147">
        <f t="shared" si="92"/>
        <v>3805763054670052</v>
      </c>
      <c r="AT255" s="147">
        <f ca="1">INDEX(Photobiology!$21:$421,1+$AH255-380,AT$14)</f>
        <v>2.3578490488305778E-6</v>
      </c>
      <c r="AU255" s="147">
        <f ca="1">INDEX(Photobiology!$21:$421,1+$AH255-380,AU$14)</f>
        <v>0.13084801985570133</v>
      </c>
      <c r="AV255" s="147">
        <f ca="1">INDEX(Photobiology!$21:$421,1+$AH255-380,AV$14)</f>
        <v>0.56170854202663512</v>
      </c>
      <c r="AW255" s="147">
        <f ca="1">INDEX(Photobiology!$21:$421,1+$AH255-380,AW$14)</f>
        <v>9.6739730592428751E-3</v>
      </c>
      <c r="AX255" s="147">
        <f ca="1">INDEX(Photobiology!$21:$421,1+$AH255-380,AX$14)</f>
        <v>1.2398916230708117E-3</v>
      </c>
      <c r="AY255" s="147">
        <f t="shared" si="79"/>
        <v>1.2309162967332949E-3</v>
      </c>
      <c r="AZ255" s="147">
        <f t="shared" ca="1" si="93"/>
        <v>3.9827896971991507E-9</v>
      </c>
      <c r="BA255" s="147">
        <f t="shared" ca="1" si="80"/>
        <v>1.8293878002050229E-4</v>
      </c>
      <c r="BB255" s="147">
        <f t="shared" ca="1" si="81"/>
        <v>7.4910980894965192E-4</v>
      </c>
      <c r="BC255" s="147">
        <f t="shared" ca="1" si="82"/>
        <v>1.4463266486616215E-5</v>
      </c>
      <c r="BD255" s="147">
        <f t="shared" ca="1" si="83"/>
        <v>1.9164382007100017E-6</v>
      </c>
    </row>
    <row r="256" spans="8:56" s="147" customFormat="1" ht="0.25" customHeight="1" x14ac:dyDescent="0.2">
      <c r="H256" s="147">
        <f t="shared" si="84"/>
        <v>615</v>
      </c>
      <c r="I256" s="147">
        <f>IF($H256&gt;$H255,INDEX(Spectra!256:256,1,MATCH($I$20,Spectra!$20:$20,0)),I255)</f>
        <v>1.09489457897216E-3</v>
      </c>
      <c r="J256" s="147">
        <f>((Physics!$C$9*Physics!$C$10)/(Physics!$C$11*Physics!$C$12*$H256))^($J$17-$J$18)</f>
        <v>3.0968485639116979E+18</v>
      </c>
      <c r="K256" s="147">
        <f t="shared" si="85"/>
        <v>1</v>
      </c>
      <c r="L256" s="147">
        <f>INDEX(Photobiology!$21:$421,1+$H256-380,10)</f>
        <v>0.44119999999999998</v>
      </c>
      <c r="M256" s="147">
        <f t="shared" si="86"/>
        <v>1.09489457897216E-3</v>
      </c>
      <c r="N256" s="147">
        <f ca="1">INDEX(Photobiology!$21:$421,1+$H256-380,N$14)</f>
        <v>2.9935400000000001E-6</v>
      </c>
      <c r="O256" s="147">
        <f ca="1">INDEX(Photobiology!$21:$421,1+$H256-380,O$14)</f>
        <v>0.140431</v>
      </c>
      <c r="P256" s="147">
        <f ca="1">INDEX(Photobiology!$21:$421,1+$H256-380,P$14)</f>
        <v>0.593248</v>
      </c>
      <c r="Q256" s="147">
        <f ca="1">INDEX(Photobiology!$21:$421,1+$H256-380,Q$14)</f>
        <v>1.0880000000000001E-2</v>
      </c>
      <c r="R256" s="147">
        <f ca="1">INDEX(Photobiology!$21:$421,1+$H256-380,R$14)</f>
        <v>1.4331400000000001E-3</v>
      </c>
      <c r="S256" s="147">
        <f t="shared" si="87"/>
        <v>3390722704524637</v>
      </c>
      <c r="T256" s="147">
        <f ca="1">INDEX(Photobiology!$21:$421,1+$H256-380,T$14)</f>
        <v>2.177887615691173E-6</v>
      </c>
      <c r="U256" s="147">
        <f ca="1">INDEX(Photobiology!$21:$421,1+$H256-380,U$14)</f>
        <v>0.12343722268373185</v>
      </c>
      <c r="V256" s="147">
        <f ca="1">INDEX(Photobiology!$21:$421,1+$H256-380,V$14)</f>
        <v>0.54666793912866052</v>
      </c>
      <c r="W256" s="147">
        <f ca="1">INDEX(Photobiology!$21:$421,1+$H256-380,W$14)</f>
        <v>8.9431220490740516E-3</v>
      </c>
      <c r="X256" s="147">
        <f ca="1">INDEX(Photobiology!$21:$421,1+$H256-380,X$14)</f>
        <v>1.1394605696824496E-3</v>
      </c>
      <c r="Y256" s="147">
        <f t="shared" si="74"/>
        <v>1.09489457897216E-3</v>
      </c>
      <c r="Z256" s="147">
        <f t="shared" ca="1" si="88"/>
        <v>3.2776107179363202E-9</v>
      </c>
      <c r="AA256" s="147">
        <f t="shared" ca="1" si="75"/>
        <v>1.5375714061963941E-4</v>
      </c>
      <c r="AB256" s="147">
        <f t="shared" ca="1" si="76"/>
        <v>6.4954401918607596E-4</v>
      </c>
      <c r="AC256" s="147">
        <f t="shared" ca="1" si="77"/>
        <v>1.1912453019217102E-5</v>
      </c>
      <c r="AD256" s="147">
        <f t="shared" ca="1" si="78"/>
        <v>1.5691372169081615E-6</v>
      </c>
      <c r="AH256" s="147">
        <f t="shared" si="89"/>
        <v>615</v>
      </c>
      <c r="AI256" s="147">
        <f>IF($AH256&gt;$AH255,INDEX(Spectra!256:256,1,MATCH($AI$20,Spectra!$20:$20,0)),AI255)</f>
        <v>88.648899999999998</v>
      </c>
      <c r="AJ256" s="147">
        <f>((Physics!$C$9*Physics!$C$10)/(Physics!$C$11*Physics!$C$12*$AH256))^($AJ$17-$AJ$18)</f>
        <v>3.0968485639116979E+18</v>
      </c>
      <c r="AK256" s="147">
        <f t="shared" si="90"/>
        <v>1</v>
      </c>
      <c r="AL256" s="147">
        <f>INDEX(Photobiology!$21:$421,1+$AH256-380,10)</f>
        <v>0.44119999999999998</v>
      </c>
      <c r="AM256" s="147">
        <f t="shared" si="91"/>
        <v>1.2282837326608072E-3</v>
      </c>
      <c r="AN256" s="147">
        <f ca="1">INDEX(Photobiology!$21:$421,1+$AH256-380,AN$14)</f>
        <v>2.9935400000000001E-6</v>
      </c>
      <c r="AO256" s="147">
        <f ca="1">INDEX(Photobiology!$21:$421,1+$AH256-380,AO$14)</f>
        <v>0.140431</v>
      </c>
      <c r="AP256" s="147">
        <f ca="1">INDEX(Photobiology!$21:$421,1+$AH256-380,AP$14)</f>
        <v>0.593248</v>
      </c>
      <c r="AQ256" s="147">
        <f ca="1">INDEX(Photobiology!$21:$421,1+$AH256-380,AQ$14)</f>
        <v>1.0880000000000001E-2</v>
      </c>
      <c r="AR256" s="147">
        <f ca="1">INDEX(Photobiology!$21:$421,1+$AH256-380,AR$14)</f>
        <v>1.4331400000000001E-3</v>
      </c>
      <c r="AS256" s="147">
        <f t="shared" si="92"/>
        <v>3803808713566720.5</v>
      </c>
      <c r="AT256" s="147">
        <f ca="1">INDEX(Photobiology!$21:$421,1+$AH256-380,AT$14)</f>
        <v>2.177887615691173E-6</v>
      </c>
      <c r="AU256" s="147">
        <f ca="1">INDEX(Photobiology!$21:$421,1+$AH256-380,AU$14)</f>
        <v>0.12343722268373185</v>
      </c>
      <c r="AV256" s="147">
        <f ca="1">INDEX(Photobiology!$21:$421,1+$AH256-380,AV$14)</f>
        <v>0.54666793912866052</v>
      </c>
      <c r="AW256" s="147">
        <f ca="1">INDEX(Photobiology!$21:$421,1+$AH256-380,AW$14)</f>
        <v>8.9431220490740516E-3</v>
      </c>
      <c r="AX256" s="147">
        <f ca="1">INDEX(Photobiology!$21:$421,1+$AH256-380,AX$14)</f>
        <v>1.1394605696824496E-3</v>
      </c>
      <c r="AY256" s="147">
        <f t="shared" si="79"/>
        <v>1.2282837326608072E-3</v>
      </c>
      <c r="AZ256" s="147">
        <f t="shared" ca="1" si="93"/>
        <v>3.6769164850694328E-9</v>
      </c>
      <c r="BA256" s="147">
        <f t="shared" ca="1" si="80"/>
        <v>1.7248911286128982E-4</v>
      </c>
      <c r="BB256" s="147">
        <f t="shared" ca="1" si="81"/>
        <v>7.2867686783355853E-4</v>
      </c>
      <c r="BC256" s="147">
        <f t="shared" ca="1" si="82"/>
        <v>1.3363727011349584E-5</v>
      </c>
      <c r="BD256" s="147">
        <f t="shared" ca="1" si="83"/>
        <v>1.7603025486255093E-6</v>
      </c>
    </row>
    <row r="257" spans="8:56" s="147" customFormat="1" ht="0.25" customHeight="1" x14ac:dyDescent="0.2">
      <c r="H257" s="147">
        <f t="shared" si="84"/>
        <v>616</v>
      </c>
      <c r="I257" s="147">
        <f>IF($H257&gt;$H256,INDEX(Spectra!257:257,1,MATCH($I$20,Spectra!$20:$20,0)),I256)</f>
        <v>1.08989506034672E-3</v>
      </c>
      <c r="J257" s="147">
        <f>((Physics!$C$9*Physics!$C$10)/(Physics!$C$11*Physics!$C$12*$H257))^($J$17-$J$18)</f>
        <v>3.1018840900318797E+18</v>
      </c>
      <c r="K257" s="147">
        <f t="shared" si="85"/>
        <v>1</v>
      </c>
      <c r="L257" s="147">
        <f>INDEX(Photobiology!$21:$421,1+$H257-380,10)</f>
        <v>0.42908000000000002</v>
      </c>
      <c r="M257" s="147">
        <f t="shared" si="86"/>
        <v>1.08989506034672E-3</v>
      </c>
      <c r="N257" s="147">
        <f ca="1">INDEX(Photobiology!$21:$421,1+$H257-380,N$14)</f>
        <v>0</v>
      </c>
      <c r="O257" s="147">
        <f ca="1">INDEX(Photobiology!$21:$421,1+$H257-380,O$14)</f>
        <v>0.13259099999999999</v>
      </c>
      <c r="P257" s="147">
        <f ca="1">INDEX(Photobiology!$21:$421,1+$H257-380,P$14)</f>
        <v>0.57785699999999995</v>
      </c>
      <c r="Q257" s="147">
        <f ca="1">INDEX(Photobiology!$21:$421,1+$H257-380,Q$14)</f>
        <v>1.0070000000000001E-2</v>
      </c>
      <c r="R257" s="147">
        <f ca="1">INDEX(Photobiology!$21:$421,1+$H257-380,R$14)</f>
        <v>1.3197199999999999E-3</v>
      </c>
      <c r="S257" s="147">
        <f t="shared" si="87"/>
        <v>3380728147493826.5</v>
      </c>
      <c r="T257" s="147" t="str">
        <f ca="1">INDEX(Photobiology!$21:$421,1+$H257-380,T$14)</f>
        <v/>
      </c>
      <c r="U257" s="147">
        <f ca="1">INDEX(Photobiology!$21:$421,1+$H257-380,U$14)</f>
        <v>0.11635675550150122</v>
      </c>
      <c r="V257" s="147">
        <f ca="1">INDEX(Photobiology!$21:$421,1+$H257-380,V$14)</f>
        <v>0.53162097013258869</v>
      </c>
      <c r="W257" s="147">
        <f ca="1">INDEX(Photobiology!$21:$421,1+$H257-380,W$14)</f>
        <v>8.2638825567611929E-3</v>
      </c>
      <c r="X257" s="147">
        <f ca="1">INDEX(Photobiology!$21:$421,1+$H257-380,X$14)</f>
        <v>1.0475792453892828E-3</v>
      </c>
      <c r="Y257" s="147">
        <f t="shared" si="74"/>
        <v>1.08989506034672E-3</v>
      </c>
      <c r="Z257" s="147">
        <f t="shared" ca="1" si="88"/>
        <v>0</v>
      </c>
      <c r="AA257" s="147">
        <f t="shared" ca="1" si="75"/>
        <v>1.4451027594643195E-4</v>
      </c>
      <c r="AB257" s="147">
        <f t="shared" ca="1" si="76"/>
        <v>6.2980348988677455E-4</v>
      </c>
      <c r="AC257" s="147">
        <f t="shared" ca="1" si="77"/>
        <v>1.0975243257691472E-5</v>
      </c>
      <c r="AD257" s="147">
        <f t="shared" ca="1" si="78"/>
        <v>1.4383563090407733E-6</v>
      </c>
      <c r="AH257" s="147">
        <f t="shared" si="89"/>
        <v>616</v>
      </c>
      <c r="AI257" s="147">
        <f>IF($AH257&gt;$AH256,INDEX(Spectra!257:257,1,MATCH($AI$20,Spectra!$20:$20,0)),AI256)</f>
        <v>88.4589</v>
      </c>
      <c r="AJ257" s="147">
        <f>((Physics!$C$9*Physics!$C$10)/(Physics!$C$11*Physics!$C$12*$AH257))^($AJ$17-$AJ$18)</f>
        <v>3.1018840900318797E+18</v>
      </c>
      <c r="AK257" s="147">
        <f t="shared" si="90"/>
        <v>1</v>
      </c>
      <c r="AL257" s="147">
        <f>INDEX(Photobiology!$21:$421,1+$AH257-380,10)</f>
        <v>0.42908000000000002</v>
      </c>
      <c r="AM257" s="147">
        <f t="shared" si="91"/>
        <v>1.2256511685883196E-3</v>
      </c>
      <c r="AN257" s="147">
        <f ca="1">INDEX(Photobiology!$21:$421,1+$AH257-380,AN$14)</f>
        <v>0</v>
      </c>
      <c r="AO257" s="147">
        <f ca="1">INDEX(Photobiology!$21:$421,1+$AH257-380,AO$14)</f>
        <v>0.13259099999999999</v>
      </c>
      <c r="AP257" s="147">
        <f ca="1">INDEX(Photobiology!$21:$421,1+$AH257-380,AP$14)</f>
        <v>0.57785699999999995</v>
      </c>
      <c r="AQ257" s="147">
        <f ca="1">INDEX(Photobiology!$21:$421,1+$AH257-380,AQ$14)</f>
        <v>1.0070000000000001E-2</v>
      </c>
      <c r="AR257" s="147">
        <f ca="1">INDEX(Photobiology!$21:$421,1+$AH257-380,AR$14)</f>
        <v>1.3197199999999999E-3</v>
      </c>
      <c r="AS257" s="147">
        <f t="shared" si="92"/>
        <v>3801827859773090</v>
      </c>
      <c r="AT257" s="147" t="str">
        <f ca="1">INDEX(Photobiology!$21:$421,1+$AH257-380,AT$14)</f>
        <v/>
      </c>
      <c r="AU257" s="147">
        <f ca="1">INDEX(Photobiology!$21:$421,1+$AH257-380,AU$14)</f>
        <v>0.11635675550150122</v>
      </c>
      <c r="AV257" s="147">
        <f ca="1">INDEX(Photobiology!$21:$421,1+$AH257-380,AV$14)</f>
        <v>0.53162097013258869</v>
      </c>
      <c r="AW257" s="147">
        <f ca="1">INDEX(Photobiology!$21:$421,1+$AH257-380,AW$14)</f>
        <v>8.2638825567611929E-3</v>
      </c>
      <c r="AX257" s="147">
        <f ca="1">INDEX(Photobiology!$21:$421,1+$AH257-380,AX$14)</f>
        <v>1.0475792453892828E-3</v>
      </c>
      <c r="AY257" s="147">
        <f t="shared" si="79"/>
        <v>1.2256511685883196E-3</v>
      </c>
      <c r="AZ257" s="147">
        <f t="shared" ca="1" si="93"/>
        <v>0</v>
      </c>
      <c r="BA257" s="147">
        <f t="shared" ca="1" si="80"/>
        <v>1.6251031409429388E-4</v>
      </c>
      <c r="BB257" s="147">
        <f t="shared" ca="1" si="81"/>
        <v>7.0825110732694054E-4</v>
      </c>
      <c r="BC257" s="147">
        <f t="shared" ca="1" si="82"/>
        <v>1.234230726768438E-5</v>
      </c>
      <c r="BD257" s="147">
        <f t="shared" ca="1" si="83"/>
        <v>1.617516360209377E-6</v>
      </c>
    </row>
    <row r="258" spans="8:56" s="147" customFormat="1" ht="0.25" customHeight="1" x14ac:dyDescent="0.2">
      <c r="H258" s="147">
        <f t="shared" si="84"/>
        <v>617</v>
      </c>
      <c r="I258" s="147">
        <f>IF($H258&gt;$H257,INDEX(Spectra!258:258,1,MATCH($I$20,Spectra!$20:$20,0)),I257)</f>
        <v>1.08989506034672E-3</v>
      </c>
      <c r="J258" s="147">
        <f>((Physics!$C$9*Physics!$C$10)/(Physics!$C$11*Physics!$C$12*$H258))^($J$17-$J$18)</f>
        <v>3.1069196161520604E+18</v>
      </c>
      <c r="K258" s="147">
        <f t="shared" si="85"/>
        <v>1</v>
      </c>
      <c r="L258" s="147">
        <f>INDEX(Photobiology!$21:$421,1+$H258-380,10)</f>
        <v>0.41703600000000002</v>
      </c>
      <c r="M258" s="147">
        <f t="shared" si="86"/>
        <v>1.08989506034672E-3</v>
      </c>
      <c r="N258" s="147">
        <f ca="1">INDEX(Photobiology!$21:$421,1+$H258-380,N$14)</f>
        <v>0</v>
      </c>
      <c r="O258" s="147">
        <f ca="1">INDEX(Photobiology!$21:$421,1+$H258-380,O$14)</f>
        <v>0.12509200000000001</v>
      </c>
      <c r="P258" s="147">
        <f ca="1">INDEX(Photobiology!$21:$421,1+$H258-380,P$14)</f>
        <v>0.56249300000000002</v>
      </c>
      <c r="Q258" s="147">
        <f ca="1">INDEX(Photobiology!$21:$421,1+$H258-380,Q$14)</f>
        <v>9.3200000000000002E-3</v>
      </c>
      <c r="R258" s="147">
        <f ca="1">INDEX(Photobiology!$21:$421,1+$H258-380,R$14)</f>
        <v>1.21451E-3</v>
      </c>
      <c r="S258" s="147">
        <f t="shared" si="87"/>
        <v>3386216342538458</v>
      </c>
      <c r="T258" s="147" t="str">
        <f ca="1">INDEX(Photobiology!$21:$421,1+$H258-380,T$14)</f>
        <v/>
      </c>
      <c r="U258" s="147">
        <f ca="1">INDEX(Photobiology!$21:$421,1+$H258-380,U$14)</f>
        <v>0.10959800305294594</v>
      </c>
      <c r="V258" s="147">
        <f ca="1">INDEX(Photobiology!$21:$421,1+$H258-380,V$14)</f>
        <v>0.51664757514460913</v>
      </c>
      <c r="W258" s="147">
        <f ca="1">INDEX(Photobiology!$21:$421,1+$H258-380,W$14)</f>
        <v>7.6360036348917092E-3</v>
      </c>
      <c r="X258" s="147">
        <f ca="1">INDEX(Photobiology!$21:$421,1+$H258-380,X$14)</f>
        <v>9.6250219903201131E-4</v>
      </c>
      <c r="Y258" s="147">
        <f t="shared" si="74"/>
        <v>1.08989506034672E-3</v>
      </c>
      <c r="Z258" s="147">
        <f t="shared" ca="1" si="88"/>
        <v>0</v>
      </c>
      <c r="AA258" s="147">
        <f t="shared" ca="1" si="75"/>
        <v>1.3633715288889191E-4</v>
      </c>
      <c r="AB258" s="147">
        <f t="shared" ca="1" si="76"/>
        <v>6.1305834217960766E-4</v>
      </c>
      <c r="AC258" s="147">
        <f t="shared" ca="1" si="77"/>
        <v>1.0157821962431431E-5</v>
      </c>
      <c r="AD258" s="147">
        <f t="shared" ca="1" si="78"/>
        <v>1.3236884497416949E-6</v>
      </c>
      <c r="AH258" s="147">
        <f t="shared" si="89"/>
        <v>617</v>
      </c>
      <c r="AI258" s="147">
        <f>IF($AH258&gt;$AH257,INDEX(Spectra!258:258,1,MATCH($AI$20,Spectra!$20:$20,0)),AI257)</f>
        <v>88.268799999999999</v>
      </c>
      <c r="AJ258" s="147">
        <f>((Physics!$C$9*Physics!$C$10)/(Physics!$C$11*Physics!$C$12*$AH258))^($AJ$17-$AJ$18)</f>
        <v>3.1069196161520604E+18</v>
      </c>
      <c r="AK258" s="147">
        <f t="shared" si="90"/>
        <v>1</v>
      </c>
      <c r="AL258" s="147">
        <f>INDEX(Photobiology!$21:$421,1+$AH258-380,10)</f>
        <v>0.41703600000000002</v>
      </c>
      <c r="AM258" s="147">
        <f t="shared" si="91"/>
        <v>1.2230172189557937E-3</v>
      </c>
      <c r="AN258" s="147">
        <f ca="1">INDEX(Photobiology!$21:$421,1+$AH258-380,AN$14)</f>
        <v>0</v>
      </c>
      <c r="AO258" s="147">
        <f ca="1">INDEX(Photobiology!$21:$421,1+$AH258-380,AO$14)</f>
        <v>0.12509200000000001</v>
      </c>
      <c r="AP258" s="147">
        <f ca="1">INDEX(Photobiology!$21:$421,1+$AH258-380,AP$14)</f>
        <v>0.56249300000000002</v>
      </c>
      <c r="AQ258" s="147">
        <f ca="1">INDEX(Photobiology!$21:$421,1+$AH258-380,AQ$14)</f>
        <v>9.3200000000000002E-3</v>
      </c>
      <c r="AR258" s="147">
        <f ca="1">INDEX(Photobiology!$21:$421,1+$AH258-380,AR$14)</f>
        <v>1.21451E-3</v>
      </c>
      <c r="AS258" s="147">
        <f t="shared" si="92"/>
        <v>3799816188465495</v>
      </c>
      <c r="AT258" s="147" t="str">
        <f ca="1">INDEX(Photobiology!$21:$421,1+$AH258-380,AT$14)</f>
        <v/>
      </c>
      <c r="AU258" s="147">
        <f ca="1">INDEX(Photobiology!$21:$421,1+$AH258-380,AU$14)</f>
        <v>0.10959800305294594</v>
      </c>
      <c r="AV258" s="147">
        <f ca="1">INDEX(Photobiology!$21:$421,1+$AH258-380,AV$14)</f>
        <v>0.51664757514460913</v>
      </c>
      <c r="AW258" s="147">
        <f ca="1">INDEX(Photobiology!$21:$421,1+$AH258-380,AW$14)</f>
        <v>7.6360036348917092E-3</v>
      </c>
      <c r="AX258" s="147">
        <f ca="1">INDEX(Photobiology!$21:$421,1+$AH258-380,AX$14)</f>
        <v>9.6250219903201131E-4</v>
      </c>
      <c r="AY258" s="147">
        <f t="shared" si="79"/>
        <v>1.2230172189557937E-3</v>
      </c>
      <c r="AZ258" s="147">
        <f t="shared" ca="1" si="93"/>
        <v>0</v>
      </c>
      <c r="BA258" s="147">
        <f t="shared" ca="1" si="80"/>
        <v>1.5298966995361816E-4</v>
      </c>
      <c r="BB258" s="147">
        <f t="shared" ca="1" si="81"/>
        <v>6.8793862454210122E-4</v>
      </c>
      <c r="BC258" s="147">
        <f t="shared" ca="1" si="82"/>
        <v>1.1398520480667996E-5</v>
      </c>
      <c r="BD258" s="147">
        <f t="shared" ca="1" si="83"/>
        <v>1.485366642594001E-6</v>
      </c>
    </row>
    <row r="259" spans="8:56" s="147" customFormat="1" ht="0.25" customHeight="1" x14ac:dyDescent="0.2">
      <c r="H259" s="147">
        <f t="shared" si="84"/>
        <v>618</v>
      </c>
      <c r="I259" s="147">
        <f>IF($H259&gt;$H258,INDEX(Spectra!259:259,1,MATCH($I$20,Spectra!$20:$20,0)),I258)</f>
        <v>1.09489457897216E-3</v>
      </c>
      <c r="J259" s="147">
        <f>((Physics!$C$9*Physics!$C$10)/(Physics!$C$11*Physics!$C$12*$H259))^($J$17-$J$18)</f>
        <v>3.1119551422722427E+18</v>
      </c>
      <c r="K259" s="147">
        <f t="shared" si="85"/>
        <v>1</v>
      </c>
      <c r="L259" s="147">
        <f>INDEX(Photobiology!$21:$421,1+$H259-380,10)</f>
        <v>0.405032</v>
      </c>
      <c r="M259" s="147">
        <f t="shared" si="86"/>
        <v>1.09489457897216E-3</v>
      </c>
      <c r="N259" s="147">
        <f ca="1">INDEX(Photobiology!$21:$421,1+$H259-380,N$14)</f>
        <v>0</v>
      </c>
      <c r="O259" s="147">
        <f ca="1">INDEX(Photobiology!$21:$421,1+$H259-380,O$14)</f>
        <v>0.11792800000000001</v>
      </c>
      <c r="P259" s="147">
        <f ca="1">INDEX(Photobiology!$21:$421,1+$H259-380,P$14)</f>
        <v>0.54724799999999996</v>
      </c>
      <c r="Q259" s="147">
        <f ca="1">INDEX(Photobiology!$21:$421,1+$H259-380,Q$14)</f>
        <v>8.6199999999999992E-3</v>
      </c>
      <c r="R259" s="147">
        <f ca="1">INDEX(Photobiology!$21:$421,1+$H259-380,R$14)</f>
        <v>1.11743E-3</v>
      </c>
      <c r="S259" s="147">
        <f t="shared" si="87"/>
        <v>3407262815278415.5</v>
      </c>
      <c r="T259" s="147" t="str">
        <f ca="1">INDEX(Photobiology!$21:$421,1+$H259-380,T$14)</f>
        <v/>
      </c>
      <c r="U259" s="147">
        <f ca="1">INDEX(Photobiology!$21:$421,1+$H259-380,U$14)</f>
        <v>0.10315415528714759</v>
      </c>
      <c r="V259" s="147">
        <f ca="1">INDEX(Photobiology!$21:$421,1+$H259-380,V$14)</f>
        <v>0.501831761908064</v>
      </c>
      <c r="W259" s="147">
        <f ca="1">INDEX(Photobiology!$21:$421,1+$H259-380,W$14)</f>
        <v>7.0510560808639501E-3</v>
      </c>
      <c r="X259" s="147">
        <f ca="1">INDEX(Photobiology!$21:$421,1+$H259-380,X$14)</f>
        <v>8.8413310252534363E-4</v>
      </c>
      <c r="Y259" s="147">
        <f t="shared" si="74"/>
        <v>1.09489457897216E-3</v>
      </c>
      <c r="Z259" s="147">
        <f t="shared" ca="1" si="88"/>
        <v>0</v>
      </c>
      <c r="AA259" s="147">
        <f t="shared" ca="1" si="75"/>
        <v>1.291187279090289E-4</v>
      </c>
      <c r="AB259" s="147">
        <f t="shared" ca="1" si="76"/>
        <v>5.9917886855335664E-4</v>
      </c>
      <c r="AC259" s="147">
        <f t="shared" ca="1" si="77"/>
        <v>9.4379912707400179E-6</v>
      </c>
      <c r="AD259" s="147">
        <f t="shared" ca="1" si="78"/>
        <v>1.2234680493808608E-6</v>
      </c>
      <c r="AH259" s="147">
        <f t="shared" si="89"/>
        <v>618</v>
      </c>
      <c r="AI259" s="147">
        <f>IF($AH259&gt;$AH258,INDEX(Spectra!259:259,1,MATCH($AI$20,Spectra!$20:$20,0)),AI258)</f>
        <v>88.078800000000001</v>
      </c>
      <c r="AJ259" s="147">
        <f>((Physics!$C$9*Physics!$C$10)/(Physics!$C$11*Physics!$C$12*$AH259))^($AJ$17-$AJ$18)</f>
        <v>3.1119551422722427E+18</v>
      </c>
      <c r="AK259" s="147">
        <f t="shared" si="90"/>
        <v>1</v>
      </c>
      <c r="AL259" s="147">
        <f>INDEX(Photobiology!$21:$421,1+$AH259-380,10)</f>
        <v>0.405032</v>
      </c>
      <c r="AM259" s="147">
        <f t="shared" si="91"/>
        <v>1.2203846548833061E-3</v>
      </c>
      <c r="AN259" s="147">
        <f ca="1">INDEX(Photobiology!$21:$421,1+$AH259-380,AN$14)</f>
        <v>0</v>
      </c>
      <c r="AO259" s="147">
        <f ca="1">INDEX(Photobiology!$21:$421,1+$AH259-380,AO$14)</f>
        <v>0.11792800000000001</v>
      </c>
      <c r="AP259" s="147">
        <f ca="1">INDEX(Photobiology!$21:$421,1+$AH259-380,AP$14)</f>
        <v>0.54724799999999996</v>
      </c>
      <c r="AQ259" s="147">
        <f ca="1">INDEX(Photobiology!$21:$421,1+$AH259-380,AQ$14)</f>
        <v>8.6199999999999992E-3</v>
      </c>
      <c r="AR259" s="147">
        <f ca="1">INDEX(Photobiology!$21:$421,1+$AH259-380,AR$14)</f>
        <v>1.11743E-3</v>
      </c>
      <c r="AS259" s="147">
        <f t="shared" si="92"/>
        <v>3797782302314241</v>
      </c>
      <c r="AT259" s="147" t="str">
        <f ca="1">INDEX(Photobiology!$21:$421,1+$AH259-380,AT$14)</f>
        <v/>
      </c>
      <c r="AU259" s="147">
        <f ca="1">INDEX(Photobiology!$21:$421,1+$AH259-380,AU$14)</f>
        <v>0.10315415528714759</v>
      </c>
      <c r="AV259" s="147">
        <f ca="1">INDEX(Photobiology!$21:$421,1+$AH259-380,AV$14)</f>
        <v>0.501831761908064</v>
      </c>
      <c r="AW259" s="147">
        <f ca="1">INDEX(Photobiology!$21:$421,1+$AH259-380,AW$14)</f>
        <v>7.0510560808639501E-3</v>
      </c>
      <c r="AX259" s="147">
        <f ca="1">INDEX(Photobiology!$21:$421,1+$AH259-380,AX$14)</f>
        <v>8.8413310252534363E-4</v>
      </c>
      <c r="AY259" s="147">
        <f t="shared" si="79"/>
        <v>1.2203846548833061E-3</v>
      </c>
      <c r="AZ259" s="147">
        <f t="shared" ca="1" si="93"/>
        <v>0</v>
      </c>
      <c r="BA259" s="147">
        <f t="shared" ca="1" si="80"/>
        <v>1.4391752158107854E-4</v>
      </c>
      <c r="BB259" s="147">
        <f t="shared" ca="1" si="81"/>
        <v>6.6785306161557944E-4</v>
      </c>
      <c r="BC259" s="147">
        <f t="shared" ca="1" si="82"/>
        <v>1.0519715725094097E-5</v>
      </c>
      <c r="BD259" s="147">
        <f t="shared" ca="1" si="83"/>
        <v>1.3636944249062527E-6</v>
      </c>
    </row>
    <row r="260" spans="8:56" s="147" customFormat="1" ht="0.25" customHeight="1" x14ac:dyDescent="0.2">
      <c r="H260" s="147">
        <f t="shared" si="84"/>
        <v>619</v>
      </c>
      <c r="I260" s="147">
        <f>IF($H260&gt;$H259,INDEX(Spectra!260:260,1,MATCH($I$20,Spectra!$20:$20,0)),I259)</f>
        <v>1.0998940975976001E-3</v>
      </c>
      <c r="J260" s="147">
        <f>((Physics!$C$9*Physics!$C$10)/(Physics!$C$11*Physics!$C$12*$H260))^($J$17-$J$18)</f>
        <v>3.1169906683924239E+18</v>
      </c>
      <c r="K260" s="147">
        <f t="shared" si="85"/>
        <v>1</v>
      </c>
      <c r="L260" s="147">
        <f>INDEX(Photobiology!$21:$421,1+$H260-380,10)</f>
        <v>0.39303199999999999</v>
      </c>
      <c r="M260" s="147">
        <f t="shared" si="86"/>
        <v>1.0998940975976001E-3</v>
      </c>
      <c r="N260" s="147">
        <f ca="1">INDEX(Photobiology!$21:$421,1+$H260-380,N$14)</f>
        <v>0</v>
      </c>
      <c r="O260" s="147">
        <f ca="1">INDEX(Photobiology!$21:$421,1+$H260-380,O$14)</f>
        <v>0.111091</v>
      </c>
      <c r="P260" s="147">
        <f ca="1">INDEX(Photobiology!$21:$421,1+$H260-380,P$14)</f>
        <v>0.53220900000000004</v>
      </c>
      <c r="Q260" s="147">
        <f ca="1">INDEX(Photobiology!$21:$421,1+$H260-380,Q$14)</f>
        <v>7.9699999999999997E-3</v>
      </c>
      <c r="R260" s="147">
        <f ca="1">INDEX(Photobiology!$21:$421,1+$H260-380,R$14)</f>
        <v>1.0283899999999999E-3</v>
      </c>
      <c r="S260" s="147">
        <f t="shared" si="87"/>
        <v>3428359638431625.5</v>
      </c>
      <c r="T260" s="147" t="str">
        <f ca="1">INDEX(Photobiology!$21:$421,1+$H260-380,T$14)</f>
        <v/>
      </c>
      <c r="U260" s="147">
        <f ca="1">INDEX(Photobiology!$21:$421,1+$H260-380,U$14)</f>
        <v>9.7016699543249527E-2</v>
      </c>
      <c r="V260" s="147">
        <f ca="1">INDEX(Photobiology!$21:$421,1+$H260-380,V$14)</f>
        <v>0.48725241766361649</v>
      </c>
      <c r="W260" s="147">
        <f ca="1">INDEX(Photobiology!$21:$421,1+$H260-380,W$14)</f>
        <v>6.5088318266592988E-3</v>
      </c>
      <c r="X260" s="147">
        <f ca="1">INDEX(Photobiology!$21:$421,1+$H260-380,X$14)</f>
        <v>8.1236835084049614E-4</v>
      </c>
      <c r="Y260" s="147">
        <f t="shared" si="74"/>
        <v>1.0998940975976001E-3</v>
      </c>
      <c r="Z260" s="147">
        <f t="shared" ca="1" si="88"/>
        <v>0</v>
      </c>
      <c r="AA260" s="147">
        <f t="shared" ca="1" si="75"/>
        <v>1.2218833519621499E-4</v>
      </c>
      <c r="AB260" s="147">
        <f t="shared" ca="1" si="76"/>
        <v>5.8537353778832118E-4</v>
      </c>
      <c r="AC260" s="147">
        <f t="shared" ca="1" si="77"/>
        <v>8.7661559578528726E-6</v>
      </c>
      <c r="AD260" s="147">
        <f t="shared" ca="1" si="78"/>
        <v>1.1311200910283957E-6</v>
      </c>
      <c r="AH260" s="147">
        <f t="shared" si="89"/>
        <v>619</v>
      </c>
      <c r="AI260" s="147">
        <f>IF($AH260&gt;$AH259,INDEX(Spectra!260:260,1,MATCH($AI$20,Spectra!$20:$20,0)),AI259)</f>
        <v>87.8887</v>
      </c>
      <c r="AJ260" s="147">
        <f>((Physics!$C$9*Physics!$C$10)/(Physics!$C$11*Physics!$C$12*$AH260))^($AJ$17-$AJ$18)</f>
        <v>3.1169906683924239E+18</v>
      </c>
      <c r="AK260" s="147">
        <f t="shared" si="90"/>
        <v>1</v>
      </c>
      <c r="AL260" s="147">
        <f>INDEX(Photobiology!$21:$421,1+$AH260-380,10)</f>
        <v>0.39303199999999999</v>
      </c>
      <c r="AM260" s="147">
        <f t="shared" si="91"/>
        <v>1.2177507052507802E-3</v>
      </c>
      <c r="AN260" s="147">
        <f ca="1">INDEX(Photobiology!$21:$421,1+$AH260-380,AN$14)</f>
        <v>0</v>
      </c>
      <c r="AO260" s="147">
        <f ca="1">INDEX(Photobiology!$21:$421,1+$AH260-380,AO$14)</f>
        <v>0.111091</v>
      </c>
      <c r="AP260" s="147">
        <f ca="1">INDEX(Photobiology!$21:$421,1+$AH260-380,AP$14)</f>
        <v>0.53220900000000004</v>
      </c>
      <c r="AQ260" s="147">
        <f ca="1">INDEX(Photobiology!$21:$421,1+$AH260-380,AQ$14)</f>
        <v>7.9699999999999997E-3</v>
      </c>
      <c r="AR260" s="147">
        <f ca="1">INDEX(Photobiology!$21:$421,1+$AH260-380,AR$14)</f>
        <v>1.0283899999999999E-3</v>
      </c>
      <c r="AS260" s="147">
        <f t="shared" si="92"/>
        <v>3795717584694975</v>
      </c>
      <c r="AT260" s="147" t="str">
        <f ca="1">INDEX(Photobiology!$21:$421,1+$AH260-380,AT$14)</f>
        <v/>
      </c>
      <c r="AU260" s="147">
        <f ca="1">INDEX(Photobiology!$21:$421,1+$AH260-380,AU$14)</f>
        <v>9.7016699543249527E-2</v>
      </c>
      <c r="AV260" s="147">
        <f ca="1">INDEX(Photobiology!$21:$421,1+$AH260-380,AV$14)</f>
        <v>0.48725241766361649</v>
      </c>
      <c r="AW260" s="147">
        <f ca="1">INDEX(Photobiology!$21:$421,1+$AH260-380,AW$14)</f>
        <v>6.5088318266592988E-3</v>
      </c>
      <c r="AX260" s="147">
        <f ca="1">INDEX(Photobiology!$21:$421,1+$AH260-380,AX$14)</f>
        <v>8.1236835084049614E-4</v>
      </c>
      <c r="AY260" s="147">
        <f t="shared" si="79"/>
        <v>1.2177507052507802E-3</v>
      </c>
      <c r="AZ260" s="147">
        <f t="shared" ca="1" si="93"/>
        <v>0</v>
      </c>
      <c r="BA260" s="147">
        <f t="shared" ca="1" si="80"/>
        <v>1.3528114359701441E-4</v>
      </c>
      <c r="BB260" s="147">
        <f t="shared" ca="1" si="81"/>
        <v>6.4809788509081253E-4</v>
      </c>
      <c r="BC260" s="147">
        <f t="shared" ca="1" si="82"/>
        <v>9.7054731208487181E-6</v>
      </c>
      <c r="BD260" s="147">
        <f t="shared" ca="1" si="83"/>
        <v>1.2523226477728497E-6</v>
      </c>
    </row>
    <row r="261" spans="8:56" s="147" customFormat="1" ht="0.25" customHeight="1" x14ac:dyDescent="0.2">
      <c r="H261" s="147">
        <f t="shared" si="84"/>
        <v>620</v>
      </c>
      <c r="I261" s="147">
        <f>IF($H261&gt;$H260,INDEX(Spectra!261:261,1,MATCH($I$20,Spectra!$20:$20,0)),I260)</f>
        <v>1.10489361622305E-3</v>
      </c>
      <c r="J261" s="147">
        <f>((Physics!$C$9*Physics!$C$10)/(Physics!$C$11*Physics!$C$12*$H261))^($J$17-$J$18)</f>
        <v>3.1220261945126062E+18</v>
      </c>
      <c r="K261" s="147">
        <f t="shared" si="85"/>
        <v>1</v>
      </c>
      <c r="L261" s="147">
        <f>INDEX(Photobiology!$21:$421,1+$H261-380,10)</f>
        <v>0.38100000000000001</v>
      </c>
      <c r="M261" s="147">
        <f t="shared" si="86"/>
        <v>1.10489361622305E-3</v>
      </c>
      <c r="N261" s="147">
        <f ca="1">INDEX(Photobiology!$21:$421,1+$H261-380,N$14)</f>
        <v>0</v>
      </c>
      <c r="O261" s="147">
        <f ca="1">INDEX(Photobiology!$21:$421,1+$H261-380,O$14)</f>
        <v>0.104573</v>
      </c>
      <c r="P261" s="147">
        <f ca="1">INDEX(Photobiology!$21:$421,1+$H261-380,P$14)</f>
        <v>0.51744900000000005</v>
      </c>
      <c r="Q261" s="147">
        <f ca="1">INDEX(Photobiology!$21:$421,1+$H261-380,Q$14)</f>
        <v>7.3699999999999998E-3</v>
      </c>
      <c r="R261" s="147">
        <f ca="1">INDEX(Photobiology!$21:$421,1+$H261-380,R$14)</f>
        <v>9.4731299999999997E-4</v>
      </c>
      <c r="S261" s="147">
        <f t="shared" si="87"/>
        <v>3449506811998121</v>
      </c>
      <c r="T261" s="147" t="str">
        <f ca="1">INDEX(Photobiology!$21:$421,1+$H261-380,T$14)</f>
        <v/>
      </c>
      <c r="U261" s="147">
        <f ca="1">INDEX(Photobiology!$21:$421,1+$H261-380,U$14)</f>
        <v>9.1177178080787721E-2</v>
      </c>
      <c r="V261" s="147">
        <f ca="1">INDEX(Photobiology!$21:$421,1+$H261-380,V$14)</f>
        <v>0.47297512397857155</v>
      </c>
      <c r="W261" s="147">
        <f ca="1">INDEX(Photobiology!$21:$421,1+$H261-380,W$14)</f>
        <v>6.0091241466334478E-3</v>
      </c>
      <c r="X261" s="147">
        <f ca="1">INDEX(Photobiology!$21:$421,1+$H261-380,X$14)</f>
        <v>7.471152600496317E-4</v>
      </c>
      <c r="Y261" s="147">
        <f t="shared" si="74"/>
        <v>1.10489361622305E-3</v>
      </c>
      <c r="Z261" s="147">
        <f t="shared" ca="1" si="88"/>
        <v>0</v>
      </c>
      <c r="AA261" s="147">
        <f t="shared" ca="1" si="75"/>
        <v>1.1554204012929301E-4</v>
      </c>
      <c r="AB261" s="147">
        <f t="shared" ca="1" si="76"/>
        <v>5.7172609682100103E-4</v>
      </c>
      <c r="AC261" s="147">
        <f t="shared" ca="1" si="77"/>
        <v>8.1430659515638782E-6</v>
      </c>
      <c r="AD261" s="147">
        <f t="shared" ca="1" si="78"/>
        <v>1.0466800862651061E-6</v>
      </c>
      <c r="AH261" s="147">
        <f t="shared" si="89"/>
        <v>620</v>
      </c>
      <c r="AI261" s="147">
        <f>IF($AH261&gt;$AH260,INDEX(Spectra!261:261,1,MATCH($AI$20,Spectra!$20:$20,0)),AI260)</f>
        <v>87.698700000000002</v>
      </c>
      <c r="AJ261" s="147">
        <f>((Physics!$C$9*Physics!$C$10)/(Physics!$C$11*Physics!$C$12*$AH261))^($AJ$17-$AJ$18)</f>
        <v>3.1220261945126062E+18</v>
      </c>
      <c r="AK261" s="147">
        <f t="shared" si="90"/>
        <v>1</v>
      </c>
      <c r="AL261" s="147">
        <f>INDEX(Photobiology!$21:$421,1+$AH261-380,10)</f>
        <v>0.38100000000000001</v>
      </c>
      <c r="AM261" s="147">
        <f t="shared" si="91"/>
        <v>1.2151181411782926E-3</v>
      </c>
      <c r="AN261" s="147">
        <f ca="1">INDEX(Photobiology!$21:$421,1+$AH261-380,AN$14)</f>
        <v>0</v>
      </c>
      <c r="AO261" s="147">
        <f ca="1">INDEX(Photobiology!$21:$421,1+$AH261-380,AO$14)</f>
        <v>0.104573</v>
      </c>
      <c r="AP261" s="147">
        <f ca="1">INDEX(Photobiology!$21:$421,1+$AH261-380,AP$14)</f>
        <v>0.51744900000000005</v>
      </c>
      <c r="AQ261" s="147">
        <f ca="1">INDEX(Photobiology!$21:$421,1+$AH261-380,AQ$14)</f>
        <v>7.3699999999999998E-3</v>
      </c>
      <c r="AR261" s="147">
        <f ca="1">INDEX(Photobiology!$21:$421,1+$AH261-380,AR$14)</f>
        <v>9.4731299999999997E-4</v>
      </c>
      <c r="AS261" s="147">
        <f t="shared" si="92"/>
        <v>3793630666186096.5</v>
      </c>
      <c r="AT261" s="147" t="str">
        <f ca="1">INDEX(Photobiology!$21:$421,1+$AH261-380,AT$14)</f>
        <v/>
      </c>
      <c r="AU261" s="147">
        <f ca="1">INDEX(Photobiology!$21:$421,1+$AH261-380,AU$14)</f>
        <v>9.1177178080787721E-2</v>
      </c>
      <c r="AV261" s="147">
        <f ca="1">INDEX(Photobiology!$21:$421,1+$AH261-380,AV$14)</f>
        <v>0.47297512397857155</v>
      </c>
      <c r="AW261" s="147">
        <f ca="1">INDEX(Photobiology!$21:$421,1+$AH261-380,AW$14)</f>
        <v>6.0091241466334478E-3</v>
      </c>
      <c r="AX261" s="147">
        <f ca="1">INDEX(Photobiology!$21:$421,1+$AH261-380,AX$14)</f>
        <v>7.471152600496317E-4</v>
      </c>
      <c r="AY261" s="147">
        <f t="shared" si="79"/>
        <v>1.2151181411782926E-3</v>
      </c>
      <c r="AZ261" s="147">
        <f t="shared" ca="1" si="93"/>
        <v>0</v>
      </c>
      <c r="BA261" s="147">
        <f t="shared" ca="1" si="80"/>
        <v>1.270685493774376E-4</v>
      </c>
      <c r="BB261" s="147">
        <f t="shared" ca="1" si="81"/>
        <v>6.287616670345664E-4</v>
      </c>
      <c r="BC261" s="147">
        <f t="shared" ca="1" si="82"/>
        <v>8.9554207004840166E-6</v>
      </c>
      <c r="BD261" s="147">
        <f t="shared" ca="1" si="83"/>
        <v>1.151097211674032E-6</v>
      </c>
    </row>
    <row r="262" spans="8:56" s="147" customFormat="1" ht="0.25" customHeight="1" x14ac:dyDescent="0.2">
      <c r="H262" s="147">
        <f t="shared" si="84"/>
        <v>621</v>
      </c>
      <c r="I262" s="147">
        <f>IF($H262&gt;$H261,INDEX(Spectra!262:262,1,MATCH($I$20,Spectra!$20:$20,0)),I261)</f>
        <v>1.10489361622305E-3</v>
      </c>
      <c r="J262" s="147">
        <f>((Physics!$C$9*Physics!$C$10)/(Physics!$C$11*Physics!$C$12*$H262))^($J$17-$J$18)</f>
        <v>3.1270617206327875E+18</v>
      </c>
      <c r="K262" s="147">
        <f t="shared" si="85"/>
        <v>1</v>
      </c>
      <c r="L262" s="147">
        <f>INDEX(Photobiology!$21:$421,1+$H262-380,10)</f>
        <v>0.36891839999999998</v>
      </c>
      <c r="M262" s="147">
        <f t="shared" si="86"/>
        <v>1.10489361622305E-3</v>
      </c>
      <c r="N262" s="147">
        <f ca="1">INDEX(Photobiology!$21:$421,1+$H262-380,N$14)</f>
        <v>0</v>
      </c>
      <c r="O262" s="147">
        <f ca="1">INDEX(Photobiology!$21:$421,1+$H262-380,O$14)</f>
        <v>9.8366300000000004E-2</v>
      </c>
      <c r="P262" s="147">
        <f ca="1">INDEX(Photobiology!$21:$421,1+$H262-380,P$14)</f>
        <v>0.50299300000000002</v>
      </c>
      <c r="Q262" s="147">
        <f ca="1">INDEX(Photobiology!$21:$421,1+$H262-380,Q$14)</f>
        <v>6.8199999999999997E-3</v>
      </c>
      <c r="R262" s="147">
        <f ca="1">INDEX(Photobiology!$21:$421,1+$H262-380,R$14)</f>
        <v>8.7281399999999997E-4</v>
      </c>
      <c r="S262" s="147">
        <f t="shared" si="87"/>
        <v>3455070532662633.5</v>
      </c>
      <c r="T262" s="147" t="str">
        <f ca="1">INDEX(Photobiology!$21:$421,1+$H262-380,T$14)</f>
        <v/>
      </c>
      <c r="U262" s="147">
        <f ca="1">INDEX(Photobiology!$21:$421,1+$H262-380,U$14)</f>
        <v>8.5627448786230742E-2</v>
      </c>
      <c r="V262" s="147">
        <f ca="1">INDEX(Photobiology!$21:$421,1+$H262-380,V$14)</f>
        <v>0.45902123616572882</v>
      </c>
      <c r="W262" s="147">
        <f ca="1">INDEX(Photobiology!$21:$421,1+$H262-380,W$14)</f>
        <v>5.5517276467082401E-3</v>
      </c>
      <c r="X262" s="147">
        <f ca="1">INDEX(Photobiology!$21:$421,1+$H262-380,X$14)</f>
        <v>6.8725182689521381E-4</v>
      </c>
      <c r="Y262" s="147">
        <f t="shared" si="74"/>
        <v>1.10489361622305E-3</v>
      </c>
      <c r="Z262" s="147">
        <f t="shared" ca="1" si="88"/>
        <v>0</v>
      </c>
      <c r="AA262" s="147">
        <f t="shared" ca="1" si="75"/>
        <v>1.0868429692148141E-4</v>
      </c>
      <c r="AB262" s="147">
        <f t="shared" ca="1" si="76"/>
        <v>5.557537547048806E-4</v>
      </c>
      <c r="AC262" s="147">
        <f t="shared" ca="1" si="77"/>
        <v>7.5353744626412012E-6</v>
      </c>
      <c r="AD262" s="147">
        <f t="shared" ca="1" si="78"/>
        <v>9.6436661675010512E-7</v>
      </c>
      <c r="AH262" s="147">
        <f t="shared" si="89"/>
        <v>621</v>
      </c>
      <c r="AI262" s="147">
        <f>IF($AH262&gt;$AH261,INDEX(Spectra!262:262,1,MATCH($AI$20,Spectra!$20:$20,0)),AI261)</f>
        <v>87.2577</v>
      </c>
      <c r="AJ262" s="147">
        <f>((Physics!$C$9*Physics!$C$10)/(Physics!$C$11*Physics!$C$12*$AH262))^($AJ$17-$AJ$18)</f>
        <v>3.1270617206327875E+18</v>
      </c>
      <c r="AK262" s="147">
        <f t="shared" si="90"/>
        <v>1</v>
      </c>
      <c r="AL262" s="147">
        <f>INDEX(Photobiology!$21:$421,1+$AH262-380,10)</f>
        <v>0.36891839999999998</v>
      </c>
      <c r="AM262" s="147">
        <f t="shared" si="91"/>
        <v>1.2090078214100448E-3</v>
      </c>
      <c r="AN262" s="147">
        <f ca="1">INDEX(Photobiology!$21:$421,1+$AH262-380,AN$14)</f>
        <v>0</v>
      </c>
      <c r="AO262" s="147">
        <f ca="1">INDEX(Photobiology!$21:$421,1+$AH262-380,AO$14)</f>
        <v>9.8366300000000004E-2</v>
      </c>
      <c r="AP262" s="147">
        <f ca="1">INDEX(Photobiology!$21:$421,1+$AH262-380,AP$14)</f>
        <v>0.50299300000000002</v>
      </c>
      <c r="AQ262" s="147">
        <f ca="1">INDEX(Photobiology!$21:$421,1+$AH262-380,AQ$14)</f>
        <v>6.8199999999999997E-3</v>
      </c>
      <c r="AR262" s="147">
        <f ca="1">INDEX(Photobiology!$21:$421,1+$AH262-380,AR$14)</f>
        <v>8.7281399999999997E-4</v>
      </c>
      <c r="AS262" s="147">
        <f t="shared" si="92"/>
        <v>3780642078276992.5</v>
      </c>
      <c r="AT262" s="147" t="str">
        <f ca="1">INDEX(Photobiology!$21:$421,1+$AH262-380,AT$14)</f>
        <v/>
      </c>
      <c r="AU262" s="147">
        <f ca="1">INDEX(Photobiology!$21:$421,1+$AH262-380,AU$14)</f>
        <v>8.5627448786230742E-2</v>
      </c>
      <c r="AV262" s="147">
        <f ca="1">INDEX(Photobiology!$21:$421,1+$AH262-380,AV$14)</f>
        <v>0.45902123616572882</v>
      </c>
      <c r="AW262" s="147">
        <f ca="1">INDEX(Photobiology!$21:$421,1+$AH262-380,AW$14)</f>
        <v>5.5517276467082401E-3</v>
      </c>
      <c r="AX262" s="147">
        <f ca="1">INDEX(Photobiology!$21:$421,1+$AH262-380,AX$14)</f>
        <v>6.8725182689521381E-4</v>
      </c>
      <c r="AY262" s="147">
        <f t="shared" si="79"/>
        <v>1.2090078214100448E-3</v>
      </c>
      <c r="AZ262" s="147">
        <f t="shared" ca="1" si="93"/>
        <v>0</v>
      </c>
      <c r="BA262" s="147">
        <f t="shared" ca="1" si="80"/>
        <v>1.1892562606316689E-4</v>
      </c>
      <c r="BB262" s="147">
        <f t="shared" ca="1" si="81"/>
        <v>6.0812247111450266E-4</v>
      </c>
      <c r="BC262" s="147">
        <f t="shared" ca="1" si="82"/>
        <v>8.245433342016506E-6</v>
      </c>
      <c r="BD262" s="147">
        <f t="shared" ca="1" si="83"/>
        <v>1.0552389526361869E-6</v>
      </c>
    </row>
    <row r="263" spans="8:56" s="147" customFormat="1" ht="0.25" customHeight="1" x14ac:dyDescent="0.2">
      <c r="H263" s="147">
        <f t="shared" si="84"/>
        <v>622</v>
      </c>
      <c r="I263" s="147">
        <f>IF($H263&gt;$H262,INDEX(Spectra!263:263,1,MATCH($I$20,Spectra!$20:$20,0)),I262)</f>
        <v>1.09489457897216E-3</v>
      </c>
      <c r="J263" s="147">
        <f>((Physics!$C$9*Physics!$C$10)/(Physics!$C$11*Physics!$C$12*$H263))^($J$17-$J$18)</f>
        <v>3.1320972467529692E+18</v>
      </c>
      <c r="K263" s="147">
        <f t="shared" si="85"/>
        <v>1</v>
      </c>
      <c r="L263" s="147">
        <f>INDEX(Photobiology!$21:$421,1+$H263-380,10)</f>
        <v>0.35682720000000001</v>
      </c>
      <c r="M263" s="147">
        <f t="shared" si="86"/>
        <v>1.09489457897216E-3</v>
      </c>
      <c r="N263" s="147">
        <f ca="1">INDEX(Photobiology!$21:$421,1+$H263-380,N$14)</f>
        <v>0</v>
      </c>
      <c r="O263" s="147">
        <f ca="1">INDEX(Photobiology!$21:$421,1+$H263-380,O$14)</f>
        <v>9.2468499999999995E-2</v>
      </c>
      <c r="P263" s="147">
        <f ca="1">INDEX(Photobiology!$21:$421,1+$H263-380,P$14)</f>
        <v>0.48869200000000002</v>
      </c>
      <c r="Q263" s="147">
        <f ca="1">INDEX(Photobiology!$21:$421,1+$H263-380,Q$14)</f>
        <v>6.3E-3</v>
      </c>
      <c r="R263" s="147">
        <f ca="1">INDEX(Photobiology!$21:$421,1+$H263-380,R$14)</f>
        <v>8.0357599999999996E-4</v>
      </c>
      <c r="S263" s="147">
        <f t="shared" si="87"/>
        <v>3429316296283454</v>
      </c>
      <c r="T263" s="147" t="str">
        <f ca="1">INDEX(Photobiology!$21:$421,1+$H263-380,T$14)</f>
        <v/>
      </c>
      <c r="U263" s="147">
        <f ca="1">INDEX(Photobiology!$21:$421,1+$H263-380,U$14)</f>
        <v>8.0364028117118291E-2</v>
      </c>
      <c r="V263" s="147">
        <f ca="1">INDEX(Photobiology!$21:$421,1+$H263-380,V$14)</f>
        <v>0.44525343861232436</v>
      </c>
      <c r="W263" s="147">
        <f ca="1">INDEX(Photobiology!$21:$421,1+$H263-380,W$14)</f>
        <v>5.1201837022320975E-3</v>
      </c>
      <c r="X263" s="147">
        <f ca="1">INDEX(Photobiology!$21:$421,1+$H263-380,X$14)</f>
        <v>6.3171672054333512E-4</v>
      </c>
      <c r="Y263" s="147">
        <f t="shared" si="74"/>
        <v>1.09489457897216E-3</v>
      </c>
      <c r="Z263" s="147">
        <f t="shared" ca="1" si="88"/>
        <v>0</v>
      </c>
      <c r="AA263" s="147">
        <f t="shared" ca="1" si="75"/>
        <v>1.0124325937568718E-4</v>
      </c>
      <c r="AB263" s="147">
        <f t="shared" ca="1" si="76"/>
        <v>5.3506622158706288E-4</v>
      </c>
      <c r="AC263" s="147">
        <f t="shared" ca="1" si="77"/>
        <v>6.8978358475246085E-6</v>
      </c>
      <c r="AD263" s="147">
        <f t="shared" ca="1" si="78"/>
        <v>8.7983100619213244E-7</v>
      </c>
      <c r="AH263" s="147">
        <f t="shared" si="89"/>
        <v>622</v>
      </c>
      <c r="AI263" s="147">
        <f>IF($AH263&gt;$AH262,INDEX(Spectra!263:263,1,MATCH($AI$20,Spectra!$20:$20,0)),AI262)</f>
        <v>86.816699999999997</v>
      </c>
      <c r="AJ263" s="147">
        <f>((Physics!$C$9*Physics!$C$10)/(Physics!$C$11*Physics!$C$12*$AH263))^($AJ$17-$AJ$18)</f>
        <v>3.1320972467529692E+18</v>
      </c>
      <c r="AK263" s="147">
        <f t="shared" si="90"/>
        <v>1</v>
      </c>
      <c r="AL263" s="147">
        <f>INDEX(Photobiology!$21:$421,1+$AH263-380,10)</f>
        <v>0.35682720000000001</v>
      </c>
      <c r="AM263" s="147">
        <f t="shared" si="91"/>
        <v>1.202897501641797E-3</v>
      </c>
      <c r="AN263" s="147">
        <f ca="1">INDEX(Photobiology!$21:$421,1+$AH263-380,AN$14)</f>
        <v>0</v>
      </c>
      <c r="AO263" s="147">
        <f ca="1">INDEX(Photobiology!$21:$421,1+$AH263-380,AO$14)</f>
        <v>9.2468499999999995E-2</v>
      </c>
      <c r="AP263" s="147">
        <f ca="1">INDEX(Photobiology!$21:$421,1+$AH263-380,AP$14)</f>
        <v>0.48869200000000002</v>
      </c>
      <c r="AQ263" s="147">
        <f ca="1">INDEX(Photobiology!$21:$421,1+$AH263-380,AQ$14)</f>
        <v>6.3E-3</v>
      </c>
      <c r="AR263" s="147">
        <f ca="1">INDEX(Photobiology!$21:$421,1+$AH263-380,AR$14)</f>
        <v>8.0357599999999996E-4</v>
      </c>
      <c r="AS263" s="147">
        <f t="shared" si="92"/>
        <v>3767591953018297.5</v>
      </c>
      <c r="AT263" s="147" t="str">
        <f ca="1">INDEX(Photobiology!$21:$421,1+$AH263-380,AT$14)</f>
        <v/>
      </c>
      <c r="AU263" s="147">
        <f ca="1">INDEX(Photobiology!$21:$421,1+$AH263-380,AU$14)</f>
        <v>8.0364028117118291E-2</v>
      </c>
      <c r="AV263" s="147">
        <f ca="1">INDEX(Photobiology!$21:$421,1+$AH263-380,AV$14)</f>
        <v>0.44525343861232436</v>
      </c>
      <c r="AW263" s="147">
        <f ca="1">INDEX(Photobiology!$21:$421,1+$AH263-380,AW$14)</f>
        <v>5.1201837022320975E-3</v>
      </c>
      <c r="AX263" s="147">
        <f ca="1">INDEX(Photobiology!$21:$421,1+$AH263-380,AX$14)</f>
        <v>6.3171672054333512E-4</v>
      </c>
      <c r="AY263" s="147">
        <f t="shared" si="79"/>
        <v>1.202897501641797E-3</v>
      </c>
      <c r="AZ263" s="147">
        <f t="shared" ca="1" si="93"/>
        <v>0</v>
      </c>
      <c r="BA263" s="147">
        <f t="shared" ca="1" si="80"/>
        <v>1.112301276305645E-4</v>
      </c>
      <c r="BB263" s="147">
        <f t="shared" ca="1" si="81"/>
        <v>5.8784638587233305E-4</v>
      </c>
      <c r="BC263" s="147">
        <f t="shared" ca="1" si="82"/>
        <v>7.5782542603433207E-6</v>
      </c>
      <c r="BD263" s="147">
        <f t="shared" ca="1" si="83"/>
        <v>9.6661956277930865E-7</v>
      </c>
    </row>
    <row r="264" spans="8:56" s="147" customFormat="1" ht="0.25" customHeight="1" x14ac:dyDescent="0.2">
      <c r="H264" s="147">
        <f t="shared" si="84"/>
        <v>623</v>
      </c>
      <c r="I264" s="147">
        <f>IF($H264&gt;$H263,INDEX(Spectra!264:264,1,MATCH($I$20,Spectra!$20:$20,0)),I263)</f>
        <v>1.0848955417212701E-3</v>
      </c>
      <c r="J264" s="147">
        <f>((Physics!$C$9*Physics!$C$10)/(Physics!$C$11*Physics!$C$12*$H264))^($J$17-$J$18)</f>
        <v>3.137132772873151E+18</v>
      </c>
      <c r="K264" s="147">
        <f t="shared" si="85"/>
        <v>1</v>
      </c>
      <c r="L264" s="147">
        <f>INDEX(Photobiology!$21:$421,1+$H264-380,10)</f>
        <v>0.34477679999999999</v>
      </c>
      <c r="M264" s="147">
        <f t="shared" si="86"/>
        <v>1.0848955417212701E-3</v>
      </c>
      <c r="N264" s="147">
        <f ca="1">INDEX(Photobiology!$21:$421,1+$H264-380,N$14)</f>
        <v>0</v>
      </c>
      <c r="O264" s="147">
        <f ca="1">INDEX(Photobiology!$21:$421,1+$H264-380,O$14)</f>
        <v>8.6875900000000006E-2</v>
      </c>
      <c r="P264" s="147">
        <f ca="1">INDEX(Photobiology!$21:$421,1+$H264-380,P$14)</f>
        <v>0.47437600000000002</v>
      </c>
      <c r="Q264" s="147">
        <f ca="1">INDEX(Photobiology!$21:$421,1+$H264-380,Q$14)</f>
        <v>5.8199999999999997E-3</v>
      </c>
      <c r="R264" s="147">
        <f ca="1">INDEX(Photobiology!$21:$421,1+$H264-380,R$14)</f>
        <v>7.3961999999999997E-4</v>
      </c>
      <c r="S264" s="147">
        <f t="shared" si="87"/>
        <v>3403461359077767</v>
      </c>
      <c r="T264" s="147" t="str">
        <f ca="1">INDEX(Photobiology!$21:$421,1+$H264-380,T$14)</f>
        <v/>
      </c>
      <c r="U264" s="147">
        <f ca="1">INDEX(Photobiology!$21:$421,1+$H264-380,U$14)</f>
        <v>7.5382326885610862E-2</v>
      </c>
      <c r="V264" s="147">
        <f ca="1">INDEX(Photobiology!$21:$421,1+$H264-380,V$14)</f>
        <v>0.43151619469383301</v>
      </c>
      <c r="W264" s="147">
        <f ca="1">INDEX(Photobiology!$21:$421,1+$H264-380,W$14)</f>
        <v>4.7224820529002736E-3</v>
      </c>
      <c r="X264" s="147">
        <f ca="1">INDEX(Photobiology!$21:$421,1+$H264-380,X$14)</f>
        <v>5.8050558059970052E-4</v>
      </c>
      <c r="Y264" s="147">
        <f t="shared" si="74"/>
        <v>1.0848955417212701E-3</v>
      </c>
      <c r="Z264" s="147">
        <f t="shared" ca="1" si="88"/>
        <v>0</v>
      </c>
      <c r="AA264" s="147">
        <f t="shared" ca="1" si="75"/>
        <v>9.4251276593022889E-5</v>
      </c>
      <c r="AB264" s="147">
        <f t="shared" ca="1" si="76"/>
        <v>5.1464840749956917E-4</v>
      </c>
      <c r="AC264" s="147">
        <f t="shared" ca="1" si="77"/>
        <v>6.3140920528177915E-6</v>
      </c>
      <c r="AD264" s="147">
        <f t="shared" ca="1" si="78"/>
        <v>8.0241044056788573E-7</v>
      </c>
      <c r="AH264" s="147">
        <f t="shared" si="89"/>
        <v>623</v>
      </c>
      <c r="AI264" s="147">
        <f>IF($AH264&gt;$AH263,INDEX(Spectra!264:264,1,MATCH($AI$20,Spectra!$20:$20,0)),AI263)</f>
        <v>86.375699999999995</v>
      </c>
      <c r="AJ264" s="147">
        <f>((Physics!$C$9*Physics!$C$10)/(Physics!$C$11*Physics!$C$12*$AH264))^($AJ$17-$AJ$18)</f>
        <v>3.137132772873151E+18</v>
      </c>
      <c r="AK264" s="147">
        <f t="shared" si="90"/>
        <v>1</v>
      </c>
      <c r="AL264" s="147">
        <f>INDEX(Photobiology!$21:$421,1+$AH264-380,10)</f>
        <v>0.34477679999999999</v>
      </c>
      <c r="AM264" s="147">
        <f t="shared" si="91"/>
        <v>1.1967871818735494E-3</v>
      </c>
      <c r="AN264" s="147">
        <f ca="1">INDEX(Photobiology!$21:$421,1+$AH264-380,AN$14)</f>
        <v>0</v>
      </c>
      <c r="AO264" s="147">
        <f ca="1">INDEX(Photobiology!$21:$421,1+$AH264-380,AO$14)</f>
        <v>8.6875900000000006E-2</v>
      </c>
      <c r="AP264" s="147">
        <f ca="1">INDEX(Photobiology!$21:$421,1+$AH264-380,AP$14)</f>
        <v>0.47437600000000002</v>
      </c>
      <c r="AQ264" s="147">
        <f ca="1">INDEX(Photobiology!$21:$421,1+$AH264-380,AQ$14)</f>
        <v>5.8199999999999997E-3</v>
      </c>
      <c r="AR264" s="147">
        <f ca="1">INDEX(Photobiology!$21:$421,1+$AH264-380,AR$14)</f>
        <v>7.3961999999999997E-4</v>
      </c>
      <c r="AS264" s="147">
        <f t="shared" si="92"/>
        <v>3754480290410012</v>
      </c>
      <c r="AT264" s="147" t="str">
        <f ca="1">INDEX(Photobiology!$21:$421,1+$AH264-380,AT$14)</f>
        <v/>
      </c>
      <c r="AU264" s="147">
        <f ca="1">INDEX(Photobiology!$21:$421,1+$AH264-380,AU$14)</f>
        <v>7.5382326885610862E-2</v>
      </c>
      <c r="AV264" s="147">
        <f ca="1">INDEX(Photobiology!$21:$421,1+$AH264-380,AV$14)</f>
        <v>0.43151619469383301</v>
      </c>
      <c r="AW264" s="147">
        <f ca="1">INDEX(Photobiology!$21:$421,1+$AH264-380,AW$14)</f>
        <v>4.7224820529002736E-3</v>
      </c>
      <c r="AX264" s="147">
        <f ca="1">INDEX(Photobiology!$21:$421,1+$AH264-380,AX$14)</f>
        <v>5.8050558059970052E-4</v>
      </c>
      <c r="AY264" s="147">
        <f t="shared" si="79"/>
        <v>1.1967871818735494E-3</v>
      </c>
      <c r="AZ264" s="147">
        <f t="shared" ca="1" si="93"/>
        <v>0</v>
      </c>
      <c r="BA264" s="147">
        <f t="shared" ca="1" si="80"/>
        <v>1.0397196353372829E-4</v>
      </c>
      <c r="BB264" s="147">
        <f t="shared" ca="1" si="81"/>
        <v>5.6772711618844685E-4</v>
      </c>
      <c r="BC264" s="147">
        <f t="shared" ca="1" si="82"/>
        <v>6.9653013985040568E-6</v>
      </c>
      <c r="BD264" s="147">
        <f t="shared" ca="1" si="83"/>
        <v>8.8516773545731454E-7</v>
      </c>
    </row>
    <row r="265" spans="8:56" s="147" customFormat="1" ht="0.25" customHeight="1" x14ac:dyDescent="0.2">
      <c r="H265" s="147">
        <f t="shared" si="84"/>
        <v>624</v>
      </c>
      <c r="I265" s="147">
        <f>IF($H265&gt;$H264,INDEX(Spectra!265:265,1,MATCH($I$20,Spectra!$20:$20,0)),I264)</f>
        <v>1.0698969858449401E-3</v>
      </c>
      <c r="J265" s="147">
        <f>((Physics!$C$9*Physics!$C$10)/(Physics!$C$11*Physics!$C$12*$H265))^($J$17-$J$18)</f>
        <v>3.1421682989933322E+18</v>
      </c>
      <c r="K265" s="147">
        <f t="shared" si="85"/>
        <v>1</v>
      </c>
      <c r="L265" s="147">
        <f>INDEX(Photobiology!$21:$421,1+$H265-380,10)</f>
        <v>0.33281759999999999</v>
      </c>
      <c r="M265" s="147">
        <f t="shared" si="86"/>
        <v>1.0698969858449401E-3</v>
      </c>
      <c r="N265" s="147">
        <f ca="1">INDEX(Photobiology!$21:$421,1+$H265-380,N$14)</f>
        <v>0</v>
      </c>
      <c r="O265" s="147">
        <f ca="1">INDEX(Photobiology!$21:$421,1+$H265-380,O$14)</f>
        <v>8.15834E-2</v>
      </c>
      <c r="P265" s="147">
        <f ca="1">INDEX(Photobiology!$21:$421,1+$H265-380,P$14)</f>
        <v>0.45989600000000003</v>
      </c>
      <c r="Q265" s="147">
        <f ca="1">INDEX(Photobiology!$21:$421,1+$H265-380,Q$14)</f>
        <v>5.3800000000000002E-3</v>
      </c>
      <c r="R265" s="147">
        <f ca="1">INDEX(Photobiology!$21:$421,1+$H265-380,R$14)</f>
        <v>6.8097000000000003E-4</v>
      </c>
      <c r="S265" s="147">
        <f t="shared" si="87"/>
        <v>3361796392110488.5</v>
      </c>
      <c r="T265" s="147" t="str">
        <f ca="1">INDEX(Photobiology!$21:$421,1+$H265-380,T$14)</f>
        <v/>
      </c>
      <c r="U265" s="147">
        <f ca="1">INDEX(Photobiology!$21:$421,1+$H265-380,U$14)</f>
        <v>7.0676572486757572E-2</v>
      </c>
      <c r="V265" s="147">
        <f ca="1">INDEX(Photobiology!$21:$421,1+$H265-380,V$14)</f>
        <v>0.41767403685508286</v>
      </c>
      <c r="W265" s="147">
        <f ca="1">INDEX(Photobiology!$21:$421,1+$H265-380,W$14)</f>
        <v>4.358459995370728E-3</v>
      </c>
      <c r="X265" s="147">
        <f ca="1">INDEX(Photobiology!$21:$421,1+$H265-380,X$14)</f>
        <v>5.3361642545797386E-4</v>
      </c>
      <c r="Y265" s="147">
        <f t="shared" si="74"/>
        <v>1.0698969858449401E-3</v>
      </c>
      <c r="Z265" s="147">
        <f t="shared" ca="1" si="88"/>
        <v>0</v>
      </c>
      <c r="AA265" s="147">
        <f t="shared" ca="1" si="75"/>
        <v>8.728583375498209E-5</v>
      </c>
      <c r="AB265" s="147">
        <f t="shared" ca="1" si="76"/>
        <v>4.9204134420214457E-4</v>
      </c>
      <c r="AC265" s="147">
        <f t="shared" ca="1" si="77"/>
        <v>5.7560457838457778E-6</v>
      </c>
      <c r="AD265" s="147">
        <f t="shared" ca="1" si="78"/>
        <v>7.2856775045082885E-7</v>
      </c>
      <c r="AH265" s="147">
        <f t="shared" si="89"/>
        <v>624</v>
      </c>
      <c r="AI265" s="147">
        <f>IF($AH265&gt;$AH264,INDEX(Spectra!265:265,1,MATCH($AI$20,Spectra!$20:$20,0)),AI264)</f>
        <v>85.934700000000007</v>
      </c>
      <c r="AJ265" s="147">
        <f>((Physics!$C$9*Physics!$C$10)/(Physics!$C$11*Physics!$C$12*$AH265))^($AJ$17-$AJ$18)</f>
        <v>3.1421682989933322E+18</v>
      </c>
      <c r="AK265" s="147">
        <f t="shared" si="90"/>
        <v>1</v>
      </c>
      <c r="AL265" s="147">
        <f>INDEX(Photobiology!$21:$421,1+$AH265-380,10)</f>
        <v>0.33281759999999999</v>
      </c>
      <c r="AM265" s="147">
        <f t="shared" si="91"/>
        <v>1.1906768621053017E-3</v>
      </c>
      <c r="AN265" s="147">
        <f ca="1">INDEX(Photobiology!$21:$421,1+$AH265-380,AN$14)</f>
        <v>0</v>
      </c>
      <c r="AO265" s="147">
        <f ca="1">INDEX(Photobiology!$21:$421,1+$AH265-380,AO$14)</f>
        <v>8.15834E-2</v>
      </c>
      <c r="AP265" s="147">
        <f ca="1">INDEX(Photobiology!$21:$421,1+$AH265-380,AP$14)</f>
        <v>0.45989600000000003</v>
      </c>
      <c r="AQ265" s="147">
        <f ca="1">INDEX(Photobiology!$21:$421,1+$AH265-380,AQ$14)</f>
        <v>5.3800000000000002E-3</v>
      </c>
      <c r="AR265" s="147">
        <f ca="1">INDEX(Photobiology!$21:$421,1+$AH265-380,AR$14)</f>
        <v>6.8097000000000003E-4</v>
      </c>
      <c r="AS265" s="147">
        <f t="shared" si="92"/>
        <v>3741307090452134.5</v>
      </c>
      <c r="AT265" s="147" t="str">
        <f ca="1">INDEX(Photobiology!$21:$421,1+$AH265-380,AT$14)</f>
        <v/>
      </c>
      <c r="AU265" s="147">
        <f ca="1">INDEX(Photobiology!$21:$421,1+$AH265-380,AU$14)</f>
        <v>7.0676572486757572E-2</v>
      </c>
      <c r="AV265" s="147">
        <f ca="1">INDEX(Photobiology!$21:$421,1+$AH265-380,AV$14)</f>
        <v>0.41767403685508286</v>
      </c>
      <c r="AW265" s="147">
        <f ca="1">INDEX(Photobiology!$21:$421,1+$AH265-380,AW$14)</f>
        <v>4.358459995370728E-3</v>
      </c>
      <c r="AX265" s="147">
        <f ca="1">INDEX(Photobiology!$21:$421,1+$AH265-380,AX$14)</f>
        <v>5.3361642545797386E-4</v>
      </c>
      <c r="AY265" s="147">
        <f t="shared" si="79"/>
        <v>1.1906768621053017E-3</v>
      </c>
      <c r="AZ265" s="147">
        <f t="shared" ca="1" si="93"/>
        <v>0</v>
      </c>
      <c r="BA265" s="147">
        <f t="shared" ca="1" si="80"/>
        <v>9.7139466711881672E-5</v>
      </c>
      <c r="BB265" s="147">
        <f t="shared" ca="1" si="81"/>
        <v>5.4758752617477984E-4</v>
      </c>
      <c r="BC265" s="147">
        <f t="shared" ca="1" si="82"/>
        <v>6.4058415181265236E-6</v>
      </c>
      <c r="BD265" s="147">
        <f t="shared" ca="1" si="83"/>
        <v>8.1081522278784735E-7</v>
      </c>
    </row>
    <row r="266" spans="8:56" s="147" customFormat="1" ht="0.25" customHeight="1" x14ac:dyDescent="0.2">
      <c r="H266" s="147">
        <f t="shared" si="84"/>
        <v>625</v>
      </c>
      <c r="I266" s="147">
        <f>IF($H266&gt;$H265,INDEX(Spectra!266:266,1,MATCH($I$20,Spectra!$20:$20,0)),I265)</f>
        <v>1.0598979485940501E-3</v>
      </c>
      <c r="J266" s="147">
        <f>((Physics!$C$9*Physics!$C$10)/(Physics!$C$11*Physics!$C$12*$H266))^($J$17-$J$18)</f>
        <v>3.147203825113514E+18</v>
      </c>
      <c r="K266" s="147">
        <f t="shared" si="85"/>
        <v>1</v>
      </c>
      <c r="L266" s="147">
        <f>INDEX(Photobiology!$21:$421,1+$H266-380,10)</f>
        <v>0.32100000000000001</v>
      </c>
      <c r="M266" s="147">
        <f t="shared" si="86"/>
        <v>1.0598979485940501E-3</v>
      </c>
      <c r="N266" s="147">
        <f ca="1">INDEX(Photobiology!$21:$421,1+$H266-380,N$14)</f>
        <v>0</v>
      </c>
      <c r="O266" s="147">
        <f ca="1">INDEX(Photobiology!$21:$421,1+$H266-380,O$14)</f>
        <v>7.6584100000000002E-2</v>
      </c>
      <c r="P266" s="147">
        <f ca="1">INDEX(Photobiology!$21:$421,1+$H266-380,P$14)</f>
        <v>0.44512499999999999</v>
      </c>
      <c r="Q266" s="147">
        <f ca="1">INDEX(Photobiology!$21:$421,1+$H266-380,Q$14)</f>
        <v>4.9699999999999996E-3</v>
      </c>
      <c r="R266" s="147">
        <f ca="1">INDEX(Photobiology!$21:$421,1+$H266-380,R$14)</f>
        <v>6.2764799999999996E-4</v>
      </c>
      <c r="S266" s="147">
        <f t="shared" si="87"/>
        <v>3335714878045161</v>
      </c>
      <c r="T266" s="147" t="str">
        <f ca="1">INDEX(Photobiology!$21:$421,1+$H266-380,T$14)</f>
        <v/>
      </c>
      <c r="U266" s="147">
        <f ca="1">INDEX(Photobiology!$21:$421,1+$H266-380,U$14)</f>
        <v>6.6239472395991317E-2</v>
      </c>
      <c r="V266" s="147">
        <f ca="1">INDEX(Photobiology!$21:$421,1+$H266-380,V$14)</f>
        <v>0.40361231279695964</v>
      </c>
      <c r="W266" s="147">
        <f ca="1">INDEX(Photobiology!$21:$421,1+$H266-380,W$14)</f>
        <v>4.0198676028084246E-3</v>
      </c>
      <c r="X266" s="147">
        <f ca="1">INDEX(Photobiology!$21:$421,1+$H266-380,X$14)</f>
        <v>4.9104572147718243E-4</v>
      </c>
      <c r="Y266" s="147">
        <f t="shared" si="74"/>
        <v>1.0598979485940501E-3</v>
      </c>
      <c r="Z266" s="147">
        <f t="shared" ca="1" si="88"/>
        <v>0</v>
      </c>
      <c r="AA266" s="147">
        <f t="shared" ca="1" si="75"/>
        <v>8.1171330484921587E-5</v>
      </c>
      <c r="AB266" s="147">
        <f t="shared" ca="1" si="76"/>
        <v>4.7178707436792652E-4</v>
      </c>
      <c r="AC266" s="147">
        <f t="shared" ca="1" si="77"/>
        <v>5.267692804512428E-6</v>
      </c>
      <c r="AD266" s="147">
        <f t="shared" ca="1" si="78"/>
        <v>6.6524282763915828E-7</v>
      </c>
      <c r="AH266" s="147">
        <f t="shared" si="89"/>
        <v>625</v>
      </c>
      <c r="AI266" s="147">
        <f>IF($AH266&gt;$AH265,INDEX(Spectra!266:266,1,MATCH($AI$20,Spectra!$20:$20,0)),AI265)</f>
        <v>85.493600000000001</v>
      </c>
      <c r="AJ266" s="147">
        <f>((Physics!$C$9*Physics!$C$10)/(Physics!$C$11*Physics!$C$12*$AH266))^($AJ$17-$AJ$18)</f>
        <v>3.147203825113514E+18</v>
      </c>
      <c r="AK266" s="147">
        <f t="shared" si="90"/>
        <v>1</v>
      </c>
      <c r="AL266" s="147">
        <f>INDEX(Photobiology!$21:$421,1+$AH266-380,10)</f>
        <v>0.32100000000000001</v>
      </c>
      <c r="AM266" s="147">
        <f t="shared" si="91"/>
        <v>1.1845651567770157E-3</v>
      </c>
      <c r="AN266" s="147">
        <f ca="1">INDEX(Photobiology!$21:$421,1+$AH266-380,AN$14)</f>
        <v>0</v>
      </c>
      <c r="AO266" s="147">
        <f ca="1">INDEX(Photobiology!$21:$421,1+$AH266-380,AO$14)</f>
        <v>7.6584100000000002E-2</v>
      </c>
      <c r="AP266" s="147">
        <f ca="1">INDEX(Photobiology!$21:$421,1+$AH266-380,AP$14)</f>
        <v>0.44512499999999999</v>
      </c>
      <c r="AQ266" s="147">
        <f ca="1">INDEX(Photobiology!$21:$421,1+$AH266-380,AQ$14)</f>
        <v>4.9699999999999996E-3</v>
      </c>
      <c r="AR266" s="147">
        <f ca="1">INDEX(Photobiology!$21:$421,1+$AH266-380,AR$14)</f>
        <v>6.2764799999999996E-4</v>
      </c>
      <c r="AS266" s="147">
        <f t="shared" si="92"/>
        <v>3728067992504813</v>
      </c>
      <c r="AT266" s="147" t="str">
        <f ca="1">INDEX(Photobiology!$21:$421,1+$AH266-380,AT$14)</f>
        <v/>
      </c>
      <c r="AU266" s="147">
        <f ca="1">INDEX(Photobiology!$21:$421,1+$AH266-380,AU$14)</f>
        <v>6.6239472395991317E-2</v>
      </c>
      <c r="AV266" s="147">
        <f ca="1">INDEX(Photobiology!$21:$421,1+$AH266-380,AV$14)</f>
        <v>0.40361231279695964</v>
      </c>
      <c r="AW266" s="147">
        <f ca="1">INDEX(Photobiology!$21:$421,1+$AH266-380,AW$14)</f>
        <v>4.0198676028084246E-3</v>
      </c>
      <c r="AX266" s="147">
        <f ca="1">INDEX(Photobiology!$21:$421,1+$AH266-380,AX$14)</f>
        <v>4.9104572147718243E-4</v>
      </c>
      <c r="AY266" s="147">
        <f t="shared" si="79"/>
        <v>1.1845651567770157E-3</v>
      </c>
      <c r="AZ266" s="147">
        <f t="shared" ca="1" si="93"/>
        <v>0</v>
      </c>
      <c r="BA266" s="147">
        <f t="shared" ca="1" si="80"/>
        <v>9.0718856423126652E-5</v>
      </c>
      <c r="BB266" s="147">
        <f t="shared" ca="1" si="81"/>
        <v>5.272795654103691E-4</v>
      </c>
      <c r="BC266" s="147">
        <f t="shared" ca="1" si="82"/>
        <v>5.8872888291817677E-6</v>
      </c>
      <c r="BD266" s="147">
        <f t="shared" ca="1" si="83"/>
        <v>7.4348995152078034E-7</v>
      </c>
    </row>
    <row r="267" spans="8:56" s="147" customFormat="1" ht="0.25" customHeight="1" x14ac:dyDescent="0.2">
      <c r="H267" s="147">
        <f t="shared" si="84"/>
        <v>626</v>
      </c>
      <c r="I267" s="147">
        <f>IF($H267&gt;$H266,INDEX(Spectra!267:267,1,MATCH($I$20,Spectra!$20:$20,0)),I266)</f>
        <v>1.0448993927177201E-3</v>
      </c>
      <c r="J267" s="147">
        <f>((Physics!$C$9*Physics!$C$10)/(Physics!$C$11*Physics!$C$12*$H267))^($J$17-$J$18)</f>
        <v>3.1522393512336957E+18</v>
      </c>
      <c r="K267" s="147">
        <f t="shared" si="85"/>
        <v>1</v>
      </c>
      <c r="L267" s="147">
        <f>INDEX(Photobiology!$21:$421,1+$H267-380,10)</f>
        <v>0.3093381</v>
      </c>
      <c r="M267" s="147">
        <f t="shared" si="86"/>
        <v>1.0448993927177201E-3</v>
      </c>
      <c r="N267" s="147">
        <f ca="1">INDEX(Photobiology!$21:$421,1+$H267-380,N$14)</f>
        <v>0</v>
      </c>
      <c r="O267" s="147">
        <f ca="1">INDEX(Photobiology!$21:$421,1+$H267-380,O$14)</f>
        <v>7.1868299999999996E-2</v>
      </c>
      <c r="P267" s="147">
        <f ca="1">INDEX(Photobiology!$21:$421,1+$H267-380,P$14)</f>
        <v>0.43000699999999997</v>
      </c>
      <c r="Q267" s="147">
        <f ca="1">INDEX(Photobiology!$21:$421,1+$H267-380,Q$14)</f>
        <v>4.5900000000000003E-3</v>
      </c>
      <c r="R267" s="147">
        <f ca="1">INDEX(Photobiology!$21:$421,1+$H267-380,R$14)</f>
        <v>5.7875299999999999E-4</v>
      </c>
      <c r="S267" s="147">
        <f t="shared" si="87"/>
        <v>3293772983804988.5</v>
      </c>
      <c r="T267" s="147" t="str">
        <f ca="1">INDEX(Photobiology!$21:$421,1+$H267-380,T$14)</f>
        <v/>
      </c>
      <c r="U267" s="147">
        <f ca="1">INDEX(Photobiology!$21:$421,1+$H267-380,U$14)</f>
        <v>6.2061362766126053E-2</v>
      </c>
      <c r="V267" s="147">
        <f ca="1">INDEX(Photobiology!$21:$421,1+$H267-380,V$14)</f>
        <v>0.3892813784692758</v>
      </c>
      <c r="W267" s="147">
        <f ca="1">INDEX(Photobiology!$21:$421,1+$H267-380,W$14)</f>
        <v>3.7065830078093706E-3</v>
      </c>
      <c r="X267" s="147">
        <f ca="1">INDEX(Photobiology!$21:$421,1+$H267-380,X$14)</f>
        <v>4.5206899428005631E-4</v>
      </c>
      <c r="Y267" s="147">
        <f t="shared" si="74"/>
        <v>1.0448993927177201E-3</v>
      </c>
      <c r="Z267" s="147">
        <f t="shared" ca="1" si="88"/>
        <v>0</v>
      </c>
      <c r="AA267" s="147">
        <f t="shared" ca="1" si="75"/>
        <v>7.5095143025654917E-5</v>
      </c>
      <c r="AB267" s="147">
        <f t="shared" ca="1" si="76"/>
        <v>4.4931405316436861E-4</v>
      </c>
      <c r="AC267" s="147">
        <f t="shared" ca="1" si="77"/>
        <v>4.7960882125743355E-6</v>
      </c>
      <c r="AD267" s="147">
        <f t="shared" ca="1" si="78"/>
        <v>6.0473865823355859E-7</v>
      </c>
      <c r="AH267" s="147">
        <f t="shared" si="89"/>
        <v>626</v>
      </c>
      <c r="AI267" s="147">
        <f>IF($AH267&gt;$AH266,INDEX(Spectra!267:267,1,MATCH($AI$20,Spectra!$20:$20,0)),AI266)</f>
        <v>85.052599999999998</v>
      </c>
      <c r="AJ267" s="147">
        <f>((Physics!$C$9*Physics!$C$10)/(Physics!$C$11*Physics!$C$12*$AH267))^($AJ$17-$AJ$18)</f>
        <v>3.1522393512336957E+18</v>
      </c>
      <c r="AK267" s="147">
        <f t="shared" si="90"/>
        <v>1</v>
      </c>
      <c r="AL267" s="147">
        <f>INDEX(Photobiology!$21:$421,1+$AH267-380,10)</f>
        <v>0.3093381</v>
      </c>
      <c r="AM267" s="147">
        <f t="shared" si="91"/>
        <v>1.1784548370087681E-3</v>
      </c>
      <c r="AN267" s="147">
        <f ca="1">INDEX(Photobiology!$21:$421,1+$AH267-380,AN$14)</f>
        <v>0</v>
      </c>
      <c r="AO267" s="147">
        <f ca="1">INDEX(Photobiology!$21:$421,1+$AH267-380,AO$14)</f>
        <v>7.1868299999999996E-2</v>
      </c>
      <c r="AP267" s="147">
        <f ca="1">INDEX(Photobiology!$21:$421,1+$AH267-380,AP$14)</f>
        <v>0.43000699999999997</v>
      </c>
      <c r="AQ267" s="147">
        <f ca="1">INDEX(Photobiology!$21:$421,1+$AH267-380,AQ$14)</f>
        <v>4.5900000000000003E-3</v>
      </c>
      <c r="AR267" s="147">
        <f ca="1">INDEX(Photobiology!$21:$421,1+$AH267-380,AR$14)</f>
        <v>5.7875299999999999E-4</v>
      </c>
      <c r="AS267" s="147">
        <f t="shared" si="92"/>
        <v>3714771710870729.5</v>
      </c>
      <c r="AT267" s="147" t="str">
        <f ca="1">INDEX(Photobiology!$21:$421,1+$AH267-380,AT$14)</f>
        <v/>
      </c>
      <c r="AU267" s="147">
        <f ca="1">INDEX(Photobiology!$21:$421,1+$AH267-380,AU$14)</f>
        <v>6.2061362766126053E-2</v>
      </c>
      <c r="AV267" s="147">
        <f ca="1">INDEX(Photobiology!$21:$421,1+$AH267-380,AV$14)</f>
        <v>0.3892813784692758</v>
      </c>
      <c r="AW267" s="147">
        <f ca="1">INDEX(Photobiology!$21:$421,1+$AH267-380,AW$14)</f>
        <v>3.7065830078093706E-3</v>
      </c>
      <c r="AX267" s="147">
        <f ca="1">INDEX(Photobiology!$21:$421,1+$AH267-380,AX$14)</f>
        <v>4.5206899428005631E-4</v>
      </c>
      <c r="AY267" s="147">
        <f t="shared" si="79"/>
        <v>1.1784548370087681E-3</v>
      </c>
      <c r="AZ267" s="147">
        <f t="shared" ca="1" si="93"/>
        <v>0</v>
      </c>
      <c r="BA267" s="147">
        <f t="shared" ca="1" si="80"/>
        <v>8.4693545762597248E-5</v>
      </c>
      <c r="BB267" s="147">
        <f t="shared" ca="1" si="81"/>
        <v>5.0674382909762935E-4</v>
      </c>
      <c r="BC267" s="147">
        <f t="shared" ca="1" si="82"/>
        <v>5.4091077018702462E-6</v>
      </c>
      <c r="BD267" s="147">
        <f t="shared" ca="1" si="83"/>
        <v>6.820342722833355E-7</v>
      </c>
    </row>
    <row r="268" spans="8:56" s="147" customFormat="1" ht="0.25" customHeight="1" x14ac:dyDescent="0.2">
      <c r="H268" s="147">
        <f t="shared" si="84"/>
        <v>627</v>
      </c>
      <c r="I268" s="147">
        <f>IF($H268&gt;$H267,INDEX(Spectra!268:268,1,MATCH($I$20,Spectra!$20:$20,0)),I267)</f>
        <v>1.0349003554668301E-3</v>
      </c>
      <c r="J268" s="147">
        <f>((Physics!$C$9*Physics!$C$10)/(Physics!$C$11*Physics!$C$12*$H268))^($J$17-$J$18)</f>
        <v>3.157274877353877E+18</v>
      </c>
      <c r="K268" s="147">
        <f t="shared" si="85"/>
        <v>1</v>
      </c>
      <c r="L268" s="147">
        <f>INDEX(Photobiology!$21:$421,1+$H268-380,10)</f>
        <v>0.29785040000000002</v>
      </c>
      <c r="M268" s="147">
        <f t="shared" si="86"/>
        <v>1.0349003554668301E-3</v>
      </c>
      <c r="N268" s="147">
        <f ca="1">INDEX(Photobiology!$21:$421,1+$H268-380,N$14)</f>
        <v>0</v>
      </c>
      <c r="O268" s="147">
        <f ca="1">INDEX(Photobiology!$21:$421,1+$H268-380,O$14)</f>
        <v>6.7418599999999995E-2</v>
      </c>
      <c r="P268" s="147">
        <f ca="1">INDEX(Photobiology!$21:$421,1+$H268-380,P$14)</f>
        <v>0.41468699999999997</v>
      </c>
      <c r="Q268" s="147">
        <f ca="1">INDEX(Photobiology!$21:$421,1+$H268-380,Q$14)</f>
        <v>4.2399999999999998E-3</v>
      </c>
      <c r="R268" s="147">
        <f ca="1">INDEX(Photobiology!$21:$421,1+$H268-380,R$14)</f>
        <v>5.3335800000000005E-4</v>
      </c>
      <c r="S268" s="147">
        <f t="shared" si="87"/>
        <v>3267464892880019.5</v>
      </c>
      <c r="T268" s="147" t="str">
        <f ca="1">INDEX(Photobiology!$21:$421,1+$H268-380,T$14)</f>
        <v/>
      </c>
      <c r="U268" s="147">
        <f ca="1">INDEX(Photobiology!$21:$421,1+$H268-380,U$14)</f>
        <v>5.8126002725621816E-2</v>
      </c>
      <c r="V268" s="147">
        <f ca="1">INDEX(Photobiology!$21:$421,1+$H268-380,V$14)</f>
        <v>0.37481357976706003</v>
      </c>
      <c r="W268" s="147">
        <f ca="1">INDEX(Photobiology!$21:$421,1+$H268-380,W$14)</f>
        <v>3.4184851204330695E-3</v>
      </c>
      <c r="X268" s="147">
        <f ca="1">INDEX(Photobiology!$21:$421,1+$H268-380,X$14)</f>
        <v>4.1594611490011551E-4</v>
      </c>
      <c r="Y268" s="147">
        <f t="shared" si="74"/>
        <v>1.0349003554668301E-3</v>
      </c>
      <c r="Z268" s="147">
        <f t="shared" ca="1" si="88"/>
        <v>0</v>
      </c>
      <c r="AA268" s="147">
        <f t="shared" ca="1" si="75"/>
        <v>6.9771533105076027E-5</v>
      </c>
      <c r="AB268" s="147">
        <f t="shared" ca="1" si="76"/>
        <v>4.2915972370747332E-4</v>
      </c>
      <c r="AC268" s="147">
        <f t="shared" ca="1" si="77"/>
        <v>4.3879775071793592E-6</v>
      </c>
      <c r="AD268" s="147">
        <f t="shared" ca="1" si="78"/>
        <v>5.5197238379107758E-7</v>
      </c>
      <c r="AH268" s="147">
        <f t="shared" si="89"/>
        <v>627</v>
      </c>
      <c r="AI268" s="147">
        <f>IF($AH268&gt;$AH267,INDEX(Spectra!268:268,1,MATCH($AI$20,Spectra!$20:$20,0)),AI267)</f>
        <v>84.611599999999996</v>
      </c>
      <c r="AJ268" s="147">
        <f>((Physics!$C$9*Physics!$C$10)/(Physics!$C$11*Physics!$C$12*$AH268))^($AJ$17-$AJ$18)</f>
        <v>3.157274877353877E+18</v>
      </c>
      <c r="AK268" s="147">
        <f t="shared" si="90"/>
        <v>1</v>
      </c>
      <c r="AL268" s="147">
        <f>INDEX(Photobiology!$21:$421,1+$AH268-380,10)</f>
        <v>0.29785040000000002</v>
      </c>
      <c r="AM268" s="147">
        <f t="shared" si="91"/>
        <v>1.1723445172405202E-3</v>
      </c>
      <c r="AN268" s="147">
        <f ca="1">INDEX(Photobiology!$21:$421,1+$AH268-380,AN$14)</f>
        <v>0</v>
      </c>
      <c r="AO268" s="147">
        <f ca="1">INDEX(Photobiology!$21:$421,1+$AH268-380,AO$14)</f>
        <v>6.7418599999999995E-2</v>
      </c>
      <c r="AP268" s="147">
        <f ca="1">INDEX(Photobiology!$21:$421,1+$AH268-380,AP$14)</f>
        <v>0.41468699999999997</v>
      </c>
      <c r="AQ268" s="147">
        <f ca="1">INDEX(Photobiology!$21:$421,1+$AH268-380,AQ$14)</f>
        <v>4.2399999999999998E-3</v>
      </c>
      <c r="AR268" s="147">
        <f ca="1">INDEX(Photobiology!$21:$421,1+$AH268-380,AR$14)</f>
        <v>5.3335800000000005E-4</v>
      </c>
      <c r="AS268" s="147">
        <f t="shared" si="92"/>
        <v>3701413891887053.5</v>
      </c>
      <c r="AT268" s="147" t="str">
        <f ca="1">INDEX(Photobiology!$21:$421,1+$AH268-380,AT$14)</f>
        <v/>
      </c>
      <c r="AU268" s="147">
        <f ca="1">INDEX(Photobiology!$21:$421,1+$AH268-380,AU$14)</f>
        <v>5.8126002725621816E-2</v>
      </c>
      <c r="AV268" s="147">
        <f ca="1">INDEX(Photobiology!$21:$421,1+$AH268-380,AV$14)</f>
        <v>0.37481357976706003</v>
      </c>
      <c r="AW268" s="147">
        <f ca="1">INDEX(Photobiology!$21:$421,1+$AH268-380,AW$14)</f>
        <v>3.4184851204330695E-3</v>
      </c>
      <c r="AX268" s="147">
        <f ca="1">INDEX(Photobiology!$21:$421,1+$AH268-380,AX$14)</f>
        <v>4.1594611490011551E-4</v>
      </c>
      <c r="AY268" s="147">
        <f t="shared" si="79"/>
        <v>1.1723445172405202E-3</v>
      </c>
      <c r="AZ268" s="147">
        <f t="shared" ca="1" si="93"/>
        <v>0</v>
      </c>
      <c r="BA268" s="147">
        <f t="shared" ca="1" si="80"/>
        <v>7.9037826070031737E-5</v>
      </c>
      <c r="BB268" s="147">
        <f t="shared" ca="1" si="81"/>
        <v>4.8615603082091956E-4</v>
      </c>
      <c r="BC268" s="147">
        <f t="shared" ca="1" si="82"/>
        <v>4.9707407530998055E-6</v>
      </c>
      <c r="BD268" s="147">
        <f t="shared" ca="1" si="83"/>
        <v>6.2527932702636945E-7</v>
      </c>
    </row>
    <row r="269" spans="8:56" s="147" customFormat="1" ht="0.25" customHeight="1" x14ac:dyDescent="0.2">
      <c r="H269" s="147">
        <f t="shared" si="84"/>
        <v>628</v>
      </c>
      <c r="I269" s="147">
        <f>IF($H269&gt;$H268,INDEX(Spectra!269:269,1,MATCH($I$20,Spectra!$20:$20,0)),I268)</f>
        <v>1.0249013182159501E-3</v>
      </c>
      <c r="J269" s="147">
        <f>((Physics!$C$9*Physics!$C$10)/(Physics!$C$11*Physics!$C$12*$H269))^($J$17-$J$18)</f>
        <v>3.1623104034740588E+18</v>
      </c>
      <c r="K269" s="147">
        <f t="shared" si="85"/>
        <v>1</v>
      </c>
      <c r="L269" s="147">
        <f>INDEX(Photobiology!$21:$421,1+$H269-380,10)</f>
        <v>0.2865936</v>
      </c>
      <c r="M269" s="147">
        <f t="shared" si="86"/>
        <v>1.0249013182159501E-3</v>
      </c>
      <c r="N269" s="147">
        <f ca="1">INDEX(Photobiology!$21:$421,1+$H269-380,N$14)</f>
        <v>0</v>
      </c>
      <c r="O269" s="147">
        <f ca="1">INDEX(Photobiology!$21:$421,1+$H269-380,O$14)</f>
        <v>6.3217599999999999E-2</v>
      </c>
      <c r="P269" s="147">
        <f ca="1">INDEX(Photobiology!$21:$421,1+$H269-380,P$14)</f>
        <v>0.39933999999999997</v>
      </c>
      <c r="Q269" s="147">
        <f ca="1">INDEX(Photobiology!$21:$421,1+$H269-380,Q$14)</f>
        <v>3.9129999999999998E-3</v>
      </c>
      <c r="R269" s="147">
        <f ca="1">INDEX(Photobiology!$21:$421,1+$H269-380,R$14)</f>
        <v>4.9144E-4</v>
      </c>
      <c r="S269" s="147">
        <f t="shared" si="87"/>
        <v>3241056101128575.5</v>
      </c>
      <c r="T269" s="147" t="str">
        <f ca="1">INDEX(Photobiology!$21:$421,1+$H269-380,T$14)</f>
        <v/>
      </c>
      <c r="U269" s="147">
        <f ca="1">INDEX(Photobiology!$21:$421,1+$H269-380,U$14)</f>
        <v>5.4417254847980261E-2</v>
      </c>
      <c r="V269" s="147">
        <f ca="1">INDEX(Photobiology!$21:$421,1+$H269-380,V$14)</f>
        <v>0.36036749184892658</v>
      </c>
      <c r="W269" s="147">
        <f ca="1">INDEX(Photobiology!$21:$421,1+$H269-380,W$14)</f>
        <v>3.1498188834017979E-3</v>
      </c>
      <c r="X269" s="147">
        <f ca="1">INDEX(Photobiology!$21:$421,1+$H269-380,X$14)</f>
        <v>3.8264554202161784E-4</v>
      </c>
      <c r="Y269" s="147">
        <f t="shared" si="74"/>
        <v>1.0249013182159501E-3</v>
      </c>
      <c r="Z269" s="147">
        <f t="shared" ca="1" si="88"/>
        <v>0</v>
      </c>
      <c r="AA269" s="147">
        <f t="shared" ca="1" si="75"/>
        <v>6.4791801574448646E-5</v>
      </c>
      <c r="AB269" s="147">
        <f t="shared" ca="1" si="76"/>
        <v>4.0928409241635749E-4</v>
      </c>
      <c r="AC269" s="147">
        <f t="shared" ca="1" si="77"/>
        <v>4.0104388581790127E-6</v>
      </c>
      <c r="AD269" s="147">
        <f t="shared" ca="1" si="78"/>
        <v>5.0367750382404645E-7</v>
      </c>
      <c r="AH269" s="147">
        <f t="shared" si="89"/>
        <v>628</v>
      </c>
      <c r="AI269" s="147">
        <f>IF($AH269&gt;$AH268,INDEX(Spectra!269:269,1,MATCH($AI$20,Spectra!$20:$20,0)),AI268)</f>
        <v>84.170599999999993</v>
      </c>
      <c r="AJ269" s="147">
        <f>((Physics!$C$9*Physics!$C$10)/(Physics!$C$11*Physics!$C$12*$AH269))^($AJ$17-$AJ$18)</f>
        <v>3.1623104034740588E+18</v>
      </c>
      <c r="AK269" s="147">
        <f t="shared" si="90"/>
        <v>1</v>
      </c>
      <c r="AL269" s="147">
        <f>INDEX(Photobiology!$21:$421,1+$AH269-380,10)</f>
        <v>0.2865936</v>
      </c>
      <c r="AM269" s="147">
        <f t="shared" si="91"/>
        <v>1.1662341974722724E-3</v>
      </c>
      <c r="AN269" s="147">
        <f ca="1">INDEX(Photobiology!$21:$421,1+$AH269-380,AN$14)</f>
        <v>0</v>
      </c>
      <c r="AO269" s="147">
        <f ca="1">INDEX(Photobiology!$21:$421,1+$AH269-380,AO$14)</f>
        <v>6.3217599999999999E-2</v>
      </c>
      <c r="AP269" s="147">
        <f ca="1">INDEX(Photobiology!$21:$421,1+$AH269-380,AP$14)</f>
        <v>0.39933999999999997</v>
      </c>
      <c r="AQ269" s="147">
        <f ca="1">INDEX(Photobiology!$21:$421,1+$AH269-380,AQ$14)</f>
        <v>3.9129999999999998E-3</v>
      </c>
      <c r="AR269" s="147">
        <f ca="1">INDEX(Photobiology!$21:$421,1+$AH269-380,AR$14)</f>
        <v>4.9144E-4</v>
      </c>
      <c r="AS269" s="147">
        <f t="shared" si="92"/>
        <v>3687994535553787</v>
      </c>
      <c r="AT269" s="147" t="str">
        <f ca="1">INDEX(Photobiology!$21:$421,1+$AH269-380,AT$14)</f>
        <v/>
      </c>
      <c r="AU269" s="147">
        <f ca="1">INDEX(Photobiology!$21:$421,1+$AH269-380,AU$14)</f>
        <v>5.4417254847980261E-2</v>
      </c>
      <c r="AV269" s="147">
        <f ca="1">INDEX(Photobiology!$21:$421,1+$AH269-380,AV$14)</f>
        <v>0.36036749184892658</v>
      </c>
      <c r="AW269" s="147">
        <f ca="1">INDEX(Photobiology!$21:$421,1+$AH269-380,AW$14)</f>
        <v>3.1498188834017979E-3</v>
      </c>
      <c r="AX269" s="147">
        <f ca="1">INDEX(Photobiology!$21:$421,1+$AH269-380,AX$14)</f>
        <v>3.8264554202161784E-4</v>
      </c>
      <c r="AY269" s="147">
        <f t="shared" si="79"/>
        <v>1.1662341974722724E-3</v>
      </c>
      <c r="AZ269" s="147">
        <f t="shared" ca="1" si="93"/>
        <v>0</v>
      </c>
      <c r="BA269" s="147">
        <f t="shared" ca="1" si="80"/>
        <v>7.3726527002123125E-5</v>
      </c>
      <c r="BB269" s="147">
        <f t="shared" ca="1" si="81"/>
        <v>4.6572396441857725E-4</v>
      </c>
      <c r="BC269" s="147">
        <f t="shared" ca="1" si="82"/>
        <v>4.5634744147090015E-6</v>
      </c>
      <c r="BD269" s="147">
        <f t="shared" ca="1" si="83"/>
        <v>5.731341340057736E-7</v>
      </c>
    </row>
    <row r="270" spans="8:56" s="147" customFormat="1" ht="0.25" customHeight="1" x14ac:dyDescent="0.2">
      <c r="H270" s="147">
        <f t="shared" si="84"/>
        <v>629</v>
      </c>
      <c r="I270" s="147">
        <f>IF($H270&gt;$H269,INDEX(Spectra!270:270,1,MATCH($I$20,Spectra!$20:$20,0)),I269)</f>
        <v>1.0149022809650601E-3</v>
      </c>
      <c r="J270" s="147">
        <f>((Physics!$C$9*Physics!$C$10)/(Physics!$C$11*Physics!$C$12*$H270))^($J$17-$J$18)</f>
        <v>3.167345929594241E+18</v>
      </c>
      <c r="K270" s="147">
        <f t="shared" si="85"/>
        <v>1</v>
      </c>
      <c r="L270" s="147">
        <f>INDEX(Photobiology!$21:$421,1+$H270-380,10)</f>
        <v>0.27562449999999999</v>
      </c>
      <c r="M270" s="147">
        <f t="shared" si="86"/>
        <v>1.0149022809650601E-3</v>
      </c>
      <c r="N270" s="147">
        <f ca="1">INDEX(Photobiology!$21:$421,1+$H270-380,N$14)</f>
        <v>0</v>
      </c>
      <c r="O270" s="147">
        <f ca="1">INDEX(Photobiology!$21:$421,1+$H270-380,O$14)</f>
        <v>5.9249200000000002E-2</v>
      </c>
      <c r="P270" s="147">
        <f ca="1">INDEX(Photobiology!$21:$421,1+$H270-380,P$14)</f>
        <v>0.38412200000000002</v>
      </c>
      <c r="Q270" s="147">
        <f ca="1">INDEX(Photobiology!$21:$421,1+$H270-380,Q$14)</f>
        <v>3.6129999999999999E-3</v>
      </c>
      <c r="R270" s="147">
        <f ca="1">INDEX(Photobiology!$21:$421,1+$H270-380,R$14)</f>
        <v>4.5298000000000002E-4</v>
      </c>
      <c r="S270" s="147">
        <f t="shared" si="87"/>
        <v>3214546608550594</v>
      </c>
      <c r="T270" s="147" t="str">
        <f ca="1">INDEX(Photobiology!$21:$421,1+$H270-380,T$14)</f>
        <v/>
      </c>
      <c r="U270" s="147">
        <f ca="1">INDEX(Photobiology!$21:$421,1+$H270-380,U$14)</f>
        <v>5.09202015810227E-2</v>
      </c>
      <c r="V270" s="147">
        <f ca="1">INDEX(Photobiology!$21:$421,1+$H270-380,V$14)</f>
        <v>0.34608356295880188</v>
      </c>
      <c r="W270" s="147">
        <f ca="1">INDEX(Photobiology!$21:$421,1+$H270-380,W$14)</f>
        <v>2.9037063495733623E-3</v>
      </c>
      <c r="X270" s="147">
        <f ca="1">INDEX(Photobiology!$21:$421,1+$H270-380,X$14)</f>
        <v>3.5213904444234787E-4</v>
      </c>
      <c r="Y270" s="147">
        <f t="shared" si="74"/>
        <v>1.0149022809650601E-3</v>
      </c>
      <c r="Z270" s="147">
        <f t="shared" ca="1" si="88"/>
        <v>0</v>
      </c>
      <c r="AA270" s="147">
        <f t="shared" ca="1" si="75"/>
        <v>6.0132148225355038E-5</v>
      </c>
      <c r="AB270" s="147">
        <f t="shared" ca="1" si="76"/>
        <v>3.8984629396886082E-4</v>
      </c>
      <c r="AC270" s="147">
        <f t="shared" ca="1" si="77"/>
        <v>3.6668419411267621E-6</v>
      </c>
      <c r="AD270" s="147">
        <f t="shared" ca="1" si="78"/>
        <v>4.5973043523155291E-7</v>
      </c>
      <c r="AH270" s="147">
        <f t="shared" si="89"/>
        <v>629</v>
      </c>
      <c r="AI270" s="147">
        <f>IF($AH270&gt;$AH269,INDEX(Spectra!270:270,1,MATCH($AI$20,Spectra!$20:$20,0)),AI269)</f>
        <v>83.729600000000005</v>
      </c>
      <c r="AJ270" s="147">
        <f>((Physics!$C$9*Physics!$C$10)/(Physics!$C$11*Physics!$C$12*$AH270))^($AJ$17-$AJ$18)</f>
        <v>3.167345929594241E+18</v>
      </c>
      <c r="AK270" s="147">
        <f t="shared" si="90"/>
        <v>1</v>
      </c>
      <c r="AL270" s="147">
        <f>INDEX(Photobiology!$21:$421,1+$AH270-380,10)</f>
        <v>0.27562449999999999</v>
      </c>
      <c r="AM270" s="147">
        <f t="shared" si="91"/>
        <v>1.160123877704025E-3</v>
      </c>
      <c r="AN270" s="147">
        <f ca="1">INDEX(Photobiology!$21:$421,1+$AH270-380,AN$14)</f>
        <v>0</v>
      </c>
      <c r="AO270" s="147">
        <f ca="1">INDEX(Photobiology!$21:$421,1+$AH270-380,AO$14)</f>
        <v>5.9249200000000002E-2</v>
      </c>
      <c r="AP270" s="147">
        <f ca="1">INDEX(Photobiology!$21:$421,1+$AH270-380,AP$14)</f>
        <v>0.38412200000000002</v>
      </c>
      <c r="AQ270" s="147">
        <f ca="1">INDEX(Photobiology!$21:$421,1+$AH270-380,AQ$14)</f>
        <v>3.6129999999999999E-3</v>
      </c>
      <c r="AR270" s="147">
        <f ca="1">INDEX(Photobiology!$21:$421,1+$AH270-380,AR$14)</f>
        <v>4.5298000000000002E-4</v>
      </c>
      <c r="AS270" s="147">
        <f t="shared" si="92"/>
        <v>3674513641870930.5</v>
      </c>
      <c r="AT270" s="147" t="str">
        <f ca="1">INDEX(Photobiology!$21:$421,1+$AH270-380,AT$14)</f>
        <v/>
      </c>
      <c r="AU270" s="147">
        <f ca="1">INDEX(Photobiology!$21:$421,1+$AH270-380,AU$14)</f>
        <v>5.09202015810227E-2</v>
      </c>
      <c r="AV270" s="147">
        <f ca="1">INDEX(Photobiology!$21:$421,1+$AH270-380,AV$14)</f>
        <v>0.34608356295880188</v>
      </c>
      <c r="AW270" s="147">
        <f ca="1">INDEX(Photobiology!$21:$421,1+$AH270-380,AW$14)</f>
        <v>2.9037063495733623E-3</v>
      </c>
      <c r="AX270" s="147">
        <f ca="1">INDEX(Photobiology!$21:$421,1+$AH270-380,AX$14)</f>
        <v>3.5213904444234787E-4</v>
      </c>
      <c r="AY270" s="147">
        <f t="shared" si="79"/>
        <v>1.160123877704025E-3</v>
      </c>
      <c r="AZ270" s="147">
        <f t="shared" ca="1" si="93"/>
        <v>0</v>
      </c>
      <c r="BA270" s="147">
        <f t="shared" ca="1" si="80"/>
        <v>6.8736411654861322E-5</v>
      </c>
      <c r="BB270" s="147">
        <f t="shared" ca="1" si="81"/>
        <v>4.4562910415142551E-4</v>
      </c>
      <c r="BC270" s="147">
        <f t="shared" ca="1" si="82"/>
        <v>4.1915275701446422E-6</v>
      </c>
      <c r="BD270" s="147">
        <f t="shared" ca="1" si="83"/>
        <v>5.255129141223693E-7</v>
      </c>
    </row>
    <row r="271" spans="8:56" s="147" customFormat="1" ht="0.25" customHeight="1" x14ac:dyDescent="0.2">
      <c r="H271" s="147">
        <f t="shared" si="84"/>
        <v>630</v>
      </c>
      <c r="I271" s="147">
        <f>IF($H271&gt;$H270,INDEX(Spectra!271:271,1,MATCH($I$20,Spectra!$20:$20,0)),I270)</f>
        <v>1.0149022809650601E-3</v>
      </c>
      <c r="J271" s="147">
        <f>((Physics!$C$9*Physics!$C$10)/(Physics!$C$11*Physics!$C$12*$H271))^($J$17-$J$18)</f>
        <v>3.1723814557144223E+18</v>
      </c>
      <c r="K271" s="147">
        <f t="shared" si="85"/>
        <v>1</v>
      </c>
      <c r="L271" s="147">
        <f>INDEX(Photobiology!$21:$421,1+$H271-380,10)</f>
        <v>0.26500000000000001</v>
      </c>
      <c r="M271" s="147">
        <f t="shared" si="86"/>
        <v>1.0149022809650601E-3</v>
      </c>
      <c r="N271" s="147">
        <f ca="1">INDEX(Photobiology!$21:$421,1+$H271-380,N$14)</f>
        <v>0</v>
      </c>
      <c r="O271" s="147">
        <f ca="1">INDEX(Photobiology!$21:$421,1+$H271-380,O$14)</f>
        <v>5.5499E-2</v>
      </c>
      <c r="P271" s="147">
        <f ca="1">INDEX(Photobiology!$21:$421,1+$H271-380,P$14)</f>
        <v>0.369168</v>
      </c>
      <c r="Q271" s="147">
        <f ca="1">INDEX(Photobiology!$21:$421,1+$H271-380,Q$14)</f>
        <v>3.3349999999999999E-3</v>
      </c>
      <c r="R271" s="147">
        <f ca="1">INDEX(Photobiology!$21:$421,1+$H271-380,R$14)</f>
        <v>4.1795500000000002E-4</v>
      </c>
      <c r="S271" s="147">
        <f t="shared" si="87"/>
        <v>3219657175495825</v>
      </c>
      <c r="T271" s="147" t="str">
        <f ca="1">INDEX(Photobiology!$21:$421,1+$H271-380,T$14)</f>
        <v/>
      </c>
      <c r="U271" s="147">
        <f ca="1">INDEX(Photobiology!$21:$421,1+$H271-380,U$14)</f>
        <v>4.7621478789397292E-2</v>
      </c>
      <c r="V271" s="147">
        <f ca="1">INDEX(Photobiology!$21:$421,1+$H271-380,V$14)</f>
        <v>0.33208245920449486</v>
      </c>
      <c r="W271" s="147">
        <f ca="1">INDEX(Photobiology!$21:$421,1+$H271-380,W$14)</f>
        <v>2.676028084252758E-3</v>
      </c>
      <c r="X271" s="147">
        <f ca="1">INDEX(Photobiology!$21:$421,1+$H271-380,X$14)</f>
        <v>3.2439546560876248E-4</v>
      </c>
      <c r="Y271" s="147">
        <f t="shared" si="74"/>
        <v>1.0149022809650601E-3</v>
      </c>
      <c r="Z271" s="147">
        <f t="shared" ca="1" si="88"/>
        <v>0</v>
      </c>
      <c r="AA271" s="147">
        <f t="shared" ca="1" si="75"/>
        <v>5.6326061691279868E-5</v>
      </c>
      <c r="AB271" s="147">
        <f t="shared" ca="1" si="76"/>
        <v>3.746694452593093E-4</v>
      </c>
      <c r="AC271" s="147">
        <f t="shared" ca="1" si="77"/>
        <v>3.3846991070184753E-6</v>
      </c>
      <c r="AD271" s="147">
        <f t="shared" ca="1" si="78"/>
        <v>4.2418348284075168E-7</v>
      </c>
      <c r="AH271" s="147">
        <f t="shared" si="89"/>
        <v>630</v>
      </c>
      <c r="AI271" s="147">
        <f>IF($AH271&gt;$AH270,INDEX(Spectra!271:271,1,MATCH($AI$20,Spectra!$20:$20,0)),AI270)</f>
        <v>83.288600000000002</v>
      </c>
      <c r="AJ271" s="147">
        <f>((Physics!$C$9*Physics!$C$10)/(Physics!$C$11*Physics!$C$12*$AH271))^($AJ$17-$AJ$18)</f>
        <v>3.1723814557144223E+18</v>
      </c>
      <c r="AK271" s="147">
        <f t="shared" si="90"/>
        <v>1</v>
      </c>
      <c r="AL271" s="147">
        <f>INDEX(Photobiology!$21:$421,1+$AH271-380,10)</f>
        <v>0.26500000000000001</v>
      </c>
      <c r="AM271" s="147">
        <f t="shared" si="91"/>
        <v>1.1540135579357772E-3</v>
      </c>
      <c r="AN271" s="147">
        <f ca="1">INDEX(Photobiology!$21:$421,1+$AH271-380,AN$14)</f>
        <v>0</v>
      </c>
      <c r="AO271" s="147">
        <f ca="1">INDEX(Photobiology!$21:$421,1+$AH271-380,AO$14)</f>
        <v>5.5499E-2</v>
      </c>
      <c r="AP271" s="147">
        <f ca="1">INDEX(Photobiology!$21:$421,1+$AH271-380,AP$14)</f>
        <v>0.369168</v>
      </c>
      <c r="AQ271" s="147">
        <f ca="1">INDEX(Photobiology!$21:$421,1+$AH271-380,AQ$14)</f>
        <v>3.3349999999999999E-3</v>
      </c>
      <c r="AR271" s="147">
        <f ca="1">INDEX(Photobiology!$21:$421,1+$AH271-380,AR$14)</f>
        <v>4.1795500000000002E-4</v>
      </c>
      <c r="AS271" s="147">
        <f t="shared" si="92"/>
        <v>3660971210838480.5</v>
      </c>
      <c r="AT271" s="147" t="str">
        <f ca="1">INDEX(Photobiology!$21:$421,1+$AH271-380,AT$14)</f>
        <v/>
      </c>
      <c r="AU271" s="147">
        <f ca="1">INDEX(Photobiology!$21:$421,1+$AH271-380,AU$14)</f>
        <v>4.7621478789397292E-2</v>
      </c>
      <c r="AV271" s="147">
        <f ca="1">INDEX(Photobiology!$21:$421,1+$AH271-380,AV$14)</f>
        <v>0.33208245920449486</v>
      </c>
      <c r="AW271" s="147">
        <f ca="1">INDEX(Photobiology!$21:$421,1+$AH271-380,AW$14)</f>
        <v>2.676028084252758E-3</v>
      </c>
      <c r="AX271" s="147">
        <f ca="1">INDEX(Photobiology!$21:$421,1+$AH271-380,AX$14)</f>
        <v>3.2439546560876248E-4</v>
      </c>
      <c r="AY271" s="147">
        <f t="shared" si="79"/>
        <v>1.1540135579357772E-3</v>
      </c>
      <c r="AZ271" s="147">
        <f t="shared" ca="1" si="93"/>
        <v>0</v>
      </c>
      <c r="BA271" s="147">
        <f t="shared" ca="1" si="80"/>
        <v>6.4046598451877697E-5</v>
      </c>
      <c r="BB271" s="147">
        <f t="shared" ca="1" si="81"/>
        <v>4.2602487715603498E-4</v>
      </c>
      <c r="BC271" s="147">
        <f t="shared" ca="1" si="82"/>
        <v>3.8486352157158168E-6</v>
      </c>
      <c r="BD271" s="147">
        <f t="shared" ca="1" si="83"/>
        <v>4.8232573660704776E-7</v>
      </c>
    </row>
    <row r="272" spans="8:56" s="147" customFormat="1" ht="0.25" customHeight="1" x14ac:dyDescent="0.2">
      <c r="H272" s="147">
        <f t="shared" si="84"/>
        <v>631</v>
      </c>
      <c r="I272" s="147">
        <f>IF($H272&gt;$H271,INDEX(Spectra!272:272,1,MATCH($I$20,Spectra!$20:$20,0)),I271)</f>
        <v>1.0199017995905001E-3</v>
      </c>
      <c r="J272" s="147">
        <f>((Physics!$C$9*Physics!$C$10)/(Physics!$C$11*Physics!$C$12*$H272))^($J$17-$J$18)</f>
        <v>3.1774169818346035E+18</v>
      </c>
      <c r="K272" s="147">
        <f t="shared" si="85"/>
        <v>1</v>
      </c>
      <c r="L272" s="147">
        <f>INDEX(Photobiology!$21:$421,1+$H272-380,10)</f>
        <v>0.25476320000000002</v>
      </c>
      <c r="M272" s="147">
        <f t="shared" si="86"/>
        <v>1.0199017995905001E-3</v>
      </c>
      <c r="N272" s="147">
        <f ca="1">INDEX(Photobiology!$21:$421,1+$H272-380,N$14)</f>
        <v>0</v>
      </c>
      <c r="O272" s="147">
        <f ca="1">INDEX(Photobiology!$21:$421,1+$H272-380,O$14)</f>
        <v>5.1955000000000001E-2</v>
      </c>
      <c r="P272" s="147">
        <f ca="1">INDEX(Photobiology!$21:$421,1+$H272-380,P$14)</f>
        <v>0.35458000000000001</v>
      </c>
      <c r="Q272" s="147">
        <f ca="1">INDEX(Photobiology!$21:$421,1+$H272-380,Q$14)</f>
        <v>3.0790000000000001E-3</v>
      </c>
      <c r="R272" s="147">
        <f ca="1">INDEX(Photobiology!$21:$421,1+$H272-380,R$14)</f>
        <v>3.8578899999999999E-4</v>
      </c>
      <c r="S272" s="147">
        <f t="shared" si="87"/>
        <v>3240653297822527.5</v>
      </c>
      <c r="T272" s="147" t="str">
        <f ca="1">INDEX(Photobiology!$21:$421,1+$H272-380,T$14)</f>
        <v/>
      </c>
      <c r="U272" s="147">
        <f ca="1">INDEX(Photobiology!$21:$421,1+$H272-380,U$14)</f>
        <v>4.4509863135609562E-2</v>
      </c>
      <c r="V272" s="147">
        <f ca="1">INDEX(Photobiology!$21:$421,1+$H272-380,V$14)</f>
        <v>0.3184544439019692</v>
      </c>
      <c r="W272" s="147">
        <f ca="1">INDEX(Photobiology!$21:$421,1+$H272-380,W$14)</f>
        <v>2.4666964443250511E-3</v>
      </c>
      <c r="X272" s="147">
        <f ca="1">INDEX(Photobiology!$21:$421,1+$H272-380,X$14)</f>
        <v>2.989553161371302E-4</v>
      </c>
      <c r="Y272" s="147">
        <f t="shared" si="74"/>
        <v>1.0199017995905001E-3</v>
      </c>
      <c r="Z272" s="147">
        <f t="shared" ca="1" si="88"/>
        <v>0</v>
      </c>
      <c r="AA272" s="147">
        <f t="shared" ca="1" si="75"/>
        <v>5.2988997997724434E-5</v>
      </c>
      <c r="AB272" s="147">
        <f t="shared" ca="1" si="76"/>
        <v>3.616367800987995E-4</v>
      </c>
      <c r="AC272" s="147">
        <f t="shared" ca="1" si="77"/>
        <v>3.1402776409391499E-6</v>
      </c>
      <c r="AD272" s="147">
        <f t="shared" ca="1" si="78"/>
        <v>3.934668953622194E-7</v>
      </c>
      <c r="AH272" s="147">
        <f t="shared" si="89"/>
        <v>631</v>
      </c>
      <c r="AI272" s="147">
        <f>IF($AH272&gt;$AH271,INDEX(Spectra!272:272,1,MATCH($AI$20,Spectra!$20:$20,0)),AI271)</f>
        <v>83.329700000000003</v>
      </c>
      <c r="AJ272" s="147">
        <f>((Physics!$C$9*Physics!$C$10)/(Physics!$C$11*Physics!$C$12*$AH272))^($AJ$17-$AJ$18)</f>
        <v>3.1774169818346035E+18</v>
      </c>
      <c r="AK272" s="147">
        <f t="shared" si="90"/>
        <v>1</v>
      </c>
      <c r="AL272" s="147">
        <f>INDEX(Photobiology!$21:$421,1+$AH272-380,10)</f>
        <v>0.25476320000000002</v>
      </c>
      <c r="AM272" s="147">
        <f t="shared" si="91"/>
        <v>1.1545830231114575E-3</v>
      </c>
      <c r="AN272" s="147">
        <f ca="1">INDEX(Photobiology!$21:$421,1+$AH272-380,AN$14)</f>
        <v>0</v>
      </c>
      <c r="AO272" s="147">
        <f ca="1">INDEX(Photobiology!$21:$421,1+$AH272-380,AO$14)</f>
        <v>5.1955000000000001E-2</v>
      </c>
      <c r="AP272" s="147">
        <f ca="1">INDEX(Photobiology!$21:$421,1+$AH272-380,AP$14)</f>
        <v>0.35458000000000001</v>
      </c>
      <c r="AQ272" s="147">
        <f ca="1">INDEX(Photobiology!$21:$421,1+$AH272-380,AQ$14)</f>
        <v>3.0790000000000001E-3</v>
      </c>
      <c r="AR272" s="147">
        <f ca="1">INDEX(Photobiology!$21:$421,1+$AH272-380,AR$14)</f>
        <v>3.8578899999999999E-4</v>
      </c>
      <c r="AS272" s="147">
        <f t="shared" si="92"/>
        <v>3668591704572279.5</v>
      </c>
      <c r="AT272" s="147" t="str">
        <f ca="1">INDEX(Photobiology!$21:$421,1+$AH272-380,AT$14)</f>
        <v/>
      </c>
      <c r="AU272" s="147">
        <f ca="1">INDEX(Photobiology!$21:$421,1+$AH272-380,AU$14)</f>
        <v>4.4509863135609562E-2</v>
      </c>
      <c r="AV272" s="147">
        <f ca="1">INDEX(Photobiology!$21:$421,1+$AH272-380,AV$14)</f>
        <v>0.3184544439019692</v>
      </c>
      <c r="AW272" s="147">
        <f ca="1">INDEX(Photobiology!$21:$421,1+$AH272-380,AW$14)</f>
        <v>2.4666964443250511E-3</v>
      </c>
      <c r="AX272" s="147">
        <f ca="1">INDEX(Photobiology!$21:$421,1+$AH272-380,AX$14)</f>
        <v>2.989553161371302E-4</v>
      </c>
      <c r="AY272" s="147">
        <f t="shared" si="79"/>
        <v>1.1545830231114575E-3</v>
      </c>
      <c r="AZ272" s="147">
        <f t="shared" ca="1" si="93"/>
        <v>0</v>
      </c>
      <c r="BA272" s="147">
        <f t="shared" ca="1" si="80"/>
        <v>5.9986360965755771E-5</v>
      </c>
      <c r="BB272" s="147">
        <f t="shared" ca="1" si="81"/>
        <v>4.093920483348606E-4</v>
      </c>
      <c r="BC272" s="147">
        <f t="shared" ca="1" si="82"/>
        <v>3.5549611281601776E-6</v>
      </c>
      <c r="BD272" s="147">
        <f t="shared" ca="1" si="83"/>
        <v>4.4542542990314605E-7</v>
      </c>
    </row>
    <row r="273" spans="8:56" s="147" customFormat="1" ht="0.25" customHeight="1" x14ac:dyDescent="0.2">
      <c r="H273" s="147">
        <f t="shared" si="84"/>
        <v>632</v>
      </c>
      <c r="I273" s="147">
        <f>IF($H273&gt;$H272,INDEX(Spectra!273:273,1,MATCH($I$20,Spectra!$20:$20,0)),I272)</f>
        <v>1.0299008368413901E-3</v>
      </c>
      <c r="J273" s="147">
        <f>((Physics!$C$9*Physics!$C$10)/(Physics!$C$11*Physics!$C$12*$H273))^($J$17-$J$18)</f>
        <v>3.1824525079547853E+18</v>
      </c>
      <c r="K273" s="147">
        <f t="shared" si="85"/>
        <v>1</v>
      </c>
      <c r="L273" s="147">
        <f>INDEX(Photobiology!$21:$421,1+$H273-380,10)</f>
        <v>0.24488960000000001</v>
      </c>
      <c r="M273" s="147">
        <f t="shared" si="86"/>
        <v>1.0299008368413901E-3</v>
      </c>
      <c r="N273" s="147">
        <f ca="1">INDEX(Photobiology!$21:$421,1+$H273-380,N$14)</f>
        <v>0</v>
      </c>
      <c r="O273" s="147">
        <f ca="1">INDEX(Photobiology!$21:$421,1+$H273-380,O$14)</f>
        <v>4.8610300000000002E-2</v>
      </c>
      <c r="P273" s="147">
        <f ca="1">INDEX(Photobiology!$21:$421,1+$H273-380,P$14)</f>
        <v>0.340389</v>
      </c>
      <c r="Q273" s="147">
        <f ca="1">INDEX(Photobiology!$21:$421,1+$H273-380,Q$14)</f>
        <v>2.8419999999999999E-3</v>
      </c>
      <c r="R273" s="147">
        <f ca="1">INDEX(Photobiology!$21:$421,1+$H273-380,R$14)</f>
        <v>3.55905E-4</v>
      </c>
      <c r="S273" s="147">
        <f t="shared" si="87"/>
        <v>3277610501150614</v>
      </c>
      <c r="T273" s="147" t="str">
        <f ca="1">INDEX(Photobiology!$21:$421,1+$H273-380,T$14)</f>
        <v/>
      </c>
      <c r="U273" s="147">
        <f ca="1">INDEX(Photobiology!$21:$421,1+$H273-380,U$14)</f>
        <v>4.1578564574137347E-2</v>
      </c>
      <c r="V273" s="147">
        <f ca="1">INDEX(Photobiology!$21:$421,1+$H273-380,V$14)</f>
        <v>0.3052255436458351</v>
      </c>
      <c r="W273" s="147">
        <f ca="1">INDEX(Photobiology!$21:$421,1+$H273-380,W$14)</f>
        <v>2.2732247375036501E-3</v>
      </c>
      <c r="X273" s="147">
        <f ca="1">INDEX(Photobiology!$21:$421,1+$H273-380,X$14)</f>
        <v>2.7536124111128101E-4</v>
      </c>
      <c r="Y273" s="147">
        <f t="shared" si="74"/>
        <v>1.0299008368413901E-3</v>
      </c>
      <c r="Z273" s="147">
        <f t="shared" ca="1" si="88"/>
        <v>0</v>
      </c>
      <c r="AA273" s="147">
        <f t="shared" ca="1" si="75"/>
        <v>5.0063788649111028E-5</v>
      </c>
      <c r="AB273" s="147">
        <f t="shared" ca="1" si="76"/>
        <v>3.5056691595160392E-4</v>
      </c>
      <c r="AC273" s="147">
        <f t="shared" ca="1" si="77"/>
        <v>2.9269781783032305E-6</v>
      </c>
      <c r="AD273" s="147">
        <f t="shared" ca="1" si="78"/>
        <v>3.6654685733603495E-7</v>
      </c>
      <c r="AH273" s="147">
        <f t="shared" si="89"/>
        <v>632</v>
      </c>
      <c r="AI273" s="147">
        <f>IF($AH273&gt;$AH272,INDEX(Spectra!273:273,1,MATCH($AI$20,Spectra!$20:$20,0)),AI272)</f>
        <v>83.370699999999999</v>
      </c>
      <c r="AJ273" s="147">
        <f>((Physics!$C$9*Physics!$C$10)/(Physics!$C$11*Physics!$C$12*$AH273))^($AJ$17-$AJ$18)</f>
        <v>3.1824525079547853E+18</v>
      </c>
      <c r="AK273" s="147">
        <f t="shared" si="90"/>
        <v>1</v>
      </c>
      <c r="AL273" s="147">
        <f>INDEX(Photobiology!$21:$421,1+$AH273-380,10)</f>
        <v>0.24488960000000001</v>
      </c>
      <c r="AM273" s="147">
        <f t="shared" si="91"/>
        <v>1.1551511027270995E-3</v>
      </c>
      <c r="AN273" s="147">
        <f ca="1">INDEX(Photobiology!$21:$421,1+$AH273-380,AN$14)</f>
        <v>0</v>
      </c>
      <c r="AO273" s="147">
        <f ca="1">INDEX(Photobiology!$21:$421,1+$AH273-380,AO$14)</f>
        <v>4.8610300000000002E-2</v>
      </c>
      <c r="AP273" s="147">
        <f ca="1">INDEX(Photobiology!$21:$421,1+$AH273-380,AP$14)</f>
        <v>0.340389</v>
      </c>
      <c r="AQ273" s="147">
        <f ca="1">INDEX(Photobiology!$21:$421,1+$AH273-380,AQ$14)</f>
        <v>2.8419999999999999E-3</v>
      </c>
      <c r="AR273" s="147">
        <f ca="1">INDEX(Photobiology!$21:$421,1+$AH273-380,AR$14)</f>
        <v>3.55905E-4</v>
      </c>
      <c r="AS273" s="147">
        <f t="shared" si="92"/>
        <v>3676213523940593.5</v>
      </c>
      <c r="AT273" s="147" t="str">
        <f ca="1">INDEX(Photobiology!$21:$421,1+$AH273-380,AT$14)</f>
        <v/>
      </c>
      <c r="AU273" s="147">
        <f ca="1">INDEX(Photobiology!$21:$421,1+$AH273-380,AU$14)</f>
        <v>4.1578564574137347E-2</v>
      </c>
      <c r="AV273" s="147">
        <f ca="1">INDEX(Photobiology!$21:$421,1+$AH273-380,AV$14)</f>
        <v>0.3052255436458351</v>
      </c>
      <c r="AW273" s="147">
        <f ca="1">INDEX(Photobiology!$21:$421,1+$AH273-380,AW$14)</f>
        <v>2.2732247375036501E-3</v>
      </c>
      <c r="AX273" s="147">
        <f ca="1">INDEX(Photobiology!$21:$421,1+$AH273-380,AX$14)</f>
        <v>2.7536124111128101E-4</v>
      </c>
      <c r="AY273" s="147">
        <f t="shared" si="79"/>
        <v>1.1551511027270995E-3</v>
      </c>
      <c r="AZ273" s="147">
        <f t="shared" ca="1" si="93"/>
        <v>0</v>
      </c>
      <c r="BA273" s="147">
        <f t="shared" ca="1" si="80"/>
        <v>5.6152241648895129E-5</v>
      </c>
      <c r="BB273" s="147">
        <f t="shared" ca="1" si="81"/>
        <v>3.9320072870617468E-4</v>
      </c>
      <c r="BC273" s="147">
        <f t="shared" ca="1" si="82"/>
        <v>3.2829394339504164E-6</v>
      </c>
      <c r="BD273" s="147">
        <f t="shared" ca="1" si="83"/>
        <v>4.1112405321608835E-7</v>
      </c>
    </row>
    <row r="274" spans="8:56" s="147" customFormat="1" ht="0.25" customHeight="1" x14ac:dyDescent="0.2">
      <c r="H274" s="147">
        <f t="shared" si="84"/>
        <v>633</v>
      </c>
      <c r="I274" s="147">
        <f>IF($H274&gt;$H273,INDEX(Spectra!274:274,1,MATCH($I$20,Spectra!$20:$20,0)),I273)</f>
        <v>1.0398998740922801E-3</v>
      </c>
      <c r="J274" s="147">
        <f>((Physics!$C$9*Physics!$C$10)/(Physics!$C$11*Physics!$C$12*$H274))^($J$17-$J$18)</f>
        <v>3.187488034074967E+18</v>
      </c>
      <c r="K274" s="147">
        <f t="shared" si="85"/>
        <v>1</v>
      </c>
      <c r="L274" s="147">
        <f>INDEX(Photobiology!$21:$421,1+$H274-380,10)</f>
        <v>0.2353344</v>
      </c>
      <c r="M274" s="147">
        <f t="shared" si="86"/>
        <v>1.0398998740922801E-3</v>
      </c>
      <c r="N274" s="147">
        <f ca="1">INDEX(Photobiology!$21:$421,1+$H274-380,N$14)</f>
        <v>0</v>
      </c>
      <c r="O274" s="147">
        <f ca="1">INDEX(Photobiology!$21:$421,1+$H274-380,O$14)</f>
        <v>4.5459100000000002E-2</v>
      </c>
      <c r="P274" s="147">
        <f ca="1">INDEX(Photobiology!$21:$421,1+$H274-380,P$14)</f>
        <v>0.32660899999999998</v>
      </c>
      <c r="Q274" s="147">
        <f ca="1">INDEX(Photobiology!$21:$421,1+$H274-380,Q$14)</f>
        <v>2.6229999999999999E-3</v>
      </c>
      <c r="R274" s="147">
        <f ca="1">INDEX(Photobiology!$21:$421,1+$H274-380,R$14)</f>
        <v>3.28289E-4</v>
      </c>
      <c r="S274" s="147">
        <f t="shared" si="87"/>
        <v>3314668405305207.5</v>
      </c>
      <c r="T274" s="147" t="str">
        <f ca="1">INDEX(Photobiology!$21:$421,1+$H274-380,T$14)</f>
        <v/>
      </c>
      <c r="U274" s="147">
        <f ca="1">INDEX(Photobiology!$21:$421,1+$H274-380,U$14)</f>
        <v>3.8821775359375761E-2</v>
      </c>
      <c r="V274" s="147">
        <f ca="1">INDEX(Photobiology!$21:$421,1+$H274-380,V$14)</f>
        <v>0.29240640081109992</v>
      </c>
      <c r="W274" s="147">
        <f ca="1">INDEX(Photobiology!$21:$421,1+$H274-380,W$14)</f>
        <v>2.0947391938849723E-3</v>
      </c>
      <c r="X274" s="147">
        <f ca="1">INDEX(Photobiology!$21:$421,1+$H274-380,X$14)</f>
        <v>2.5359367677158553E-4</v>
      </c>
      <c r="Y274" s="147">
        <f t="shared" si="74"/>
        <v>1.0398998740922801E-3</v>
      </c>
      <c r="Z274" s="147">
        <f t="shared" ca="1" si="88"/>
        <v>0</v>
      </c>
      <c r="AA274" s="147">
        <f t="shared" ca="1" si="75"/>
        <v>4.7272912366348369E-5</v>
      </c>
      <c r="AB274" s="147">
        <f t="shared" ca="1" si="76"/>
        <v>3.3964065797740546E-4</v>
      </c>
      <c r="AC274" s="147">
        <f t="shared" ca="1" si="77"/>
        <v>2.7276573697440507E-6</v>
      </c>
      <c r="AD274" s="147">
        <f t="shared" ca="1" si="78"/>
        <v>3.4138768976588052E-7</v>
      </c>
      <c r="AH274" s="147">
        <f t="shared" si="89"/>
        <v>633</v>
      </c>
      <c r="AI274" s="147">
        <f>IF($AH274&gt;$AH273,INDEX(Spectra!274:274,1,MATCH($AI$20,Spectra!$20:$20,0)),AI273)</f>
        <v>83.411799999999999</v>
      </c>
      <c r="AJ274" s="147">
        <f>((Physics!$C$9*Physics!$C$10)/(Physics!$C$11*Physics!$C$12*$AH274))^($AJ$17-$AJ$18)</f>
        <v>3.187488034074967E+18</v>
      </c>
      <c r="AK274" s="147">
        <f t="shared" si="90"/>
        <v>1</v>
      </c>
      <c r="AL274" s="147">
        <f>INDEX(Photobiology!$21:$421,1+$AH274-380,10)</f>
        <v>0.2353344</v>
      </c>
      <c r="AM274" s="147">
        <f t="shared" si="91"/>
        <v>1.1557205679027798E-3</v>
      </c>
      <c r="AN274" s="147">
        <f ca="1">INDEX(Photobiology!$21:$421,1+$AH274-380,AN$14)</f>
        <v>0</v>
      </c>
      <c r="AO274" s="147">
        <f ca="1">INDEX(Photobiology!$21:$421,1+$AH274-380,AO$14)</f>
        <v>4.5459100000000002E-2</v>
      </c>
      <c r="AP274" s="147">
        <f ca="1">INDEX(Photobiology!$21:$421,1+$AH274-380,AP$14)</f>
        <v>0.32660899999999998</v>
      </c>
      <c r="AQ274" s="147">
        <f ca="1">INDEX(Photobiology!$21:$421,1+$AH274-380,AQ$14)</f>
        <v>2.6229999999999999E-3</v>
      </c>
      <c r="AR274" s="147">
        <f ca="1">INDEX(Photobiology!$21:$421,1+$AH274-380,AR$14)</f>
        <v>3.28289E-4</v>
      </c>
      <c r="AS274" s="147">
        <f t="shared" si="92"/>
        <v>3683845480924436</v>
      </c>
      <c r="AT274" s="147" t="str">
        <f ca="1">INDEX(Photobiology!$21:$421,1+$AH274-380,AT$14)</f>
        <v/>
      </c>
      <c r="AU274" s="147">
        <f ca="1">INDEX(Photobiology!$21:$421,1+$AH274-380,AU$14)</f>
        <v>3.8821775359375761E-2</v>
      </c>
      <c r="AV274" s="147">
        <f ca="1">INDEX(Photobiology!$21:$421,1+$AH274-380,AV$14)</f>
        <v>0.29240640081109992</v>
      </c>
      <c r="AW274" s="147">
        <f ca="1">INDEX(Photobiology!$21:$421,1+$AH274-380,AW$14)</f>
        <v>2.0947391938849723E-3</v>
      </c>
      <c r="AX274" s="147">
        <f ca="1">INDEX(Photobiology!$21:$421,1+$AH274-380,AX$14)</f>
        <v>2.5359367677158553E-4</v>
      </c>
      <c r="AY274" s="147">
        <f t="shared" si="79"/>
        <v>1.1557205679027798E-3</v>
      </c>
      <c r="AZ274" s="147">
        <f t="shared" ca="1" si="93"/>
        <v>0</v>
      </c>
      <c r="BA274" s="147">
        <f t="shared" ca="1" si="80"/>
        <v>5.2538016868349258E-5</v>
      </c>
      <c r="BB274" s="147">
        <f t="shared" ca="1" si="81"/>
        <v>3.7746873896215899E-4</v>
      </c>
      <c r="BC274" s="147">
        <f t="shared" ca="1" si="82"/>
        <v>3.0314550496089913E-6</v>
      </c>
      <c r="BD274" s="147">
        <f t="shared" ca="1" si="83"/>
        <v>3.7941034951623564E-7</v>
      </c>
    </row>
    <row r="275" spans="8:56" s="147" customFormat="1" ht="0.25" customHeight="1" x14ac:dyDescent="0.2">
      <c r="H275" s="147">
        <f t="shared" si="84"/>
        <v>634</v>
      </c>
      <c r="I275" s="147">
        <f>IF($H275&gt;$H274,INDEX(Spectra!275:275,1,MATCH($I$20,Spectra!$20:$20,0)),I274)</f>
        <v>1.04989891134317E-3</v>
      </c>
      <c r="J275" s="147">
        <f>((Physics!$C$9*Physics!$C$10)/(Physics!$C$11*Physics!$C$12*$H275))^($J$17-$J$18)</f>
        <v>3.1925235601951483E+18</v>
      </c>
      <c r="K275" s="147">
        <f t="shared" si="85"/>
        <v>1</v>
      </c>
      <c r="L275" s="147">
        <f>INDEX(Photobiology!$21:$421,1+$H275-380,10)</f>
        <v>0.2260528</v>
      </c>
      <c r="M275" s="147">
        <f t="shared" si="86"/>
        <v>1.04989891134317E-3</v>
      </c>
      <c r="N275" s="147">
        <f ca="1">INDEX(Photobiology!$21:$421,1+$H275-380,N$14)</f>
        <v>0</v>
      </c>
      <c r="O275" s="147">
        <f ca="1">INDEX(Photobiology!$21:$421,1+$H275-380,O$14)</f>
        <v>4.2494499999999998E-2</v>
      </c>
      <c r="P275" s="147">
        <f ca="1">INDEX(Photobiology!$21:$421,1+$H275-380,P$14)</f>
        <v>0.313249</v>
      </c>
      <c r="Q275" s="147">
        <f ca="1">INDEX(Photobiology!$21:$421,1+$H275-380,Q$14)</f>
        <v>2.421E-3</v>
      </c>
      <c r="R275" s="147">
        <f ca="1">INDEX(Photobiology!$21:$421,1+$H275-380,R$14)</f>
        <v>3.0292600000000002E-4</v>
      </c>
      <c r="S275" s="147">
        <f t="shared" si="87"/>
        <v>3351827010286307.5</v>
      </c>
      <c r="T275" s="147" t="str">
        <f ca="1">INDEX(Photobiology!$21:$421,1+$H275-380,T$14)</f>
        <v/>
      </c>
      <c r="U275" s="147">
        <f ca="1">INDEX(Photobiology!$21:$421,1+$H275-380,U$14)</f>
        <v>3.6232786476503631E-2</v>
      </c>
      <c r="V275" s="147">
        <f ca="1">INDEX(Photobiology!$21:$421,1+$H275-380,V$14)</f>
        <v>0.28000312129061772</v>
      </c>
      <c r="W275" s="147">
        <f ca="1">INDEX(Photobiology!$21:$421,1+$H275-380,W$14)</f>
        <v>1.9303715563093063E-3</v>
      </c>
      <c r="X275" s="147">
        <f ca="1">INDEX(Photobiology!$21:$421,1+$H275-380,X$14)</f>
        <v>2.3363241153665166E-4</v>
      </c>
      <c r="Y275" s="147">
        <f t="shared" si="74"/>
        <v>1.04989891134317E-3</v>
      </c>
      <c r="Z275" s="147">
        <f t="shared" ca="1" si="88"/>
        <v>0</v>
      </c>
      <c r="AA275" s="147">
        <f t="shared" ca="1" si="75"/>
        <v>4.4614929288072339E-5</v>
      </c>
      <c r="AB275" s="147">
        <f t="shared" ca="1" si="76"/>
        <v>3.2887978407933669E-4</v>
      </c>
      <c r="AC275" s="147">
        <f t="shared" ca="1" si="77"/>
        <v>2.5418052643618148E-6</v>
      </c>
      <c r="AD275" s="147">
        <f t="shared" ca="1" si="78"/>
        <v>3.1804167761754113E-7</v>
      </c>
      <c r="AH275" s="147">
        <f t="shared" si="89"/>
        <v>634</v>
      </c>
      <c r="AI275" s="147">
        <f>IF($AH275&gt;$AH274,INDEX(Spectra!275:275,1,MATCH($AI$20,Spectra!$20:$20,0)),AI274)</f>
        <v>83.452799999999996</v>
      </c>
      <c r="AJ275" s="147">
        <f>((Physics!$C$9*Physics!$C$10)/(Physics!$C$11*Physics!$C$12*$AH275))^($AJ$17-$AJ$18)</f>
        <v>3.1925235601951483E+18</v>
      </c>
      <c r="AK275" s="147">
        <f t="shared" si="90"/>
        <v>1</v>
      </c>
      <c r="AL275" s="147">
        <f>INDEX(Photobiology!$21:$421,1+$AH275-380,10)</f>
        <v>0.2260528</v>
      </c>
      <c r="AM275" s="147">
        <f t="shared" si="91"/>
        <v>1.1562886475184216E-3</v>
      </c>
      <c r="AN275" s="147">
        <f ca="1">INDEX(Photobiology!$21:$421,1+$AH275-380,AN$14)</f>
        <v>0</v>
      </c>
      <c r="AO275" s="147">
        <f ca="1">INDEX(Photobiology!$21:$421,1+$AH275-380,AO$14)</f>
        <v>4.2494499999999998E-2</v>
      </c>
      <c r="AP275" s="147">
        <f ca="1">INDEX(Photobiology!$21:$421,1+$AH275-380,AP$14)</f>
        <v>0.313249</v>
      </c>
      <c r="AQ275" s="147">
        <f ca="1">INDEX(Photobiology!$21:$421,1+$AH275-380,AQ$14)</f>
        <v>2.421E-3</v>
      </c>
      <c r="AR275" s="147">
        <f ca="1">INDEX(Photobiology!$21:$421,1+$AH275-380,AR$14)</f>
        <v>3.0292600000000002E-4</v>
      </c>
      <c r="AS275" s="147">
        <f t="shared" si="92"/>
        <v>3691478749588744</v>
      </c>
      <c r="AT275" s="147" t="str">
        <f ca="1">INDEX(Photobiology!$21:$421,1+$AH275-380,AT$14)</f>
        <v/>
      </c>
      <c r="AU275" s="147">
        <f ca="1">INDEX(Photobiology!$21:$421,1+$AH275-380,AU$14)</f>
        <v>3.6232786476503631E-2</v>
      </c>
      <c r="AV275" s="147">
        <f ca="1">INDEX(Photobiology!$21:$421,1+$AH275-380,AV$14)</f>
        <v>0.28000312129061772</v>
      </c>
      <c r="AW275" s="147">
        <f ca="1">INDEX(Photobiology!$21:$421,1+$AH275-380,AW$14)</f>
        <v>1.9303715563093063E-3</v>
      </c>
      <c r="AX275" s="147">
        <f ca="1">INDEX(Photobiology!$21:$421,1+$AH275-380,AX$14)</f>
        <v>2.3363241153665166E-4</v>
      </c>
      <c r="AY275" s="147">
        <f t="shared" si="79"/>
        <v>1.1562886475184216E-3</v>
      </c>
      <c r="AZ275" s="147">
        <f t="shared" ca="1" si="93"/>
        <v>0</v>
      </c>
      <c r="BA275" s="147">
        <f t="shared" ca="1" si="80"/>
        <v>4.9135907931971565E-5</v>
      </c>
      <c r="BB275" s="147">
        <f t="shared" ca="1" si="81"/>
        <v>3.6220626254649806E-4</v>
      </c>
      <c r="BC275" s="147">
        <f t="shared" ca="1" si="82"/>
        <v>2.7993748156420985E-6</v>
      </c>
      <c r="BD275" s="147">
        <f t="shared" ca="1" si="83"/>
        <v>3.5026989483816542E-7</v>
      </c>
    </row>
    <row r="276" spans="8:56" s="147" customFormat="1" ht="0.25" customHeight="1" x14ac:dyDescent="0.2">
      <c r="H276" s="147">
        <f t="shared" si="84"/>
        <v>635</v>
      </c>
      <c r="I276" s="147">
        <f>IF($H276&gt;$H275,INDEX(Spectra!276:276,1,MATCH($I$20,Spectra!$20:$20,0)),I275)</f>
        <v>1.0548984299686101E-3</v>
      </c>
      <c r="J276" s="147">
        <f>((Physics!$C$9*Physics!$C$10)/(Physics!$C$11*Physics!$C$12*$H276))^($J$17-$J$18)</f>
        <v>3.1975590863153306E+18</v>
      </c>
      <c r="K276" s="147">
        <f t="shared" si="85"/>
        <v>1</v>
      </c>
      <c r="L276" s="147">
        <f>INDEX(Photobiology!$21:$421,1+$H276-380,10)</f>
        <v>0.217</v>
      </c>
      <c r="M276" s="147">
        <f t="shared" si="86"/>
        <v>1.0548984299686101E-3</v>
      </c>
      <c r="N276" s="147">
        <f ca="1">INDEX(Photobiology!$21:$421,1+$H276-380,N$14)</f>
        <v>0</v>
      </c>
      <c r="O276" s="147">
        <f ca="1">INDEX(Photobiology!$21:$421,1+$H276-380,O$14)</f>
        <v>3.9709700000000001E-2</v>
      </c>
      <c r="P276" s="147">
        <f ca="1">INDEX(Photobiology!$21:$421,1+$H276-380,P$14)</f>
        <v>0.30031600000000003</v>
      </c>
      <c r="Q276" s="147">
        <f ca="1">INDEX(Photobiology!$21:$421,1+$H276-380,Q$14)</f>
        <v>2.235E-3</v>
      </c>
      <c r="R276" s="147">
        <f ca="1">INDEX(Photobiology!$21:$421,1+$H276-380,R$14)</f>
        <v>2.7980099999999999E-4</v>
      </c>
      <c r="S276" s="147">
        <f t="shared" si="87"/>
        <v>3373100059885905.5</v>
      </c>
      <c r="T276" s="147" t="str">
        <f ca="1">INDEX(Photobiology!$21:$421,1+$H276-380,T$14)</f>
        <v/>
      </c>
      <c r="U276" s="147">
        <f ca="1">INDEX(Photobiology!$21:$421,1+$H276-380,U$14)</f>
        <v>3.380501630258495E-2</v>
      </c>
      <c r="V276" s="147">
        <f ca="1">INDEX(Photobiology!$21:$421,1+$H276-380,V$14)</f>
        <v>0.26801998759512335</v>
      </c>
      <c r="W276" s="147">
        <f ca="1">INDEX(Photobiology!$21:$421,1+$H276-380,W$14)</f>
        <v>1.7792590369533799E-3</v>
      </c>
      <c r="X276" s="147">
        <f ca="1">INDEX(Photobiology!$21:$421,1+$H276-380,X$14)</f>
        <v>2.1545736114213527E-4</v>
      </c>
      <c r="Y276" s="147">
        <f t="shared" si="74"/>
        <v>1.0548984299686101E-3</v>
      </c>
      <c r="Z276" s="147">
        <f t="shared" ca="1" si="88"/>
        <v>0</v>
      </c>
      <c r="AA276" s="147">
        <f t="shared" ca="1" si="75"/>
        <v>4.1889700184524515E-5</v>
      </c>
      <c r="AB276" s="147">
        <f t="shared" ca="1" si="76"/>
        <v>3.1680287689445313E-4</v>
      </c>
      <c r="AC276" s="147">
        <f t="shared" ca="1" si="77"/>
        <v>2.3576979909798435E-6</v>
      </c>
      <c r="AD276" s="147">
        <f t="shared" ca="1" si="78"/>
        <v>2.9516163560364704E-7</v>
      </c>
      <c r="AH276" s="147">
        <f t="shared" si="89"/>
        <v>635</v>
      </c>
      <c r="AI276" s="147">
        <f>IF($AH276&gt;$AH275,INDEX(Spectra!276:276,1,MATCH($AI$20,Spectra!$20:$20,0)),AI275)</f>
        <v>83.493899999999996</v>
      </c>
      <c r="AJ276" s="147">
        <f>((Physics!$C$9*Physics!$C$10)/(Physics!$C$11*Physics!$C$12*$AH276))^($AJ$17-$AJ$18)</f>
        <v>3.1975590863153306E+18</v>
      </c>
      <c r="AK276" s="147">
        <f t="shared" si="90"/>
        <v>1</v>
      </c>
      <c r="AL276" s="147">
        <f>INDEX(Photobiology!$21:$421,1+$AH276-380,10)</f>
        <v>0.217</v>
      </c>
      <c r="AM276" s="147">
        <f t="shared" si="91"/>
        <v>1.1568581126941019E-3</v>
      </c>
      <c r="AN276" s="147">
        <f ca="1">INDEX(Photobiology!$21:$421,1+$AH276-380,AN$14)</f>
        <v>0</v>
      </c>
      <c r="AO276" s="147">
        <f ca="1">INDEX(Photobiology!$21:$421,1+$AH276-380,AO$14)</f>
        <v>3.9709700000000001E-2</v>
      </c>
      <c r="AP276" s="147">
        <f ca="1">INDEX(Photobiology!$21:$421,1+$AH276-380,AP$14)</f>
        <v>0.30031600000000003</v>
      </c>
      <c r="AQ276" s="147">
        <f ca="1">INDEX(Photobiology!$21:$421,1+$AH276-380,AQ$14)</f>
        <v>2.235E-3</v>
      </c>
      <c r="AR276" s="147">
        <f ca="1">INDEX(Photobiology!$21:$421,1+$AH276-380,AR$14)</f>
        <v>2.7980099999999999E-4</v>
      </c>
      <c r="AS276" s="147">
        <f t="shared" si="92"/>
        <v>3699122169822630</v>
      </c>
      <c r="AT276" s="147" t="str">
        <f ca="1">INDEX(Photobiology!$21:$421,1+$AH276-380,AT$14)</f>
        <v/>
      </c>
      <c r="AU276" s="147">
        <f ca="1">INDEX(Photobiology!$21:$421,1+$AH276-380,AU$14)</f>
        <v>3.380501630258495E-2</v>
      </c>
      <c r="AV276" s="147">
        <f ca="1">INDEX(Photobiology!$21:$421,1+$AH276-380,AV$14)</f>
        <v>0.26801998759512335</v>
      </c>
      <c r="AW276" s="147">
        <f ca="1">INDEX(Photobiology!$21:$421,1+$AH276-380,AW$14)</f>
        <v>1.7792590369533799E-3</v>
      </c>
      <c r="AX276" s="147">
        <f ca="1">INDEX(Photobiology!$21:$421,1+$AH276-380,AX$14)</f>
        <v>2.1545736114213527E-4</v>
      </c>
      <c r="AY276" s="147">
        <f t="shared" si="79"/>
        <v>1.1568581126941019E-3</v>
      </c>
      <c r="AZ276" s="147">
        <f t="shared" ca="1" si="93"/>
        <v>0</v>
      </c>
      <c r="BA276" s="147">
        <f t="shared" ca="1" si="80"/>
        <v>4.593848859764898E-5</v>
      </c>
      <c r="BB276" s="147">
        <f t="shared" ca="1" si="81"/>
        <v>3.4742300097184193E-4</v>
      </c>
      <c r="BC276" s="147">
        <f t="shared" ca="1" si="82"/>
        <v>2.5855778818713178E-6</v>
      </c>
      <c r="BD276" s="147">
        <f t="shared" ca="1" si="83"/>
        <v>3.2369005678992239E-7</v>
      </c>
    </row>
    <row r="277" spans="8:56" s="147" customFormat="1" ht="0.25" customHeight="1" x14ac:dyDescent="0.2">
      <c r="H277" s="147">
        <f t="shared" si="84"/>
        <v>636</v>
      </c>
      <c r="I277" s="147">
        <f>IF($H277&gt;$H276,INDEX(Spectra!277:277,1,MATCH($I$20,Spectra!$20:$20,0)),I276)</f>
        <v>1.0598979485940501E-3</v>
      </c>
      <c r="J277" s="147">
        <f>((Physics!$C$9*Physics!$C$10)/(Physics!$C$11*Physics!$C$12*$H277))^($J$17-$J$18)</f>
        <v>3.2025946124355118E+18</v>
      </c>
      <c r="K277" s="147">
        <f t="shared" si="85"/>
        <v>1</v>
      </c>
      <c r="L277" s="147">
        <f>INDEX(Photobiology!$21:$421,1+$H277-380,10)</f>
        <v>0.2081616</v>
      </c>
      <c r="M277" s="147">
        <f t="shared" si="86"/>
        <v>1.0598979485940501E-3</v>
      </c>
      <c r="N277" s="147">
        <f ca="1">INDEX(Photobiology!$21:$421,1+$H277-380,N$14)</f>
        <v>0</v>
      </c>
      <c r="O277" s="147">
        <f ca="1">INDEX(Photobiology!$21:$421,1+$H277-380,O$14)</f>
        <v>3.7095200000000002E-2</v>
      </c>
      <c r="P277" s="147">
        <f ca="1">INDEX(Photobiology!$21:$421,1+$H277-380,P$14)</f>
        <v>0.28781699999999999</v>
      </c>
      <c r="Q277" s="147">
        <f ca="1">INDEX(Photobiology!$21:$421,1+$H277-380,Q$14)</f>
        <v>2.062E-3</v>
      </c>
      <c r="R277" s="147">
        <f ca="1">INDEX(Photobiology!$21:$421,1+$H277-380,R$14)</f>
        <v>2.5854399999999998E-4</v>
      </c>
      <c r="S277" s="147">
        <f t="shared" si="87"/>
        <v>3394423459898756</v>
      </c>
      <c r="T277" s="147" t="str">
        <f ca="1">INDEX(Photobiology!$21:$421,1+$H277-380,T$14)</f>
        <v/>
      </c>
      <c r="U277" s="147">
        <f ca="1">INDEX(Photobiology!$21:$421,1+$H277-380,U$14)</f>
        <v>3.1529629702453807E-2</v>
      </c>
      <c r="V277" s="147">
        <f ca="1">INDEX(Photobiology!$21:$421,1+$H277-380,V$14)</f>
        <v>0.25646125530132191</v>
      </c>
      <c r="W277" s="147">
        <f ca="1">INDEX(Photobiology!$21:$421,1+$H277-380,W$14)</f>
        <v>1.6389545996480007E-3</v>
      </c>
      <c r="X277" s="147">
        <f ca="1">INDEX(Photobiology!$21:$421,1+$H277-380,X$14)</f>
        <v>1.9877563401894053E-4</v>
      </c>
      <c r="Y277" s="147">
        <f t="shared" ref="Y277:Y340" si="94">IF(TRUE,M277,S277)</f>
        <v>1.0598979485940501E-3</v>
      </c>
      <c r="Z277" s="147">
        <f t="shared" ca="1" si="88"/>
        <v>0</v>
      </c>
      <c r="AA277" s="147">
        <f t="shared" ref="AA277:AA340" ca="1" si="95">$Y277*O277</f>
        <v>3.9317126382686011E-5</v>
      </c>
      <c r="AB277" s="147">
        <f t="shared" ref="AB277:AB340" ca="1" si="96">$Y277*P277</f>
        <v>3.0505664787049369E-4</v>
      </c>
      <c r="AC277" s="147">
        <f t="shared" ref="AC277:AC340" ca="1" si="97">$Y277*Q277</f>
        <v>2.1855095700009312E-6</v>
      </c>
      <c r="AD277" s="147">
        <f t="shared" ref="AD277:AD340" ca="1" si="98">$Y277*R277</f>
        <v>2.7403025522130006E-7</v>
      </c>
      <c r="AH277" s="147">
        <f t="shared" si="89"/>
        <v>636</v>
      </c>
      <c r="AI277" s="147">
        <f>IF($AH277&gt;$AH276,INDEX(Spectra!277:277,1,MATCH($AI$20,Spectra!$20:$20,0)),AI276)</f>
        <v>83.534999999999997</v>
      </c>
      <c r="AJ277" s="147">
        <f>((Physics!$C$9*Physics!$C$10)/(Physics!$C$11*Physics!$C$12*$AH277))^($AJ$17-$AJ$18)</f>
        <v>3.2025946124355118E+18</v>
      </c>
      <c r="AK277" s="147">
        <f t="shared" si="90"/>
        <v>1</v>
      </c>
      <c r="AL277" s="147">
        <f>INDEX(Photobiology!$21:$421,1+$AH277-380,10)</f>
        <v>0.2081616</v>
      </c>
      <c r="AM277" s="147">
        <f t="shared" si="91"/>
        <v>1.1574275778697821E-3</v>
      </c>
      <c r="AN277" s="147">
        <f ca="1">INDEX(Photobiology!$21:$421,1+$AH277-380,AN$14)</f>
        <v>0</v>
      </c>
      <c r="AO277" s="147">
        <f ca="1">INDEX(Photobiology!$21:$421,1+$AH277-380,AO$14)</f>
        <v>3.7095200000000002E-2</v>
      </c>
      <c r="AP277" s="147">
        <f ca="1">INDEX(Photobiology!$21:$421,1+$AH277-380,AP$14)</f>
        <v>0.28781699999999999</v>
      </c>
      <c r="AQ277" s="147">
        <f ca="1">INDEX(Photobiology!$21:$421,1+$AH277-380,AQ$14)</f>
        <v>2.062E-3</v>
      </c>
      <c r="AR277" s="147">
        <f ca="1">INDEX(Photobiology!$21:$421,1+$AH277-380,AR$14)</f>
        <v>2.5854399999999998E-4</v>
      </c>
      <c r="AS277" s="147">
        <f t="shared" si="92"/>
        <v>3706771325170048</v>
      </c>
      <c r="AT277" s="147" t="str">
        <f ca="1">INDEX(Photobiology!$21:$421,1+$AH277-380,AT$14)</f>
        <v/>
      </c>
      <c r="AU277" s="147">
        <f ca="1">INDEX(Photobiology!$21:$421,1+$AH277-380,AU$14)</f>
        <v>3.1529629702453807E-2</v>
      </c>
      <c r="AV277" s="147">
        <f ca="1">INDEX(Photobiology!$21:$421,1+$AH277-380,AV$14)</f>
        <v>0.25646125530132191</v>
      </c>
      <c r="AW277" s="147">
        <f ca="1">INDEX(Photobiology!$21:$421,1+$AH277-380,AW$14)</f>
        <v>1.6389545996480007E-3</v>
      </c>
      <c r="AX277" s="147">
        <f ca="1">INDEX(Photobiology!$21:$421,1+$AH277-380,AX$14)</f>
        <v>1.9877563401894053E-4</v>
      </c>
      <c r="AY277" s="147">
        <f t="shared" ref="AY277:AY340" si="99">IF(TRUE,AM277,AS277)</f>
        <v>1.1574275778697821E-3</v>
      </c>
      <c r="AZ277" s="147">
        <f t="shared" ca="1" si="93"/>
        <v>0</v>
      </c>
      <c r="BA277" s="147">
        <f t="shared" ref="BA277:BA340" ca="1" si="100">$AY277*AO277</f>
        <v>4.2935007486595147E-5</v>
      </c>
      <c r="BB277" s="147">
        <f t="shared" ref="BB277:BB340" ca="1" si="101">$AY277*AP277</f>
        <v>3.3312733317974709E-4</v>
      </c>
      <c r="BC277" s="147">
        <f t="shared" ref="BC277:BC340" ca="1" si="102">$AY277*AQ277</f>
        <v>2.3866156655674906E-6</v>
      </c>
      <c r="BD277" s="147">
        <f t="shared" ref="BD277:BD340" ca="1" si="103">$AY277*AR277</f>
        <v>2.9924595569276493E-7</v>
      </c>
    </row>
    <row r="278" spans="8:56" s="147" customFormat="1" ht="0.25" customHeight="1" x14ac:dyDescent="0.2">
      <c r="H278" s="147">
        <f t="shared" ref="H278:H341" si="104">MIN(780,H277+$J$14)</f>
        <v>637</v>
      </c>
      <c r="I278" s="147">
        <f>IF($H278&gt;$H277,INDEX(Spectra!278:278,1,MATCH($I$20,Spectra!$20:$20,0)),I277)</f>
        <v>1.0648974672195E-3</v>
      </c>
      <c r="J278" s="147">
        <f>((Physics!$C$9*Physics!$C$10)/(Physics!$C$11*Physics!$C$12*$H278))^($J$17-$J$18)</f>
        <v>3.2076301385556936E+18</v>
      </c>
      <c r="K278" s="147">
        <f t="shared" ref="K278:K341" si="105">(H278&lt;&gt;H277)*1</f>
        <v>1</v>
      </c>
      <c r="L278" s="147">
        <f>INDEX(Photobiology!$21:$421,1+$H278-380,10)</f>
        <v>0.1995488</v>
      </c>
      <c r="M278" s="147">
        <f t="shared" ref="M278:M341" si="106">$I278*$J$15*IF($J$18,1,$J278)</f>
        <v>1.0648974672195E-3</v>
      </c>
      <c r="N278" s="147">
        <f ca="1">INDEX(Photobiology!$21:$421,1+$H278-380,N$14)</f>
        <v>0</v>
      </c>
      <c r="O278" s="147">
        <f ca="1">INDEX(Photobiology!$21:$421,1+$H278-380,O$14)</f>
        <v>3.4634699999999997E-2</v>
      </c>
      <c r="P278" s="147">
        <f ca="1">INDEX(Photobiology!$21:$421,1+$H278-380,P$14)</f>
        <v>0.27576200000000001</v>
      </c>
      <c r="Q278" s="147">
        <f ca="1">INDEX(Photobiology!$21:$421,1+$H278-380,Q$14)</f>
        <v>1.903E-3</v>
      </c>
      <c r="R278" s="147">
        <f ca="1">INDEX(Photobiology!$21:$421,1+$H278-380,R$14)</f>
        <v>2.3878500000000001E-4</v>
      </c>
      <c r="S278" s="147">
        <f t="shared" ref="S278:S341" si="107">$I278*$J$15*IF($J$17,1,$J278)</f>
        <v>3415797210324892</v>
      </c>
      <c r="T278" s="147" t="str">
        <f ca="1">INDEX(Photobiology!$21:$421,1+$H278-380,T$14)</f>
        <v/>
      </c>
      <c r="U278" s="147">
        <f ca="1">INDEX(Photobiology!$21:$421,1+$H278-380,U$14)</f>
        <v>2.9392076330539259E-2</v>
      </c>
      <c r="V278" s="147">
        <f ca="1">INDEX(Photobiology!$21:$421,1+$H278-380,V$14)</f>
        <v>0.24533382223678896</v>
      </c>
      <c r="W278" s="147">
        <f ca="1">INDEX(Photobiology!$21:$421,1+$H278-380,W$14)</f>
        <v>1.5102009324677328E-3</v>
      </c>
      <c r="X278" s="147">
        <f ca="1">INDEX(Photobiology!$21:$421,1+$H278-380,X$14)</f>
        <v>1.8329617779149819E-4</v>
      </c>
      <c r="Y278" s="147">
        <f t="shared" si="94"/>
        <v>1.0648974672195E-3</v>
      </c>
      <c r="Z278" s="147">
        <f t="shared" ref="Z278:Z341" ca="1" si="108">$Y278*N278</f>
        <v>0</v>
      </c>
      <c r="AA278" s="147">
        <f t="shared" ca="1" si="95"/>
        <v>3.6882404307907219E-5</v>
      </c>
      <c r="AB278" s="147">
        <f t="shared" ca="1" si="96"/>
        <v>2.9365825535538378E-4</v>
      </c>
      <c r="AC278" s="147">
        <f t="shared" ca="1" si="97"/>
        <v>2.0264998801187087E-6</v>
      </c>
      <c r="AD278" s="147">
        <f t="shared" ca="1" si="98"/>
        <v>2.5428154171000832E-7</v>
      </c>
      <c r="AH278" s="147">
        <f t="shared" ref="AH278:AH341" si="109">MIN(780,AH277+$AJ$14)</f>
        <v>637</v>
      </c>
      <c r="AI278" s="147">
        <f>IF($AH278&gt;$AH277,INDEX(Spectra!278:278,1,MATCH($AI$20,Spectra!$20:$20,0)),AI277)</f>
        <v>83.575999999999993</v>
      </c>
      <c r="AJ278" s="147">
        <f>((Physics!$C$9*Physics!$C$10)/(Physics!$C$11*Physics!$C$12*$AH278))^($AJ$17-$AJ$18)</f>
        <v>3.2076301385556936E+18</v>
      </c>
      <c r="AK278" s="147">
        <f t="shared" ref="AK278:AK341" si="110">(AH278&lt;&gt;AH277)*1</f>
        <v>1</v>
      </c>
      <c r="AL278" s="147">
        <f>INDEX(Photobiology!$21:$421,1+$AH278-380,10)</f>
        <v>0.1995488</v>
      </c>
      <c r="AM278" s="147">
        <f t="shared" ref="AM278:AM341" si="111">$AI278*$AJ$15*IF($AJ$18,1,$AJ278)</f>
        <v>1.1579956574854242E-3</v>
      </c>
      <c r="AN278" s="147">
        <f ca="1">INDEX(Photobiology!$21:$421,1+$AH278-380,AN$14)</f>
        <v>0</v>
      </c>
      <c r="AO278" s="147">
        <f ca="1">INDEX(Photobiology!$21:$421,1+$AH278-380,AO$14)</f>
        <v>3.4634699999999997E-2</v>
      </c>
      <c r="AP278" s="147">
        <f ca="1">INDEX(Photobiology!$21:$421,1+$AH278-380,AP$14)</f>
        <v>0.27576200000000001</v>
      </c>
      <c r="AQ278" s="147">
        <f ca="1">INDEX(Photobiology!$21:$421,1+$AH278-380,AQ$14)</f>
        <v>1.903E-3</v>
      </c>
      <c r="AR278" s="147">
        <f ca="1">INDEX(Photobiology!$21:$421,1+$AH278-380,AR$14)</f>
        <v>2.3878500000000001E-4</v>
      </c>
      <c r="AS278" s="147">
        <f t="shared" ref="AS278:AS341" si="112">$AI278*$AJ$15*IF($AJ$17,1,$AJ278)</f>
        <v>3714421771266862.5</v>
      </c>
      <c r="AT278" s="147" t="str">
        <f ca="1">INDEX(Photobiology!$21:$421,1+$AH278-380,AT$14)</f>
        <v/>
      </c>
      <c r="AU278" s="147">
        <f ca="1">INDEX(Photobiology!$21:$421,1+$AH278-380,AU$14)</f>
        <v>2.9392076330539259E-2</v>
      </c>
      <c r="AV278" s="147">
        <f ca="1">INDEX(Photobiology!$21:$421,1+$AH278-380,AV$14)</f>
        <v>0.24533382223678896</v>
      </c>
      <c r="AW278" s="147">
        <f ca="1">INDEX(Photobiology!$21:$421,1+$AH278-380,AW$14)</f>
        <v>1.5102009324677328E-3</v>
      </c>
      <c r="AX278" s="147">
        <f ca="1">INDEX(Photobiology!$21:$421,1+$AH278-380,AX$14)</f>
        <v>1.8329617779149819E-4</v>
      </c>
      <c r="AY278" s="147">
        <f t="shared" si="99"/>
        <v>1.1579956574854242E-3</v>
      </c>
      <c r="AZ278" s="147">
        <f t="shared" ref="AZ278:AZ341" ca="1" si="113">$AY278*AN278</f>
        <v>0</v>
      </c>
      <c r="BA278" s="147">
        <f t="shared" ca="1" si="100"/>
        <v>4.0106832198310418E-5</v>
      </c>
      <c r="BB278" s="147">
        <f t="shared" ca="1" si="101"/>
        <v>3.1933119849949555E-4</v>
      </c>
      <c r="BC278" s="147">
        <f t="shared" ca="1" si="102"/>
        <v>2.2036657361947621E-6</v>
      </c>
      <c r="BD278" s="147">
        <f t="shared" ca="1" si="103"/>
        <v>2.7651199307265701E-7</v>
      </c>
    </row>
    <row r="279" spans="8:56" s="147" customFormat="1" ht="0.25" customHeight="1" x14ac:dyDescent="0.2">
      <c r="H279" s="147">
        <f t="shared" si="104"/>
        <v>638</v>
      </c>
      <c r="I279" s="147">
        <f>IF($H279&gt;$H278,INDEX(Spectra!279:279,1,MATCH($I$20,Spectra!$20:$20,0)),I278)</f>
        <v>1.0698969858449401E-3</v>
      </c>
      <c r="J279" s="147">
        <f>((Physics!$C$9*Physics!$C$10)/(Physics!$C$11*Physics!$C$12*$H279))^($J$17-$J$18)</f>
        <v>3.2126656646758748E+18</v>
      </c>
      <c r="K279" s="147">
        <f t="shared" si="105"/>
        <v>1</v>
      </c>
      <c r="L279" s="147">
        <f>INDEX(Photobiology!$21:$421,1+$H279-380,10)</f>
        <v>0.1911552</v>
      </c>
      <c r="M279" s="147">
        <f t="shared" si="106"/>
        <v>1.0698969858449401E-3</v>
      </c>
      <c r="N279" s="147">
        <f ca="1">INDEX(Photobiology!$21:$421,1+$H279-380,N$14)</f>
        <v>0</v>
      </c>
      <c r="O279" s="147">
        <f ca="1">INDEX(Photobiology!$21:$421,1+$H279-380,O$14)</f>
        <v>3.2312500000000001E-2</v>
      </c>
      <c r="P279" s="147">
        <f ca="1">INDEX(Photobiology!$21:$421,1+$H279-380,P$14)</f>
        <v>0.264158</v>
      </c>
      <c r="Q279" s="147">
        <f ca="1">INDEX(Photobiology!$21:$421,1+$H279-380,Q$14)</f>
        <v>1.7570000000000001E-3</v>
      </c>
      <c r="R279" s="147">
        <f ca="1">INDEX(Photobiology!$21:$421,1+$H279-380,R$14)</f>
        <v>2.2050800000000001E-4</v>
      </c>
      <c r="S279" s="147">
        <f t="shared" si="107"/>
        <v>3437221311164249.5</v>
      </c>
      <c r="T279" s="147" t="str">
        <f ca="1">INDEX(Photobiology!$21:$421,1+$H279-380,T$14)</f>
        <v/>
      </c>
      <c r="U279" s="147">
        <f ca="1">INDEX(Photobiology!$21:$421,1+$H279-380,U$14)</f>
        <v>2.7378405446456745E-2</v>
      </c>
      <c r="V279" s="147">
        <f ca="1">INDEX(Photobiology!$21:$421,1+$H279-380,V$14)</f>
        <v>0.23464187819238913</v>
      </c>
      <c r="W279" s="147">
        <f ca="1">INDEX(Photobiology!$21:$421,1+$H279-380,W$14)</f>
        <v>1.3921513757573661E-3</v>
      </c>
      <c r="X279" s="147">
        <f ca="1">INDEX(Photobiology!$21:$421,1+$H279-380,X$14)</f>
        <v>1.6900107647662986E-4</v>
      </c>
      <c r="Y279" s="147">
        <f t="shared" si="94"/>
        <v>1.0698969858449401E-3</v>
      </c>
      <c r="Z279" s="147">
        <f t="shared" ca="1" si="108"/>
        <v>0</v>
      </c>
      <c r="AA279" s="147">
        <f t="shared" ca="1" si="95"/>
        <v>3.4571046355114623E-5</v>
      </c>
      <c r="AB279" s="147">
        <f t="shared" ca="1" si="96"/>
        <v>2.8262184798682766E-4</v>
      </c>
      <c r="AC279" s="147">
        <f t="shared" ca="1" si="97"/>
        <v>1.8798090041295599E-6</v>
      </c>
      <c r="AD279" s="147">
        <f t="shared" ca="1" si="98"/>
        <v>2.3592084455469604E-7</v>
      </c>
      <c r="AH279" s="147">
        <f t="shared" si="109"/>
        <v>638</v>
      </c>
      <c r="AI279" s="147">
        <f>IF($AH279&gt;$AH278,INDEX(Spectra!279:279,1,MATCH($AI$20,Spectra!$20:$20,0)),AI278)</f>
        <v>83.617099999999994</v>
      </c>
      <c r="AJ279" s="147">
        <f>((Physics!$C$9*Physics!$C$10)/(Physics!$C$11*Physics!$C$12*$AH279))^($AJ$17-$AJ$18)</f>
        <v>3.2126656646758748E+18</v>
      </c>
      <c r="AK279" s="147">
        <f t="shared" si="110"/>
        <v>1</v>
      </c>
      <c r="AL279" s="147">
        <f>INDEX(Photobiology!$21:$421,1+$AH279-380,10)</f>
        <v>0.1911552</v>
      </c>
      <c r="AM279" s="147">
        <f t="shared" si="111"/>
        <v>1.1585651226611044E-3</v>
      </c>
      <c r="AN279" s="147">
        <f ca="1">INDEX(Photobiology!$21:$421,1+$AH279-380,AN$14)</f>
        <v>0</v>
      </c>
      <c r="AO279" s="147">
        <f ca="1">INDEX(Photobiology!$21:$421,1+$AH279-380,AO$14)</f>
        <v>3.2312500000000001E-2</v>
      </c>
      <c r="AP279" s="147">
        <f ca="1">INDEX(Photobiology!$21:$421,1+$AH279-380,AP$14)</f>
        <v>0.264158</v>
      </c>
      <c r="AQ279" s="147">
        <f ca="1">INDEX(Photobiology!$21:$421,1+$AH279-380,AQ$14)</f>
        <v>1.7570000000000001E-3</v>
      </c>
      <c r="AR279" s="147">
        <f ca="1">INDEX(Photobiology!$21:$421,1+$AH279-380,AR$14)</f>
        <v>2.2050800000000001E-4</v>
      </c>
      <c r="AS279" s="147">
        <f t="shared" si="112"/>
        <v>3722082389864323.5</v>
      </c>
      <c r="AT279" s="147" t="str">
        <f ca="1">INDEX(Photobiology!$21:$421,1+$AH279-380,AT$14)</f>
        <v/>
      </c>
      <c r="AU279" s="147">
        <f ca="1">INDEX(Photobiology!$21:$421,1+$AH279-380,AU$14)</f>
        <v>2.7378405446456745E-2</v>
      </c>
      <c r="AV279" s="147">
        <f ca="1">INDEX(Photobiology!$21:$421,1+$AH279-380,AV$14)</f>
        <v>0.23464187819238913</v>
      </c>
      <c r="AW279" s="147">
        <f ca="1">INDEX(Photobiology!$21:$421,1+$AH279-380,AW$14)</f>
        <v>1.3921513757573661E-3</v>
      </c>
      <c r="AX279" s="147">
        <f ca="1">INDEX(Photobiology!$21:$421,1+$AH279-380,AX$14)</f>
        <v>1.6900107647662986E-4</v>
      </c>
      <c r="AY279" s="147">
        <f t="shared" si="99"/>
        <v>1.1585651226611044E-3</v>
      </c>
      <c r="AZ279" s="147">
        <f t="shared" ca="1" si="113"/>
        <v>0</v>
      </c>
      <c r="BA279" s="147">
        <f t="shared" ca="1" si="100"/>
        <v>3.7436135525986936E-5</v>
      </c>
      <c r="BB279" s="147">
        <f t="shared" ca="1" si="101"/>
        <v>3.0604424567191201E-4</v>
      </c>
      <c r="BC279" s="147">
        <f t="shared" ca="1" si="102"/>
        <v>2.0355989205155605E-6</v>
      </c>
      <c r="BD279" s="147">
        <f t="shared" ca="1" si="103"/>
        <v>2.5547287806775481E-7</v>
      </c>
    </row>
    <row r="280" spans="8:56" s="147" customFormat="1" ht="0.25" customHeight="1" x14ac:dyDescent="0.2">
      <c r="H280" s="147">
        <f t="shared" si="104"/>
        <v>639</v>
      </c>
      <c r="I280" s="147">
        <f>IF($H280&gt;$H279,INDEX(Spectra!280:280,1,MATCH($I$20,Spectra!$20:$20,0)),I279)</f>
        <v>1.0648974672195E-3</v>
      </c>
      <c r="J280" s="147">
        <f>((Physics!$C$9*Physics!$C$10)/(Physics!$C$11*Physics!$C$12*$H280))^($J$17-$J$18)</f>
        <v>3.2177011907960566E+18</v>
      </c>
      <c r="K280" s="147">
        <f t="shared" si="105"/>
        <v>1</v>
      </c>
      <c r="L280" s="147">
        <f>INDEX(Photobiology!$21:$421,1+$H280-380,10)</f>
        <v>0.18297440000000001</v>
      </c>
      <c r="M280" s="147">
        <f t="shared" si="106"/>
        <v>1.0648974672195E-3</v>
      </c>
      <c r="N280" s="147">
        <f ca="1">INDEX(Photobiology!$21:$421,1+$H280-380,N$14)</f>
        <v>0</v>
      </c>
      <c r="O280" s="147">
        <f ca="1">INDEX(Photobiology!$21:$421,1+$H280-380,O$14)</f>
        <v>3.0115099999999999E-2</v>
      </c>
      <c r="P280" s="147">
        <f ca="1">INDEX(Photobiology!$21:$421,1+$H280-380,P$14)</f>
        <v>0.25300899999999998</v>
      </c>
      <c r="Q280" s="147">
        <f ca="1">INDEX(Photobiology!$21:$421,1+$H280-380,Q$14)</f>
        <v>1.621E-3</v>
      </c>
      <c r="R280" s="147">
        <f ca="1">INDEX(Photobiology!$21:$421,1+$H280-380,R$14)</f>
        <v>2.03699E-4</v>
      </c>
      <c r="S280" s="147">
        <f t="shared" si="107"/>
        <v>3426521848347890</v>
      </c>
      <c r="T280" s="147" t="str">
        <f ca="1">INDEX(Photobiology!$21:$421,1+$H280-380,T$14)</f>
        <v/>
      </c>
      <c r="U280" s="147">
        <f ca="1">INDEX(Photobiology!$21:$421,1+$H280-380,U$14)</f>
        <v>2.5476614782893051E-2</v>
      </c>
      <c r="V280" s="147">
        <f ca="1">INDEX(Photobiology!$21:$421,1+$H280-380,V$14)</f>
        <v>0.22438692611192182</v>
      </c>
      <c r="W280" s="147">
        <f ca="1">INDEX(Photobiology!$21:$421,1+$H280-380,W$14)</f>
        <v>1.2823823583426334E-3</v>
      </c>
      <c r="X280" s="147">
        <f ca="1">INDEX(Photobiology!$21:$421,1+$H280-380,X$14)</f>
        <v>1.5587405667645503E-4</v>
      </c>
      <c r="Y280" s="147">
        <f t="shared" si="94"/>
        <v>1.0648974672195E-3</v>
      </c>
      <c r="Z280" s="147">
        <f t="shared" ca="1" si="108"/>
        <v>0</v>
      </c>
      <c r="AA280" s="147">
        <f t="shared" ca="1" si="95"/>
        <v>3.2069493715061964E-5</v>
      </c>
      <c r="AB280" s="147">
        <f t="shared" ca="1" si="96"/>
        <v>2.6942864328373845E-4</v>
      </c>
      <c r="AC280" s="147">
        <f t="shared" ca="1" si="97"/>
        <v>1.7261987943628096E-6</v>
      </c>
      <c r="AD280" s="147">
        <f t="shared" ca="1" si="98"/>
        <v>2.1691854917514494E-7</v>
      </c>
      <c r="AH280" s="147">
        <f t="shared" si="109"/>
        <v>639</v>
      </c>
      <c r="AI280" s="147">
        <f>IF($AH280&gt;$AH279,INDEX(Spectra!280:280,1,MATCH($AI$20,Spectra!$20:$20,0)),AI279)</f>
        <v>83.658100000000005</v>
      </c>
      <c r="AJ280" s="147">
        <f>((Physics!$C$9*Physics!$C$10)/(Physics!$C$11*Physics!$C$12*$AH280))^($AJ$17-$AJ$18)</f>
        <v>3.2177011907960566E+18</v>
      </c>
      <c r="AK280" s="147">
        <f t="shared" si="110"/>
        <v>1</v>
      </c>
      <c r="AL280" s="147">
        <f>INDEX(Photobiology!$21:$421,1+$AH280-380,10)</f>
        <v>0.18297440000000001</v>
      </c>
      <c r="AM280" s="147">
        <f t="shared" si="111"/>
        <v>1.1591332022767467E-3</v>
      </c>
      <c r="AN280" s="147">
        <f ca="1">INDEX(Photobiology!$21:$421,1+$AH280-380,AN$14)</f>
        <v>0</v>
      </c>
      <c r="AO280" s="147">
        <f ca="1">INDEX(Photobiology!$21:$421,1+$AH280-380,AO$14)</f>
        <v>3.0115099999999999E-2</v>
      </c>
      <c r="AP280" s="147">
        <f ca="1">INDEX(Photobiology!$21:$421,1+$AH280-380,AP$14)</f>
        <v>0.25300899999999998</v>
      </c>
      <c r="AQ280" s="147">
        <f ca="1">INDEX(Photobiology!$21:$421,1+$AH280-380,AQ$14)</f>
        <v>1.621E-3</v>
      </c>
      <c r="AR280" s="147">
        <f ca="1">INDEX(Photobiology!$21:$421,1+$AH280-380,AR$14)</f>
        <v>2.03699E-4</v>
      </c>
      <c r="AS280" s="147">
        <f t="shared" si="112"/>
        <v>3729744285257134</v>
      </c>
      <c r="AT280" s="147" t="str">
        <f ca="1">INDEX(Photobiology!$21:$421,1+$AH280-380,AT$14)</f>
        <v/>
      </c>
      <c r="AU280" s="147">
        <f ca="1">INDEX(Photobiology!$21:$421,1+$AH280-380,AU$14)</f>
        <v>2.5476614782893051E-2</v>
      </c>
      <c r="AV280" s="147">
        <f ca="1">INDEX(Photobiology!$21:$421,1+$AH280-380,AV$14)</f>
        <v>0.22438692611192182</v>
      </c>
      <c r="AW280" s="147">
        <f ca="1">INDEX(Photobiology!$21:$421,1+$AH280-380,AW$14)</f>
        <v>1.2823823583426334E-3</v>
      </c>
      <c r="AX280" s="147">
        <f ca="1">INDEX(Photobiology!$21:$421,1+$AH280-380,AX$14)</f>
        <v>1.5587405667645503E-4</v>
      </c>
      <c r="AY280" s="147">
        <f t="shared" si="99"/>
        <v>1.1591332022767467E-3</v>
      </c>
      <c r="AZ280" s="147">
        <f t="shared" ca="1" si="113"/>
        <v>0</v>
      </c>
      <c r="BA280" s="147">
        <f t="shared" ca="1" si="100"/>
        <v>3.4907412299884456E-5</v>
      </c>
      <c r="BB280" s="147">
        <f t="shared" ca="1" si="101"/>
        <v>2.9327113237483739E-4</v>
      </c>
      <c r="BC280" s="147">
        <f t="shared" ca="1" si="102"/>
        <v>1.8789549208906065E-6</v>
      </c>
      <c r="BD280" s="147">
        <f t="shared" ca="1" si="103"/>
        <v>2.3611427417057103E-7</v>
      </c>
    </row>
    <row r="281" spans="8:56" s="147" customFormat="1" ht="0.25" customHeight="1" x14ac:dyDescent="0.2">
      <c r="H281" s="147">
        <f t="shared" si="104"/>
        <v>640</v>
      </c>
      <c r="I281" s="147">
        <f>IF($H281&gt;$H280,INDEX(Spectra!281:281,1,MATCH($I$20,Spectra!$20:$20,0)),I280)</f>
        <v>1.0648974672195E-3</v>
      </c>
      <c r="J281" s="147">
        <f>((Physics!$C$9*Physics!$C$10)/(Physics!$C$11*Physics!$C$12*$H281))^($J$17-$J$18)</f>
        <v>3.2227367169162388E+18</v>
      </c>
      <c r="K281" s="147">
        <f t="shared" si="105"/>
        <v>1</v>
      </c>
      <c r="L281" s="147">
        <f>INDEX(Photobiology!$21:$421,1+$H281-380,10)</f>
        <v>0.17499999999999999</v>
      </c>
      <c r="M281" s="147">
        <f t="shared" si="106"/>
        <v>1.0648974672195E-3</v>
      </c>
      <c r="N281" s="147">
        <f ca="1">INDEX(Photobiology!$21:$421,1+$H281-380,N$14)</f>
        <v>0</v>
      </c>
      <c r="O281" s="147">
        <f ca="1">INDEX(Photobiology!$21:$421,1+$H281-380,O$14)</f>
        <v>2.8031400000000001E-2</v>
      </c>
      <c r="P281" s="147">
        <f ca="1">INDEX(Photobiology!$21:$421,1+$H281-380,P$14)</f>
        <v>0.242316</v>
      </c>
      <c r="Q281" s="147">
        <f ca="1">INDEX(Photobiology!$21:$421,1+$H281-380,Q$14)</f>
        <v>1.4970000000000001E-3</v>
      </c>
      <c r="R281" s="147">
        <f ca="1">INDEX(Photobiology!$21:$421,1+$H281-380,R$14)</f>
        <v>1.8834099999999999E-4</v>
      </c>
      <c r="S281" s="147">
        <f t="shared" si="107"/>
        <v>3431884167359389.5</v>
      </c>
      <c r="T281" s="147" t="str">
        <f ca="1">INDEX(Photobiology!$21:$421,1+$H281-380,T$14)</f>
        <v/>
      </c>
      <c r="U281" s="147">
        <f ca="1">INDEX(Photobiology!$21:$421,1+$H281-380,U$14)</f>
        <v>2.3676804253747255E-2</v>
      </c>
      <c r="V281" s="147">
        <f ca="1">INDEX(Photobiology!$21:$421,1+$H281-380,V$14)</f>
        <v>0.2145678030831141</v>
      </c>
      <c r="W281" s="147">
        <f ca="1">INDEX(Photobiology!$21:$421,1+$H281-380,W$14)</f>
        <v>1.1824348044132398E-3</v>
      </c>
      <c r="X281" s="147">
        <f ca="1">INDEX(Photobiology!$21:$421,1+$H281-380,X$14)</f>
        <v>1.4389665463603496E-4</v>
      </c>
      <c r="Y281" s="147">
        <f t="shared" si="94"/>
        <v>1.0648974672195E-3</v>
      </c>
      <c r="Z281" s="147">
        <f t="shared" ca="1" si="108"/>
        <v>0</v>
      </c>
      <c r="AA281" s="147">
        <f t="shared" ca="1" si="95"/>
        <v>2.9850566862616695E-5</v>
      </c>
      <c r="AB281" s="147">
        <f t="shared" ca="1" si="96"/>
        <v>2.580416946667604E-4</v>
      </c>
      <c r="AC281" s="147">
        <f t="shared" ca="1" si="97"/>
        <v>1.5941515084275917E-6</v>
      </c>
      <c r="AD281" s="147">
        <f t="shared" ca="1" si="98"/>
        <v>2.0056385387358785E-7</v>
      </c>
      <c r="AH281" s="147">
        <f t="shared" si="109"/>
        <v>640</v>
      </c>
      <c r="AI281" s="147">
        <f>IF($AH281&gt;$AH280,INDEX(Spectra!281:281,1,MATCH($AI$20,Spectra!$20:$20,0)),AI280)</f>
        <v>83.699200000000005</v>
      </c>
      <c r="AJ281" s="147">
        <f>((Physics!$C$9*Physics!$C$10)/(Physics!$C$11*Physics!$C$12*$AH281))^($AJ$17-$AJ$18)</f>
        <v>3.2227367169162388E+18</v>
      </c>
      <c r="AK281" s="147">
        <f t="shared" si="110"/>
        <v>1</v>
      </c>
      <c r="AL281" s="147">
        <f>INDEX(Photobiology!$21:$421,1+$AH281-380,10)</f>
        <v>0.17499999999999999</v>
      </c>
      <c r="AM281" s="147">
        <f t="shared" si="111"/>
        <v>1.159702667452427E-3</v>
      </c>
      <c r="AN281" s="147">
        <f ca="1">INDEX(Photobiology!$21:$421,1+$AH281-380,AN$14)</f>
        <v>0</v>
      </c>
      <c r="AO281" s="147">
        <f ca="1">INDEX(Photobiology!$21:$421,1+$AH281-380,AO$14)</f>
        <v>2.8031400000000001E-2</v>
      </c>
      <c r="AP281" s="147">
        <f ca="1">INDEX(Photobiology!$21:$421,1+$AH281-380,AP$14)</f>
        <v>0.242316</v>
      </c>
      <c r="AQ281" s="147">
        <f ca="1">INDEX(Photobiology!$21:$421,1+$AH281-380,AQ$14)</f>
        <v>1.4970000000000001E-3</v>
      </c>
      <c r="AR281" s="147">
        <f ca="1">INDEX(Photobiology!$21:$421,1+$AH281-380,AR$14)</f>
        <v>1.8834099999999999E-4</v>
      </c>
      <c r="AS281" s="147">
        <f t="shared" si="112"/>
        <v>3737416367104639</v>
      </c>
      <c r="AT281" s="147" t="str">
        <f ca="1">INDEX(Photobiology!$21:$421,1+$AH281-380,AT$14)</f>
        <v/>
      </c>
      <c r="AU281" s="147">
        <f ca="1">INDEX(Photobiology!$21:$421,1+$AH281-380,AU$14)</f>
        <v>2.3676804253747255E-2</v>
      </c>
      <c r="AV281" s="147">
        <f ca="1">INDEX(Photobiology!$21:$421,1+$AH281-380,AV$14)</f>
        <v>0.2145678030831141</v>
      </c>
      <c r="AW281" s="147">
        <f ca="1">INDEX(Photobiology!$21:$421,1+$AH281-380,AW$14)</f>
        <v>1.1824348044132398E-3</v>
      </c>
      <c r="AX281" s="147">
        <f ca="1">INDEX(Photobiology!$21:$421,1+$AH281-380,AX$14)</f>
        <v>1.4389665463603496E-4</v>
      </c>
      <c r="AY281" s="147">
        <f t="shared" si="99"/>
        <v>1.159702667452427E-3</v>
      </c>
      <c r="AZ281" s="147">
        <f t="shared" ca="1" si="113"/>
        <v>0</v>
      </c>
      <c r="BA281" s="147">
        <f t="shared" ca="1" si="100"/>
        <v>3.2508089352425965E-5</v>
      </c>
      <c r="BB281" s="147">
        <f t="shared" ca="1" si="101"/>
        <v>2.8101451156640231E-4</v>
      </c>
      <c r="BC281" s="147">
        <f t="shared" ca="1" si="102"/>
        <v>1.7360748931762833E-6</v>
      </c>
      <c r="BD281" s="147">
        <f t="shared" ca="1" si="103"/>
        <v>2.1841956009065752E-7</v>
      </c>
    </row>
    <row r="282" spans="8:56" s="147" customFormat="1" ht="0.25" customHeight="1" x14ac:dyDescent="0.2">
      <c r="H282" s="147">
        <f t="shared" si="104"/>
        <v>641</v>
      </c>
      <c r="I282" s="147">
        <f>IF($H282&gt;$H281,INDEX(Spectra!282:282,1,MATCH($I$20,Spectra!$20:$20,0)),I281)</f>
        <v>1.0648974672195E-3</v>
      </c>
      <c r="J282" s="147">
        <f>((Physics!$C$9*Physics!$C$10)/(Physics!$C$11*Physics!$C$12*$H282))^($J$17-$J$18)</f>
        <v>3.2277722430364201E+18</v>
      </c>
      <c r="K282" s="147">
        <f t="shared" si="105"/>
        <v>1</v>
      </c>
      <c r="L282" s="147">
        <f>INDEX(Photobiology!$21:$421,1+$H282-380,10)</f>
        <v>0.1672235</v>
      </c>
      <c r="M282" s="147">
        <f t="shared" si="106"/>
        <v>1.0648974672195E-3</v>
      </c>
      <c r="N282" s="147">
        <f ca="1">INDEX(Photobiology!$21:$421,1+$H282-380,N$14)</f>
        <v>0</v>
      </c>
      <c r="O282" s="147">
        <f ca="1">INDEX(Photobiology!$21:$421,1+$H282-380,O$14)</f>
        <v>2.60564E-2</v>
      </c>
      <c r="P282" s="147">
        <f ca="1">INDEX(Photobiology!$21:$421,1+$H282-380,P$14)</f>
        <v>0.23206099999999999</v>
      </c>
      <c r="Q282" s="147">
        <f ca="1">INDEX(Photobiology!$21:$421,1+$H282-380,Q$14)</f>
        <v>1.382E-3</v>
      </c>
      <c r="R282" s="147">
        <f ca="1">INDEX(Photobiology!$21:$421,1+$H282-380,R$14)</f>
        <v>1.7419199999999999E-4</v>
      </c>
      <c r="S282" s="147">
        <f t="shared" si="107"/>
        <v>3437246486370888.5</v>
      </c>
      <c r="T282" s="147" t="str">
        <f ca="1">INDEX(Photobiology!$21:$421,1+$H282-380,T$14)</f>
        <v/>
      </c>
      <c r="U282" s="147">
        <f ca="1">INDEX(Photobiology!$21:$421,1+$H282-380,U$14)</f>
        <v>2.1974279896785329E-2</v>
      </c>
      <c r="V282" s="147">
        <f ca="1">INDEX(Photobiology!$21:$421,1+$H282-380,V$14)</f>
        <v>0.20516655543385648</v>
      </c>
      <c r="W282" s="147">
        <f ca="1">INDEX(Photobiology!$21:$421,1+$H282-380,W$14)</f>
        <v>1.0898968355925812E-3</v>
      </c>
      <c r="X282" s="147">
        <f ca="1">INDEX(Photobiology!$21:$421,1+$H282-380,X$14)</f>
        <v>1.3287888506666588E-4</v>
      </c>
      <c r="Y282" s="147">
        <f t="shared" si="94"/>
        <v>1.0648974672195E-3</v>
      </c>
      <c r="Z282" s="147">
        <f t="shared" ca="1" si="108"/>
        <v>0</v>
      </c>
      <c r="AA282" s="147">
        <f t="shared" ca="1" si="95"/>
        <v>2.774739436485818E-5</v>
      </c>
      <c r="AB282" s="147">
        <f t="shared" ca="1" si="96"/>
        <v>2.4712117114042436E-4</v>
      </c>
      <c r="AC282" s="147">
        <f t="shared" ca="1" si="97"/>
        <v>1.4716882996973491E-6</v>
      </c>
      <c r="AD282" s="147">
        <f t="shared" ca="1" si="98"/>
        <v>1.8549661960989914E-7</v>
      </c>
      <c r="AH282" s="147">
        <f t="shared" si="109"/>
        <v>641</v>
      </c>
      <c r="AI282" s="147">
        <f>IF($AH282&gt;$AH281,INDEX(Spectra!282:282,1,MATCH($AI$20,Spectra!$20:$20,0)),AI281)</f>
        <v>83.331999999999994</v>
      </c>
      <c r="AJ282" s="147">
        <f>((Physics!$C$9*Physics!$C$10)/(Physics!$C$11*Physics!$C$12*$AH282))^($AJ$17-$AJ$18)</f>
        <v>3.2277722430364201E+18</v>
      </c>
      <c r="AK282" s="147">
        <f t="shared" si="110"/>
        <v>1</v>
      </c>
      <c r="AL282" s="147">
        <f>INDEX(Photobiology!$21:$421,1+$AH282-380,10)</f>
        <v>0.1672235</v>
      </c>
      <c r="AM282" s="147">
        <f t="shared" si="111"/>
        <v>1.1546148909923348E-3</v>
      </c>
      <c r="AN282" s="147">
        <f ca="1">INDEX(Photobiology!$21:$421,1+$AH282-380,AN$14)</f>
        <v>0</v>
      </c>
      <c r="AO282" s="147">
        <f ca="1">INDEX(Photobiology!$21:$421,1+$AH282-380,AO$14)</f>
        <v>2.60564E-2</v>
      </c>
      <c r="AP282" s="147">
        <f ca="1">INDEX(Photobiology!$21:$421,1+$AH282-380,AP$14)</f>
        <v>0.23206099999999999</v>
      </c>
      <c r="AQ282" s="147">
        <f ca="1">INDEX(Photobiology!$21:$421,1+$AH282-380,AQ$14)</f>
        <v>1.382E-3</v>
      </c>
      <c r="AR282" s="147">
        <f ca="1">INDEX(Photobiology!$21:$421,1+$AH282-380,AR$14)</f>
        <v>1.7419199999999999E-4</v>
      </c>
      <c r="AS282" s="147">
        <f t="shared" si="112"/>
        <v>3726833896541580</v>
      </c>
      <c r="AT282" s="147" t="str">
        <f ca="1">INDEX(Photobiology!$21:$421,1+$AH282-380,AT$14)</f>
        <v/>
      </c>
      <c r="AU282" s="147">
        <f ca="1">INDEX(Photobiology!$21:$421,1+$AH282-380,AU$14)</f>
        <v>2.1974279896785329E-2</v>
      </c>
      <c r="AV282" s="147">
        <f ca="1">INDEX(Photobiology!$21:$421,1+$AH282-380,AV$14)</f>
        <v>0.20516655543385648</v>
      </c>
      <c r="AW282" s="147">
        <f ca="1">INDEX(Photobiology!$21:$421,1+$AH282-380,AW$14)</f>
        <v>1.0898968355925812E-3</v>
      </c>
      <c r="AX282" s="147">
        <f ca="1">INDEX(Photobiology!$21:$421,1+$AH282-380,AX$14)</f>
        <v>1.3287888506666588E-4</v>
      </c>
      <c r="AY282" s="147">
        <f t="shared" si="99"/>
        <v>1.1546148909923348E-3</v>
      </c>
      <c r="AZ282" s="147">
        <f t="shared" ca="1" si="113"/>
        <v>0</v>
      </c>
      <c r="BA282" s="147">
        <f t="shared" ca="1" si="100"/>
        <v>3.0085107445652674E-5</v>
      </c>
      <c r="BB282" s="147">
        <f t="shared" ca="1" si="101"/>
        <v>2.6794108621857221E-4</v>
      </c>
      <c r="BC282" s="147">
        <f t="shared" ca="1" si="102"/>
        <v>1.5956777793514066E-6</v>
      </c>
      <c r="BD282" s="147">
        <f t="shared" ca="1" si="103"/>
        <v>2.0112467709173678E-7</v>
      </c>
    </row>
    <row r="283" spans="8:56" s="147" customFormat="1" ht="0.25" customHeight="1" x14ac:dyDescent="0.2">
      <c r="H283" s="147">
        <f t="shared" si="104"/>
        <v>642</v>
      </c>
      <c r="I283" s="147">
        <f>IF($H283&gt;$H282,INDEX(Spectra!283:283,1,MATCH($I$20,Spectra!$20:$20,0)),I282)</f>
        <v>1.0648974672195E-3</v>
      </c>
      <c r="J283" s="147">
        <f>((Physics!$C$9*Physics!$C$10)/(Physics!$C$11*Physics!$C$12*$H283))^($J$17-$J$18)</f>
        <v>3.2328077691566019E+18</v>
      </c>
      <c r="K283" s="147">
        <f t="shared" si="105"/>
        <v>1</v>
      </c>
      <c r="L283" s="147">
        <f>INDEX(Photobiology!$21:$421,1+$H283-380,10)</f>
        <v>0.15964639999999999</v>
      </c>
      <c r="M283" s="147">
        <f t="shared" si="106"/>
        <v>1.0648974672195E-3</v>
      </c>
      <c r="N283" s="147">
        <f ca="1">INDEX(Photobiology!$21:$421,1+$H283-380,N$14)</f>
        <v>0</v>
      </c>
      <c r="O283" s="147">
        <f ca="1">INDEX(Photobiology!$21:$421,1+$H283-380,O$14)</f>
        <v>2.42011E-2</v>
      </c>
      <c r="P283" s="147">
        <f ca="1">INDEX(Photobiology!$21:$421,1+$H283-380,P$14)</f>
        <v>0.22215799999999999</v>
      </c>
      <c r="Q283" s="147">
        <f ca="1">INDEX(Photobiology!$21:$421,1+$H283-380,Q$14)</f>
        <v>1.276E-3</v>
      </c>
      <c r="R283" s="147">
        <f ca="1">INDEX(Photobiology!$21:$421,1+$H283-380,R$14)</f>
        <v>1.6102E-4</v>
      </c>
      <c r="S283" s="147">
        <f t="shared" si="107"/>
        <v>3442608805382387.5</v>
      </c>
      <c r="T283" s="147" t="str">
        <f ca="1">INDEX(Photobiology!$21:$421,1+$H283-380,T$14)</f>
        <v/>
      </c>
      <c r="U283" s="147">
        <f ca="1">INDEX(Photobiology!$21:$421,1+$H283-380,U$14)</f>
        <v>2.0377849341506819E-2</v>
      </c>
      <c r="V283" s="147">
        <f ca="1">INDEX(Photobiology!$21:$421,1+$H283-380,V$14)</f>
        <v>0.19610531577890578</v>
      </c>
      <c r="W283" s="147">
        <f ca="1">INDEX(Photobiology!$21:$421,1+$H283-380,W$14)</f>
        <v>1.0047338276511777E-3</v>
      </c>
      <c r="X283" s="147">
        <f ca="1">INDEX(Photobiology!$21:$421,1+$H283-380,X$14)</f>
        <v>1.2263956280661855E-4</v>
      </c>
      <c r="Y283" s="147">
        <f t="shared" si="94"/>
        <v>1.0648974672195E-3</v>
      </c>
      <c r="Z283" s="147">
        <f t="shared" ca="1" si="108"/>
        <v>0</v>
      </c>
      <c r="AA283" s="147">
        <f t="shared" ca="1" si="95"/>
        <v>2.5771690093925842E-5</v>
      </c>
      <c r="AB283" s="147">
        <f t="shared" ca="1" si="96"/>
        <v>2.3657549152254968E-4</v>
      </c>
      <c r="AC283" s="147">
        <f t="shared" ca="1" si="97"/>
        <v>1.358809168172082E-6</v>
      </c>
      <c r="AD283" s="147">
        <f t="shared" ca="1" si="98"/>
        <v>1.7146979017168391E-7</v>
      </c>
      <c r="AH283" s="147">
        <f t="shared" si="109"/>
        <v>642</v>
      </c>
      <c r="AI283" s="147">
        <f>IF($AH283&gt;$AH282,INDEX(Spectra!283:283,1,MATCH($AI$20,Spectra!$20:$20,0)),AI282)</f>
        <v>82.964699999999993</v>
      </c>
      <c r="AJ283" s="147">
        <f>((Physics!$C$9*Physics!$C$10)/(Physics!$C$11*Physics!$C$12*$AH283))^($AJ$17-$AJ$18)</f>
        <v>3.2328077691566019E+18</v>
      </c>
      <c r="AK283" s="147">
        <f t="shared" si="110"/>
        <v>1</v>
      </c>
      <c r="AL283" s="147">
        <f>INDEX(Photobiology!$21:$421,1+$AH283-380,10)</f>
        <v>0.15964639999999999</v>
      </c>
      <c r="AM283" s="147">
        <f t="shared" si="111"/>
        <v>1.1495257289722046E-3</v>
      </c>
      <c r="AN283" s="147">
        <f ca="1">INDEX(Photobiology!$21:$421,1+$AH283-380,AN$14)</f>
        <v>0</v>
      </c>
      <c r="AO283" s="147">
        <f ca="1">INDEX(Photobiology!$21:$421,1+$AH283-380,AO$14)</f>
        <v>2.42011E-2</v>
      </c>
      <c r="AP283" s="147">
        <f ca="1">INDEX(Photobiology!$21:$421,1+$AH283-380,AP$14)</f>
        <v>0.22215799999999999</v>
      </c>
      <c r="AQ283" s="147">
        <f ca="1">INDEX(Photobiology!$21:$421,1+$AH283-380,AQ$14)</f>
        <v>1.276E-3</v>
      </c>
      <c r="AR283" s="147">
        <f ca="1">INDEX(Photobiology!$21:$421,1+$AH283-380,AR$14)</f>
        <v>1.6102E-4</v>
      </c>
      <c r="AS283" s="147">
        <f t="shared" si="112"/>
        <v>3716195707466749.5</v>
      </c>
      <c r="AT283" s="147" t="str">
        <f ca="1">INDEX(Photobiology!$21:$421,1+$AH283-380,AT$14)</f>
        <v/>
      </c>
      <c r="AU283" s="147">
        <f ca="1">INDEX(Photobiology!$21:$421,1+$AH283-380,AU$14)</f>
        <v>2.0377849341506819E-2</v>
      </c>
      <c r="AV283" s="147">
        <f ca="1">INDEX(Photobiology!$21:$421,1+$AH283-380,AV$14)</f>
        <v>0.19610531577890578</v>
      </c>
      <c r="AW283" s="147">
        <f ca="1">INDEX(Photobiology!$21:$421,1+$AH283-380,AW$14)</f>
        <v>1.0047338276511777E-3</v>
      </c>
      <c r="AX283" s="147">
        <f ca="1">INDEX(Photobiology!$21:$421,1+$AH283-380,AX$14)</f>
        <v>1.2263956280661855E-4</v>
      </c>
      <c r="AY283" s="147">
        <f t="shared" si="99"/>
        <v>1.1495257289722046E-3</v>
      </c>
      <c r="AZ283" s="147">
        <f t="shared" ca="1" si="113"/>
        <v>0</v>
      </c>
      <c r="BA283" s="147">
        <f t="shared" ca="1" si="100"/>
        <v>2.7819787119429222E-5</v>
      </c>
      <c r="BB283" s="147">
        <f t="shared" ca="1" si="101"/>
        <v>2.5537633689700701E-4</v>
      </c>
      <c r="BC283" s="147">
        <f t="shared" ca="1" si="102"/>
        <v>1.4667948301685331E-6</v>
      </c>
      <c r="BD283" s="147">
        <f t="shared" ca="1" si="103"/>
        <v>1.8509663287910439E-7</v>
      </c>
    </row>
    <row r="284" spans="8:56" s="147" customFormat="1" ht="0.25" customHeight="1" x14ac:dyDescent="0.2">
      <c r="H284" s="147">
        <f t="shared" si="104"/>
        <v>643</v>
      </c>
      <c r="I284" s="147">
        <f>IF($H284&gt;$H283,INDEX(Spectra!284:284,1,MATCH($I$20,Spectra!$20:$20,0)),I283)</f>
        <v>1.0598979485940501E-3</v>
      </c>
      <c r="J284" s="147">
        <f>((Physics!$C$9*Physics!$C$10)/(Physics!$C$11*Physics!$C$12*$H284))^($J$17-$J$18)</f>
        <v>3.2378432952767836E+18</v>
      </c>
      <c r="K284" s="147">
        <f t="shared" si="105"/>
        <v>1</v>
      </c>
      <c r="L284" s="147">
        <f>INDEX(Photobiology!$21:$421,1+$H284-380,10)</f>
        <v>0.15227760000000001</v>
      </c>
      <c r="M284" s="147">
        <f t="shared" si="106"/>
        <v>1.0598979485940501E-3</v>
      </c>
      <c r="N284" s="147">
        <f ca="1">INDEX(Photobiology!$21:$421,1+$H284-380,N$14)</f>
        <v>0</v>
      </c>
      <c r="O284" s="147">
        <f ca="1">INDEX(Photobiology!$21:$421,1+$H284-380,O$14)</f>
        <v>2.2475999999999999E-2</v>
      </c>
      <c r="P284" s="147">
        <f ca="1">INDEX(Photobiology!$21:$421,1+$H284-380,P$14)</f>
        <v>0.21251600000000001</v>
      </c>
      <c r="Q284" s="147">
        <f ca="1">INDEX(Photobiology!$21:$421,1+$H284-380,Q$14)</f>
        <v>1.178E-3</v>
      </c>
      <c r="R284" s="147">
        <f ca="1">INDEX(Photobiology!$21:$421,1+$H284-380,R$14)</f>
        <v>1.4882099999999999E-4</v>
      </c>
      <c r="S284" s="147">
        <f t="shared" si="107"/>
        <v>3431783466532862</v>
      </c>
      <c r="T284" s="147" t="str">
        <f ca="1">INDEX(Photobiology!$21:$421,1+$H284-380,T$14)</f>
        <v/>
      </c>
      <c r="U284" s="147">
        <f ca="1">INDEX(Photobiology!$21:$421,1+$H284-380,U$14)</f>
        <v>1.8895845070511015E-2</v>
      </c>
      <c r="V284" s="147">
        <f ca="1">INDEX(Photobiology!$21:$421,1+$H284-380,V$14)</f>
        <v>0.18730229435254545</v>
      </c>
      <c r="W284" s="147">
        <f ca="1">INDEX(Photobiology!$21:$421,1+$H284-380,W$14)</f>
        <v>9.2612518738174085E-4</v>
      </c>
      <c r="X284" s="147">
        <f ca="1">INDEX(Photobiology!$21:$421,1+$H284-380,X$14)</f>
        <v>1.1317201407972955E-4</v>
      </c>
      <c r="Y284" s="147">
        <f t="shared" si="94"/>
        <v>1.0598979485940501E-3</v>
      </c>
      <c r="Z284" s="147">
        <f t="shared" ca="1" si="108"/>
        <v>0</v>
      </c>
      <c r="AA284" s="147">
        <f t="shared" ca="1" si="95"/>
        <v>2.3822266292599869E-5</v>
      </c>
      <c r="AB284" s="147">
        <f t="shared" ca="1" si="96"/>
        <v>2.2524527244341316E-4</v>
      </c>
      <c r="AC284" s="147">
        <f t="shared" ca="1" si="97"/>
        <v>1.248559783443791E-6</v>
      </c>
      <c r="AD284" s="147">
        <f t="shared" ca="1" si="98"/>
        <v>1.5773507260771512E-7</v>
      </c>
      <c r="AH284" s="147">
        <f t="shared" si="109"/>
        <v>643</v>
      </c>
      <c r="AI284" s="147">
        <f>IF($AH284&gt;$AH283,INDEX(Spectra!284:284,1,MATCH($AI$20,Spectra!$20:$20,0)),AI283)</f>
        <v>82.597499999999997</v>
      </c>
      <c r="AJ284" s="147">
        <f>((Physics!$C$9*Physics!$C$10)/(Physics!$C$11*Physics!$C$12*$AH284))^($AJ$17-$AJ$18)</f>
        <v>3.2378432952767836E+18</v>
      </c>
      <c r="AK284" s="147">
        <f t="shared" si="110"/>
        <v>1</v>
      </c>
      <c r="AL284" s="147">
        <f>INDEX(Photobiology!$21:$421,1+$AH284-380,10)</f>
        <v>0.15227760000000001</v>
      </c>
      <c r="AM284" s="147">
        <f t="shared" si="111"/>
        <v>1.1444379525121127E-3</v>
      </c>
      <c r="AN284" s="147">
        <f ca="1">INDEX(Photobiology!$21:$421,1+$AH284-380,AN$14)</f>
        <v>0</v>
      </c>
      <c r="AO284" s="147">
        <f ca="1">INDEX(Photobiology!$21:$421,1+$AH284-380,AO$14)</f>
        <v>2.2475999999999999E-2</v>
      </c>
      <c r="AP284" s="147">
        <f ca="1">INDEX(Photobiology!$21:$421,1+$AH284-380,AP$14)</f>
        <v>0.21251600000000001</v>
      </c>
      <c r="AQ284" s="147">
        <f ca="1">INDEX(Photobiology!$21:$421,1+$AH284-380,AQ$14)</f>
        <v>1.178E-3</v>
      </c>
      <c r="AR284" s="147">
        <f ca="1">INDEX(Photobiology!$21:$421,1+$AH284-380,AR$14)</f>
        <v>1.4882099999999999E-4</v>
      </c>
      <c r="AS284" s="147">
        <f t="shared" si="112"/>
        <v>3705510751401634</v>
      </c>
      <c r="AT284" s="147" t="str">
        <f ca="1">INDEX(Photobiology!$21:$421,1+$AH284-380,AT$14)</f>
        <v/>
      </c>
      <c r="AU284" s="147">
        <f ca="1">INDEX(Photobiology!$21:$421,1+$AH284-380,AU$14)</f>
        <v>1.8895845070511015E-2</v>
      </c>
      <c r="AV284" s="147">
        <f ca="1">INDEX(Photobiology!$21:$421,1+$AH284-380,AV$14)</f>
        <v>0.18730229435254545</v>
      </c>
      <c r="AW284" s="147">
        <f ca="1">INDEX(Photobiology!$21:$421,1+$AH284-380,AW$14)</f>
        <v>9.2612518738174085E-4</v>
      </c>
      <c r="AX284" s="147">
        <f ca="1">INDEX(Photobiology!$21:$421,1+$AH284-380,AX$14)</f>
        <v>1.1317201407972955E-4</v>
      </c>
      <c r="AY284" s="147">
        <f t="shared" si="99"/>
        <v>1.1444379525121127E-3</v>
      </c>
      <c r="AZ284" s="147">
        <f t="shared" ca="1" si="113"/>
        <v>0</v>
      </c>
      <c r="BA284" s="147">
        <f t="shared" ca="1" si="100"/>
        <v>2.5722387420662244E-5</v>
      </c>
      <c r="BB284" s="147">
        <f t="shared" ca="1" si="101"/>
        <v>2.4321137591606416E-4</v>
      </c>
      <c r="BC284" s="147">
        <f t="shared" ca="1" si="102"/>
        <v>1.3481479080592688E-6</v>
      </c>
      <c r="BD284" s="147">
        <f t="shared" ca="1" si="103"/>
        <v>1.703164005308051E-7</v>
      </c>
    </row>
    <row r="285" spans="8:56" s="147" customFormat="1" ht="0.25" customHeight="1" x14ac:dyDescent="0.2">
      <c r="H285" s="147">
        <f t="shared" si="104"/>
        <v>644</v>
      </c>
      <c r="I285" s="147">
        <f>IF($H285&gt;$H284,INDEX(Spectra!285:285,1,MATCH($I$20,Spectra!$20:$20,0)),I284)</f>
        <v>1.0598979485940501E-3</v>
      </c>
      <c r="J285" s="147">
        <f>((Physics!$C$9*Physics!$C$10)/(Physics!$C$11*Physics!$C$12*$H285))^($J$17-$J$18)</f>
        <v>3.2428788213969644E+18</v>
      </c>
      <c r="K285" s="147">
        <f t="shared" si="105"/>
        <v>1</v>
      </c>
      <c r="L285" s="147">
        <f>INDEX(Photobiology!$21:$421,1+$H285-380,10)</f>
        <v>0.1451259</v>
      </c>
      <c r="M285" s="147">
        <f t="shared" si="106"/>
        <v>1.0598979485940501E-3</v>
      </c>
      <c r="N285" s="147">
        <f ca="1">INDEX(Photobiology!$21:$421,1+$H285-380,N$14)</f>
        <v>0</v>
      </c>
      <c r="O285" s="147">
        <f ca="1">INDEX(Photobiology!$21:$421,1+$H285-380,O$14)</f>
        <v>2.0886999999999999E-2</v>
      </c>
      <c r="P285" s="147">
        <f ca="1">INDEX(Photobiology!$21:$421,1+$H285-380,P$14)</f>
        <v>0.20305999999999999</v>
      </c>
      <c r="Q285" s="147">
        <f ca="1">INDEX(Photobiology!$21:$421,1+$H285-380,Q$14)</f>
        <v>1.088E-3</v>
      </c>
      <c r="R285" s="147">
        <f ca="1">INDEX(Photobiology!$21:$421,1+$H285-380,R$14)</f>
        <v>1.37594E-4</v>
      </c>
      <c r="S285" s="147">
        <f t="shared" si="107"/>
        <v>3437120610337733.5</v>
      </c>
      <c r="T285" s="147" t="str">
        <f ca="1">INDEX(Photobiology!$21:$421,1+$H285-380,T$14)</f>
        <v/>
      </c>
      <c r="U285" s="147">
        <f ca="1">INDEX(Photobiology!$21:$421,1+$H285-380,U$14)</f>
        <v>1.7532686541291524E-2</v>
      </c>
      <c r="V285" s="147">
        <f ca="1">INDEX(Photobiology!$21:$421,1+$H285-380,V$14)</f>
        <v>0.17869028920218913</v>
      </c>
      <c r="W285" s="147">
        <f ca="1">INDEX(Photobiology!$21:$421,1+$H285-380,W$14)</f>
        <v>8.5404038201561199E-4</v>
      </c>
      <c r="X285" s="147">
        <f ca="1">INDEX(Photobiology!$21:$421,1+$H285-380,X$14)</f>
        <v>1.0447188439122284E-4</v>
      </c>
      <c r="Y285" s="147">
        <f t="shared" si="94"/>
        <v>1.0598979485940501E-3</v>
      </c>
      <c r="Z285" s="147">
        <f t="shared" ca="1" si="108"/>
        <v>0</v>
      </c>
      <c r="AA285" s="147">
        <f t="shared" ca="1" si="95"/>
        <v>2.2138088452283923E-5</v>
      </c>
      <c r="AB285" s="147">
        <f t="shared" ca="1" si="96"/>
        <v>2.1522287744150779E-4</v>
      </c>
      <c r="AC285" s="147">
        <f t="shared" ca="1" si="97"/>
        <v>1.1531689680703265E-6</v>
      </c>
      <c r="AD285" s="147">
        <f t="shared" ca="1" si="98"/>
        <v>1.4583559833884971E-7</v>
      </c>
      <c r="AH285" s="147">
        <f t="shared" si="109"/>
        <v>644</v>
      </c>
      <c r="AI285" s="147">
        <f>IF($AH285&gt;$AH284,INDEX(Spectra!285:285,1,MATCH($AI$20,Spectra!$20:$20,0)),AI284)</f>
        <v>82.230199999999996</v>
      </c>
      <c r="AJ285" s="147">
        <f>((Physics!$C$9*Physics!$C$10)/(Physics!$C$11*Physics!$C$12*$AH285))^($AJ$17-$AJ$18)</f>
        <v>3.2428788213969644E+18</v>
      </c>
      <c r="AK285" s="147">
        <f t="shared" si="110"/>
        <v>1</v>
      </c>
      <c r="AL285" s="147">
        <f>INDEX(Photobiology!$21:$421,1+$AH285-380,10)</f>
        <v>0.1451259</v>
      </c>
      <c r="AM285" s="147">
        <f t="shared" si="111"/>
        <v>1.1393487904919825E-3</v>
      </c>
      <c r="AN285" s="147">
        <f ca="1">INDEX(Photobiology!$21:$421,1+$AH285-380,AN$14)</f>
        <v>0</v>
      </c>
      <c r="AO285" s="147">
        <f ca="1">INDEX(Photobiology!$21:$421,1+$AH285-380,AO$14)</f>
        <v>2.0886999999999999E-2</v>
      </c>
      <c r="AP285" s="147">
        <f ca="1">INDEX(Photobiology!$21:$421,1+$AH285-380,AP$14)</f>
        <v>0.20305999999999999</v>
      </c>
      <c r="AQ285" s="147">
        <f ca="1">INDEX(Photobiology!$21:$421,1+$AH285-380,AQ$14)</f>
        <v>1.088E-3</v>
      </c>
      <c r="AR285" s="147">
        <f ca="1">INDEX(Photobiology!$21:$421,1+$AH285-380,AR$14)</f>
        <v>1.37594E-4</v>
      </c>
      <c r="AS285" s="147">
        <f t="shared" si="112"/>
        <v>3694770062870697</v>
      </c>
      <c r="AT285" s="147" t="str">
        <f ca="1">INDEX(Photobiology!$21:$421,1+$AH285-380,AT$14)</f>
        <v/>
      </c>
      <c r="AU285" s="147">
        <f ca="1">INDEX(Photobiology!$21:$421,1+$AH285-380,AU$14)</f>
        <v>1.7532686541291524E-2</v>
      </c>
      <c r="AV285" s="147">
        <f ca="1">INDEX(Photobiology!$21:$421,1+$AH285-380,AV$14)</f>
        <v>0.17869028920218913</v>
      </c>
      <c r="AW285" s="147">
        <f ca="1">INDEX(Photobiology!$21:$421,1+$AH285-380,AW$14)</f>
        <v>8.5404038201561199E-4</v>
      </c>
      <c r="AX285" s="147">
        <f ca="1">INDEX(Photobiology!$21:$421,1+$AH285-380,AX$14)</f>
        <v>1.0447188439122284E-4</v>
      </c>
      <c r="AY285" s="147">
        <f t="shared" si="99"/>
        <v>1.1393487904919825E-3</v>
      </c>
      <c r="AZ285" s="147">
        <f t="shared" ca="1" si="113"/>
        <v>0</v>
      </c>
      <c r="BA285" s="147">
        <f t="shared" ca="1" si="100"/>
        <v>2.3797578187006037E-5</v>
      </c>
      <c r="BB285" s="147">
        <f t="shared" ca="1" si="101"/>
        <v>2.3135616539730195E-4</v>
      </c>
      <c r="BC285" s="147">
        <f t="shared" ca="1" si="102"/>
        <v>1.2396114840552771E-6</v>
      </c>
      <c r="BD285" s="147">
        <f t="shared" ca="1" si="103"/>
        <v>1.5676755747895385E-7</v>
      </c>
    </row>
    <row r="286" spans="8:56" s="147" customFormat="1" ht="0.25" customHeight="1" x14ac:dyDescent="0.2">
      <c r="H286" s="147">
        <f t="shared" si="104"/>
        <v>645</v>
      </c>
      <c r="I286" s="147">
        <f>IF($H286&gt;$H285,INDEX(Spectra!286:286,1,MATCH($I$20,Spectra!$20:$20,0)),I285)</f>
        <v>1.0548984299686101E-3</v>
      </c>
      <c r="J286" s="147">
        <f>((Physics!$C$9*Physics!$C$10)/(Physics!$C$11*Physics!$C$12*$H286))^($J$17-$J$18)</f>
        <v>3.2479143475171466E+18</v>
      </c>
      <c r="K286" s="147">
        <f t="shared" si="105"/>
        <v>1</v>
      </c>
      <c r="L286" s="147">
        <f>INDEX(Photobiology!$21:$421,1+$H286-380,10)</f>
        <v>0.13819999999999999</v>
      </c>
      <c r="M286" s="147">
        <f t="shared" si="106"/>
        <v>1.0548984299686101E-3</v>
      </c>
      <c r="N286" s="147">
        <f ca="1">INDEX(Photobiology!$21:$421,1+$H286-380,N$14)</f>
        <v>0</v>
      </c>
      <c r="O286" s="147">
        <f ca="1">INDEX(Photobiology!$21:$421,1+$H286-380,O$14)</f>
        <v>1.9436599999999998E-2</v>
      </c>
      <c r="P286" s="147">
        <f ca="1">INDEX(Photobiology!$21:$421,1+$H286-380,P$14)</f>
        <v>0.19373000000000001</v>
      </c>
      <c r="Q286" s="147">
        <f ca="1">INDEX(Photobiology!$21:$421,1+$H286-380,Q$14)</f>
        <v>1.005E-3</v>
      </c>
      <c r="R286" s="147">
        <f ca="1">INDEX(Photobiology!$21:$421,1+$H286-380,R$14)</f>
        <v>1.2733699999999999E-4</v>
      </c>
      <c r="S286" s="147">
        <f t="shared" si="107"/>
        <v>3426219745868360.5</v>
      </c>
      <c r="T286" s="147" t="str">
        <f ca="1">INDEX(Photobiology!$21:$421,1+$H286-380,T$14)</f>
        <v/>
      </c>
      <c r="U286" s="147">
        <f ca="1">INDEX(Photobiology!$21:$421,1+$H286-380,U$14)</f>
        <v>1.6289916246048419E-2</v>
      </c>
      <c r="V286" s="147">
        <f ca="1">INDEX(Photobiology!$21:$421,1+$H286-380,V$14)</f>
        <v>0.17021569448124491</v>
      </c>
      <c r="W286" s="147">
        <f ca="1">INDEX(Photobiology!$21:$421,1+$H286-380,W$14)</f>
        <v>7.876653215460334E-4</v>
      </c>
      <c r="X286" s="147">
        <f ca="1">INDEX(Photobiology!$21:$421,1+$H286-380,X$14)</f>
        <v>9.6534088151660106E-5</v>
      </c>
      <c r="Y286" s="147">
        <f t="shared" si="94"/>
        <v>1.0548984299686101E-3</v>
      </c>
      <c r="Z286" s="147">
        <f t="shared" ca="1" si="108"/>
        <v>0</v>
      </c>
      <c r="AA286" s="147">
        <f t="shared" ca="1" si="95"/>
        <v>2.0503638823927886E-5</v>
      </c>
      <c r="AB286" s="147">
        <f t="shared" ca="1" si="96"/>
        <v>2.0436547283781884E-4</v>
      </c>
      <c r="AC286" s="147">
        <f t="shared" ca="1" si="97"/>
        <v>1.0601729221184532E-6</v>
      </c>
      <c r="AD286" s="147">
        <f t="shared" ca="1" si="98"/>
        <v>1.343276013769129E-7</v>
      </c>
      <c r="AH286" s="147">
        <f t="shared" si="109"/>
        <v>645</v>
      </c>
      <c r="AI286" s="147">
        <f>IF($AH286&gt;$AH285,INDEX(Spectra!286:286,1,MATCH($AI$20,Spectra!$20:$20,0)),AI285)</f>
        <v>81.863</v>
      </c>
      <c r="AJ286" s="147">
        <f>((Physics!$C$9*Physics!$C$10)/(Physics!$C$11*Physics!$C$12*$AH286))^($AJ$17-$AJ$18)</f>
        <v>3.2479143475171466E+18</v>
      </c>
      <c r="AK286" s="147">
        <f t="shared" si="110"/>
        <v>1</v>
      </c>
      <c r="AL286" s="147">
        <f>INDEX(Photobiology!$21:$421,1+$AH286-380,10)</f>
        <v>0.13819999999999999</v>
      </c>
      <c r="AM286" s="147">
        <f t="shared" si="111"/>
        <v>1.1342610140318906E-3</v>
      </c>
      <c r="AN286" s="147">
        <f ca="1">INDEX(Photobiology!$21:$421,1+$AH286-380,AN$14)</f>
        <v>0</v>
      </c>
      <c r="AO286" s="147">
        <f ca="1">INDEX(Photobiology!$21:$421,1+$AH286-380,AO$14)</f>
        <v>1.9436599999999998E-2</v>
      </c>
      <c r="AP286" s="147">
        <f ca="1">INDEX(Photobiology!$21:$421,1+$AH286-380,AP$14)</f>
        <v>0.19373000000000001</v>
      </c>
      <c r="AQ286" s="147">
        <f ca="1">INDEX(Photobiology!$21:$421,1+$AH286-380,AQ$14)</f>
        <v>1.005E-3</v>
      </c>
      <c r="AR286" s="147">
        <f ca="1">INDEX(Photobiology!$21:$421,1+$AH286-380,AR$14)</f>
        <v>1.2733699999999999E-4</v>
      </c>
      <c r="AS286" s="147">
        <f t="shared" si="112"/>
        <v>3683982621303525</v>
      </c>
      <c r="AT286" s="147" t="str">
        <f ca="1">INDEX(Photobiology!$21:$421,1+$AH286-380,AT$14)</f>
        <v/>
      </c>
      <c r="AU286" s="147">
        <f ca="1">INDEX(Photobiology!$21:$421,1+$AH286-380,AU$14)</f>
        <v>1.6289916246048419E-2</v>
      </c>
      <c r="AV286" s="147">
        <f ca="1">INDEX(Photobiology!$21:$421,1+$AH286-380,AV$14)</f>
        <v>0.17021569448124491</v>
      </c>
      <c r="AW286" s="147">
        <f ca="1">INDEX(Photobiology!$21:$421,1+$AH286-380,AW$14)</f>
        <v>7.876653215460334E-4</v>
      </c>
      <c r="AX286" s="147">
        <f ca="1">INDEX(Photobiology!$21:$421,1+$AH286-380,AX$14)</f>
        <v>9.6534088151660106E-5</v>
      </c>
      <c r="AY286" s="147">
        <f t="shared" si="99"/>
        <v>1.1342610140318906E-3</v>
      </c>
      <c r="AZ286" s="147">
        <f t="shared" ca="1" si="113"/>
        <v>0</v>
      </c>
      <c r="BA286" s="147">
        <f t="shared" ca="1" si="100"/>
        <v>2.2046177625332244E-5</v>
      </c>
      <c r="BB286" s="147">
        <f t="shared" ca="1" si="101"/>
        <v>2.1974038624839818E-4</v>
      </c>
      <c r="BC286" s="147">
        <f t="shared" ca="1" si="102"/>
        <v>1.13993231910205E-6</v>
      </c>
      <c r="BD286" s="147">
        <f t="shared" ca="1" si="103"/>
        <v>1.4443339474377884E-7</v>
      </c>
    </row>
    <row r="287" spans="8:56" s="147" customFormat="1" ht="0.25" customHeight="1" x14ac:dyDescent="0.2">
      <c r="H287" s="147">
        <f t="shared" si="104"/>
        <v>646</v>
      </c>
      <c r="I287" s="147">
        <f>IF($H287&gt;$H286,INDEX(Spectra!287:287,1,MATCH($I$20,Spectra!$20:$20,0)),I286)</f>
        <v>1.0448993927177201E-3</v>
      </c>
      <c r="J287" s="147">
        <f>((Physics!$C$9*Physics!$C$10)/(Physics!$C$11*Physics!$C$12*$H287))^($J$17-$J$18)</f>
        <v>3.2529498736373284E+18</v>
      </c>
      <c r="K287" s="147">
        <f t="shared" si="105"/>
        <v>1</v>
      </c>
      <c r="L287" s="147">
        <f>INDEX(Photobiology!$21:$421,1+$H287-380,10)</f>
        <v>0.13150029999999999</v>
      </c>
      <c r="M287" s="147">
        <f t="shared" si="106"/>
        <v>1.0448993927177201E-3</v>
      </c>
      <c r="N287" s="147">
        <f ca="1">INDEX(Photobiology!$21:$421,1+$H287-380,N$14)</f>
        <v>0</v>
      </c>
      <c r="O287" s="147">
        <f ca="1">INDEX(Photobiology!$21:$421,1+$H287-380,O$14)</f>
        <v>1.8120000000000001E-2</v>
      </c>
      <c r="P287" s="147">
        <f ca="1">INDEX(Photobiology!$21:$421,1+$H287-380,P$14)</f>
        <v>0.18449499999999999</v>
      </c>
      <c r="Q287" s="147">
        <f ca="1">INDEX(Photobiology!$21:$421,1+$H287-380,Q$14)</f>
        <v>9.2800000000000001E-4</v>
      </c>
      <c r="R287" s="147">
        <f ca="1">INDEX(Photobiology!$21:$421,1+$H287-380,R$14)</f>
        <v>1.17891E-4</v>
      </c>
      <c r="S287" s="147">
        <f t="shared" si="107"/>
        <v>3399005347504828.5</v>
      </c>
      <c r="T287" s="147" t="str">
        <f ca="1">INDEX(Photobiology!$21:$421,1+$H287-380,T$14)</f>
        <v/>
      </c>
      <c r="U287" s="147">
        <f ca="1">INDEX(Photobiology!$21:$421,1+$H287-380,U$14)</f>
        <v>1.5162958428566331E-2</v>
      </c>
      <c r="V287" s="147">
        <f ca="1">INDEX(Photobiology!$21:$421,1+$H287-380,V$14)</f>
        <v>0.16185067690111021</v>
      </c>
      <c r="W287" s="147">
        <f ca="1">INDEX(Photobiology!$21:$421,1+$H287-380,W$14)</f>
        <v>7.2619095677124257E-4</v>
      </c>
      <c r="X287" s="147">
        <f ca="1">INDEX(Photobiology!$21:$421,1+$H287-380,X$14)</f>
        <v>8.9234733918138305E-5</v>
      </c>
      <c r="Y287" s="147">
        <f t="shared" si="94"/>
        <v>1.0448993927177201E-3</v>
      </c>
      <c r="Z287" s="147">
        <f t="shared" ca="1" si="108"/>
        <v>0</v>
      </c>
      <c r="AA287" s="147">
        <f t="shared" ca="1" si="95"/>
        <v>1.893357699604509E-5</v>
      </c>
      <c r="AB287" s="147">
        <f t="shared" ca="1" si="96"/>
        <v>1.9277871345945574E-4</v>
      </c>
      <c r="AC287" s="147">
        <f t="shared" ca="1" si="97"/>
        <v>9.6966663644204415E-7</v>
      </c>
      <c r="AD287" s="147">
        <f t="shared" ca="1" si="98"/>
        <v>1.2318423430688472E-7</v>
      </c>
      <c r="AH287" s="147">
        <f t="shared" si="109"/>
        <v>646</v>
      </c>
      <c r="AI287" s="147">
        <f>IF($AH287&gt;$AH286,INDEX(Spectra!287:287,1,MATCH($AI$20,Spectra!$20:$20,0)),AI286)</f>
        <v>81.495800000000003</v>
      </c>
      <c r="AJ287" s="147">
        <f>((Physics!$C$9*Physics!$C$10)/(Physics!$C$11*Physics!$C$12*$AH287))^($AJ$17-$AJ$18)</f>
        <v>3.2529498736373284E+18</v>
      </c>
      <c r="AK287" s="147">
        <f t="shared" si="110"/>
        <v>1</v>
      </c>
      <c r="AL287" s="147">
        <f>INDEX(Photobiology!$21:$421,1+$AH287-380,10)</f>
        <v>0.13150029999999999</v>
      </c>
      <c r="AM287" s="147">
        <f t="shared" si="111"/>
        <v>1.1291732375717986E-3</v>
      </c>
      <c r="AN287" s="147">
        <f ca="1">INDEX(Photobiology!$21:$421,1+$AH287-380,AN$14)</f>
        <v>0</v>
      </c>
      <c r="AO287" s="147">
        <f ca="1">INDEX(Photobiology!$21:$421,1+$AH287-380,AO$14)</f>
        <v>1.8120000000000001E-2</v>
      </c>
      <c r="AP287" s="147">
        <f ca="1">INDEX(Photobiology!$21:$421,1+$AH287-380,AP$14)</f>
        <v>0.18449499999999999</v>
      </c>
      <c r="AQ287" s="147">
        <f ca="1">INDEX(Photobiology!$21:$421,1+$AH287-380,AQ$14)</f>
        <v>9.2800000000000001E-4</v>
      </c>
      <c r="AR287" s="147">
        <f ca="1">INDEX(Photobiology!$21:$421,1+$AH287-380,AR$14)</f>
        <v>1.17891E-4</v>
      </c>
      <c r="AS287" s="147">
        <f t="shared" si="112"/>
        <v>3673143940473835.5</v>
      </c>
      <c r="AT287" s="147" t="str">
        <f ca="1">INDEX(Photobiology!$21:$421,1+$AH287-380,AT$14)</f>
        <v/>
      </c>
      <c r="AU287" s="147">
        <f ca="1">INDEX(Photobiology!$21:$421,1+$AH287-380,AU$14)</f>
        <v>1.5162958428566331E-2</v>
      </c>
      <c r="AV287" s="147">
        <f ca="1">INDEX(Photobiology!$21:$421,1+$AH287-380,AV$14)</f>
        <v>0.16185067690111021</v>
      </c>
      <c r="AW287" s="147">
        <f ca="1">INDEX(Photobiology!$21:$421,1+$AH287-380,AW$14)</f>
        <v>7.2619095677124257E-4</v>
      </c>
      <c r="AX287" s="147">
        <f ca="1">INDEX(Photobiology!$21:$421,1+$AH287-380,AX$14)</f>
        <v>8.9234733918138305E-5</v>
      </c>
      <c r="AY287" s="147">
        <f t="shared" si="99"/>
        <v>1.1291732375717986E-3</v>
      </c>
      <c r="AZ287" s="147">
        <f t="shared" ca="1" si="113"/>
        <v>0</v>
      </c>
      <c r="BA287" s="147">
        <f t="shared" ca="1" si="100"/>
        <v>2.0460619064800992E-5</v>
      </c>
      <c r="BB287" s="147">
        <f t="shared" ca="1" si="101"/>
        <v>2.0832681646580897E-4</v>
      </c>
      <c r="BC287" s="147">
        <f t="shared" ca="1" si="102"/>
        <v>1.0478727644666292E-6</v>
      </c>
      <c r="BD287" s="147">
        <f t="shared" ca="1" si="103"/>
        <v>1.3311936215057692E-7</v>
      </c>
    </row>
    <row r="288" spans="8:56" s="147" customFormat="1" ht="0.25" customHeight="1" x14ac:dyDescent="0.2">
      <c r="H288" s="147">
        <f t="shared" si="104"/>
        <v>647</v>
      </c>
      <c r="I288" s="147">
        <f>IF($H288&gt;$H287,INDEX(Spectra!288:288,1,MATCH($I$20,Spectra!$20:$20,0)),I287)</f>
        <v>1.0398998740922801E-3</v>
      </c>
      <c r="J288" s="147">
        <f>((Physics!$C$9*Physics!$C$10)/(Physics!$C$11*Physics!$C$12*$H288))^($J$17-$J$18)</f>
        <v>3.2579853997575096E+18</v>
      </c>
      <c r="K288" s="147">
        <f t="shared" si="105"/>
        <v>1</v>
      </c>
      <c r="L288" s="147">
        <f>INDEX(Photobiology!$21:$421,1+$H288-380,10)</f>
        <v>0.12502479999999999</v>
      </c>
      <c r="M288" s="147">
        <f t="shared" si="106"/>
        <v>1.0398998740922801E-3</v>
      </c>
      <c r="N288" s="147">
        <f ca="1">INDEX(Photobiology!$21:$421,1+$H288-380,N$14)</f>
        <v>0</v>
      </c>
      <c r="O288" s="147">
        <f ca="1">INDEX(Photobiology!$21:$421,1+$H288-380,O$14)</f>
        <v>1.69149E-2</v>
      </c>
      <c r="P288" s="147">
        <f ca="1">INDEX(Photobiology!$21:$421,1+$H288-380,P$14)</f>
        <v>0.175402</v>
      </c>
      <c r="Q288" s="147">
        <f ca="1">INDEX(Photobiology!$21:$421,1+$H288-380,Q$14)</f>
        <v>8.5700000000000001E-4</v>
      </c>
      <c r="R288" s="147">
        <f ca="1">INDEX(Photobiology!$21:$421,1+$H288-380,R$14)</f>
        <v>1.09096E-4</v>
      </c>
      <c r="S288" s="147">
        <f t="shared" si="107"/>
        <v>3387978607002321</v>
      </c>
      <c r="T288" s="147" t="str">
        <f ca="1">INDEX(Photobiology!$21:$421,1+$H288-380,T$14)</f>
        <v/>
      </c>
      <c r="U288" s="147">
        <f ca="1">INDEX(Photobiology!$21:$421,1+$H288-380,U$14)</f>
        <v>1.4132644118045963E-2</v>
      </c>
      <c r="V288" s="147">
        <f ca="1">INDEX(Photobiology!$21:$421,1+$H288-380,V$14)</f>
        <v>0.15363589602023883</v>
      </c>
      <c r="W288" s="147">
        <f ca="1">INDEX(Photobiology!$21:$421,1+$H288-380,W$14)</f>
        <v>6.6959456421815671E-4</v>
      </c>
      <c r="X288" s="147">
        <f ca="1">INDEX(Photobiology!$21:$421,1+$H288-380,X$14)</f>
        <v>8.2449940435907828E-5</v>
      </c>
      <c r="Y288" s="147">
        <f t="shared" si="94"/>
        <v>1.0398998740922801E-3</v>
      </c>
      <c r="Z288" s="147">
        <f t="shared" ca="1" si="108"/>
        <v>0</v>
      </c>
      <c r="AA288" s="147">
        <f t="shared" ca="1" si="95"/>
        <v>1.7589802380283506E-5</v>
      </c>
      <c r="AB288" s="147">
        <f t="shared" ca="1" si="96"/>
        <v>1.8240051771553411E-4</v>
      </c>
      <c r="AC288" s="147">
        <f t="shared" ca="1" si="97"/>
        <v>8.9119419209708399E-7</v>
      </c>
      <c r="AD288" s="147">
        <f t="shared" ca="1" si="98"/>
        <v>1.1344891666397139E-7</v>
      </c>
      <c r="AH288" s="147">
        <f t="shared" si="109"/>
        <v>647</v>
      </c>
      <c r="AI288" s="147">
        <f>IF($AH288&gt;$AH287,INDEX(Spectra!288:288,1,MATCH($AI$20,Spectra!$20:$20,0)),AI287)</f>
        <v>81.128500000000003</v>
      </c>
      <c r="AJ288" s="147">
        <f>((Physics!$C$9*Physics!$C$10)/(Physics!$C$11*Physics!$C$12*$AH288))^($AJ$17-$AJ$18)</f>
        <v>3.2579853997575096E+18</v>
      </c>
      <c r="AK288" s="147">
        <f t="shared" si="110"/>
        <v>1</v>
      </c>
      <c r="AL288" s="147">
        <f>INDEX(Photobiology!$21:$421,1+$AH288-380,10)</f>
        <v>0.12502479999999999</v>
      </c>
      <c r="AM288" s="147">
        <f t="shared" si="111"/>
        <v>1.1240840755516685E-3</v>
      </c>
      <c r="AN288" s="147">
        <f ca="1">INDEX(Photobiology!$21:$421,1+$AH288-380,AN$14)</f>
        <v>0</v>
      </c>
      <c r="AO288" s="147">
        <f ca="1">INDEX(Photobiology!$21:$421,1+$AH288-380,AO$14)</f>
        <v>1.69149E-2</v>
      </c>
      <c r="AP288" s="147">
        <f ca="1">INDEX(Photobiology!$21:$421,1+$AH288-380,AP$14)</f>
        <v>0.175402</v>
      </c>
      <c r="AQ288" s="147">
        <f ca="1">INDEX(Photobiology!$21:$421,1+$AH288-380,AQ$14)</f>
        <v>8.5700000000000001E-4</v>
      </c>
      <c r="AR288" s="147">
        <f ca="1">INDEX(Photobiology!$21:$421,1+$AH288-380,AR$14)</f>
        <v>1.09096E-4</v>
      </c>
      <c r="AS288" s="147">
        <f t="shared" si="112"/>
        <v>3662249506247253</v>
      </c>
      <c r="AT288" s="147" t="str">
        <f ca="1">INDEX(Photobiology!$21:$421,1+$AH288-380,AT$14)</f>
        <v/>
      </c>
      <c r="AU288" s="147">
        <f ca="1">INDEX(Photobiology!$21:$421,1+$AH288-380,AU$14)</f>
        <v>1.4132644118045963E-2</v>
      </c>
      <c r="AV288" s="147">
        <f ca="1">INDEX(Photobiology!$21:$421,1+$AH288-380,AV$14)</f>
        <v>0.15363589602023883</v>
      </c>
      <c r="AW288" s="147">
        <f ca="1">INDEX(Photobiology!$21:$421,1+$AH288-380,AW$14)</f>
        <v>6.6959456421815671E-4</v>
      </c>
      <c r="AX288" s="147">
        <f ca="1">INDEX(Photobiology!$21:$421,1+$AH288-380,AX$14)</f>
        <v>8.2449940435907828E-5</v>
      </c>
      <c r="AY288" s="147">
        <f t="shared" si="99"/>
        <v>1.1240840755516685E-3</v>
      </c>
      <c r="AZ288" s="147">
        <f t="shared" ca="1" si="113"/>
        <v>0</v>
      </c>
      <c r="BA288" s="147">
        <f t="shared" ca="1" si="100"/>
        <v>1.9013769729548918E-5</v>
      </c>
      <c r="BB288" s="147">
        <f t="shared" ca="1" si="101"/>
        <v>1.9716659501991374E-4</v>
      </c>
      <c r="BC288" s="147">
        <f t="shared" ca="1" si="102"/>
        <v>9.6334005274777993E-7</v>
      </c>
      <c r="BD288" s="147">
        <f t="shared" ca="1" si="103"/>
        <v>1.2263307630638483E-7</v>
      </c>
    </row>
    <row r="289" spans="8:56" s="147" customFormat="1" ht="0.25" customHeight="1" x14ac:dyDescent="0.2">
      <c r="H289" s="147">
        <f t="shared" si="104"/>
        <v>648</v>
      </c>
      <c r="I289" s="147">
        <f>IF($H289&gt;$H288,INDEX(Spectra!289:289,1,MATCH($I$20,Spectra!$20:$20,0)),I288)</f>
        <v>1.0299008368413901E-3</v>
      </c>
      <c r="J289" s="147">
        <f>((Physics!$C$9*Physics!$C$10)/(Physics!$C$11*Physics!$C$12*$H289))^($J$17-$J$18)</f>
        <v>3.2630209258776914E+18</v>
      </c>
      <c r="K289" s="147">
        <f t="shared" si="105"/>
        <v>1</v>
      </c>
      <c r="L289" s="147">
        <f>INDEX(Photobiology!$21:$421,1+$H289-380,10)</f>
        <v>0.1187792</v>
      </c>
      <c r="M289" s="147">
        <f t="shared" si="106"/>
        <v>1.0299008368413901E-3</v>
      </c>
      <c r="N289" s="147">
        <f ca="1">INDEX(Photobiology!$21:$421,1+$H289-380,N$14)</f>
        <v>0</v>
      </c>
      <c r="O289" s="147">
        <f ca="1">INDEX(Photobiology!$21:$421,1+$H289-380,O$14)</f>
        <v>1.57991E-2</v>
      </c>
      <c r="P289" s="147">
        <f ca="1">INDEX(Photobiology!$21:$421,1+$H289-380,P$14)</f>
        <v>0.16650899999999999</v>
      </c>
      <c r="Q289" s="147">
        <f ca="1">INDEX(Photobiology!$21:$421,1+$H289-380,Q$14)</f>
        <v>7.9199999999999995E-4</v>
      </c>
      <c r="R289" s="147">
        <f ca="1">INDEX(Photobiology!$21:$421,1+$H289-380,R$14)</f>
        <v>1.00949E-4</v>
      </c>
      <c r="S289" s="147">
        <f t="shared" si="107"/>
        <v>3360587982192402</v>
      </c>
      <c r="T289" s="147" t="str">
        <f ca="1">INDEX(Photobiology!$21:$421,1+$H289-380,T$14)</f>
        <v/>
      </c>
      <c r="U289" s="147">
        <f ca="1">INDEX(Photobiology!$21:$421,1+$H289-380,U$14)</f>
        <v>1.3180006093180277E-2</v>
      </c>
      <c r="V289" s="147">
        <f ca="1">INDEX(Photobiology!$21:$421,1+$H289-380,V$14)</f>
        <v>0.14562138052389603</v>
      </c>
      <c r="W289" s="147">
        <f ca="1">INDEX(Photobiology!$21:$421,1+$H289-380,W$14)</f>
        <v>6.1785356068204606E-4</v>
      </c>
      <c r="X289" s="147">
        <f ca="1">INDEX(Photobiology!$21:$421,1+$H289-380,X$14)</f>
        <v>7.6175061710581789E-5</v>
      </c>
      <c r="Y289" s="147">
        <f t="shared" si="94"/>
        <v>1.0299008368413901E-3</v>
      </c>
      <c r="Z289" s="147">
        <f t="shared" ca="1" si="108"/>
        <v>0</v>
      </c>
      <c r="AA289" s="147">
        <f t="shared" ca="1" si="95"/>
        <v>1.6271506311340805E-5</v>
      </c>
      <c r="AB289" s="147">
        <f t="shared" ca="1" si="96"/>
        <v>1.7148775844162302E-4</v>
      </c>
      <c r="AC289" s="147">
        <f t="shared" ca="1" si="97"/>
        <v>8.1568146277838089E-7</v>
      </c>
      <c r="AD289" s="147">
        <f t="shared" ca="1" si="98"/>
        <v>1.0396745957830148E-7</v>
      </c>
      <c r="AH289" s="147">
        <f t="shared" si="109"/>
        <v>648</v>
      </c>
      <c r="AI289" s="147">
        <f>IF($AH289&gt;$AH288,INDEX(Spectra!289:289,1,MATCH($AI$20,Spectra!$20:$20,0)),AI288)</f>
        <v>80.761300000000006</v>
      </c>
      <c r="AJ289" s="147">
        <f>((Physics!$C$9*Physics!$C$10)/(Physics!$C$11*Physics!$C$12*$AH289))^($AJ$17-$AJ$18)</f>
        <v>3.2630209258776914E+18</v>
      </c>
      <c r="AK289" s="147">
        <f t="shared" si="110"/>
        <v>1</v>
      </c>
      <c r="AL289" s="147">
        <f>INDEX(Photobiology!$21:$421,1+$AH289-380,10)</f>
        <v>0.1187792</v>
      </c>
      <c r="AM289" s="147">
        <f t="shared" si="111"/>
        <v>1.1189962990915765E-3</v>
      </c>
      <c r="AN289" s="147">
        <f ca="1">INDEX(Photobiology!$21:$421,1+$AH289-380,AN$14)</f>
        <v>0</v>
      </c>
      <c r="AO289" s="147">
        <f ca="1">INDEX(Photobiology!$21:$421,1+$AH289-380,AO$14)</f>
        <v>1.57991E-2</v>
      </c>
      <c r="AP289" s="147">
        <f ca="1">INDEX(Photobiology!$21:$421,1+$AH289-380,AP$14)</f>
        <v>0.16650899999999999</v>
      </c>
      <c r="AQ289" s="147">
        <f ca="1">INDEX(Photobiology!$21:$421,1+$AH289-380,AQ$14)</f>
        <v>7.9199999999999995E-4</v>
      </c>
      <c r="AR289" s="147">
        <f ca="1">INDEX(Photobiology!$21:$421,1+$AH289-380,AR$14)</f>
        <v>1.00949E-4</v>
      </c>
      <c r="AS289" s="147">
        <f t="shared" si="112"/>
        <v>3651308339915506</v>
      </c>
      <c r="AT289" s="147" t="str">
        <f ca="1">INDEX(Photobiology!$21:$421,1+$AH289-380,AT$14)</f>
        <v/>
      </c>
      <c r="AU289" s="147">
        <f ca="1">INDEX(Photobiology!$21:$421,1+$AH289-380,AU$14)</f>
        <v>1.3180006093180277E-2</v>
      </c>
      <c r="AV289" s="147">
        <f ca="1">INDEX(Photobiology!$21:$421,1+$AH289-380,AV$14)</f>
        <v>0.14562138052389603</v>
      </c>
      <c r="AW289" s="147">
        <f ca="1">INDEX(Photobiology!$21:$421,1+$AH289-380,AW$14)</f>
        <v>6.1785356068204606E-4</v>
      </c>
      <c r="AX289" s="147">
        <f ca="1">INDEX(Photobiology!$21:$421,1+$AH289-380,AX$14)</f>
        <v>7.6175061710581789E-5</v>
      </c>
      <c r="AY289" s="147">
        <f t="shared" si="99"/>
        <v>1.1189962990915765E-3</v>
      </c>
      <c r="AZ289" s="147">
        <f t="shared" ca="1" si="113"/>
        <v>0</v>
      </c>
      <c r="BA289" s="147">
        <f t="shared" ca="1" si="100"/>
        <v>1.7679134428977727E-5</v>
      </c>
      <c r="BB289" s="147">
        <f t="shared" ca="1" si="101"/>
        <v>1.8632295476543931E-4</v>
      </c>
      <c r="BC289" s="147">
        <f t="shared" ca="1" si="102"/>
        <v>8.8624506888052854E-7</v>
      </c>
      <c r="BD289" s="147">
        <f t="shared" ca="1" si="103"/>
        <v>1.1296155739699555E-7</v>
      </c>
    </row>
    <row r="290" spans="8:56" s="147" customFormat="1" ht="0.25" customHeight="1" x14ac:dyDescent="0.2">
      <c r="H290" s="147">
        <f t="shared" si="104"/>
        <v>649</v>
      </c>
      <c r="I290" s="147">
        <f>IF($H290&gt;$H289,INDEX(Spectra!290:290,1,MATCH($I$20,Spectra!$20:$20,0)),I289)</f>
        <v>1.0249013182159501E-3</v>
      </c>
      <c r="J290" s="147">
        <f>((Physics!$C$9*Physics!$C$10)/(Physics!$C$11*Physics!$C$12*$H290))^($J$17-$J$18)</f>
        <v>3.2680564519978732E+18</v>
      </c>
      <c r="K290" s="147">
        <f t="shared" si="105"/>
        <v>1</v>
      </c>
      <c r="L290" s="147">
        <f>INDEX(Photobiology!$21:$421,1+$H290-380,10)</f>
        <v>0.1127691</v>
      </c>
      <c r="M290" s="147">
        <f t="shared" si="106"/>
        <v>1.0249013182159501E-3</v>
      </c>
      <c r="N290" s="147">
        <f ca="1">INDEX(Photobiology!$21:$421,1+$H290-380,N$14)</f>
        <v>0</v>
      </c>
      <c r="O290" s="147">
        <f ca="1">INDEX(Photobiology!$21:$421,1+$H290-380,O$14)</f>
        <v>1.47543E-2</v>
      </c>
      <c r="P290" s="147">
        <f ca="1">INDEX(Photobiology!$21:$421,1+$H290-380,P$14)</f>
        <v>0.15786500000000001</v>
      </c>
      <c r="Q290" s="147">
        <f ca="1">INDEX(Photobiology!$21:$421,1+$H290-380,Q$14)</f>
        <v>7.3200000000000001E-4</v>
      </c>
      <c r="R290" s="147">
        <f ca="1">INDEX(Photobiology!$21:$421,1+$H290-380,R$14)</f>
        <v>9.3443700000000001E-5</v>
      </c>
      <c r="S290" s="147">
        <f t="shared" si="107"/>
        <v>3349435365656761</v>
      </c>
      <c r="T290" s="147" t="str">
        <f ca="1">INDEX(Photobiology!$21:$421,1+$H290-380,T$14)</f>
        <v/>
      </c>
      <c r="U290" s="147">
        <f ca="1">INDEX(Photobiology!$21:$421,1+$H290-380,U$14)</f>
        <v>1.2289442498776955E-2</v>
      </c>
      <c r="V290" s="147">
        <f ca="1">INDEX(Photobiology!$21:$421,1+$H290-380,V$14)</f>
        <v>0.13784899188151567</v>
      </c>
      <c r="W290" s="147">
        <f ca="1">INDEX(Photobiology!$21:$421,1+$H290-380,W$14)</f>
        <v>5.7016658604472901E-4</v>
      </c>
      <c r="X290" s="147">
        <f ca="1">INDEX(Photobiology!$21:$421,1+$H290-380,X$14)</f>
        <v>7.0402994073902453E-5</v>
      </c>
      <c r="Y290" s="147">
        <f t="shared" si="94"/>
        <v>1.0249013182159501E-3</v>
      </c>
      <c r="Z290" s="147">
        <f t="shared" ca="1" si="108"/>
        <v>0</v>
      </c>
      <c r="AA290" s="147">
        <f t="shared" ca="1" si="95"/>
        <v>1.5121701519353592E-5</v>
      </c>
      <c r="AB290" s="147">
        <f t="shared" ca="1" si="96"/>
        <v>1.6179604660016095E-4</v>
      </c>
      <c r="AC290" s="147">
        <f t="shared" ca="1" si="97"/>
        <v>7.5022776493407549E-7</v>
      </c>
      <c r="AD290" s="147">
        <f t="shared" ca="1" si="98"/>
        <v>9.5770571308975778E-8</v>
      </c>
      <c r="AH290" s="147">
        <f t="shared" si="109"/>
        <v>649</v>
      </c>
      <c r="AI290" s="147">
        <f>IF($AH290&gt;$AH289,INDEX(Spectra!290:290,1,MATCH($AI$20,Spectra!$20:$20,0)),AI289)</f>
        <v>80.394000000000005</v>
      </c>
      <c r="AJ290" s="147">
        <f>((Physics!$C$9*Physics!$C$10)/(Physics!$C$11*Physics!$C$12*$AH290))^($AJ$17-$AJ$18)</f>
        <v>3.2680564519978732E+18</v>
      </c>
      <c r="AK290" s="147">
        <f t="shared" si="110"/>
        <v>1</v>
      </c>
      <c r="AL290" s="147">
        <f>INDEX(Photobiology!$21:$421,1+$AH290-380,10)</f>
        <v>0.1127691</v>
      </c>
      <c r="AM290" s="147">
        <f t="shared" si="111"/>
        <v>1.1139071370714463E-3</v>
      </c>
      <c r="AN290" s="147">
        <f ca="1">INDEX(Photobiology!$21:$421,1+$AH290-380,AN$14)</f>
        <v>0</v>
      </c>
      <c r="AO290" s="147">
        <f ca="1">INDEX(Photobiology!$21:$421,1+$AH290-380,AO$14)</f>
        <v>1.47543E-2</v>
      </c>
      <c r="AP290" s="147">
        <f ca="1">INDEX(Photobiology!$21:$421,1+$AH290-380,AP$14)</f>
        <v>0.15786500000000001</v>
      </c>
      <c r="AQ290" s="147">
        <f ca="1">INDEX(Photobiology!$21:$421,1+$AH290-380,AQ$14)</f>
        <v>7.3200000000000001E-4</v>
      </c>
      <c r="AR290" s="147">
        <f ca="1">INDEX(Photobiology!$21:$421,1+$AH290-380,AR$14)</f>
        <v>9.3443700000000001E-5</v>
      </c>
      <c r="AS290" s="147">
        <f t="shared" si="112"/>
        <v>3640311406232819.5</v>
      </c>
      <c r="AT290" s="147" t="str">
        <f ca="1">INDEX(Photobiology!$21:$421,1+$AH290-380,AT$14)</f>
        <v/>
      </c>
      <c r="AU290" s="147">
        <f ca="1">INDEX(Photobiology!$21:$421,1+$AH290-380,AU$14)</f>
        <v>1.2289442498776955E-2</v>
      </c>
      <c r="AV290" s="147">
        <f ca="1">INDEX(Photobiology!$21:$421,1+$AH290-380,AV$14)</f>
        <v>0.13784899188151567</v>
      </c>
      <c r="AW290" s="147">
        <f ca="1">INDEX(Photobiology!$21:$421,1+$AH290-380,AW$14)</f>
        <v>5.7016658604472901E-4</v>
      </c>
      <c r="AX290" s="147">
        <f ca="1">INDEX(Photobiology!$21:$421,1+$AH290-380,AX$14)</f>
        <v>7.0402994073902453E-5</v>
      </c>
      <c r="AY290" s="147">
        <f t="shared" si="99"/>
        <v>1.1139071370714463E-3</v>
      </c>
      <c r="AZ290" s="147">
        <f t="shared" ca="1" si="113"/>
        <v>0</v>
      </c>
      <c r="BA290" s="147">
        <f t="shared" ca="1" si="100"/>
        <v>1.6434920072493239E-5</v>
      </c>
      <c r="BB290" s="147">
        <f t="shared" ca="1" si="101"/>
        <v>1.7584695019378388E-4</v>
      </c>
      <c r="BC290" s="147">
        <f t="shared" ca="1" si="102"/>
        <v>8.1538002433629878E-7</v>
      </c>
      <c r="BD290" s="147">
        <f t="shared" ca="1" si="103"/>
        <v>1.0408760434436312E-7</v>
      </c>
    </row>
    <row r="291" spans="8:56" s="147" customFormat="1" ht="0.25" customHeight="1" x14ac:dyDescent="0.2">
      <c r="H291" s="147">
        <f t="shared" si="104"/>
        <v>650</v>
      </c>
      <c r="I291" s="147">
        <f>IF($H291&gt;$H290,INDEX(Spectra!291:291,1,MATCH($I$20,Spectra!$20:$20,0)),I290)</f>
        <v>1.0249013182159501E-3</v>
      </c>
      <c r="J291" s="147">
        <f>((Physics!$C$9*Physics!$C$10)/(Physics!$C$11*Physics!$C$12*$H291))^($J$17-$J$18)</f>
        <v>3.2730919781180544E+18</v>
      </c>
      <c r="K291" s="147">
        <f t="shared" si="105"/>
        <v>1</v>
      </c>
      <c r="L291" s="147">
        <f>INDEX(Photobiology!$21:$421,1+$H291-380,10)</f>
        <v>0.107</v>
      </c>
      <c r="M291" s="147">
        <f t="shared" si="106"/>
        <v>1.0249013182159501E-3</v>
      </c>
      <c r="N291" s="147">
        <f ca="1">INDEX(Photobiology!$21:$421,1+$H291-380,N$14)</f>
        <v>0</v>
      </c>
      <c r="O291" s="147">
        <f ca="1">INDEX(Photobiology!$21:$421,1+$H291-380,O$14)</f>
        <v>1.3766E-2</v>
      </c>
      <c r="P291" s="147">
        <f ca="1">INDEX(Photobiology!$21:$421,1+$H291-380,P$14)</f>
        <v>0.149509</v>
      </c>
      <c r="Q291" s="147">
        <f ca="1">INDEX(Photobiology!$21:$421,1+$H291-380,Q$14)</f>
        <v>6.7699999999999998E-4</v>
      </c>
      <c r="R291" s="147">
        <f ca="1">INDEX(Photobiology!$21:$421,1+$H291-380,R$14)</f>
        <v>8.6575099999999997E-5</v>
      </c>
      <c r="S291" s="147">
        <f t="shared" si="107"/>
        <v>3354596283015245.5</v>
      </c>
      <c r="T291" s="147" t="str">
        <f ca="1">INDEX(Photobiology!$21:$421,1+$H291-380,T$14)</f>
        <v/>
      </c>
      <c r="U291" s="147">
        <f ca="1">INDEX(Photobiology!$21:$421,1+$H291-380,U$14)</f>
        <v>1.1448607792499413E-2</v>
      </c>
      <c r="V291" s="147">
        <f ca="1">INDEX(Photobiology!$21:$421,1+$H291-380,V$14)</f>
        <v>0.13035161530676481</v>
      </c>
      <c r="W291" s="147">
        <f ca="1">INDEX(Photobiology!$21:$421,1+$H291-380,W$14)</f>
        <v>5.2651492940359538E-4</v>
      </c>
      <c r="X291" s="147">
        <f ca="1">INDEX(Photobiology!$21:$421,1+$H291-380,X$14)</f>
        <v>6.5127655520566188E-5</v>
      </c>
      <c r="Y291" s="147">
        <f t="shared" si="94"/>
        <v>1.0249013182159501E-3</v>
      </c>
      <c r="Z291" s="147">
        <f t="shared" ca="1" si="108"/>
        <v>0</v>
      </c>
      <c r="AA291" s="147">
        <f t="shared" ca="1" si="95"/>
        <v>1.4108791546560769E-5</v>
      </c>
      <c r="AB291" s="147">
        <f t="shared" ca="1" si="96"/>
        <v>1.5323197118514848E-4</v>
      </c>
      <c r="AC291" s="147">
        <f t="shared" ca="1" si="97"/>
        <v>6.9385819243219814E-7</v>
      </c>
      <c r="AD291" s="147">
        <f t="shared" ca="1" si="98"/>
        <v>8.8730934114677701E-8</v>
      </c>
      <c r="AH291" s="147">
        <f t="shared" si="109"/>
        <v>650</v>
      </c>
      <c r="AI291" s="147">
        <f>IF($AH291&gt;$AH290,INDEX(Spectra!291:291,1,MATCH($AI$20,Spectra!$20:$20,0)),AI290)</f>
        <v>80.026799999999994</v>
      </c>
      <c r="AJ291" s="147">
        <f>((Physics!$C$9*Physics!$C$10)/(Physics!$C$11*Physics!$C$12*$AH291))^($AJ$17-$AJ$18)</f>
        <v>3.2730919781180544E+18</v>
      </c>
      <c r="AK291" s="147">
        <f t="shared" si="110"/>
        <v>1</v>
      </c>
      <c r="AL291" s="147">
        <f>INDEX(Photobiology!$21:$421,1+$AH291-380,10)</f>
        <v>0.107</v>
      </c>
      <c r="AM291" s="147">
        <f t="shared" si="111"/>
        <v>1.1088193606113542E-3</v>
      </c>
      <c r="AN291" s="147">
        <f ca="1">INDEX(Photobiology!$21:$421,1+$AH291-380,AN$14)</f>
        <v>0</v>
      </c>
      <c r="AO291" s="147">
        <f ca="1">INDEX(Photobiology!$21:$421,1+$AH291-380,AO$14)</f>
        <v>1.3766E-2</v>
      </c>
      <c r="AP291" s="147">
        <f ca="1">INDEX(Photobiology!$21:$421,1+$AH291-380,AP$14)</f>
        <v>0.149509</v>
      </c>
      <c r="AQ291" s="147">
        <f ca="1">INDEX(Photobiology!$21:$421,1+$AH291-380,AQ$14)</f>
        <v>6.7699999999999998E-4</v>
      </c>
      <c r="AR291" s="147">
        <f ca="1">INDEX(Photobiology!$21:$421,1+$AH291-380,AR$14)</f>
        <v>8.6575099999999997E-5</v>
      </c>
      <c r="AS291" s="147">
        <f t="shared" si="112"/>
        <v>3629267754399013.5</v>
      </c>
      <c r="AT291" s="147" t="str">
        <f ca="1">INDEX(Photobiology!$21:$421,1+$AH291-380,AT$14)</f>
        <v/>
      </c>
      <c r="AU291" s="147">
        <f ca="1">INDEX(Photobiology!$21:$421,1+$AH291-380,AU$14)</f>
        <v>1.1448607792499413E-2</v>
      </c>
      <c r="AV291" s="147">
        <f ca="1">INDEX(Photobiology!$21:$421,1+$AH291-380,AV$14)</f>
        <v>0.13035161530676481</v>
      </c>
      <c r="AW291" s="147">
        <f ca="1">INDEX(Photobiology!$21:$421,1+$AH291-380,AW$14)</f>
        <v>5.2651492940359538E-4</v>
      </c>
      <c r="AX291" s="147">
        <f ca="1">INDEX(Photobiology!$21:$421,1+$AH291-380,AX$14)</f>
        <v>6.5127655520566188E-5</v>
      </c>
      <c r="AY291" s="147">
        <f t="shared" si="99"/>
        <v>1.1088193606113542E-3</v>
      </c>
      <c r="AZ291" s="147">
        <f t="shared" ca="1" si="113"/>
        <v>0</v>
      </c>
      <c r="BA291" s="147">
        <f t="shared" ca="1" si="100"/>
        <v>1.5264007318175903E-5</v>
      </c>
      <c r="BB291" s="147">
        <f t="shared" ca="1" si="101"/>
        <v>1.6577847378564296E-4</v>
      </c>
      <c r="BC291" s="147">
        <f t="shared" ca="1" si="102"/>
        <v>7.506707071338868E-7</v>
      </c>
      <c r="BD291" s="147">
        <f t="shared" ca="1" si="103"/>
        <v>9.5996147026864046E-8</v>
      </c>
    </row>
    <row r="292" spans="8:56" s="147" customFormat="1" ht="0.25" customHeight="1" x14ac:dyDescent="0.2">
      <c r="H292" s="147">
        <f t="shared" si="104"/>
        <v>651</v>
      </c>
      <c r="I292" s="147">
        <f>IF($H292&gt;$H291,INDEX(Spectra!292:292,1,MATCH($I$20,Spectra!$20:$20,0)),I291)</f>
        <v>1.0299008368413901E-3</v>
      </c>
      <c r="J292" s="147">
        <f>((Physics!$C$9*Physics!$C$10)/(Physics!$C$11*Physics!$C$12*$H292))^($J$17-$J$18)</f>
        <v>3.2781275042382362E+18</v>
      </c>
      <c r="K292" s="147">
        <f t="shared" si="105"/>
        <v>1</v>
      </c>
      <c r="L292" s="147">
        <f>INDEX(Photobiology!$21:$421,1+$H292-380,10)</f>
        <v>0.1014762</v>
      </c>
      <c r="M292" s="147">
        <f t="shared" si="106"/>
        <v>1.0299008368413901E-3</v>
      </c>
      <c r="N292" s="147">
        <f ca="1">INDEX(Photobiology!$21:$421,1+$H292-380,N$14)</f>
        <v>0</v>
      </c>
      <c r="O292" s="147">
        <f ca="1">INDEX(Photobiology!$21:$421,1+$H292-380,O$14)</f>
        <v>1.28246E-2</v>
      </c>
      <c r="P292" s="147">
        <f ca="1">INDEX(Photobiology!$21:$421,1+$H292-380,P$14)</f>
        <v>0.14147000000000001</v>
      </c>
      <c r="Q292" s="147">
        <f ca="1">INDEX(Photobiology!$21:$421,1+$H292-380,Q$14)</f>
        <v>6.2600000000000004E-4</v>
      </c>
      <c r="R292" s="147">
        <f ca="1">INDEX(Photobiology!$21:$421,1+$H292-380,R$14)</f>
        <v>8.0240499999999999E-5</v>
      </c>
      <c r="S292" s="147">
        <f t="shared" si="107"/>
        <v>3376146259887737</v>
      </c>
      <c r="T292" s="147" t="str">
        <f ca="1">INDEX(Photobiology!$21:$421,1+$H292-380,T$14)</f>
        <v/>
      </c>
      <c r="U292" s="147">
        <f ca="1">INDEX(Photobiology!$21:$421,1+$H292-380,U$14)</f>
        <v>1.0649301153624471E-2</v>
      </c>
      <c r="V292" s="147">
        <f ca="1">INDEX(Photobiology!$21:$421,1+$H292-380,V$14)</f>
        <v>0.12315322869960044</v>
      </c>
      <c r="W292" s="147">
        <f ca="1">INDEX(Photobiology!$21:$421,1+$H292-380,W$14)</f>
        <v>4.8610347170543891E-4</v>
      </c>
      <c r="X292" s="147">
        <f ca="1">INDEX(Photobiology!$21:$421,1+$H292-380,X$14)</f>
        <v>6.0269617754450115E-5</v>
      </c>
      <c r="Y292" s="147">
        <f t="shared" si="94"/>
        <v>1.0299008368413901E-3</v>
      </c>
      <c r="Z292" s="147">
        <f t="shared" ca="1" si="108"/>
        <v>0</v>
      </c>
      <c r="AA292" s="147">
        <f t="shared" ca="1" si="95"/>
        <v>1.3208066272156091E-5</v>
      </c>
      <c r="AB292" s="147">
        <f t="shared" ca="1" si="96"/>
        <v>1.4570007138795148E-4</v>
      </c>
      <c r="AC292" s="147">
        <f t="shared" ca="1" si="97"/>
        <v>6.4471792386271021E-7</v>
      </c>
      <c r="AD292" s="147">
        <f t="shared" ca="1" si="98"/>
        <v>8.2639758098571553E-8</v>
      </c>
      <c r="AH292" s="147">
        <f t="shared" si="109"/>
        <v>651</v>
      </c>
      <c r="AI292" s="147">
        <f>IF($AH292&gt;$AH291,INDEX(Spectra!292:292,1,MATCH($AI$20,Spectra!$20:$20,0)),AI291)</f>
        <v>80.045599999999993</v>
      </c>
      <c r="AJ292" s="147">
        <f>((Physics!$C$9*Physics!$C$10)/(Physics!$C$11*Physics!$C$12*$AH292))^($AJ$17-$AJ$18)</f>
        <v>3.2781275042382362E+18</v>
      </c>
      <c r="AK292" s="147">
        <f t="shared" si="110"/>
        <v>1</v>
      </c>
      <c r="AL292" s="147">
        <f>INDEX(Photobiology!$21:$421,1+$AH292-380,10)</f>
        <v>0.1014762</v>
      </c>
      <c r="AM292" s="147">
        <f t="shared" si="111"/>
        <v>1.1090798458985268E-3</v>
      </c>
      <c r="AN292" s="147">
        <f ca="1">INDEX(Photobiology!$21:$421,1+$AH292-380,AN$14)</f>
        <v>0</v>
      </c>
      <c r="AO292" s="147">
        <f ca="1">INDEX(Photobiology!$21:$421,1+$AH292-380,AO$14)</f>
        <v>1.28246E-2</v>
      </c>
      <c r="AP292" s="147">
        <f ca="1">INDEX(Photobiology!$21:$421,1+$AH292-380,AP$14)</f>
        <v>0.14147000000000001</v>
      </c>
      <c r="AQ292" s="147">
        <f ca="1">INDEX(Photobiology!$21:$421,1+$AH292-380,AQ$14)</f>
        <v>6.2600000000000004E-4</v>
      </c>
      <c r="AR292" s="147">
        <f ca="1">INDEX(Photobiology!$21:$421,1+$AH292-380,AR$14)</f>
        <v>8.0240499999999999E-5</v>
      </c>
      <c r="AS292" s="147">
        <f t="shared" si="112"/>
        <v>3635705147236265</v>
      </c>
      <c r="AT292" s="147" t="str">
        <f ca="1">INDEX(Photobiology!$21:$421,1+$AH292-380,AT$14)</f>
        <v/>
      </c>
      <c r="AU292" s="147">
        <f ca="1">INDEX(Photobiology!$21:$421,1+$AH292-380,AU$14)</f>
        <v>1.0649301153624471E-2</v>
      </c>
      <c r="AV292" s="147">
        <f ca="1">INDEX(Photobiology!$21:$421,1+$AH292-380,AV$14)</f>
        <v>0.12315322869960044</v>
      </c>
      <c r="AW292" s="147">
        <f ca="1">INDEX(Photobiology!$21:$421,1+$AH292-380,AW$14)</f>
        <v>4.8610347170543891E-4</v>
      </c>
      <c r="AX292" s="147">
        <f ca="1">INDEX(Photobiology!$21:$421,1+$AH292-380,AX$14)</f>
        <v>6.0269617754450115E-5</v>
      </c>
      <c r="AY292" s="147">
        <f t="shared" si="99"/>
        <v>1.1090798458985268E-3</v>
      </c>
      <c r="AZ292" s="147">
        <f t="shared" ca="1" si="113"/>
        <v>0</v>
      </c>
      <c r="BA292" s="147">
        <f t="shared" ca="1" si="100"/>
        <v>1.4223505391710246E-5</v>
      </c>
      <c r="BB292" s="147">
        <f t="shared" ca="1" si="101"/>
        <v>1.569015257992646E-4</v>
      </c>
      <c r="BC292" s="147">
        <f t="shared" ca="1" si="102"/>
        <v>6.9428398353247783E-7</v>
      </c>
      <c r="BD292" s="147">
        <f t="shared" ca="1" si="103"/>
        <v>8.8993121374820732E-8</v>
      </c>
    </row>
    <row r="293" spans="8:56" s="147" customFormat="1" ht="0.25" customHeight="1" x14ac:dyDescent="0.2">
      <c r="H293" s="147">
        <f t="shared" si="104"/>
        <v>652</v>
      </c>
      <c r="I293" s="147">
        <f>IF($H293&gt;$H292,INDEX(Spectra!293:293,1,MATCH($I$20,Spectra!$20:$20,0)),I292)</f>
        <v>1.0299008368413901E-3</v>
      </c>
      <c r="J293" s="147">
        <f>((Physics!$C$9*Physics!$C$10)/(Physics!$C$11*Physics!$C$12*$H293))^($J$17-$J$18)</f>
        <v>3.2831630303584179E+18</v>
      </c>
      <c r="K293" s="147">
        <f t="shared" si="105"/>
        <v>1</v>
      </c>
      <c r="L293" s="147">
        <f>INDEX(Photobiology!$21:$421,1+$H293-380,10)</f>
        <v>9.6188640000000006E-2</v>
      </c>
      <c r="M293" s="147">
        <f t="shared" si="106"/>
        <v>1.0299008368413901E-3</v>
      </c>
      <c r="N293" s="147">
        <f ca="1">INDEX(Photobiology!$21:$421,1+$H293-380,N$14)</f>
        <v>0</v>
      </c>
      <c r="O293" s="147">
        <f ca="1">INDEX(Photobiology!$21:$421,1+$H293-380,O$14)</f>
        <v>1.1930400000000001E-2</v>
      </c>
      <c r="P293" s="147">
        <f ca="1">INDEX(Photobiology!$21:$421,1+$H293-380,P$14)</f>
        <v>0.13375999999999999</v>
      </c>
      <c r="Q293" s="147">
        <f ca="1">INDEX(Photobiology!$21:$421,1+$H293-380,Q$14)</f>
        <v>5.7899999999999998E-4</v>
      </c>
      <c r="R293" s="147">
        <f ca="1">INDEX(Photobiology!$21:$421,1+$H293-380,R$14)</f>
        <v>7.4338299999999999E-5</v>
      </c>
      <c r="S293" s="147">
        <f t="shared" si="107"/>
        <v>3381332352452848.5</v>
      </c>
      <c r="T293" s="147" t="str">
        <f ca="1">INDEX(Photobiology!$21:$421,1+$H293-380,T$14)</f>
        <v/>
      </c>
      <c r="U293" s="147">
        <f ca="1">INDEX(Photobiology!$21:$421,1+$H293-380,U$14)</f>
        <v>9.8915802342397271E-3</v>
      </c>
      <c r="V293" s="147">
        <f ca="1">INDEX(Photobiology!$21:$421,1+$H293-380,V$14)</f>
        <v>0.11626288662220347</v>
      </c>
      <c r="W293" s="147">
        <f ca="1">INDEX(Photobiology!$21:$421,1+$H293-380,W$14)</f>
        <v>4.4891730405941747E-4</v>
      </c>
      <c r="X293" s="147">
        <f ca="1">INDEX(Photobiology!$21:$421,1+$H293-380,X$14)</f>
        <v>5.5750764725787753E-5</v>
      </c>
      <c r="Y293" s="147">
        <f t="shared" si="94"/>
        <v>1.0299008368413901E-3</v>
      </c>
      <c r="Z293" s="147">
        <f t="shared" ca="1" si="108"/>
        <v>0</v>
      </c>
      <c r="AA293" s="147">
        <f t="shared" ca="1" si="95"/>
        <v>1.2287128943852521E-5</v>
      </c>
      <c r="AB293" s="147">
        <f t="shared" ca="1" si="96"/>
        <v>1.3775953593590432E-4</v>
      </c>
      <c r="AC293" s="147">
        <f t="shared" ca="1" si="97"/>
        <v>5.9631258453116486E-7</v>
      </c>
      <c r="AD293" s="147">
        <f t="shared" ca="1" si="98"/>
        <v>7.6561077379366305E-8</v>
      </c>
      <c r="AH293" s="147">
        <f t="shared" si="109"/>
        <v>652</v>
      </c>
      <c r="AI293" s="147">
        <f>IF($AH293&gt;$AH292,INDEX(Spectra!293:293,1,MATCH($AI$20,Spectra!$20:$20,0)),AI292)</f>
        <v>80.064400000000006</v>
      </c>
      <c r="AJ293" s="147">
        <f>((Physics!$C$9*Physics!$C$10)/(Physics!$C$11*Physics!$C$12*$AH293))^($AJ$17-$AJ$18)</f>
        <v>3.2831630303584179E+18</v>
      </c>
      <c r="AK293" s="147">
        <f t="shared" si="110"/>
        <v>1</v>
      </c>
      <c r="AL293" s="147">
        <f>INDEX(Photobiology!$21:$421,1+$AH293-380,10)</f>
        <v>9.6188640000000006E-2</v>
      </c>
      <c r="AM293" s="147">
        <f t="shared" si="111"/>
        <v>1.1093403311856994E-3</v>
      </c>
      <c r="AN293" s="147">
        <f ca="1">INDEX(Photobiology!$21:$421,1+$AH293-380,AN$14)</f>
        <v>0</v>
      </c>
      <c r="AO293" s="147">
        <f ca="1">INDEX(Photobiology!$21:$421,1+$AH293-380,AO$14)</f>
        <v>1.1930400000000001E-2</v>
      </c>
      <c r="AP293" s="147">
        <f ca="1">INDEX(Photobiology!$21:$421,1+$AH293-380,AP$14)</f>
        <v>0.13375999999999999</v>
      </c>
      <c r="AQ293" s="147">
        <f ca="1">INDEX(Photobiology!$21:$421,1+$AH293-380,AQ$14)</f>
        <v>5.7899999999999998E-4</v>
      </c>
      <c r="AR293" s="147">
        <f ca="1">INDEX(Photobiology!$21:$421,1+$AH293-380,AR$14)</f>
        <v>7.4338299999999999E-5</v>
      </c>
      <c r="AS293" s="147">
        <f t="shared" si="112"/>
        <v>3642145163434452</v>
      </c>
      <c r="AT293" s="147" t="str">
        <f ca="1">INDEX(Photobiology!$21:$421,1+$AH293-380,AT$14)</f>
        <v/>
      </c>
      <c r="AU293" s="147">
        <f ca="1">INDEX(Photobiology!$21:$421,1+$AH293-380,AU$14)</f>
        <v>9.8915802342397271E-3</v>
      </c>
      <c r="AV293" s="147">
        <f ca="1">INDEX(Photobiology!$21:$421,1+$AH293-380,AV$14)</f>
        <v>0.11626288662220347</v>
      </c>
      <c r="AW293" s="147">
        <f ca="1">INDEX(Photobiology!$21:$421,1+$AH293-380,AW$14)</f>
        <v>4.4891730405941747E-4</v>
      </c>
      <c r="AX293" s="147">
        <f ca="1">INDEX(Photobiology!$21:$421,1+$AH293-380,AX$14)</f>
        <v>5.5750764725787753E-5</v>
      </c>
      <c r="AY293" s="147">
        <f t="shared" si="99"/>
        <v>1.1093403311856994E-3</v>
      </c>
      <c r="AZ293" s="147">
        <f t="shared" ca="1" si="113"/>
        <v>0</v>
      </c>
      <c r="BA293" s="147">
        <f t="shared" ca="1" si="100"/>
        <v>1.3234873887177869E-5</v>
      </c>
      <c r="BB293" s="147">
        <f t="shared" ca="1" si="101"/>
        <v>1.4838536269939914E-4</v>
      </c>
      <c r="BC293" s="147">
        <f t="shared" ca="1" si="102"/>
        <v>6.4230805175651992E-7</v>
      </c>
      <c r="BD293" s="147">
        <f t="shared" ca="1" si="103"/>
        <v>8.2466474341781875E-8</v>
      </c>
    </row>
    <row r="294" spans="8:56" s="147" customFormat="1" ht="0.25" customHeight="1" x14ac:dyDescent="0.2">
      <c r="H294" s="147">
        <f t="shared" si="104"/>
        <v>653</v>
      </c>
      <c r="I294" s="147">
        <f>IF($H294&gt;$H293,INDEX(Spectra!294:294,1,MATCH($I$20,Spectra!$20:$20,0)),I293)</f>
        <v>1.0249013182159501E-3</v>
      </c>
      <c r="J294" s="147">
        <f>((Physics!$C$9*Physics!$C$10)/(Physics!$C$11*Physics!$C$12*$H294))^($J$17-$J$18)</f>
        <v>3.2881985564785997E+18</v>
      </c>
      <c r="K294" s="147">
        <f t="shared" si="105"/>
        <v>1</v>
      </c>
      <c r="L294" s="147">
        <f>INDEX(Photobiology!$21:$421,1+$H294-380,10)</f>
        <v>9.1122960000000003E-2</v>
      </c>
      <c r="M294" s="147">
        <f t="shared" si="106"/>
        <v>1.0249013182159501E-3</v>
      </c>
      <c r="N294" s="147">
        <f ca="1">INDEX(Photobiology!$21:$421,1+$H294-380,N$14)</f>
        <v>0</v>
      </c>
      <c r="O294" s="147">
        <f ca="1">INDEX(Photobiology!$21:$421,1+$H294-380,O$14)</f>
        <v>1.1084999999999999E-2</v>
      </c>
      <c r="P294" s="147">
        <f ca="1">INDEX(Photobiology!$21:$421,1+$H294-380,P$14)</f>
        <v>0.126383</v>
      </c>
      <c r="Q294" s="147">
        <f ca="1">INDEX(Photobiology!$21:$421,1+$H294-380,Q$14)</f>
        <v>5.3600000000000002E-4</v>
      </c>
      <c r="R294" s="147">
        <f ca="1">INDEX(Photobiology!$21:$421,1+$H294-380,R$14)</f>
        <v>6.8864999999999999E-5</v>
      </c>
      <c r="S294" s="147">
        <f t="shared" si="107"/>
        <v>3370079035090701</v>
      </c>
      <c r="T294" s="147" t="str">
        <f ca="1">INDEX(Photobiology!$21:$421,1+$H294-380,T$14)</f>
        <v/>
      </c>
      <c r="U294" s="147">
        <f ca="1">INDEX(Photobiology!$21:$421,1+$H294-380,U$14)</f>
        <v>9.1765785220112393E-3</v>
      </c>
      <c r="V294" s="147">
        <f ca="1">INDEX(Photobiology!$21:$421,1+$H294-380,V$14)</f>
        <v>0.10968264529901342</v>
      </c>
      <c r="W294" s="147">
        <f ca="1">INDEX(Photobiology!$21:$421,1+$H294-380,W$14)</f>
        <v>4.1494160890020754E-4</v>
      </c>
      <c r="X294" s="147">
        <f ca="1">INDEX(Photobiology!$21:$421,1+$H294-380,X$14)</f>
        <v>5.1566917317673523E-5</v>
      </c>
      <c r="Y294" s="147">
        <f t="shared" si="94"/>
        <v>1.0249013182159501E-3</v>
      </c>
      <c r="Z294" s="147">
        <f t="shared" ca="1" si="108"/>
        <v>0</v>
      </c>
      <c r="AA294" s="147">
        <f t="shared" ca="1" si="95"/>
        <v>1.1361031112423807E-5</v>
      </c>
      <c r="AB294" s="147">
        <f t="shared" ca="1" si="96"/>
        <v>1.2953010330008641E-4</v>
      </c>
      <c r="AC294" s="147">
        <f t="shared" ca="1" si="97"/>
        <v>5.493471065637492E-7</v>
      </c>
      <c r="AD294" s="147">
        <f t="shared" ca="1" si="98"/>
        <v>7.0579829278941399E-8</v>
      </c>
      <c r="AH294" s="147">
        <f t="shared" si="109"/>
        <v>653</v>
      </c>
      <c r="AI294" s="147">
        <f>IF($AH294&gt;$AH293,INDEX(Spectra!294:294,1,MATCH($AI$20,Spectra!$20:$20,0)),AI293)</f>
        <v>80.083100000000002</v>
      </c>
      <c r="AJ294" s="147">
        <f>((Physics!$C$9*Physics!$C$10)/(Physics!$C$11*Physics!$C$12*$AH294))^($AJ$17-$AJ$18)</f>
        <v>3.2881985564785997E+18</v>
      </c>
      <c r="AK294" s="147">
        <f t="shared" si="110"/>
        <v>1</v>
      </c>
      <c r="AL294" s="147">
        <f>INDEX(Photobiology!$21:$421,1+$AH294-380,10)</f>
        <v>9.1122960000000003E-2</v>
      </c>
      <c r="AM294" s="147">
        <f t="shared" si="111"/>
        <v>1.1095994309128336E-3</v>
      </c>
      <c r="AN294" s="147">
        <f ca="1">INDEX(Photobiology!$21:$421,1+$AH294-380,AN$14)</f>
        <v>0</v>
      </c>
      <c r="AO294" s="147">
        <f ca="1">INDEX(Photobiology!$21:$421,1+$AH294-380,AO$14)</f>
        <v>1.1084999999999999E-2</v>
      </c>
      <c r="AP294" s="147">
        <f ca="1">INDEX(Photobiology!$21:$421,1+$AH294-380,AP$14)</f>
        <v>0.126383</v>
      </c>
      <c r="AQ294" s="147">
        <f ca="1">INDEX(Photobiology!$21:$421,1+$AH294-380,AQ$14)</f>
        <v>5.3600000000000002E-4</v>
      </c>
      <c r="AR294" s="147">
        <f ca="1">INDEX(Photobiology!$21:$421,1+$AH294-380,AR$14)</f>
        <v>6.8864999999999999E-5</v>
      </c>
      <c r="AS294" s="147">
        <f t="shared" si="112"/>
        <v>3648583246997055</v>
      </c>
      <c r="AT294" s="147" t="str">
        <f ca="1">INDEX(Photobiology!$21:$421,1+$AH294-380,AT$14)</f>
        <v/>
      </c>
      <c r="AU294" s="147">
        <f ca="1">INDEX(Photobiology!$21:$421,1+$AH294-380,AU$14)</f>
        <v>9.1765785220112393E-3</v>
      </c>
      <c r="AV294" s="147">
        <f ca="1">INDEX(Photobiology!$21:$421,1+$AH294-380,AV$14)</f>
        <v>0.10968264529901342</v>
      </c>
      <c r="AW294" s="147">
        <f ca="1">INDEX(Photobiology!$21:$421,1+$AH294-380,AW$14)</f>
        <v>4.1494160890020754E-4</v>
      </c>
      <c r="AX294" s="147">
        <f ca="1">INDEX(Photobiology!$21:$421,1+$AH294-380,AX$14)</f>
        <v>5.1566917317673523E-5</v>
      </c>
      <c r="AY294" s="147">
        <f t="shared" si="99"/>
        <v>1.1095994309128336E-3</v>
      </c>
      <c r="AZ294" s="147">
        <f t="shared" ca="1" si="113"/>
        <v>0</v>
      </c>
      <c r="BA294" s="147">
        <f t="shared" ca="1" si="100"/>
        <v>1.229990969166876E-5</v>
      </c>
      <c r="BB294" s="147">
        <f t="shared" ca="1" si="101"/>
        <v>1.4023450487705665E-4</v>
      </c>
      <c r="BC294" s="147">
        <f t="shared" ca="1" si="102"/>
        <v>5.9474529496927884E-7</v>
      </c>
      <c r="BD294" s="147">
        <f t="shared" ca="1" si="103"/>
        <v>7.6412564809812285E-8</v>
      </c>
    </row>
    <row r="295" spans="8:56" s="147" customFormat="1" ht="0.25" customHeight="1" x14ac:dyDescent="0.2">
      <c r="H295" s="147">
        <f t="shared" si="104"/>
        <v>654</v>
      </c>
      <c r="I295" s="147">
        <f>IF($H295&gt;$H294,INDEX(Spectra!295:295,1,MATCH($I$20,Spectra!$20:$20,0)),I294)</f>
        <v>1.0049032437141701E-3</v>
      </c>
      <c r="J295" s="147">
        <f>((Physics!$C$9*Physics!$C$10)/(Physics!$C$11*Physics!$C$12*$H295))^($J$17-$J$18)</f>
        <v>3.2932340825987809E+18</v>
      </c>
      <c r="K295" s="147">
        <f t="shared" si="105"/>
        <v>1</v>
      </c>
      <c r="L295" s="147">
        <f>INDEX(Photobiology!$21:$421,1+$H295-380,10)</f>
        <v>8.6264850000000004E-2</v>
      </c>
      <c r="M295" s="147">
        <f t="shared" si="106"/>
        <v>1.0049032437141701E-3</v>
      </c>
      <c r="N295" s="147">
        <f ca="1">INDEX(Photobiology!$21:$421,1+$H295-380,N$14)</f>
        <v>0</v>
      </c>
      <c r="O295" s="147">
        <f ca="1">INDEX(Photobiology!$21:$421,1+$H295-380,O$14)</f>
        <v>1.02892E-2</v>
      </c>
      <c r="P295" s="147">
        <f ca="1">INDEX(Photobiology!$21:$421,1+$H295-380,P$14)</f>
        <v>0.119343</v>
      </c>
      <c r="Q295" s="147">
        <f ca="1">INDEX(Photobiology!$21:$421,1+$H295-380,Q$14)</f>
        <v>4.9600000000000002E-4</v>
      </c>
      <c r="R295" s="147">
        <f ca="1">INDEX(Photobiology!$21:$421,1+$H295-380,R$14)</f>
        <v>6.3817200000000003E-5</v>
      </c>
      <c r="S295" s="147">
        <f t="shared" si="107"/>
        <v>3309381611913574</v>
      </c>
      <c r="T295" s="147" t="str">
        <f ca="1">INDEX(Photobiology!$21:$421,1+$H295-380,T$14)</f>
        <v/>
      </c>
      <c r="U295" s="147">
        <f ca="1">INDEX(Photobiology!$21:$421,1+$H295-380,U$14)</f>
        <v>8.5047613146159665E-3</v>
      </c>
      <c r="V295" s="147">
        <f ca="1">INDEX(Photobiology!$21:$421,1+$H295-380,V$14)</f>
        <v>0.10341454837817342</v>
      </c>
      <c r="W295" s="147">
        <f ca="1">INDEX(Photobiology!$21:$421,1+$H295-380,W$14)</f>
        <v>3.8338869820470583E-4</v>
      </c>
      <c r="X295" s="147">
        <f ca="1">INDEX(Photobiology!$21:$421,1+$H295-380,X$14)</f>
        <v>4.7713996740222113E-5</v>
      </c>
      <c r="Y295" s="147">
        <f t="shared" si="94"/>
        <v>1.0049032437141701E-3</v>
      </c>
      <c r="Z295" s="147">
        <f t="shared" ca="1" si="108"/>
        <v>0</v>
      </c>
      <c r="AA295" s="147">
        <f t="shared" ca="1" si="95"/>
        <v>1.0339650455223839E-5</v>
      </c>
      <c r="AB295" s="147">
        <f t="shared" ca="1" si="96"/>
        <v>1.1992816781458021E-4</v>
      </c>
      <c r="AC295" s="147">
        <f t="shared" ca="1" si="97"/>
        <v>4.9843200888222836E-7</v>
      </c>
      <c r="AD295" s="147">
        <f t="shared" ca="1" si="98"/>
        <v>6.4130111284755931E-8</v>
      </c>
      <c r="AH295" s="147">
        <f t="shared" si="109"/>
        <v>654</v>
      </c>
      <c r="AI295" s="147">
        <f>IF($AH295&gt;$AH294,INDEX(Spectra!295:295,1,MATCH($AI$20,Spectra!$20:$20,0)),AI294)</f>
        <v>80.101900000000001</v>
      </c>
      <c r="AJ295" s="147">
        <f>((Physics!$C$9*Physics!$C$10)/(Physics!$C$11*Physics!$C$12*$AH295))^($AJ$17-$AJ$18)</f>
        <v>3.2932340825987809E+18</v>
      </c>
      <c r="AK295" s="147">
        <f t="shared" si="110"/>
        <v>1</v>
      </c>
      <c r="AL295" s="147">
        <f>INDEX(Photobiology!$21:$421,1+$AH295-380,10)</f>
        <v>8.6264850000000004E-2</v>
      </c>
      <c r="AM295" s="147">
        <f t="shared" si="111"/>
        <v>1.109859916200006E-3</v>
      </c>
      <c r="AN295" s="147">
        <f ca="1">INDEX(Photobiology!$21:$421,1+$AH295-380,AN$14)</f>
        <v>0</v>
      </c>
      <c r="AO295" s="147">
        <f ca="1">INDEX(Photobiology!$21:$421,1+$AH295-380,AO$14)</f>
        <v>1.02892E-2</v>
      </c>
      <c r="AP295" s="147">
        <f ca="1">INDEX(Photobiology!$21:$421,1+$AH295-380,AP$14)</f>
        <v>0.119343</v>
      </c>
      <c r="AQ295" s="147">
        <f ca="1">INDEX(Photobiology!$21:$421,1+$AH295-380,AQ$14)</f>
        <v>4.9600000000000002E-4</v>
      </c>
      <c r="AR295" s="147">
        <f ca="1">INDEX(Photobiology!$21:$421,1+$AH295-380,AR$14)</f>
        <v>6.3817200000000003E-5</v>
      </c>
      <c r="AS295" s="147">
        <f t="shared" si="112"/>
        <v>3655028502940086.5</v>
      </c>
      <c r="AT295" s="147" t="str">
        <f ca="1">INDEX(Photobiology!$21:$421,1+$AH295-380,AT$14)</f>
        <v/>
      </c>
      <c r="AU295" s="147">
        <f ca="1">INDEX(Photobiology!$21:$421,1+$AH295-380,AU$14)</f>
        <v>8.5047613146159665E-3</v>
      </c>
      <c r="AV295" s="147">
        <f ca="1">INDEX(Photobiology!$21:$421,1+$AH295-380,AV$14)</f>
        <v>0.10341454837817342</v>
      </c>
      <c r="AW295" s="147">
        <f ca="1">INDEX(Photobiology!$21:$421,1+$AH295-380,AW$14)</f>
        <v>3.8338869820470583E-4</v>
      </c>
      <c r="AX295" s="147">
        <f ca="1">INDEX(Photobiology!$21:$421,1+$AH295-380,AX$14)</f>
        <v>4.7713996740222113E-5</v>
      </c>
      <c r="AY295" s="147">
        <f t="shared" si="99"/>
        <v>1.109859916200006E-3</v>
      </c>
      <c r="AZ295" s="147">
        <f t="shared" ca="1" si="113"/>
        <v>0</v>
      </c>
      <c r="BA295" s="147">
        <f t="shared" ca="1" si="100"/>
        <v>1.1419570649765102E-5</v>
      </c>
      <c r="BB295" s="147">
        <f t="shared" ca="1" si="101"/>
        <v>1.3245401197905732E-4</v>
      </c>
      <c r="BC295" s="147">
        <f t="shared" ca="1" si="102"/>
        <v>5.5049051843520296E-7</v>
      </c>
      <c r="BD295" s="147">
        <f t="shared" ca="1" si="103"/>
        <v>7.0828152244119024E-8</v>
      </c>
    </row>
    <row r="296" spans="8:56" s="147" customFormat="1" ht="0.25" customHeight="1" x14ac:dyDescent="0.2">
      <c r="H296" s="147">
        <f t="shared" si="104"/>
        <v>655</v>
      </c>
      <c r="I296" s="147">
        <f>IF($H296&gt;$H295,INDEX(Spectra!296:296,1,MATCH($I$20,Spectra!$20:$20,0)),I295)</f>
        <v>9.7990565058695897E-4</v>
      </c>
      <c r="J296" s="147">
        <f>((Physics!$C$9*Physics!$C$10)/(Physics!$C$11*Physics!$C$12*$H296))^($J$17-$J$18)</f>
        <v>3.2982696087189627E+18</v>
      </c>
      <c r="K296" s="147">
        <f t="shared" si="105"/>
        <v>1</v>
      </c>
      <c r="L296" s="147">
        <f>INDEX(Photobiology!$21:$421,1+$H296-380,10)</f>
        <v>8.1600000000000006E-2</v>
      </c>
      <c r="M296" s="147">
        <f t="shared" si="106"/>
        <v>9.7990565058695897E-4</v>
      </c>
      <c r="N296" s="147">
        <f ca="1">INDEX(Photobiology!$21:$421,1+$H296-380,N$14)</f>
        <v>0</v>
      </c>
      <c r="O296" s="147">
        <f ca="1">INDEX(Photobiology!$21:$421,1+$H296-380,O$14)</f>
        <v>9.5431500000000002E-3</v>
      </c>
      <c r="P296" s="147">
        <f ca="1">INDEX(Photobiology!$21:$421,1+$H296-380,P$14)</f>
        <v>0.112638</v>
      </c>
      <c r="Q296" s="147">
        <f ca="1">INDEX(Photobiology!$21:$421,1+$H296-380,Q$14)</f>
        <v>4.5899999999999999E-4</v>
      </c>
      <c r="R296" s="147">
        <f ca="1">INDEX(Photobiology!$21:$421,1+$H296-380,R$14)</f>
        <v>5.9191399999999997E-5</v>
      </c>
      <c r="S296" s="147">
        <f t="shared" si="107"/>
        <v>3231993026742949.5</v>
      </c>
      <c r="T296" s="147" t="str">
        <f ca="1">INDEX(Photobiology!$21:$421,1+$H296-380,T$14)</f>
        <v/>
      </c>
      <c r="U296" s="147">
        <f ca="1">INDEX(Photobiology!$21:$421,1+$H296-380,U$14)</f>
        <v>7.876054616889271E-3</v>
      </c>
      <c r="V296" s="147">
        <f ca="1">INDEX(Photobiology!$21:$421,1+$H296-380,V$14)</f>
        <v>9.7455435772231272E-2</v>
      </c>
      <c r="W296" s="147">
        <f ca="1">INDEX(Photobiology!$21:$421,1+$H296-380,W$14)</f>
        <v>3.54247475250178E-4</v>
      </c>
      <c r="X296" s="147">
        <f ca="1">INDEX(Photobiology!$21:$421,1+$H296-380,X$14)</f>
        <v>4.4187874459664099E-5</v>
      </c>
      <c r="Y296" s="147">
        <f t="shared" si="94"/>
        <v>9.7990565058695897E-4</v>
      </c>
      <c r="Z296" s="147">
        <f t="shared" ca="1" si="108"/>
        <v>0</v>
      </c>
      <c r="AA296" s="147">
        <f t="shared" ca="1" si="95"/>
        <v>9.3513866093989381E-6</v>
      </c>
      <c r="AB296" s="147">
        <f t="shared" ca="1" si="96"/>
        <v>1.1037461267081389E-4</v>
      </c>
      <c r="AC296" s="147">
        <f t="shared" ca="1" si="97"/>
        <v>4.4977669361941414E-7</v>
      </c>
      <c r="AD296" s="147">
        <f t="shared" ca="1" si="98"/>
        <v>5.800198732615292E-8</v>
      </c>
      <c r="AH296" s="147">
        <f t="shared" si="109"/>
        <v>655</v>
      </c>
      <c r="AI296" s="147">
        <f>IF($AH296&gt;$AH295,INDEX(Spectra!296:296,1,MATCH($AI$20,Spectra!$20:$20,0)),AI295)</f>
        <v>80.120699999999999</v>
      </c>
      <c r="AJ296" s="147">
        <f>((Physics!$C$9*Physics!$C$10)/(Physics!$C$11*Physics!$C$12*$AH296))^($AJ$17-$AJ$18)</f>
        <v>3.2982696087189627E+18</v>
      </c>
      <c r="AK296" s="147">
        <f t="shared" si="110"/>
        <v>1</v>
      </c>
      <c r="AL296" s="147">
        <f>INDEX(Photobiology!$21:$421,1+$AH296-380,10)</f>
        <v>8.1600000000000006E-2</v>
      </c>
      <c r="AM296" s="147">
        <f t="shared" si="111"/>
        <v>1.1101204014871786E-3</v>
      </c>
      <c r="AN296" s="147">
        <f ca="1">INDEX(Photobiology!$21:$421,1+$AH296-380,AN$14)</f>
        <v>0</v>
      </c>
      <c r="AO296" s="147">
        <f ca="1">INDEX(Photobiology!$21:$421,1+$AH296-380,AO$14)</f>
        <v>9.5431500000000002E-3</v>
      </c>
      <c r="AP296" s="147">
        <f ca="1">INDEX(Photobiology!$21:$421,1+$AH296-380,AP$14)</f>
        <v>0.112638</v>
      </c>
      <c r="AQ296" s="147">
        <f ca="1">INDEX(Photobiology!$21:$421,1+$AH296-380,AQ$14)</f>
        <v>4.5899999999999999E-4</v>
      </c>
      <c r="AR296" s="147">
        <f ca="1">INDEX(Photobiology!$21:$421,1+$AH296-380,AR$14)</f>
        <v>5.9191399999999997E-5</v>
      </c>
      <c r="AS296" s="147">
        <f t="shared" si="112"/>
        <v>3661476382244054.5</v>
      </c>
      <c r="AT296" s="147" t="str">
        <f ca="1">INDEX(Photobiology!$21:$421,1+$AH296-380,AT$14)</f>
        <v/>
      </c>
      <c r="AU296" s="147">
        <f ca="1">INDEX(Photobiology!$21:$421,1+$AH296-380,AU$14)</f>
        <v>7.876054616889271E-3</v>
      </c>
      <c r="AV296" s="147">
        <f ca="1">INDEX(Photobiology!$21:$421,1+$AH296-380,AV$14)</f>
        <v>9.7455435772231272E-2</v>
      </c>
      <c r="AW296" s="147">
        <f ca="1">INDEX(Photobiology!$21:$421,1+$AH296-380,AW$14)</f>
        <v>3.54247475250178E-4</v>
      </c>
      <c r="AX296" s="147">
        <f ca="1">INDEX(Photobiology!$21:$421,1+$AH296-380,AX$14)</f>
        <v>4.4187874459664099E-5</v>
      </c>
      <c r="AY296" s="147">
        <f t="shared" si="99"/>
        <v>1.1101204014871786E-3</v>
      </c>
      <c r="AZ296" s="147">
        <f t="shared" ca="1" si="113"/>
        <v>0</v>
      </c>
      <c r="BA296" s="147">
        <f t="shared" ca="1" si="100"/>
        <v>1.0594045509452369E-5</v>
      </c>
      <c r="BB296" s="147">
        <f t="shared" ca="1" si="101"/>
        <v>1.2504174178271283E-4</v>
      </c>
      <c r="BC296" s="147">
        <f t="shared" ca="1" si="102"/>
        <v>5.0954526428261501E-7</v>
      </c>
      <c r="BD296" s="147">
        <f t="shared" ca="1" si="103"/>
        <v>6.5709580732588178E-8</v>
      </c>
    </row>
    <row r="297" spans="8:56" s="147" customFormat="1" ht="0.25" customHeight="1" x14ac:dyDescent="0.2">
      <c r="H297" s="147">
        <f t="shared" si="104"/>
        <v>656</v>
      </c>
      <c r="I297" s="147">
        <f>IF($H297&gt;$H296,INDEX(Spectra!297:297,1,MATCH($I$20,Spectra!$20:$20,0)),I296)</f>
        <v>9.6990661333607104E-4</v>
      </c>
      <c r="J297" s="147">
        <f>((Physics!$C$9*Physics!$C$10)/(Physics!$C$11*Physics!$C$12*$H297))^($J$17-$J$18)</f>
        <v>3.3033051348391444E+18</v>
      </c>
      <c r="K297" s="147">
        <f t="shared" si="105"/>
        <v>1</v>
      </c>
      <c r="L297" s="147">
        <f>INDEX(Photobiology!$21:$421,1+$H297-380,10)</f>
        <v>7.7120640000000004E-2</v>
      </c>
      <c r="M297" s="147">
        <f t="shared" si="106"/>
        <v>9.6990661333607104E-4</v>
      </c>
      <c r="N297" s="147">
        <f ca="1">INDEX(Photobiology!$21:$421,1+$H297-380,N$14)</f>
        <v>0</v>
      </c>
      <c r="O297" s="147">
        <f ca="1">INDEX(Photobiology!$21:$421,1+$H297-380,O$14)</f>
        <v>8.8460899999999992E-3</v>
      </c>
      <c r="P297" s="147">
        <f ca="1">INDEX(Photobiology!$21:$421,1+$H297-380,P$14)</f>
        <v>0.106264</v>
      </c>
      <c r="Q297" s="147">
        <f ca="1">INDEX(Photobiology!$21:$421,1+$H297-380,Q$14)</f>
        <v>4.2499999999999998E-4</v>
      </c>
      <c r="R297" s="147">
        <f ca="1">INDEX(Photobiology!$21:$421,1+$H297-380,R$14)</f>
        <v>5.4920300000000003E-5</v>
      </c>
      <c r="S297" s="147">
        <f t="shared" si="107"/>
        <v>3203897496147488</v>
      </c>
      <c r="T297" s="147" t="str">
        <f ca="1">INDEX(Photobiology!$21:$421,1+$H297-380,T$14)</f>
        <v/>
      </c>
      <c r="U297" s="147">
        <f ca="1">INDEX(Photobiology!$21:$421,1+$H297-380,U$14)</f>
        <v>7.2896349978614937E-3</v>
      </c>
      <c r="V297" s="147">
        <f ca="1">INDEX(Photobiology!$21:$421,1+$H297-380,V$14)</f>
        <v>9.1800438881959961E-2</v>
      </c>
      <c r="W297" s="147">
        <f ca="1">INDEX(Photobiology!$21:$421,1+$H297-380,W$14)</f>
        <v>3.275069109768329E-4</v>
      </c>
      <c r="X297" s="147">
        <f ca="1">INDEX(Photobiology!$21:$421,1+$H297-380,X$14)</f>
        <v>4.0936891409639221E-5</v>
      </c>
      <c r="Y297" s="147">
        <f t="shared" si="94"/>
        <v>9.6990661333607104E-4</v>
      </c>
      <c r="Z297" s="147">
        <f t="shared" ca="1" si="108"/>
        <v>0</v>
      </c>
      <c r="AA297" s="147">
        <f t="shared" ca="1" si="95"/>
        <v>8.5798811931660842E-6</v>
      </c>
      <c r="AB297" s="147">
        <f t="shared" ca="1" si="96"/>
        <v>1.0306615635954425E-4</v>
      </c>
      <c r="AC297" s="147">
        <f t="shared" ca="1" si="97"/>
        <v>4.1221031066783018E-7</v>
      </c>
      <c r="AD297" s="147">
        <f t="shared" ca="1" si="98"/>
        <v>5.3267562176401027E-8</v>
      </c>
      <c r="AH297" s="147">
        <f t="shared" si="109"/>
        <v>656</v>
      </c>
      <c r="AI297" s="147">
        <f>IF($AH297&gt;$AH296,INDEX(Spectra!297:297,1,MATCH($AI$20,Spectra!$20:$20,0)),AI296)</f>
        <v>80.139499999999998</v>
      </c>
      <c r="AJ297" s="147">
        <f>((Physics!$C$9*Physics!$C$10)/(Physics!$C$11*Physics!$C$12*$AH297))^($AJ$17-$AJ$18)</f>
        <v>3.3033051348391444E+18</v>
      </c>
      <c r="AK297" s="147">
        <f t="shared" si="110"/>
        <v>1</v>
      </c>
      <c r="AL297" s="147">
        <f>INDEX(Photobiology!$21:$421,1+$AH297-380,10)</f>
        <v>7.7120640000000004E-2</v>
      </c>
      <c r="AM297" s="147">
        <f t="shared" si="111"/>
        <v>1.110380886774351E-3</v>
      </c>
      <c r="AN297" s="147">
        <f ca="1">INDEX(Photobiology!$21:$421,1+$AH297-380,AN$14)</f>
        <v>0</v>
      </c>
      <c r="AO297" s="147">
        <f ca="1">INDEX(Photobiology!$21:$421,1+$AH297-380,AO$14)</f>
        <v>8.8460899999999992E-3</v>
      </c>
      <c r="AP297" s="147">
        <f ca="1">INDEX(Photobiology!$21:$421,1+$AH297-380,AP$14)</f>
        <v>0.106264</v>
      </c>
      <c r="AQ297" s="147">
        <f ca="1">INDEX(Photobiology!$21:$421,1+$AH297-380,AQ$14)</f>
        <v>4.2499999999999998E-4</v>
      </c>
      <c r="AR297" s="147">
        <f ca="1">INDEX(Photobiology!$21:$421,1+$AH297-380,AR$14)</f>
        <v>5.4920300000000003E-5</v>
      </c>
      <c r="AS297" s="147">
        <f t="shared" si="112"/>
        <v>3667926884908956.5</v>
      </c>
      <c r="AT297" s="147" t="str">
        <f ca="1">INDEX(Photobiology!$21:$421,1+$AH297-380,AT$14)</f>
        <v/>
      </c>
      <c r="AU297" s="147">
        <f ca="1">INDEX(Photobiology!$21:$421,1+$AH297-380,AU$14)</f>
        <v>7.2896349978614937E-3</v>
      </c>
      <c r="AV297" s="147">
        <f ca="1">INDEX(Photobiology!$21:$421,1+$AH297-380,AV$14)</f>
        <v>9.1800438881959961E-2</v>
      </c>
      <c r="AW297" s="147">
        <f ca="1">INDEX(Photobiology!$21:$421,1+$AH297-380,AW$14)</f>
        <v>3.275069109768329E-4</v>
      </c>
      <c r="AX297" s="147">
        <f ca="1">INDEX(Photobiology!$21:$421,1+$AH297-380,AX$14)</f>
        <v>4.0936891409639221E-5</v>
      </c>
      <c r="AY297" s="147">
        <f t="shared" si="99"/>
        <v>1.110380886774351E-3</v>
      </c>
      <c r="AZ297" s="147">
        <f t="shared" ca="1" si="113"/>
        <v>0</v>
      </c>
      <c r="BA297" s="147">
        <f t="shared" ca="1" si="100"/>
        <v>9.8225292586857177E-6</v>
      </c>
      <c r="BB297" s="147">
        <f t="shared" ca="1" si="101"/>
        <v>1.1799351455218963E-4</v>
      </c>
      <c r="BC297" s="147">
        <f t="shared" ca="1" si="102"/>
        <v>4.7191187687909915E-7</v>
      </c>
      <c r="BD297" s="147">
        <f t="shared" ca="1" si="103"/>
        <v>6.0982451415913391E-8</v>
      </c>
    </row>
    <row r="298" spans="8:56" s="147" customFormat="1" ht="0.25" customHeight="1" x14ac:dyDescent="0.2">
      <c r="H298" s="147">
        <f t="shared" si="104"/>
        <v>657</v>
      </c>
      <c r="I298" s="147">
        <f>IF($H298&gt;$H297,INDEX(Spectra!298:298,1,MATCH($I$20,Spectra!$20:$20,0)),I297)</f>
        <v>9.7490613196151495E-4</v>
      </c>
      <c r="J298" s="147">
        <f>((Physics!$C$9*Physics!$C$10)/(Physics!$C$11*Physics!$C$12*$H298))^($J$17-$J$18)</f>
        <v>3.3083406609593257E+18</v>
      </c>
      <c r="K298" s="147">
        <f t="shared" si="105"/>
        <v>1</v>
      </c>
      <c r="L298" s="147">
        <f>INDEX(Photobiology!$21:$421,1+$H298-380,10)</f>
        <v>7.2825520000000005E-2</v>
      </c>
      <c r="M298" s="147">
        <f t="shared" si="106"/>
        <v>9.7490613196151495E-4</v>
      </c>
      <c r="N298" s="147">
        <f ca="1">INDEX(Photobiology!$21:$421,1+$H298-380,N$14)</f>
        <v>0</v>
      </c>
      <c r="O298" s="147">
        <f ca="1">INDEX(Photobiology!$21:$421,1+$H298-380,O$14)</f>
        <v>8.1960000000000002E-3</v>
      </c>
      <c r="P298" s="147">
        <f ca="1">INDEX(Photobiology!$21:$421,1+$H298-380,P$14)</f>
        <v>0.10020800000000001</v>
      </c>
      <c r="Q298" s="147">
        <f ca="1">INDEX(Photobiology!$21:$421,1+$H298-380,Q$14)</f>
        <v>3.9350000000000002E-4</v>
      </c>
      <c r="R298" s="147">
        <f ca="1">INDEX(Photobiology!$21:$421,1+$H298-380,R$14)</f>
        <v>5.0937399999999998E-5</v>
      </c>
      <c r="S298" s="147">
        <f t="shared" si="107"/>
        <v>3225321596986858</v>
      </c>
      <c r="T298" s="147" t="str">
        <f ca="1">INDEX(Photobiology!$21:$421,1+$H298-380,T$14)</f>
        <v/>
      </c>
      <c r="U298" s="147">
        <f ca="1">INDEX(Photobiology!$21:$421,1+$H298-380,U$14)</f>
        <v>6.7436473151442728E-3</v>
      </c>
      <c r="V298" s="147">
        <f ca="1">INDEX(Photobiology!$21:$421,1+$H298-380,V$14)</f>
        <v>8.6436955570938112E-2</v>
      </c>
      <c r="W298" s="147">
        <f ca="1">INDEX(Photobiology!$21:$421,1+$H298-380,W$14)</f>
        <v>3.0277132768167516E-4</v>
      </c>
      <c r="X298" s="147">
        <f ca="1">INDEX(Photobiology!$21:$421,1+$H298-380,X$14)</f>
        <v>3.7910298440825934E-5</v>
      </c>
      <c r="Y298" s="147">
        <f t="shared" si="94"/>
        <v>9.7490613196151495E-4</v>
      </c>
      <c r="Z298" s="147">
        <f t="shared" ca="1" si="108"/>
        <v>0</v>
      </c>
      <c r="AA298" s="147">
        <f t="shared" ca="1" si="95"/>
        <v>7.990330657556577E-6</v>
      </c>
      <c r="AB298" s="147">
        <f t="shared" ca="1" si="96"/>
        <v>9.7693393671599498E-5</v>
      </c>
      <c r="AC298" s="147">
        <f t="shared" ca="1" si="97"/>
        <v>3.8362556292685616E-7</v>
      </c>
      <c r="AD298" s="147">
        <f t="shared" ca="1" si="98"/>
        <v>4.9659183606176472E-8</v>
      </c>
      <c r="AH298" s="147">
        <f t="shared" si="109"/>
        <v>657</v>
      </c>
      <c r="AI298" s="147">
        <f>IF($AH298&gt;$AH297,INDEX(Spectra!298:298,1,MATCH($AI$20,Spectra!$20:$20,0)),AI297)</f>
        <v>80.158299999999997</v>
      </c>
      <c r="AJ298" s="147">
        <f>((Physics!$C$9*Physics!$C$10)/(Physics!$C$11*Physics!$C$12*$AH298))^($AJ$17-$AJ$18)</f>
        <v>3.3083406609593257E+18</v>
      </c>
      <c r="AK298" s="147">
        <f t="shared" si="110"/>
        <v>1</v>
      </c>
      <c r="AL298" s="147">
        <f>INDEX(Photobiology!$21:$421,1+$AH298-380,10)</f>
        <v>7.2825520000000005E-2</v>
      </c>
      <c r="AM298" s="147">
        <f t="shared" si="111"/>
        <v>1.1106413720615234E-3</v>
      </c>
      <c r="AN298" s="147">
        <f ca="1">INDEX(Photobiology!$21:$421,1+$AH298-380,AN$14)</f>
        <v>0</v>
      </c>
      <c r="AO298" s="147">
        <f ca="1">INDEX(Photobiology!$21:$421,1+$AH298-380,AO$14)</f>
        <v>8.1960000000000002E-3</v>
      </c>
      <c r="AP298" s="147">
        <f ca="1">INDEX(Photobiology!$21:$421,1+$AH298-380,AP$14)</f>
        <v>0.10020800000000001</v>
      </c>
      <c r="AQ298" s="147">
        <f ca="1">INDEX(Photobiology!$21:$421,1+$AH298-380,AQ$14)</f>
        <v>3.9350000000000002E-4</v>
      </c>
      <c r="AR298" s="147">
        <f ca="1">INDEX(Photobiology!$21:$421,1+$AH298-380,AR$14)</f>
        <v>5.0937399999999998E-5</v>
      </c>
      <c r="AS298" s="147">
        <f t="shared" si="112"/>
        <v>3674380010934792.5</v>
      </c>
      <c r="AT298" s="147" t="str">
        <f ca="1">INDEX(Photobiology!$21:$421,1+$AH298-380,AT$14)</f>
        <v/>
      </c>
      <c r="AU298" s="147">
        <f ca="1">INDEX(Photobiology!$21:$421,1+$AH298-380,AU$14)</f>
        <v>6.7436473151442728E-3</v>
      </c>
      <c r="AV298" s="147">
        <f ca="1">INDEX(Photobiology!$21:$421,1+$AH298-380,AV$14)</f>
        <v>8.6436955570938112E-2</v>
      </c>
      <c r="AW298" s="147">
        <f ca="1">INDEX(Photobiology!$21:$421,1+$AH298-380,AW$14)</f>
        <v>3.0277132768167516E-4</v>
      </c>
      <c r="AX298" s="147">
        <f ca="1">INDEX(Photobiology!$21:$421,1+$AH298-380,AX$14)</f>
        <v>3.7910298440825934E-5</v>
      </c>
      <c r="AY298" s="147">
        <f t="shared" si="99"/>
        <v>1.1106413720615234E-3</v>
      </c>
      <c r="AZ298" s="147">
        <f t="shared" ca="1" si="113"/>
        <v>0</v>
      </c>
      <c r="BA298" s="147">
        <f t="shared" ca="1" si="100"/>
        <v>9.1028166854162462E-6</v>
      </c>
      <c r="BB298" s="147">
        <f t="shared" ca="1" si="101"/>
        <v>1.1129515061154114E-4</v>
      </c>
      <c r="BC298" s="147">
        <f t="shared" ca="1" si="102"/>
        <v>4.370373799062095E-7</v>
      </c>
      <c r="BD298" s="147">
        <f t="shared" ca="1" si="103"/>
        <v>5.657318382524664E-8</v>
      </c>
    </row>
    <row r="299" spans="8:56" s="147" customFormat="1" ht="0.25" customHeight="1" x14ac:dyDescent="0.2">
      <c r="H299" s="147">
        <f t="shared" si="104"/>
        <v>658</v>
      </c>
      <c r="I299" s="147">
        <f>IF($H299&gt;$H298,INDEX(Spectra!299:299,1,MATCH($I$20,Spectra!$20:$20,0)),I298)</f>
        <v>9.8990468783784593E-4</v>
      </c>
      <c r="J299" s="147">
        <f>((Physics!$C$9*Physics!$C$10)/(Physics!$C$11*Physics!$C$12*$H299))^($J$17-$J$18)</f>
        <v>3.3133761870795075E+18</v>
      </c>
      <c r="K299" s="147">
        <f t="shared" si="105"/>
        <v>1</v>
      </c>
      <c r="L299" s="147">
        <f>INDEX(Photobiology!$21:$421,1+$H299-380,10)</f>
        <v>6.8710080000000007E-2</v>
      </c>
      <c r="M299" s="147">
        <f t="shared" si="106"/>
        <v>9.8990468783784593E-4</v>
      </c>
      <c r="N299" s="147">
        <f ca="1">INDEX(Photobiology!$21:$421,1+$H299-380,N$14)</f>
        <v>0</v>
      </c>
      <c r="O299" s="147">
        <f ca="1">INDEX(Photobiology!$21:$421,1+$H299-380,O$14)</f>
        <v>7.5905900000000004E-3</v>
      </c>
      <c r="P299" s="147">
        <f ca="1">INDEX(Photobiology!$21:$421,1+$H299-380,P$14)</f>
        <v>9.4455800000000006E-2</v>
      </c>
      <c r="Q299" s="147">
        <f ca="1">INDEX(Photobiology!$21:$421,1+$H299-380,Q$14)</f>
        <v>3.6450000000000002E-4</v>
      </c>
      <c r="R299" s="147">
        <f ca="1">INDEX(Photobiology!$21:$421,1+$H299-380,R$14)</f>
        <v>4.7240400000000003E-5</v>
      </c>
      <c r="S299" s="147">
        <f t="shared" si="107"/>
        <v>3279926620160292</v>
      </c>
      <c r="T299" s="147" t="str">
        <f ca="1">INDEX(Photobiology!$21:$421,1+$H299-380,T$14)</f>
        <v/>
      </c>
      <c r="U299" s="147">
        <f ca="1">INDEX(Photobiology!$21:$421,1+$H299-380,U$14)</f>
        <v>6.2360258861403695E-3</v>
      </c>
      <c r="V299" s="147">
        <f ca="1">INDEX(Photobiology!$21:$421,1+$H299-380,V$14)</f>
        <v>8.1351426794083539E-2</v>
      </c>
      <c r="W299" s="147">
        <f ca="1">INDEX(Photobiology!$21:$421,1+$H299-380,W$14)</f>
        <v>2.8003158411404427E-4</v>
      </c>
      <c r="X299" s="147">
        <f ca="1">INDEX(Photobiology!$21:$421,1+$H299-380,X$14)</f>
        <v>3.5105363318380667E-5</v>
      </c>
      <c r="Y299" s="147">
        <f t="shared" si="94"/>
        <v>9.8990468783784593E-4</v>
      </c>
      <c r="Z299" s="147">
        <f t="shared" ca="1" si="108"/>
        <v>0</v>
      </c>
      <c r="AA299" s="147">
        <f t="shared" ca="1" si="95"/>
        <v>7.5139606244550751E-6</v>
      </c>
      <c r="AB299" s="147">
        <f t="shared" ca="1" si="96"/>
        <v>9.3502239213474008E-5</v>
      </c>
      <c r="AC299" s="147">
        <f t="shared" ca="1" si="97"/>
        <v>3.6082025871689487E-7</v>
      </c>
      <c r="AD299" s="147">
        <f t="shared" ca="1" si="98"/>
        <v>4.6763493415334977E-8</v>
      </c>
      <c r="AH299" s="147">
        <f t="shared" si="109"/>
        <v>658</v>
      </c>
      <c r="AI299" s="147">
        <f>IF($AH299&gt;$AH298,INDEX(Spectra!299:299,1,MATCH($AI$20,Spectra!$20:$20,0)),AI298)</f>
        <v>80.177000000000007</v>
      </c>
      <c r="AJ299" s="147">
        <f>((Physics!$C$9*Physics!$C$10)/(Physics!$C$11*Physics!$C$12*$AH299))^($AJ$17-$AJ$18)</f>
        <v>3.3133761870795075E+18</v>
      </c>
      <c r="AK299" s="147">
        <f t="shared" si="110"/>
        <v>1</v>
      </c>
      <c r="AL299" s="147">
        <f>INDEX(Photobiology!$21:$421,1+$AH299-380,10)</f>
        <v>6.8710080000000007E-2</v>
      </c>
      <c r="AM299" s="147">
        <f t="shared" si="111"/>
        <v>1.1109004717886578E-3</v>
      </c>
      <c r="AN299" s="147">
        <f ca="1">INDEX(Photobiology!$21:$421,1+$AH299-380,AN$14)</f>
        <v>0</v>
      </c>
      <c r="AO299" s="147">
        <f ca="1">INDEX(Photobiology!$21:$421,1+$AH299-380,AO$14)</f>
        <v>7.5905900000000004E-3</v>
      </c>
      <c r="AP299" s="147">
        <f ca="1">INDEX(Photobiology!$21:$421,1+$AH299-380,AP$14)</f>
        <v>9.4455800000000006E-2</v>
      </c>
      <c r="AQ299" s="147">
        <f ca="1">INDEX(Photobiology!$21:$421,1+$AH299-380,AQ$14)</f>
        <v>3.6450000000000002E-4</v>
      </c>
      <c r="AR299" s="147">
        <f ca="1">INDEX(Photobiology!$21:$421,1+$AH299-380,AR$14)</f>
        <v>4.7240400000000003E-5</v>
      </c>
      <c r="AS299" s="147">
        <f t="shared" si="112"/>
        <v>3680831169439929</v>
      </c>
      <c r="AT299" s="147" t="str">
        <f ca="1">INDEX(Photobiology!$21:$421,1+$AH299-380,AT$14)</f>
        <v/>
      </c>
      <c r="AU299" s="147">
        <f ca="1">INDEX(Photobiology!$21:$421,1+$AH299-380,AU$14)</f>
        <v>6.2360258861403695E-3</v>
      </c>
      <c r="AV299" s="147">
        <f ca="1">INDEX(Photobiology!$21:$421,1+$AH299-380,AV$14)</f>
        <v>8.1351426794083539E-2</v>
      </c>
      <c r="AW299" s="147">
        <f ca="1">INDEX(Photobiology!$21:$421,1+$AH299-380,AW$14)</f>
        <v>2.8003158411404427E-4</v>
      </c>
      <c r="AX299" s="147">
        <f ca="1">INDEX(Photobiology!$21:$421,1+$AH299-380,AX$14)</f>
        <v>3.5105363318380667E-5</v>
      </c>
      <c r="AY299" s="147">
        <f t="shared" si="99"/>
        <v>1.1109004717886578E-3</v>
      </c>
      <c r="AZ299" s="147">
        <f t="shared" ca="1" si="113"/>
        <v>0</v>
      </c>
      <c r="BA299" s="147">
        <f t="shared" ca="1" si="100"/>
        <v>8.432390012154269E-6</v>
      </c>
      <c r="BB299" s="147">
        <f t="shared" ca="1" si="101"/>
        <v>1.0493099278317511E-4</v>
      </c>
      <c r="BC299" s="147">
        <f t="shared" ca="1" si="102"/>
        <v>4.0492322196696581E-7</v>
      </c>
      <c r="BD299" s="147">
        <f t="shared" ca="1" si="103"/>
        <v>5.2479382647484914E-8</v>
      </c>
    </row>
    <row r="300" spans="8:56" s="147" customFormat="1" ht="0.25" customHeight="1" x14ac:dyDescent="0.2">
      <c r="H300" s="147">
        <f t="shared" si="104"/>
        <v>659</v>
      </c>
      <c r="I300" s="147">
        <f>IF($H300&gt;$H299,INDEX(Spectra!300:300,1,MATCH($I$20,Spectra!$20:$20,0)),I299)</f>
        <v>1.0149022809650601E-3</v>
      </c>
      <c r="J300" s="147">
        <f>((Physics!$C$9*Physics!$C$10)/(Physics!$C$11*Physics!$C$12*$H300))^($J$17-$J$18)</f>
        <v>3.3184117131996892E+18</v>
      </c>
      <c r="K300" s="147">
        <f t="shared" si="105"/>
        <v>1</v>
      </c>
      <c r="L300" s="147">
        <f>INDEX(Photobiology!$21:$421,1+$H300-380,10)</f>
        <v>6.4769759999999996E-2</v>
      </c>
      <c r="M300" s="147">
        <f t="shared" si="106"/>
        <v>1.0149022809650601E-3</v>
      </c>
      <c r="N300" s="147">
        <f ca="1">INDEX(Photobiology!$21:$421,1+$H300-380,N$14)</f>
        <v>0</v>
      </c>
      <c r="O300" s="147">
        <f ca="1">INDEX(Photobiology!$21:$421,1+$H300-380,O$14)</f>
        <v>7.0275399999999997E-3</v>
      </c>
      <c r="P300" s="147">
        <f ca="1">INDEX(Photobiology!$21:$421,1+$H300-380,P$14)</f>
        <v>8.89934E-2</v>
      </c>
      <c r="Q300" s="147">
        <f ca="1">INDEX(Photobiology!$21:$421,1+$H300-380,Q$14)</f>
        <v>3.3770000000000002E-4</v>
      </c>
      <c r="R300" s="147">
        <f ca="1">INDEX(Photobiology!$21:$421,1+$H300-380,R$14)</f>
        <v>4.3826899999999999E-5</v>
      </c>
      <c r="S300" s="147">
        <f t="shared" si="107"/>
        <v>3367863616907537.5</v>
      </c>
      <c r="T300" s="147" t="str">
        <f ca="1">INDEX(Photobiology!$21:$421,1+$H300-380,T$14)</f>
        <v/>
      </c>
      <c r="U300" s="147">
        <f ca="1">INDEX(Photobiology!$21:$421,1+$H300-380,U$14)</f>
        <v>5.7646929575303251E-3</v>
      </c>
      <c r="V300" s="147">
        <f ca="1">INDEX(Photobiology!$21:$421,1+$H300-380,V$14)</f>
        <v>7.6530547798556503E-2</v>
      </c>
      <c r="W300" s="147">
        <f ca="1">INDEX(Photobiology!$21:$421,1+$H300-380,W$14)</f>
        <v>2.5904846557883059E-4</v>
      </c>
      <c r="X300" s="147">
        <f ca="1">INDEX(Photobiology!$21:$421,1+$H300-380,X$14)</f>
        <v>3.2519296192187826E-5</v>
      </c>
      <c r="Y300" s="147">
        <f t="shared" si="94"/>
        <v>1.0149022809650601E-3</v>
      </c>
      <c r="Z300" s="147">
        <f t="shared" ca="1" si="108"/>
        <v>0</v>
      </c>
      <c r="AA300" s="147">
        <f t="shared" ca="1" si="95"/>
        <v>7.1322663755731982E-6</v>
      </c>
      <c r="AB300" s="147">
        <f t="shared" ca="1" si="96"/>
        <v>9.0319604650835979E-5</v>
      </c>
      <c r="AC300" s="147">
        <f t="shared" ca="1" si="97"/>
        <v>3.4273250028190079E-7</v>
      </c>
      <c r="AD300" s="147">
        <f t="shared" ca="1" si="98"/>
        <v>4.4480020777627589E-8</v>
      </c>
      <c r="AH300" s="147">
        <f t="shared" si="109"/>
        <v>659</v>
      </c>
      <c r="AI300" s="147">
        <f>IF($AH300&gt;$AH299,INDEX(Spectra!300:300,1,MATCH($AI$20,Spectra!$20:$20,0)),AI299)</f>
        <v>80.195800000000006</v>
      </c>
      <c r="AJ300" s="147">
        <f>((Physics!$C$9*Physics!$C$10)/(Physics!$C$11*Physics!$C$12*$AH300))^($AJ$17-$AJ$18)</f>
        <v>3.3184117131996892E+18</v>
      </c>
      <c r="AK300" s="147">
        <f t="shared" si="110"/>
        <v>1</v>
      </c>
      <c r="AL300" s="147">
        <f>INDEX(Photobiology!$21:$421,1+$AH300-380,10)</f>
        <v>6.4769759999999996E-2</v>
      </c>
      <c r="AM300" s="147">
        <f t="shared" si="111"/>
        <v>1.1111609570758304E-3</v>
      </c>
      <c r="AN300" s="147">
        <f ca="1">INDEX(Photobiology!$21:$421,1+$AH300-380,AN$14)</f>
        <v>0</v>
      </c>
      <c r="AO300" s="147">
        <f ca="1">INDEX(Photobiology!$21:$421,1+$AH300-380,AO$14)</f>
        <v>7.0275399999999997E-3</v>
      </c>
      <c r="AP300" s="147">
        <f ca="1">INDEX(Photobiology!$21:$421,1+$AH300-380,AP$14)</f>
        <v>8.89934E-2</v>
      </c>
      <c r="AQ300" s="147">
        <f ca="1">INDEX(Photobiology!$21:$421,1+$AH300-380,AQ$14)</f>
        <v>3.3770000000000002E-4</v>
      </c>
      <c r="AR300" s="147">
        <f ca="1">INDEX(Photobiology!$21:$421,1+$AH300-380,AR$14)</f>
        <v>4.3826899999999999E-5</v>
      </c>
      <c r="AS300" s="147">
        <f t="shared" si="112"/>
        <v>3687289535210612.5</v>
      </c>
      <c r="AT300" s="147" t="str">
        <f ca="1">INDEX(Photobiology!$21:$421,1+$AH300-380,AT$14)</f>
        <v/>
      </c>
      <c r="AU300" s="147">
        <f ca="1">INDEX(Photobiology!$21:$421,1+$AH300-380,AU$14)</f>
        <v>5.7646929575303251E-3</v>
      </c>
      <c r="AV300" s="147">
        <f ca="1">INDEX(Photobiology!$21:$421,1+$AH300-380,AV$14)</f>
        <v>7.6530547798556503E-2</v>
      </c>
      <c r="AW300" s="147">
        <f ca="1">INDEX(Photobiology!$21:$421,1+$AH300-380,AW$14)</f>
        <v>2.5904846557883059E-4</v>
      </c>
      <c r="AX300" s="147">
        <f ca="1">INDEX(Photobiology!$21:$421,1+$AH300-380,AX$14)</f>
        <v>3.2519296192187826E-5</v>
      </c>
      <c r="AY300" s="147">
        <f t="shared" si="99"/>
        <v>1.1111609570758304E-3</v>
      </c>
      <c r="AZ300" s="147">
        <f t="shared" ca="1" si="113"/>
        <v>0</v>
      </c>
      <c r="BA300" s="147">
        <f t="shared" ca="1" si="100"/>
        <v>7.8087280722886803E-6</v>
      </c>
      <c r="BB300" s="147">
        <f t="shared" ca="1" si="101"/>
        <v>9.8885991517432204E-5</v>
      </c>
      <c r="BC300" s="147">
        <f t="shared" ca="1" si="102"/>
        <v>3.7523905520450793E-7</v>
      </c>
      <c r="BD300" s="147">
        <f t="shared" ca="1" si="103"/>
        <v>4.8698740149666713E-8</v>
      </c>
    </row>
    <row r="301" spans="8:56" s="147" customFormat="1" ht="0.25" customHeight="1" x14ac:dyDescent="0.2">
      <c r="H301" s="147">
        <f t="shared" si="104"/>
        <v>660</v>
      </c>
      <c r="I301" s="147">
        <f>IF($H301&gt;$H300,INDEX(Spectra!301:301,1,MATCH($I$20,Spectra!$20:$20,0)),I300)</f>
        <v>1.0349003554668301E-3</v>
      </c>
      <c r="J301" s="147">
        <f>((Physics!$C$9*Physics!$C$10)/(Physics!$C$11*Physics!$C$12*$H301))^($J$17-$J$18)</f>
        <v>3.3234472393198705E+18</v>
      </c>
      <c r="K301" s="147">
        <f t="shared" si="105"/>
        <v>1</v>
      </c>
      <c r="L301" s="147">
        <f>INDEX(Photobiology!$21:$421,1+$H301-380,10)</f>
        <v>6.0999999999999999E-2</v>
      </c>
      <c r="M301" s="147">
        <f t="shared" si="106"/>
        <v>1.0349003554668301E-3</v>
      </c>
      <c r="N301" s="147">
        <f ca="1">INDEX(Photobiology!$21:$421,1+$H301-380,N$14)</f>
        <v>0</v>
      </c>
      <c r="O301" s="147">
        <f ca="1">INDEX(Photobiology!$21:$421,1+$H301-380,O$14)</f>
        <v>6.5045499999999996E-3</v>
      </c>
      <c r="P301" s="147">
        <f ca="1">INDEX(Photobiology!$21:$421,1+$H301-380,P$14)</f>
        <v>8.3807699999999999E-2</v>
      </c>
      <c r="Q301" s="147">
        <f ca="1">INDEX(Photobiology!$21:$421,1+$H301-380,Q$14)</f>
        <v>3.1290000000000002E-4</v>
      </c>
      <c r="R301" s="147">
        <f ca="1">INDEX(Photobiology!$21:$421,1+$H301-380,R$14)</f>
        <v>4.0694500000000001E-5</v>
      </c>
      <c r="S301" s="147">
        <f t="shared" si="107"/>
        <v>3439436729347389</v>
      </c>
      <c r="T301" s="147" t="str">
        <f ca="1">INDEX(Photobiology!$21:$421,1+$H301-380,T$14)</f>
        <v/>
      </c>
      <c r="U301" s="147">
        <f ca="1">INDEX(Photobiology!$21:$421,1+$H301-380,U$14)</f>
        <v>5.3275997495868532E-3</v>
      </c>
      <c r="V301" s="147">
        <f ca="1">INDEX(Photobiology!$21:$421,1+$H301-380,V$14)</f>
        <v>7.1961867255524406E-2</v>
      </c>
      <c r="W301" s="147">
        <f ca="1">INDEX(Photobiology!$21:$421,1+$H301-380,W$14)</f>
        <v>2.3966080058356891E-4</v>
      </c>
      <c r="X301" s="147">
        <f ca="1">INDEX(Photobiology!$21:$421,1+$H301-380,X$14)</f>
        <v>3.0149324120314334E-5</v>
      </c>
      <c r="Y301" s="147">
        <f t="shared" si="94"/>
        <v>1.0349003554668301E-3</v>
      </c>
      <c r="Z301" s="147">
        <f t="shared" ca="1" si="108"/>
        <v>0</v>
      </c>
      <c r="AA301" s="147">
        <f t="shared" ca="1" si="95"/>
        <v>6.7315611071517694E-6</v>
      </c>
      <c r="AB301" s="147">
        <f t="shared" ca="1" si="96"/>
        <v>8.6732618520857452E-5</v>
      </c>
      <c r="AC301" s="147">
        <f t="shared" ca="1" si="97"/>
        <v>3.2382032122557117E-7</v>
      </c>
      <c r="AD301" s="147">
        <f t="shared" ca="1" si="98"/>
        <v>4.211475251554492E-8</v>
      </c>
      <c r="AH301" s="147">
        <f t="shared" si="109"/>
        <v>660</v>
      </c>
      <c r="AI301" s="147">
        <f>IF($AH301&gt;$AH300,INDEX(Spectra!301:301,1,MATCH($AI$20,Spectra!$20:$20,0)),AI300)</f>
        <v>80.214600000000004</v>
      </c>
      <c r="AJ301" s="147">
        <f>((Physics!$C$9*Physics!$C$10)/(Physics!$C$11*Physics!$C$12*$AH301))^($AJ$17-$AJ$18)</f>
        <v>3.3234472393198705E+18</v>
      </c>
      <c r="AK301" s="147">
        <f t="shared" si="110"/>
        <v>1</v>
      </c>
      <c r="AL301" s="147">
        <f>INDEX(Photobiology!$21:$421,1+$AH301-380,10)</f>
        <v>6.0999999999999999E-2</v>
      </c>
      <c r="AM301" s="147">
        <f t="shared" si="111"/>
        <v>1.1114214423630028E-3</v>
      </c>
      <c r="AN301" s="147">
        <f ca="1">INDEX(Photobiology!$21:$421,1+$AH301-380,AN$14)</f>
        <v>0</v>
      </c>
      <c r="AO301" s="147">
        <f ca="1">INDEX(Photobiology!$21:$421,1+$AH301-380,AO$14)</f>
        <v>6.5045499999999996E-3</v>
      </c>
      <c r="AP301" s="147">
        <f ca="1">INDEX(Photobiology!$21:$421,1+$AH301-380,AP$14)</f>
        <v>8.3807699999999999E-2</v>
      </c>
      <c r="AQ301" s="147">
        <f ca="1">INDEX(Photobiology!$21:$421,1+$AH301-380,AQ$14)</f>
        <v>3.1290000000000002E-4</v>
      </c>
      <c r="AR301" s="147">
        <f ca="1">INDEX(Photobiology!$21:$421,1+$AH301-380,AR$14)</f>
        <v>4.0694500000000001E-5</v>
      </c>
      <c r="AS301" s="147">
        <f t="shared" si="112"/>
        <v>3693750524342230</v>
      </c>
      <c r="AT301" s="147" t="str">
        <f ca="1">INDEX(Photobiology!$21:$421,1+$AH301-380,AT$14)</f>
        <v/>
      </c>
      <c r="AU301" s="147">
        <f ca="1">INDEX(Photobiology!$21:$421,1+$AH301-380,AU$14)</f>
        <v>5.3275997495868532E-3</v>
      </c>
      <c r="AV301" s="147">
        <f ca="1">INDEX(Photobiology!$21:$421,1+$AH301-380,AV$14)</f>
        <v>7.1961867255524406E-2</v>
      </c>
      <c r="AW301" s="147">
        <f ca="1">INDEX(Photobiology!$21:$421,1+$AH301-380,AW$14)</f>
        <v>2.3966080058356891E-4</v>
      </c>
      <c r="AX301" s="147">
        <f ca="1">INDEX(Photobiology!$21:$421,1+$AH301-380,AX$14)</f>
        <v>3.0149324120314334E-5</v>
      </c>
      <c r="AY301" s="147">
        <f t="shared" si="99"/>
        <v>1.1114214423630028E-3</v>
      </c>
      <c r="AZ301" s="147">
        <f t="shared" ca="1" si="113"/>
        <v>0</v>
      </c>
      <c r="BA301" s="147">
        <f t="shared" ca="1" si="100"/>
        <v>7.2292963429222698E-6</v>
      </c>
      <c r="BB301" s="147">
        <f t="shared" ca="1" si="101"/>
        <v>9.3145674815125833E-5</v>
      </c>
      <c r="BC301" s="147">
        <f t="shared" ca="1" si="102"/>
        <v>3.4776376931538361E-7</v>
      </c>
      <c r="BD301" s="147">
        <f t="shared" ca="1" si="103"/>
        <v>4.5228739886241216E-8</v>
      </c>
    </row>
    <row r="302" spans="8:56" s="147" customFormat="1" ht="0.25" customHeight="1" x14ac:dyDescent="0.2">
      <c r="H302" s="147">
        <f t="shared" si="104"/>
        <v>661</v>
      </c>
      <c r="I302" s="147">
        <f>IF($H302&gt;$H301,INDEX(Spectra!302:302,1,MATCH($I$20,Spectra!$20:$20,0)),I301)</f>
        <v>1.0398998740922801E-3</v>
      </c>
      <c r="J302" s="147">
        <f>((Physics!$C$9*Physics!$C$10)/(Physics!$C$11*Physics!$C$12*$H302))^($J$17-$J$18)</f>
        <v>3.3284827654400527E+18</v>
      </c>
      <c r="K302" s="147">
        <f t="shared" si="105"/>
        <v>1</v>
      </c>
      <c r="L302" s="147">
        <f>INDEX(Photobiology!$21:$421,1+$H302-380,10)</f>
        <v>5.7396210000000003E-2</v>
      </c>
      <c r="M302" s="147">
        <f t="shared" si="106"/>
        <v>1.0398998740922801E-3</v>
      </c>
      <c r="N302" s="147">
        <f ca="1">INDEX(Photobiology!$21:$421,1+$H302-380,N$14)</f>
        <v>0</v>
      </c>
      <c r="O302" s="147">
        <f ca="1">INDEX(Photobiology!$21:$421,1+$H302-380,O$14)</f>
        <v>6.0195200000000004E-3</v>
      </c>
      <c r="P302" s="147">
        <f ca="1">INDEX(Photobiology!$21:$421,1+$H302-380,P$14)</f>
        <v>7.8886600000000001E-2</v>
      </c>
      <c r="Q302" s="147">
        <f ca="1">INDEX(Photobiology!$21:$421,1+$H302-380,Q$14)</f>
        <v>2.901E-4</v>
      </c>
      <c r="R302" s="147">
        <f ca="1">INDEX(Photobiology!$21:$421,1+$H302-380,R$14)</f>
        <v>3.7799000000000002E-5</v>
      </c>
      <c r="S302" s="147">
        <f t="shared" si="107"/>
        <v>3461288808699435</v>
      </c>
      <c r="T302" s="147" t="str">
        <f ca="1">INDEX(Photobiology!$21:$421,1+$H302-380,T$14)</f>
        <v/>
      </c>
      <c r="U302" s="147">
        <f ca="1">INDEX(Photobiology!$21:$421,1+$H302-380,U$14)</f>
        <v>4.9228734442989452E-3</v>
      </c>
      <c r="V302" s="147">
        <f ca="1">INDEX(Photobiology!$21:$421,1+$H302-380,V$14)</f>
        <v>6.7633866540167314E-2</v>
      </c>
      <c r="W302" s="147">
        <f ca="1">INDEX(Photobiology!$21:$421,1+$H302-380,W$14)</f>
        <v>2.2186134803806273E-4</v>
      </c>
      <c r="X302" s="147">
        <f ca="1">INDEX(Photobiology!$21:$421,1+$H302-380,X$14)</f>
        <v>2.7961769436244986E-5</v>
      </c>
      <c r="Y302" s="147">
        <f t="shared" si="94"/>
        <v>1.0398998740922801E-3</v>
      </c>
      <c r="Z302" s="147">
        <f t="shared" ca="1" si="108"/>
        <v>0</v>
      </c>
      <c r="AA302" s="147">
        <f t="shared" ca="1" si="95"/>
        <v>6.2596980900959621E-6</v>
      </c>
      <c r="AB302" s="147">
        <f t="shared" ca="1" si="96"/>
        <v>8.2034165407568062E-5</v>
      </c>
      <c r="AC302" s="147">
        <f t="shared" ca="1" si="97"/>
        <v>3.0167495347417047E-7</v>
      </c>
      <c r="AD302" s="147">
        <f t="shared" ca="1" si="98"/>
        <v>3.9307175340814098E-8</v>
      </c>
      <c r="AH302" s="147">
        <f t="shared" si="109"/>
        <v>661</v>
      </c>
      <c r="AI302" s="147">
        <f>IF($AH302&gt;$AH301,INDEX(Spectra!302:302,1,MATCH($AI$20,Spectra!$20:$20,0)),AI301)</f>
        <v>80.420900000000003</v>
      </c>
      <c r="AJ302" s="147">
        <f>((Physics!$C$9*Physics!$C$10)/(Physics!$C$11*Physics!$C$12*$AH302))^($AJ$17-$AJ$18)</f>
        <v>3.3284827654400527E+18</v>
      </c>
      <c r="AK302" s="147">
        <f t="shared" si="110"/>
        <v>1</v>
      </c>
      <c r="AL302" s="147">
        <f>INDEX(Photobiology!$21:$421,1+$AH302-380,10)</f>
        <v>5.7396210000000003E-2</v>
      </c>
      <c r="AM302" s="147">
        <f t="shared" si="111"/>
        <v>1.1142798527217091E-3</v>
      </c>
      <c r="AN302" s="147">
        <f ca="1">INDEX(Photobiology!$21:$421,1+$AH302-380,AN$14)</f>
        <v>0</v>
      </c>
      <c r="AO302" s="147">
        <f ca="1">INDEX(Photobiology!$21:$421,1+$AH302-380,AO$14)</f>
        <v>6.0195200000000004E-3</v>
      </c>
      <c r="AP302" s="147">
        <f ca="1">INDEX(Photobiology!$21:$421,1+$AH302-380,AP$14)</f>
        <v>7.8886600000000001E-2</v>
      </c>
      <c r="AQ302" s="147">
        <f ca="1">INDEX(Photobiology!$21:$421,1+$AH302-380,AQ$14)</f>
        <v>2.901E-4</v>
      </c>
      <c r="AR302" s="147">
        <f ca="1">INDEX(Photobiology!$21:$421,1+$AH302-380,AR$14)</f>
        <v>3.7799000000000002E-5</v>
      </c>
      <c r="AS302" s="147">
        <f t="shared" si="112"/>
        <v>3708861285661289</v>
      </c>
      <c r="AT302" s="147" t="str">
        <f ca="1">INDEX(Photobiology!$21:$421,1+$AH302-380,AT$14)</f>
        <v/>
      </c>
      <c r="AU302" s="147">
        <f ca="1">INDEX(Photobiology!$21:$421,1+$AH302-380,AU$14)</f>
        <v>4.9228734442989452E-3</v>
      </c>
      <c r="AV302" s="147">
        <f ca="1">INDEX(Photobiology!$21:$421,1+$AH302-380,AV$14)</f>
        <v>6.7633866540167314E-2</v>
      </c>
      <c r="AW302" s="147">
        <f ca="1">INDEX(Photobiology!$21:$421,1+$AH302-380,AW$14)</f>
        <v>2.2186134803806273E-4</v>
      </c>
      <c r="AX302" s="147">
        <f ca="1">INDEX(Photobiology!$21:$421,1+$AH302-380,AX$14)</f>
        <v>2.7961769436244986E-5</v>
      </c>
      <c r="AY302" s="147">
        <f t="shared" si="99"/>
        <v>1.1142798527217091E-3</v>
      </c>
      <c r="AZ302" s="147">
        <f t="shared" ca="1" si="113"/>
        <v>0</v>
      </c>
      <c r="BA302" s="147">
        <f t="shared" ca="1" si="100"/>
        <v>6.7074298590553828E-6</v>
      </c>
      <c r="BB302" s="147">
        <f t="shared" ca="1" si="101"/>
        <v>8.7901749029716382E-5</v>
      </c>
      <c r="BC302" s="147">
        <f t="shared" ca="1" si="102"/>
        <v>3.2325258527456784E-7</v>
      </c>
      <c r="BD302" s="147">
        <f t="shared" ca="1" si="103"/>
        <v>4.2118664153027884E-8</v>
      </c>
    </row>
    <row r="303" spans="8:56" s="147" customFormat="1" ht="0.25" customHeight="1" x14ac:dyDescent="0.2">
      <c r="H303" s="147">
        <f t="shared" si="104"/>
        <v>662</v>
      </c>
      <c r="I303" s="147">
        <f>IF($H303&gt;$H302,INDEX(Spectra!303:303,1,MATCH($I$20,Spectra!$20:$20,0)),I302)</f>
        <v>1.0448993927177201E-3</v>
      </c>
      <c r="J303" s="147">
        <f>((Physics!$C$9*Physics!$C$10)/(Physics!$C$11*Physics!$C$12*$H303))^($J$17-$J$18)</f>
        <v>3.3335182915602345E+18</v>
      </c>
      <c r="K303" s="147">
        <f t="shared" si="105"/>
        <v>1</v>
      </c>
      <c r="L303" s="147">
        <f>INDEX(Photobiology!$21:$421,1+$H303-380,10)</f>
        <v>5.3955040000000003E-2</v>
      </c>
      <c r="M303" s="147">
        <f t="shared" si="106"/>
        <v>1.0448993927177201E-3</v>
      </c>
      <c r="N303" s="147">
        <f ca="1">INDEX(Photobiology!$21:$421,1+$H303-380,N$14)</f>
        <v>0</v>
      </c>
      <c r="O303" s="147">
        <f ca="1">INDEX(Photobiology!$21:$421,1+$H303-380,O$14)</f>
        <v>5.57093E-3</v>
      </c>
      <c r="P303" s="147">
        <f ca="1">INDEX(Photobiology!$21:$421,1+$H303-380,P$14)</f>
        <v>7.4219199999999999E-2</v>
      </c>
      <c r="Q303" s="147">
        <f ca="1">INDEX(Photobiology!$21:$421,1+$H303-380,Q$14)</f>
        <v>2.6889999999999998E-4</v>
      </c>
      <c r="R303" s="147">
        <f ca="1">INDEX(Photobiology!$21:$421,1+$H303-380,R$14)</f>
        <v>3.5096599999999999E-5</v>
      </c>
      <c r="S303" s="147">
        <f t="shared" si="107"/>
        <v>3483191238464700.5</v>
      </c>
      <c r="T303" s="147" t="str">
        <f ca="1">INDEX(Photobiology!$21:$421,1+$H303-380,T$14)</f>
        <v/>
      </c>
      <c r="U303" s="147">
        <f ca="1">INDEX(Photobiology!$21:$421,1+$H303-380,U$14)</f>
        <v>4.5491261578567066E-3</v>
      </c>
      <c r="V303" s="147">
        <f ca="1">INDEX(Photobiology!$21:$421,1+$H303-380,V$14)</f>
        <v>6.3536123899181604E-2</v>
      </c>
      <c r="W303" s="147">
        <f ca="1">INDEX(Photobiology!$21:$421,1+$H303-380,W$14)</f>
        <v>2.0533746253867339E-4</v>
      </c>
      <c r="X303" s="147">
        <f ca="1">INDEX(Photobiology!$21:$421,1+$H303-380,X$14)</f>
        <v>2.5923453416486603E-5</v>
      </c>
      <c r="Y303" s="147">
        <f t="shared" si="94"/>
        <v>1.0448993927177201E-3</v>
      </c>
      <c r="Z303" s="147">
        <f t="shared" ca="1" si="108"/>
        <v>0</v>
      </c>
      <c r="AA303" s="147">
        <f t="shared" ca="1" si="95"/>
        <v>5.821061373872928E-6</v>
      </c>
      <c r="AB303" s="147">
        <f t="shared" ca="1" si="96"/>
        <v>7.7551597007995005E-5</v>
      </c>
      <c r="AC303" s="147">
        <f t="shared" ca="1" si="97"/>
        <v>2.8097344670179492E-7</v>
      </c>
      <c r="AD303" s="147">
        <f t="shared" ca="1" si="98"/>
        <v>3.6672416026456729E-8</v>
      </c>
      <c r="AH303" s="147">
        <f t="shared" si="109"/>
        <v>662</v>
      </c>
      <c r="AI303" s="147">
        <f>IF($AH303&gt;$AH302,INDEX(Spectra!303:303,1,MATCH($AI$20,Spectra!$20:$20,0)),AI302)</f>
        <v>80.627200000000002</v>
      </c>
      <c r="AJ303" s="147">
        <f>((Physics!$C$9*Physics!$C$10)/(Physics!$C$11*Physics!$C$12*$AH303))^($AJ$17-$AJ$18)</f>
        <v>3.3335182915602345E+18</v>
      </c>
      <c r="AK303" s="147">
        <f t="shared" si="110"/>
        <v>1</v>
      </c>
      <c r="AL303" s="147">
        <f>INDEX(Photobiology!$21:$421,1+$AH303-380,10)</f>
        <v>5.3955040000000003E-2</v>
      </c>
      <c r="AM303" s="147">
        <f t="shared" si="111"/>
        <v>1.1171382630804155E-3</v>
      </c>
      <c r="AN303" s="147">
        <f ca="1">INDEX(Photobiology!$21:$421,1+$AH303-380,AN$14)</f>
        <v>0</v>
      </c>
      <c r="AO303" s="147">
        <f ca="1">INDEX(Photobiology!$21:$421,1+$AH303-380,AO$14)</f>
        <v>5.57093E-3</v>
      </c>
      <c r="AP303" s="147">
        <f ca="1">INDEX(Photobiology!$21:$421,1+$AH303-380,AP$14)</f>
        <v>7.4219199999999999E-2</v>
      </c>
      <c r="AQ303" s="147">
        <f ca="1">INDEX(Photobiology!$21:$421,1+$AH303-380,AQ$14)</f>
        <v>2.6889999999999998E-4</v>
      </c>
      <c r="AR303" s="147">
        <f ca="1">INDEX(Photobiology!$21:$421,1+$AH303-380,AR$14)</f>
        <v>3.5096599999999999E-5</v>
      </c>
      <c r="AS303" s="147">
        <f t="shared" si="112"/>
        <v>3724000834180394.5</v>
      </c>
      <c r="AT303" s="147" t="str">
        <f ca="1">INDEX(Photobiology!$21:$421,1+$AH303-380,AT$14)</f>
        <v/>
      </c>
      <c r="AU303" s="147">
        <f ca="1">INDEX(Photobiology!$21:$421,1+$AH303-380,AU$14)</f>
        <v>4.5491261578567066E-3</v>
      </c>
      <c r="AV303" s="147">
        <f ca="1">INDEX(Photobiology!$21:$421,1+$AH303-380,AV$14)</f>
        <v>6.3536123899181604E-2</v>
      </c>
      <c r="AW303" s="147">
        <f ca="1">INDEX(Photobiology!$21:$421,1+$AH303-380,AW$14)</f>
        <v>2.0533746253867339E-4</v>
      </c>
      <c r="AX303" s="147">
        <f ca="1">INDEX(Photobiology!$21:$421,1+$AH303-380,AX$14)</f>
        <v>2.5923453416486603E-5</v>
      </c>
      <c r="AY303" s="147">
        <f t="shared" si="99"/>
        <v>1.1171382630804155E-3</v>
      </c>
      <c r="AZ303" s="147">
        <f t="shared" ca="1" si="113"/>
        <v>0</v>
      </c>
      <c r="BA303" s="147">
        <f t="shared" ca="1" si="100"/>
        <v>6.2234990639425786E-6</v>
      </c>
      <c r="BB303" s="147">
        <f t="shared" ca="1" si="101"/>
        <v>8.2913108175217967E-5</v>
      </c>
      <c r="BC303" s="147">
        <f t="shared" ca="1" si="102"/>
        <v>3.0039847894232368E-7</v>
      </c>
      <c r="BD303" s="147">
        <f t="shared" ca="1" si="103"/>
        <v>3.920775476402811E-8</v>
      </c>
    </row>
    <row r="304" spans="8:56" s="147" customFormat="1" ht="0.25" customHeight="1" x14ac:dyDescent="0.2">
      <c r="H304" s="147">
        <f t="shared" si="104"/>
        <v>663</v>
      </c>
      <c r="I304" s="147">
        <f>IF($H304&gt;$H303,INDEX(Spectra!304:304,1,MATCH($I$20,Spectra!$20:$20,0)),I303)</f>
        <v>1.0398998740922801E-3</v>
      </c>
      <c r="J304" s="147">
        <f>((Physics!$C$9*Physics!$C$10)/(Physics!$C$11*Physics!$C$12*$H304))^($J$17-$J$18)</f>
        <v>3.3385538176804157E+18</v>
      </c>
      <c r="K304" s="147">
        <f t="shared" si="105"/>
        <v>1</v>
      </c>
      <c r="L304" s="147">
        <f>INDEX(Photobiology!$21:$421,1+$H304-380,10)</f>
        <v>5.0673759999999998E-2</v>
      </c>
      <c r="M304" s="147">
        <f t="shared" si="106"/>
        <v>1.0398998740922801E-3</v>
      </c>
      <c r="N304" s="147">
        <f ca="1">INDEX(Photobiology!$21:$421,1+$H304-380,N$14)</f>
        <v>0</v>
      </c>
      <c r="O304" s="147">
        <f ca="1">INDEX(Photobiology!$21:$421,1+$H304-380,O$14)</f>
        <v>5.1572800000000002E-3</v>
      </c>
      <c r="P304" s="147">
        <f ca="1">INDEX(Photobiology!$21:$421,1+$H304-380,P$14)</f>
        <v>6.9795300000000005E-2</v>
      </c>
      <c r="Q304" s="147">
        <f ca="1">INDEX(Photobiology!$21:$421,1+$H304-380,Q$14)</f>
        <v>2.4929999999999999E-4</v>
      </c>
      <c r="R304" s="147">
        <f ca="1">INDEX(Photobiology!$21:$421,1+$H304-380,R$14)</f>
        <v>3.2585700000000002E-5</v>
      </c>
      <c r="S304" s="147">
        <f t="shared" si="107"/>
        <v>3471761694656165</v>
      </c>
      <c r="T304" s="147" t="str">
        <f ca="1">INDEX(Photobiology!$21:$421,1+$H304-380,T$14)</f>
        <v/>
      </c>
      <c r="U304" s="147">
        <f ca="1">INDEX(Photobiology!$21:$421,1+$H304-380,U$14)</f>
        <v>4.2049946868315362E-3</v>
      </c>
      <c r="V304" s="147">
        <f ca="1">INDEX(Photobiology!$21:$421,1+$H304-380,V$14)</f>
        <v>5.9658878794103969E-2</v>
      </c>
      <c r="W304" s="147">
        <f ca="1">INDEX(Photobiology!$21:$421,1+$H304-380,W$14)</f>
        <v>1.9008337228881213E-4</v>
      </c>
      <c r="X304" s="147">
        <f ca="1">INDEX(Photobiology!$21:$421,1+$H304-380,X$14)</f>
        <v>2.4032520745125192E-5</v>
      </c>
      <c r="Y304" s="147">
        <f t="shared" si="94"/>
        <v>1.0398998740922801E-3</v>
      </c>
      <c r="Z304" s="147">
        <f t="shared" ca="1" si="108"/>
        <v>0</v>
      </c>
      <c r="AA304" s="147">
        <f t="shared" ca="1" si="95"/>
        <v>5.3630548226586344E-6</v>
      </c>
      <c r="AB304" s="147">
        <f t="shared" ca="1" si="96"/>
        <v>7.2580123682232926E-5</v>
      </c>
      <c r="AC304" s="147">
        <f t="shared" ca="1" si="97"/>
        <v>2.5924703861120542E-7</v>
      </c>
      <c r="AD304" s="147">
        <f t="shared" ca="1" si="98"/>
        <v>3.3885865327208811E-8</v>
      </c>
      <c r="AH304" s="147">
        <f t="shared" si="109"/>
        <v>663</v>
      </c>
      <c r="AI304" s="147">
        <f>IF($AH304&gt;$AH303,INDEX(Spectra!304:304,1,MATCH($AI$20,Spectra!$20:$20,0)),AI303)</f>
        <v>80.833600000000004</v>
      </c>
      <c r="AJ304" s="147">
        <f>((Physics!$C$9*Physics!$C$10)/(Physics!$C$11*Physics!$C$12*$AH304))^($AJ$17-$AJ$18)</f>
        <v>3.3385538176804157E+18</v>
      </c>
      <c r="AK304" s="147">
        <f t="shared" si="110"/>
        <v>1</v>
      </c>
      <c r="AL304" s="147">
        <f>INDEX(Photobiology!$21:$421,1+$AH304-380,10)</f>
        <v>5.0673759999999998E-2</v>
      </c>
      <c r="AM304" s="147">
        <f t="shared" si="111"/>
        <v>1.11999805899916E-3</v>
      </c>
      <c r="AN304" s="147">
        <f ca="1">INDEX(Photobiology!$21:$421,1+$AH304-380,AN$14)</f>
        <v>0</v>
      </c>
      <c r="AO304" s="147">
        <f ca="1">INDEX(Photobiology!$21:$421,1+$AH304-380,AO$14)</f>
        <v>5.1572800000000002E-3</v>
      </c>
      <c r="AP304" s="147">
        <f ca="1">INDEX(Photobiology!$21:$421,1+$AH304-380,AP$14)</f>
        <v>6.9795300000000005E-2</v>
      </c>
      <c r="AQ304" s="147">
        <f ca="1">INDEX(Photobiology!$21:$421,1+$AH304-380,AQ$14)</f>
        <v>2.4929999999999999E-4</v>
      </c>
      <c r="AR304" s="147">
        <f ca="1">INDEX(Photobiology!$21:$421,1+$AH304-380,AR$14)</f>
        <v>3.2585700000000002E-5</v>
      </c>
      <c r="AS304" s="147">
        <f t="shared" si="112"/>
        <v>3739173795666301</v>
      </c>
      <c r="AT304" s="147" t="str">
        <f ca="1">INDEX(Photobiology!$21:$421,1+$AH304-380,AT$14)</f>
        <v/>
      </c>
      <c r="AU304" s="147">
        <f ca="1">INDEX(Photobiology!$21:$421,1+$AH304-380,AU$14)</f>
        <v>4.2049946868315362E-3</v>
      </c>
      <c r="AV304" s="147">
        <f ca="1">INDEX(Photobiology!$21:$421,1+$AH304-380,AV$14)</f>
        <v>5.9658878794103969E-2</v>
      </c>
      <c r="AW304" s="147">
        <f ca="1">INDEX(Photobiology!$21:$421,1+$AH304-380,AW$14)</f>
        <v>1.9008337228881213E-4</v>
      </c>
      <c r="AX304" s="147">
        <f ca="1">INDEX(Photobiology!$21:$421,1+$AH304-380,AX$14)</f>
        <v>2.4032520745125192E-5</v>
      </c>
      <c r="AY304" s="147">
        <f t="shared" si="99"/>
        <v>1.11999805899916E-3</v>
      </c>
      <c r="AZ304" s="147">
        <f t="shared" ca="1" si="113"/>
        <v>0</v>
      </c>
      <c r="BA304" s="147">
        <f t="shared" ca="1" si="100"/>
        <v>5.7761435897151881E-6</v>
      </c>
      <c r="BB304" s="147">
        <f t="shared" ca="1" si="101"/>
        <v>7.8170600527264084E-5</v>
      </c>
      <c r="BC304" s="147">
        <f t="shared" ca="1" si="102"/>
        <v>2.792155161084906E-7</v>
      </c>
      <c r="BD304" s="147">
        <f t="shared" ca="1" si="103"/>
        <v>3.6495920751128931E-8</v>
      </c>
    </row>
    <row r="305" spans="8:56" s="147" customFormat="1" ht="0.25" customHeight="1" x14ac:dyDescent="0.2">
      <c r="H305" s="147">
        <f t="shared" si="104"/>
        <v>664</v>
      </c>
      <c r="I305" s="147">
        <f>IF($H305&gt;$H304,INDEX(Spectra!305:305,1,MATCH($I$20,Spectra!$20:$20,0)),I304)</f>
        <v>1.0398998740922801E-3</v>
      </c>
      <c r="J305" s="147">
        <f>((Physics!$C$9*Physics!$C$10)/(Physics!$C$11*Physics!$C$12*$H305))^($J$17-$J$18)</f>
        <v>3.343589343800597E+18</v>
      </c>
      <c r="K305" s="147">
        <f t="shared" si="105"/>
        <v>1</v>
      </c>
      <c r="L305" s="147">
        <f>INDEX(Photobiology!$21:$421,1+$H305-380,10)</f>
        <v>4.7549649999999999E-2</v>
      </c>
      <c r="M305" s="147">
        <f t="shared" si="106"/>
        <v>1.0398998740922801E-3</v>
      </c>
      <c r="N305" s="147">
        <f ca="1">INDEX(Photobiology!$21:$421,1+$H305-380,N$14)</f>
        <v>0</v>
      </c>
      <c r="O305" s="147">
        <f ca="1">INDEX(Photobiology!$21:$421,1+$H305-380,O$14)</f>
        <v>4.7768699999999999E-3</v>
      </c>
      <c r="P305" s="147">
        <f ca="1">INDEX(Photobiology!$21:$421,1+$H305-380,P$14)</f>
        <v>6.5604999999999997E-2</v>
      </c>
      <c r="Q305" s="147">
        <f ca="1">INDEX(Photobiology!$21:$421,1+$H305-380,Q$14)</f>
        <v>2.3130000000000001E-4</v>
      </c>
      <c r="R305" s="147">
        <f ca="1">INDEX(Photobiology!$21:$421,1+$H305-380,R$14)</f>
        <v>3.0264699999999998E-5</v>
      </c>
      <c r="S305" s="147">
        <f t="shared" si="107"/>
        <v>3476998137634530</v>
      </c>
      <c r="T305" s="147" t="str">
        <f ca="1">INDEX(Photobiology!$21:$421,1+$H305-380,T$14)</f>
        <v/>
      </c>
      <c r="U305" s="147">
        <f ca="1">INDEX(Photobiology!$21:$421,1+$H305-380,U$14)</f>
        <v>3.8889612152017009E-3</v>
      </c>
      <c r="V305" s="147">
        <f ca="1">INDEX(Photobiology!$21:$421,1+$H305-380,V$14)</f>
        <v>5.5992685529490611E-2</v>
      </c>
      <c r="W305" s="147">
        <f ca="1">INDEX(Photobiology!$21:$421,1+$H305-380,W$14)</f>
        <v>1.7609334026174911E-4</v>
      </c>
      <c r="X305" s="147">
        <f ca="1">INDEX(Photobiology!$21:$421,1+$H305-380,X$14)</f>
        <v>2.2287127282848637E-5</v>
      </c>
      <c r="Y305" s="147">
        <f t="shared" si="94"/>
        <v>1.0398998740922801E-3</v>
      </c>
      <c r="Z305" s="147">
        <f t="shared" ca="1" si="108"/>
        <v>0</v>
      </c>
      <c r="AA305" s="147">
        <f t="shared" ca="1" si="95"/>
        <v>4.9674665115551899E-6</v>
      </c>
      <c r="AB305" s="147">
        <f t="shared" ca="1" si="96"/>
        <v>6.8222631239824028E-5</v>
      </c>
      <c r="AC305" s="147">
        <f t="shared" ca="1" si="97"/>
        <v>2.4052884087754437E-7</v>
      </c>
      <c r="AD305" s="147">
        <f t="shared" ca="1" si="98"/>
        <v>3.1472257719440627E-8</v>
      </c>
      <c r="AH305" s="147">
        <f t="shared" si="109"/>
        <v>664</v>
      </c>
      <c r="AI305" s="147">
        <f>IF($AH305&gt;$AH304,INDEX(Spectra!305:305,1,MATCH($AI$20,Spectra!$20:$20,0)),AI304)</f>
        <v>81.039900000000003</v>
      </c>
      <c r="AJ305" s="147">
        <f>((Physics!$C$9*Physics!$C$10)/(Physics!$C$11*Physics!$C$12*$AH305))^($AJ$17-$AJ$18)</f>
        <v>3.343589343800597E+18</v>
      </c>
      <c r="AK305" s="147">
        <f t="shared" si="110"/>
        <v>1</v>
      </c>
      <c r="AL305" s="147">
        <f>INDEX(Photobiology!$21:$421,1+$AH305-380,10)</f>
        <v>4.7549649999999999E-2</v>
      </c>
      <c r="AM305" s="147">
        <f t="shared" si="111"/>
        <v>1.1228564693578664E-3</v>
      </c>
      <c r="AN305" s="147">
        <f ca="1">INDEX(Photobiology!$21:$421,1+$AH305-380,AN$14)</f>
        <v>0</v>
      </c>
      <c r="AO305" s="147">
        <f ca="1">INDEX(Photobiology!$21:$421,1+$AH305-380,AO$14)</f>
        <v>4.7768699999999999E-3</v>
      </c>
      <c r="AP305" s="147">
        <f ca="1">INDEX(Photobiology!$21:$421,1+$AH305-380,AP$14)</f>
        <v>6.5604999999999997E-2</v>
      </c>
      <c r="AQ305" s="147">
        <f ca="1">INDEX(Photobiology!$21:$421,1+$AH305-380,AQ$14)</f>
        <v>2.3130000000000001E-4</v>
      </c>
      <c r="AR305" s="147">
        <f ca="1">INDEX(Photobiology!$21:$421,1+$AH305-380,AR$14)</f>
        <v>3.0264699999999998E-5</v>
      </c>
      <c r="AS305" s="147">
        <f t="shared" si="112"/>
        <v>3754370925562523.5</v>
      </c>
      <c r="AT305" s="147" t="str">
        <f ca="1">INDEX(Photobiology!$21:$421,1+$AH305-380,AT$14)</f>
        <v/>
      </c>
      <c r="AU305" s="147">
        <f ca="1">INDEX(Photobiology!$21:$421,1+$AH305-380,AU$14)</f>
        <v>3.8889612152017009E-3</v>
      </c>
      <c r="AV305" s="147">
        <f ca="1">INDEX(Photobiology!$21:$421,1+$AH305-380,AV$14)</f>
        <v>5.5992685529490611E-2</v>
      </c>
      <c r="AW305" s="147">
        <f ca="1">INDEX(Photobiology!$21:$421,1+$AH305-380,AW$14)</f>
        <v>1.7609334026174911E-4</v>
      </c>
      <c r="AX305" s="147">
        <f ca="1">INDEX(Photobiology!$21:$421,1+$AH305-380,AX$14)</f>
        <v>2.2287127282848637E-5</v>
      </c>
      <c r="AY305" s="147">
        <f t="shared" si="99"/>
        <v>1.1228564693578664E-3</v>
      </c>
      <c r="AZ305" s="147">
        <f t="shared" ca="1" si="113"/>
        <v>0</v>
      </c>
      <c r="BA305" s="147">
        <f t="shared" ca="1" si="100"/>
        <v>5.3637393827815106E-6</v>
      </c>
      <c r="BB305" s="147">
        <f t="shared" ca="1" si="101"/>
        <v>7.3664998672222818E-5</v>
      </c>
      <c r="BC305" s="147">
        <f t="shared" ca="1" si="102"/>
        <v>2.5971670136247451E-7</v>
      </c>
      <c r="BD305" s="147">
        <f t="shared" ca="1" si="103"/>
        <v>3.3982914188175019E-8</v>
      </c>
    </row>
    <row r="306" spans="8:56" s="147" customFormat="1" ht="0.25" customHeight="1" x14ac:dyDescent="0.2">
      <c r="H306" s="147">
        <f t="shared" si="104"/>
        <v>665</v>
      </c>
      <c r="I306" s="147">
        <f>IF($H306&gt;$H305,INDEX(Spectra!306:306,1,MATCH($I$20,Spectra!$20:$20,0)),I305)</f>
        <v>1.0448993927177201E-3</v>
      </c>
      <c r="J306" s="147">
        <f>((Physics!$C$9*Physics!$C$10)/(Physics!$C$11*Physics!$C$12*$H306))^($J$17-$J$18)</f>
        <v>3.3486248699207788E+18</v>
      </c>
      <c r="K306" s="147">
        <f t="shared" si="105"/>
        <v>1</v>
      </c>
      <c r="L306" s="147">
        <f>INDEX(Photobiology!$21:$421,1+$H306-380,10)</f>
        <v>4.4580000000000002E-2</v>
      </c>
      <c r="M306" s="147">
        <f t="shared" si="106"/>
        <v>1.0448993927177201E-3</v>
      </c>
      <c r="N306" s="147">
        <f ca="1">INDEX(Photobiology!$21:$421,1+$H306-380,N$14)</f>
        <v>0</v>
      </c>
      <c r="O306" s="147">
        <f ca="1">INDEX(Photobiology!$21:$421,1+$H306-380,O$14)</f>
        <v>4.42794E-3</v>
      </c>
      <c r="P306" s="147">
        <f ca="1">INDEX(Photobiology!$21:$421,1+$H306-380,P$14)</f>
        <v>6.1638400000000003E-2</v>
      </c>
      <c r="Q306" s="147">
        <f ca="1">INDEX(Photobiology!$21:$421,1+$H306-380,Q$14)</f>
        <v>2.1460000000000001E-4</v>
      </c>
      <c r="R306" s="147">
        <f ca="1">INDEX(Photobiology!$21:$421,1+$H306-380,R$14)</f>
        <v>2.8132000000000001E-5</v>
      </c>
      <c r="S306" s="147">
        <f t="shared" si="107"/>
        <v>3498976093019676</v>
      </c>
      <c r="T306" s="147" t="str">
        <f ca="1">INDEX(Photobiology!$21:$421,1+$H306-380,T$14)</f>
        <v/>
      </c>
      <c r="U306" s="147">
        <f ca="1">INDEX(Photobiology!$21:$421,1+$H306-380,U$14)</f>
        <v>3.5994682827220495E-3</v>
      </c>
      <c r="V306" s="147">
        <f ca="1">INDEX(Photobiology!$21:$421,1+$H306-380,V$14)</f>
        <v>5.2528155226111019E-2</v>
      </c>
      <c r="W306" s="147">
        <f ca="1">INDEX(Photobiology!$21:$421,1+$H306-380,W$14)</f>
        <v>1.63133611360397E-4</v>
      </c>
      <c r="X306" s="147">
        <f ca="1">INDEX(Photobiology!$21:$421,1+$H306-380,X$14)</f>
        <v>2.0685439982912126E-5</v>
      </c>
      <c r="Y306" s="147">
        <f t="shared" si="94"/>
        <v>1.0448993927177201E-3</v>
      </c>
      <c r="Z306" s="147">
        <f t="shared" ca="1" si="108"/>
        <v>0</v>
      </c>
      <c r="AA306" s="147">
        <f t="shared" ca="1" si="95"/>
        <v>4.6267518169905017E-6</v>
      </c>
      <c r="AB306" s="147">
        <f t="shared" ca="1" si="96"/>
        <v>6.4405926728091921E-5</v>
      </c>
      <c r="AC306" s="147">
        <f t="shared" ca="1" si="97"/>
        <v>2.2423540967722274E-7</v>
      </c>
      <c r="AD306" s="147">
        <f t="shared" ca="1" si="98"/>
        <v>2.9395109715934903E-8</v>
      </c>
      <c r="AH306" s="147">
        <f t="shared" si="109"/>
        <v>665</v>
      </c>
      <c r="AI306" s="147">
        <f>IF($AH306&gt;$AH305,INDEX(Spectra!306:306,1,MATCH($AI$20,Spectra!$20:$20,0)),AI305)</f>
        <v>81.246200000000002</v>
      </c>
      <c r="AJ306" s="147">
        <f>((Physics!$C$9*Physics!$C$10)/(Physics!$C$11*Physics!$C$12*$AH306))^($AJ$17-$AJ$18)</f>
        <v>3.3486248699207788E+18</v>
      </c>
      <c r="AK306" s="147">
        <f t="shared" si="110"/>
        <v>1</v>
      </c>
      <c r="AL306" s="147">
        <f>INDEX(Photobiology!$21:$421,1+$AH306-380,10)</f>
        <v>4.4580000000000002E-2</v>
      </c>
      <c r="AM306" s="147">
        <f t="shared" si="111"/>
        <v>1.1257148797165727E-3</v>
      </c>
      <c r="AN306" s="147">
        <f ca="1">INDEX(Photobiology!$21:$421,1+$AH306-380,AN$14)</f>
        <v>0</v>
      </c>
      <c r="AO306" s="147">
        <f ca="1">INDEX(Photobiology!$21:$421,1+$AH306-380,AO$14)</f>
        <v>4.42794E-3</v>
      </c>
      <c r="AP306" s="147">
        <f ca="1">INDEX(Photobiology!$21:$421,1+$AH306-380,AP$14)</f>
        <v>6.1638400000000003E-2</v>
      </c>
      <c r="AQ306" s="147">
        <f ca="1">INDEX(Photobiology!$21:$421,1+$AH306-380,AQ$14)</f>
        <v>2.1460000000000001E-4</v>
      </c>
      <c r="AR306" s="147">
        <f ca="1">INDEX(Photobiology!$21:$421,1+$AH306-380,AR$14)</f>
        <v>2.8132000000000001E-5</v>
      </c>
      <c r="AS306" s="147">
        <f t="shared" si="112"/>
        <v>3769596842658793.5</v>
      </c>
      <c r="AT306" s="147" t="str">
        <f ca="1">INDEX(Photobiology!$21:$421,1+$AH306-380,AT$14)</f>
        <v/>
      </c>
      <c r="AU306" s="147">
        <f ca="1">INDEX(Photobiology!$21:$421,1+$AH306-380,AU$14)</f>
        <v>3.5994682827220495E-3</v>
      </c>
      <c r="AV306" s="147">
        <f ca="1">INDEX(Photobiology!$21:$421,1+$AH306-380,AV$14)</f>
        <v>5.2528155226111019E-2</v>
      </c>
      <c r="AW306" s="147">
        <f ca="1">INDEX(Photobiology!$21:$421,1+$AH306-380,AW$14)</f>
        <v>1.63133611360397E-4</v>
      </c>
      <c r="AX306" s="147">
        <f ca="1">INDEX(Photobiology!$21:$421,1+$AH306-380,AX$14)</f>
        <v>2.0685439982912126E-5</v>
      </c>
      <c r="AY306" s="147">
        <f t="shared" si="99"/>
        <v>1.1257148797165727E-3</v>
      </c>
      <c r="AZ306" s="147">
        <f t="shared" ca="1" si="113"/>
        <v>0</v>
      </c>
      <c r="BA306" s="147">
        <f t="shared" ca="1" si="100"/>
        <v>4.9845979444922005E-6</v>
      </c>
      <c r="BB306" s="147">
        <f t="shared" ca="1" si="101"/>
        <v>6.9387264041921999E-5</v>
      </c>
      <c r="BC306" s="147">
        <f t="shared" ca="1" si="102"/>
        <v>2.4157841318717653E-7</v>
      </c>
      <c r="BD306" s="147">
        <f t="shared" ca="1" si="103"/>
        <v>3.1668610996186627E-8</v>
      </c>
    </row>
    <row r="307" spans="8:56" s="147" customFormat="1" ht="0.25" customHeight="1" x14ac:dyDescent="0.2">
      <c r="H307" s="147">
        <f t="shared" si="104"/>
        <v>666</v>
      </c>
      <c r="I307" s="147">
        <f>IF($H307&gt;$H306,INDEX(Spectra!307:307,1,MATCH($I$20,Spectra!$20:$20,0)),I306)</f>
        <v>1.0448993927177201E-3</v>
      </c>
      <c r="J307" s="147">
        <f>((Physics!$C$9*Physics!$C$10)/(Physics!$C$11*Physics!$C$12*$H307))^($J$17-$J$18)</f>
        <v>3.353660396040961E+18</v>
      </c>
      <c r="K307" s="147">
        <f t="shared" si="105"/>
        <v>1</v>
      </c>
      <c r="L307" s="147">
        <f>INDEX(Photobiology!$21:$421,1+$H307-380,10)</f>
        <v>4.1758719999999999E-2</v>
      </c>
      <c r="M307" s="147">
        <f t="shared" si="106"/>
        <v>1.0448993927177201E-3</v>
      </c>
      <c r="N307" s="147">
        <f ca="1">INDEX(Photobiology!$21:$421,1+$H307-380,N$14)</f>
        <v>0</v>
      </c>
      <c r="O307" s="147">
        <f ca="1">INDEX(Photobiology!$21:$421,1+$H307-380,O$14)</f>
        <v>4.1083200000000004E-3</v>
      </c>
      <c r="P307" s="147">
        <f ca="1">INDEX(Photobiology!$21:$421,1+$H307-380,P$14)</f>
        <v>5.7885699999999998E-2</v>
      </c>
      <c r="Q307" s="147">
        <f ca="1">INDEX(Photobiology!$21:$421,1+$H307-380,Q$14)</f>
        <v>1.9909999999999999E-4</v>
      </c>
      <c r="R307" s="147">
        <f ca="1">INDEX(Photobiology!$21:$421,1+$H307-380,R$14)</f>
        <v>2.6158700000000001E-5</v>
      </c>
      <c r="S307" s="147">
        <f t="shared" si="107"/>
        <v>3504237711204668.5</v>
      </c>
      <c r="T307" s="147" t="str">
        <f ca="1">INDEX(Photobiology!$21:$421,1+$H307-380,T$14)</f>
        <v/>
      </c>
      <c r="U307" s="147">
        <f ca="1">INDEX(Photobiology!$21:$421,1+$H307-380,U$14)</f>
        <v>3.3346349950800114E-3</v>
      </c>
      <c r="V307" s="147">
        <f ca="1">INDEX(Photobiology!$21:$421,1+$H307-380,V$14)</f>
        <v>4.9256040486297094E-2</v>
      </c>
      <c r="W307" s="147">
        <f ca="1">INDEX(Photobiology!$21:$421,1+$H307-380,W$14)</f>
        <v>1.5112364119385181E-4</v>
      </c>
      <c r="X307" s="147">
        <f ca="1">INDEX(Photobiology!$21:$421,1+$H307-380,X$14)</f>
        <v>1.9205593277544605E-5</v>
      </c>
      <c r="Y307" s="147">
        <f t="shared" si="94"/>
        <v>1.0448993927177201E-3</v>
      </c>
      <c r="Z307" s="147">
        <f t="shared" ca="1" si="108"/>
        <v>0</v>
      </c>
      <c r="AA307" s="147">
        <f t="shared" ca="1" si="95"/>
        <v>4.2927810730900642E-6</v>
      </c>
      <c r="AB307" s="147">
        <f t="shared" ca="1" si="96"/>
        <v>6.0484732777040129E-5</v>
      </c>
      <c r="AC307" s="147">
        <f t="shared" ca="1" si="97"/>
        <v>2.0803946909009806E-7</v>
      </c>
      <c r="AD307" s="147">
        <f t="shared" ca="1" si="98"/>
        <v>2.7333209744285026E-8</v>
      </c>
      <c r="AH307" s="147">
        <f t="shared" si="109"/>
        <v>666</v>
      </c>
      <c r="AI307" s="147">
        <f>IF($AH307&gt;$AH306,INDEX(Spectra!307:307,1,MATCH($AI$20,Spectra!$20:$20,0)),AI306)</f>
        <v>81.452500000000001</v>
      </c>
      <c r="AJ307" s="147">
        <f>((Physics!$C$9*Physics!$C$10)/(Physics!$C$11*Physics!$C$12*$AH307))^($AJ$17-$AJ$18)</f>
        <v>3.353660396040961E+18</v>
      </c>
      <c r="AK307" s="147">
        <f t="shared" si="110"/>
        <v>1</v>
      </c>
      <c r="AL307" s="147">
        <f>INDEX(Photobiology!$21:$421,1+$AH307-380,10)</f>
        <v>4.1758719999999999E-2</v>
      </c>
      <c r="AM307" s="147">
        <f t="shared" si="111"/>
        <v>1.128573290075279E-3</v>
      </c>
      <c r="AN307" s="147">
        <f ca="1">INDEX(Photobiology!$21:$421,1+$AH307-380,AN$14)</f>
        <v>0</v>
      </c>
      <c r="AO307" s="147">
        <f ca="1">INDEX(Photobiology!$21:$421,1+$AH307-380,AO$14)</f>
        <v>4.1083200000000004E-3</v>
      </c>
      <c r="AP307" s="147">
        <f ca="1">INDEX(Photobiology!$21:$421,1+$AH307-380,AP$14)</f>
        <v>5.7885699999999998E-2</v>
      </c>
      <c r="AQ307" s="147">
        <f ca="1">INDEX(Photobiology!$21:$421,1+$AH307-380,AQ$14)</f>
        <v>1.9909999999999999E-4</v>
      </c>
      <c r="AR307" s="147">
        <f ca="1">INDEX(Photobiology!$21:$421,1+$AH307-380,AR$14)</f>
        <v>2.6158700000000001E-5</v>
      </c>
      <c r="AS307" s="147">
        <f t="shared" si="112"/>
        <v>3784851546955110.5</v>
      </c>
      <c r="AT307" s="147" t="str">
        <f ca="1">INDEX(Photobiology!$21:$421,1+$AH307-380,AT$14)</f>
        <v/>
      </c>
      <c r="AU307" s="147">
        <f ca="1">INDEX(Photobiology!$21:$421,1+$AH307-380,AU$14)</f>
        <v>3.3346349950800114E-3</v>
      </c>
      <c r="AV307" s="147">
        <f ca="1">INDEX(Photobiology!$21:$421,1+$AH307-380,AV$14)</f>
        <v>4.9256040486297094E-2</v>
      </c>
      <c r="AW307" s="147">
        <f ca="1">INDEX(Photobiology!$21:$421,1+$AH307-380,AW$14)</f>
        <v>1.5112364119385181E-4</v>
      </c>
      <c r="AX307" s="147">
        <f ca="1">INDEX(Photobiology!$21:$421,1+$AH307-380,AX$14)</f>
        <v>1.9205593277544605E-5</v>
      </c>
      <c r="AY307" s="147">
        <f t="shared" si="99"/>
        <v>1.128573290075279E-3</v>
      </c>
      <c r="AZ307" s="147">
        <f t="shared" ca="1" si="113"/>
        <v>0</v>
      </c>
      <c r="BA307" s="147">
        <f t="shared" ca="1" si="100"/>
        <v>4.6365402190820706E-6</v>
      </c>
      <c r="BB307" s="147">
        <f t="shared" ca="1" si="101"/>
        <v>6.5328254897310584E-5</v>
      </c>
      <c r="BC307" s="147">
        <f t="shared" ca="1" si="102"/>
        <v>2.2469894205398805E-7</v>
      </c>
      <c r="BD307" s="147">
        <f t="shared" ca="1" si="103"/>
        <v>2.9522010123092202E-8</v>
      </c>
    </row>
    <row r="308" spans="8:56" s="147" customFormat="1" ht="0.25" customHeight="1" x14ac:dyDescent="0.2">
      <c r="H308" s="147">
        <f t="shared" si="104"/>
        <v>667</v>
      </c>
      <c r="I308" s="147">
        <f>IF($H308&gt;$H307,INDEX(Spectra!308:308,1,MATCH($I$20,Spectra!$20:$20,0)),I307)</f>
        <v>1.04989891134317E-3</v>
      </c>
      <c r="J308" s="147">
        <f>((Physics!$C$9*Physics!$C$10)/(Physics!$C$11*Physics!$C$12*$H308))^($J$17-$J$18)</f>
        <v>3.3586959221611418E+18</v>
      </c>
      <c r="K308" s="147">
        <f t="shared" si="105"/>
        <v>1</v>
      </c>
      <c r="L308" s="147">
        <f>INDEX(Photobiology!$21:$421,1+$H308-380,10)</f>
        <v>3.9084960000000002E-2</v>
      </c>
      <c r="M308" s="147">
        <f t="shared" si="106"/>
        <v>1.04989891134317E-3</v>
      </c>
      <c r="N308" s="147">
        <f ca="1">INDEX(Photobiology!$21:$421,1+$H308-380,N$14)</f>
        <v>0</v>
      </c>
      <c r="O308" s="147">
        <f ca="1">INDEX(Photobiology!$21:$421,1+$H308-380,O$14)</f>
        <v>3.8146999999999999E-3</v>
      </c>
      <c r="P308" s="147">
        <f ca="1">INDEX(Photobiology!$21:$421,1+$H308-380,P$14)</f>
        <v>5.4336599999999999E-2</v>
      </c>
      <c r="Q308" s="147">
        <f ca="1">INDEX(Photobiology!$21:$421,1+$H308-380,Q$14)</f>
        <v>1.8479999999999999E-4</v>
      </c>
      <c r="R308" s="147">
        <f ca="1">INDEX(Photobiology!$21:$421,1+$H308-380,R$14)</f>
        <v>2.4315799999999998E-5</v>
      </c>
      <c r="S308" s="147">
        <f t="shared" si="107"/>
        <v>3526291192209727.5</v>
      </c>
      <c r="T308" s="147" t="str">
        <f ca="1">INDEX(Photobiology!$21:$421,1+$H308-380,T$14)</f>
        <v/>
      </c>
      <c r="U308" s="147">
        <f ca="1">INDEX(Photobiology!$21:$421,1+$H308-380,U$14)</f>
        <v>3.0916678114811776E-3</v>
      </c>
      <c r="V308" s="147">
        <f ca="1">INDEX(Photobiology!$21:$421,1+$H308-380,V$14)</f>
        <v>4.6166724547421482E-2</v>
      </c>
      <c r="W308" s="147">
        <f ca="1">INDEX(Photobiology!$21:$421,1+$H308-380,W$14)</f>
        <v>1.4005915798369622E-4</v>
      </c>
      <c r="X308" s="147">
        <f ca="1">INDEX(Photobiology!$21:$421,1+$H308-380,X$14)</f>
        <v>1.7825779417367008E-5</v>
      </c>
      <c r="Y308" s="147">
        <f t="shared" si="94"/>
        <v>1.04989891134317E-3</v>
      </c>
      <c r="Z308" s="147">
        <f t="shared" ca="1" si="108"/>
        <v>0</v>
      </c>
      <c r="AA308" s="147">
        <f t="shared" ca="1" si="95"/>
        <v>4.0050493771007906E-6</v>
      </c>
      <c r="AB308" s="147">
        <f t="shared" ca="1" si="96"/>
        <v>5.7047937186089291E-5</v>
      </c>
      <c r="AC308" s="147">
        <f t="shared" ca="1" si="97"/>
        <v>1.9402131881621781E-7</v>
      </c>
      <c r="AD308" s="147">
        <f t="shared" ca="1" si="98"/>
        <v>2.5529131948438251E-8</v>
      </c>
      <c r="AH308" s="147">
        <f t="shared" si="109"/>
        <v>667</v>
      </c>
      <c r="AI308" s="147">
        <f>IF($AH308&gt;$AH307,INDEX(Spectra!308:308,1,MATCH($AI$20,Spectra!$20:$20,0)),AI307)</f>
        <v>81.658799999999999</v>
      </c>
      <c r="AJ308" s="147">
        <f>((Physics!$C$9*Physics!$C$10)/(Physics!$C$11*Physics!$C$12*$AH308))^($AJ$17-$AJ$18)</f>
        <v>3.3586959221611418E+18</v>
      </c>
      <c r="AK308" s="147">
        <f t="shared" si="110"/>
        <v>1</v>
      </c>
      <c r="AL308" s="147">
        <f>INDEX(Photobiology!$21:$421,1+$AH308-380,10)</f>
        <v>3.9084960000000002E-2</v>
      </c>
      <c r="AM308" s="147">
        <f t="shared" si="111"/>
        <v>1.1314317004339854E-3</v>
      </c>
      <c r="AN308" s="147">
        <f ca="1">INDEX(Photobiology!$21:$421,1+$AH308-380,AN$14)</f>
        <v>0</v>
      </c>
      <c r="AO308" s="147">
        <f ca="1">INDEX(Photobiology!$21:$421,1+$AH308-380,AO$14)</f>
        <v>3.8146999999999999E-3</v>
      </c>
      <c r="AP308" s="147">
        <f ca="1">INDEX(Photobiology!$21:$421,1+$AH308-380,AP$14)</f>
        <v>5.4336599999999999E-2</v>
      </c>
      <c r="AQ308" s="147">
        <f ca="1">INDEX(Photobiology!$21:$421,1+$AH308-380,AQ$14)</f>
        <v>1.8479999999999999E-4</v>
      </c>
      <c r="AR308" s="147">
        <f ca="1">INDEX(Photobiology!$21:$421,1+$AH308-380,AR$14)</f>
        <v>2.4315799999999998E-5</v>
      </c>
      <c r="AS308" s="147">
        <f t="shared" si="112"/>
        <v>3800135038451473</v>
      </c>
      <c r="AT308" s="147" t="str">
        <f ca="1">INDEX(Photobiology!$21:$421,1+$AH308-380,AT$14)</f>
        <v/>
      </c>
      <c r="AU308" s="147">
        <f ca="1">INDEX(Photobiology!$21:$421,1+$AH308-380,AU$14)</f>
        <v>3.0916678114811776E-3</v>
      </c>
      <c r="AV308" s="147">
        <f ca="1">INDEX(Photobiology!$21:$421,1+$AH308-380,AV$14)</f>
        <v>4.6166724547421482E-2</v>
      </c>
      <c r="AW308" s="147">
        <f ca="1">INDEX(Photobiology!$21:$421,1+$AH308-380,AW$14)</f>
        <v>1.4005915798369622E-4</v>
      </c>
      <c r="AX308" s="147">
        <f ca="1">INDEX(Photobiology!$21:$421,1+$AH308-380,AX$14)</f>
        <v>1.7825779417367008E-5</v>
      </c>
      <c r="AY308" s="147">
        <f t="shared" si="99"/>
        <v>1.1314317004339854E-3</v>
      </c>
      <c r="AZ308" s="147">
        <f t="shared" ca="1" si="113"/>
        <v>0</v>
      </c>
      <c r="BA308" s="147">
        <f t="shared" ca="1" si="100"/>
        <v>4.3160725076455233E-6</v>
      </c>
      <c r="BB308" s="147">
        <f t="shared" ca="1" si="101"/>
        <v>6.1478151733801288E-5</v>
      </c>
      <c r="BC308" s="147">
        <f t="shared" ca="1" si="102"/>
        <v>2.090885782402005E-7</v>
      </c>
      <c r="BD308" s="147">
        <f t="shared" ca="1" si="103"/>
        <v>2.7511666941412698E-8</v>
      </c>
    </row>
    <row r="309" spans="8:56" s="147" customFormat="1" ht="0.25" customHeight="1" x14ac:dyDescent="0.2">
      <c r="H309" s="147">
        <f t="shared" si="104"/>
        <v>668</v>
      </c>
      <c r="I309" s="147">
        <f>IF($H309&gt;$H308,INDEX(Spectra!309:309,1,MATCH($I$20,Spectra!$20:$20,0)),I308)</f>
        <v>1.0448993927177201E-3</v>
      </c>
      <c r="J309" s="147">
        <f>((Physics!$C$9*Physics!$C$10)/(Physics!$C$11*Physics!$C$12*$H309))^($J$17-$J$18)</f>
        <v>3.3637314482813235E+18</v>
      </c>
      <c r="K309" s="147">
        <f t="shared" si="105"/>
        <v>1</v>
      </c>
      <c r="L309" s="147">
        <f>INDEX(Photobiology!$21:$421,1+$H309-380,10)</f>
        <v>3.656384E-2</v>
      </c>
      <c r="M309" s="147">
        <f t="shared" si="106"/>
        <v>1.0448993927177201E-3</v>
      </c>
      <c r="N309" s="147">
        <f ca="1">INDEX(Photobiology!$21:$421,1+$H309-380,N$14)</f>
        <v>0</v>
      </c>
      <c r="O309" s="147">
        <f ca="1">INDEX(Photobiology!$21:$421,1+$H309-380,O$14)</f>
        <v>3.5439199999999999E-3</v>
      </c>
      <c r="P309" s="147">
        <f ca="1">INDEX(Photobiology!$21:$421,1+$H309-380,P$14)</f>
        <v>5.0981100000000001E-2</v>
      </c>
      <c r="Q309" s="147">
        <f ca="1">INDEX(Photobiology!$21:$421,1+$H309-380,Q$14)</f>
        <v>1.716E-4</v>
      </c>
      <c r="R309" s="147">
        <f ca="1">INDEX(Photobiology!$21:$421,1+$H309-380,R$14)</f>
        <v>2.2601700000000001E-5</v>
      </c>
      <c r="S309" s="147">
        <f t="shared" si="107"/>
        <v>3514760947574652</v>
      </c>
      <c r="T309" s="147" t="str">
        <f ca="1">INDEX(Photobiology!$21:$421,1+$H309-380,T$14)</f>
        <v/>
      </c>
      <c r="U309" s="147">
        <f ca="1">INDEX(Photobiology!$21:$421,1+$H309-380,U$14)</f>
        <v>2.8679113061683297E-3</v>
      </c>
      <c r="V309" s="147">
        <f ca="1">INDEX(Photobiology!$21:$421,1+$H309-380,V$14)</f>
        <v>4.3250902743655652E-2</v>
      </c>
      <c r="W309" s="147">
        <f ca="1">INDEX(Photobiology!$21:$421,1+$H309-380,W$14)</f>
        <v>1.2986023940083721E-4</v>
      </c>
      <c r="X309" s="147">
        <f ca="1">INDEX(Photobiology!$21:$421,1+$H309-380,X$14)</f>
        <v>1.6544377957778122E-5</v>
      </c>
      <c r="Y309" s="147">
        <f t="shared" si="94"/>
        <v>1.0448993927177201E-3</v>
      </c>
      <c r="Z309" s="147">
        <f t="shared" ca="1" si="108"/>
        <v>0</v>
      </c>
      <c r="AA309" s="147">
        <f t="shared" ca="1" si="95"/>
        <v>3.7030398558401824E-6</v>
      </c>
      <c r="AB309" s="147">
        <f t="shared" ca="1" si="96"/>
        <v>5.3270120430081357E-5</v>
      </c>
      <c r="AC309" s="147">
        <f t="shared" ca="1" si="97"/>
        <v>1.7930473579036075E-7</v>
      </c>
      <c r="AD309" s="147">
        <f t="shared" ca="1" si="98"/>
        <v>2.3616502604388093E-8</v>
      </c>
      <c r="AH309" s="147">
        <f t="shared" si="109"/>
        <v>668</v>
      </c>
      <c r="AI309" s="147">
        <f>IF($AH309&gt;$AH308,INDEX(Spectra!309:309,1,MATCH($AI$20,Spectra!$20:$20,0)),AI308)</f>
        <v>81.865200000000002</v>
      </c>
      <c r="AJ309" s="147">
        <f>((Physics!$C$9*Physics!$C$10)/(Physics!$C$11*Physics!$C$12*$AH309))^($AJ$17-$AJ$18)</f>
        <v>3.3637314482813235E+18</v>
      </c>
      <c r="AK309" s="147">
        <f t="shared" si="110"/>
        <v>1</v>
      </c>
      <c r="AL309" s="147">
        <f>INDEX(Photobiology!$21:$421,1+$AH309-380,10)</f>
        <v>3.656384E-2</v>
      </c>
      <c r="AM309" s="147">
        <f t="shared" si="111"/>
        <v>1.1342914963527299E-3</v>
      </c>
      <c r="AN309" s="147">
        <f ca="1">INDEX(Photobiology!$21:$421,1+$AH309-380,AN$14)</f>
        <v>0</v>
      </c>
      <c r="AO309" s="147">
        <f ca="1">INDEX(Photobiology!$21:$421,1+$AH309-380,AO$14)</f>
        <v>3.5439199999999999E-3</v>
      </c>
      <c r="AP309" s="147">
        <f ca="1">INDEX(Photobiology!$21:$421,1+$AH309-380,AP$14)</f>
        <v>5.0981100000000001E-2</v>
      </c>
      <c r="AQ309" s="147">
        <f ca="1">INDEX(Photobiology!$21:$421,1+$AH309-380,AQ$14)</f>
        <v>1.716E-4</v>
      </c>
      <c r="AR309" s="147">
        <f ca="1">INDEX(Photobiology!$21:$421,1+$AH309-380,AR$14)</f>
        <v>2.2601700000000001E-5</v>
      </c>
      <c r="AS309" s="147">
        <f t="shared" si="112"/>
        <v>3815451977799758</v>
      </c>
      <c r="AT309" s="147" t="str">
        <f ca="1">INDEX(Photobiology!$21:$421,1+$AH309-380,AT$14)</f>
        <v/>
      </c>
      <c r="AU309" s="147">
        <f ca="1">INDEX(Photobiology!$21:$421,1+$AH309-380,AU$14)</f>
        <v>2.8679113061683297E-3</v>
      </c>
      <c r="AV309" s="147">
        <f ca="1">INDEX(Photobiology!$21:$421,1+$AH309-380,AV$14)</f>
        <v>4.3250902743655652E-2</v>
      </c>
      <c r="AW309" s="147">
        <f ca="1">INDEX(Photobiology!$21:$421,1+$AH309-380,AW$14)</f>
        <v>1.2986023940083721E-4</v>
      </c>
      <c r="AX309" s="147">
        <f ca="1">INDEX(Photobiology!$21:$421,1+$AH309-380,AX$14)</f>
        <v>1.6544377957778122E-5</v>
      </c>
      <c r="AY309" s="147">
        <f t="shared" si="99"/>
        <v>1.1342914963527299E-3</v>
      </c>
      <c r="AZ309" s="147">
        <f t="shared" ca="1" si="113"/>
        <v>0</v>
      </c>
      <c r="BA309" s="147">
        <f t="shared" ca="1" si="100"/>
        <v>4.0198383197543665E-6</v>
      </c>
      <c r="BB309" s="147">
        <f t="shared" ca="1" si="101"/>
        <v>5.7827428204708163E-5</v>
      </c>
      <c r="BC309" s="147">
        <f t="shared" ca="1" si="102"/>
        <v>1.9464442077412844E-7</v>
      </c>
      <c r="BD309" s="147">
        <f t="shared" ca="1" si="103"/>
        <v>2.5636916113115496E-8</v>
      </c>
    </row>
    <row r="310" spans="8:56" s="147" customFormat="1" ht="0.25" customHeight="1" x14ac:dyDescent="0.2">
      <c r="H310" s="147">
        <f t="shared" si="104"/>
        <v>669</v>
      </c>
      <c r="I310" s="147">
        <f>IF($H310&gt;$H309,INDEX(Spectra!310:310,1,MATCH($I$20,Spectra!$20:$20,0)),I309)</f>
        <v>1.0349003554668301E-3</v>
      </c>
      <c r="J310" s="147">
        <f>((Physics!$C$9*Physics!$C$10)/(Physics!$C$11*Physics!$C$12*$H310))^($J$17-$J$18)</f>
        <v>3.3687669744015053E+18</v>
      </c>
      <c r="K310" s="147">
        <f t="shared" si="105"/>
        <v>1</v>
      </c>
      <c r="L310" s="147">
        <f>INDEX(Photobiology!$21:$421,1+$H310-380,10)</f>
        <v>3.4200479999999998E-2</v>
      </c>
      <c r="M310" s="147">
        <f t="shared" si="106"/>
        <v>1.0349003554668301E-3</v>
      </c>
      <c r="N310" s="147">
        <f ca="1">INDEX(Photobiology!$21:$421,1+$H310-380,N$14)</f>
        <v>0</v>
      </c>
      <c r="O310" s="147">
        <f ca="1">INDEX(Photobiology!$21:$421,1+$H310-380,O$14)</f>
        <v>3.2932899999999999E-3</v>
      </c>
      <c r="P310" s="147">
        <f ca="1">INDEX(Photobiology!$21:$421,1+$H310-380,P$14)</f>
        <v>4.7809600000000001E-2</v>
      </c>
      <c r="Q310" s="147">
        <f ca="1">INDEX(Photobiology!$21:$421,1+$H310-380,Q$14)</f>
        <v>1.593E-4</v>
      </c>
      <c r="R310" s="147">
        <f ca="1">INDEX(Photobiology!$21:$421,1+$H310-380,R$14)</f>
        <v>2.1014800000000001E-5</v>
      </c>
      <c r="S310" s="147">
        <f t="shared" si="107"/>
        <v>3486338139293035.5</v>
      </c>
      <c r="T310" s="147" t="str">
        <f ca="1">INDEX(Photobiology!$21:$421,1+$H310-380,T$14)</f>
        <v/>
      </c>
      <c r="U310" s="147">
        <f ca="1">INDEX(Photobiology!$21:$421,1+$H310-380,U$14)</f>
        <v>2.6611057085495246E-3</v>
      </c>
      <c r="V310" s="147">
        <f ca="1">INDEX(Photobiology!$21:$421,1+$H310-380,V$14)</f>
        <v>4.0499664883727346E-2</v>
      </c>
      <c r="W310" s="147">
        <f ca="1">INDEX(Photobiology!$21:$421,1+$H310-380,W$14)</f>
        <v>1.2037187796573576E-4</v>
      </c>
      <c r="X310" s="147">
        <f ca="1">INDEX(Photobiology!$21:$421,1+$H310-380,X$14)</f>
        <v>1.5359778142933667E-5</v>
      </c>
      <c r="Y310" s="147">
        <f t="shared" si="94"/>
        <v>1.0349003554668301E-3</v>
      </c>
      <c r="Z310" s="147">
        <f t="shared" ca="1" si="108"/>
        <v>0</v>
      </c>
      <c r="AA310" s="147">
        <f t="shared" ca="1" si="95"/>
        <v>3.4082269916553566E-6</v>
      </c>
      <c r="AB310" s="147">
        <f t="shared" ca="1" si="96"/>
        <v>4.9478172034726962E-5</v>
      </c>
      <c r="AC310" s="147">
        <f t="shared" ca="1" si="97"/>
        <v>1.6485962662586603E-7</v>
      </c>
      <c r="AD310" s="147">
        <f t="shared" ca="1" si="98"/>
        <v>2.1748223990064342E-8</v>
      </c>
      <c r="AH310" s="147">
        <f t="shared" si="109"/>
        <v>669</v>
      </c>
      <c r="AI310" s="147">
        <f>IF($AH310&gt;$AH309,INDEX(Spectra!310:310,1,MATCH($AI$20,Spectra!$20:$20,0)),AI309)</f>
        <v>82.0715</v>
      </c>
      <c r="AJ310" s="147">
        <f>((Physics!$C$9*Physics!$C$10)/(Physics!$C$11*Physics!$C$12*$AH310))^($AJ$17-$AJ$18)</f>
        <v>3.3687669744015053E+18</v>
      </c>
      <c r="AK310" s="147">
        <f t="shared" si="110"/>
        <v>1</v>
      </c>
      <c r="AL310" s="147">
        <f>INDEX(Photobiology!$21:$421,1+$AH310-380,10)</f>
        <v>3.4200479999999998E-2</v>
      </c>
      <c r="AM310" s="147">
        <f t="shared" si="111"/>
        <v>1.1371499067114362E-3</v>
      </c>
      <c r="AN310" s="147">
        <f ca="1">INDEX(Photobiology!$21:$421,1+$AH310-380,AN$14)</f>
        <v>0</v>
      </c>
      <c r="AO310" s="147">
        <f ca="1">INDEX(Photobiology!$21:$421,1+$AH310-380,AO$14)</f>
        <v>3.2932899999999999E-3</v>
      </c>
      <c r="AP310" s="147">
        <f ca="1">INDEX(Photobiology!$21:$421,1+$AH310-380,AP$14)</f>
        <v>4.7809600000000001E-2</v>
      </c>
      <c r="AQ310" s="147">
        <f ca="1">INDEX(Photobiology!$21:$421,1+$AH310-380,AQ$14)</f>
        <v>1.593E-4</v>
      </c>
      <c r="AR310" s="147">
        <f ca="1">INDEX(Photobiology!$21:$421,1+$AH310-380,AR$14)</f>
        <v>2.1014800000000001E-5</v>
      </c>
      <c r="AS310" s="147">
        <f t="shared" si="112"/>
        <v>3830793050673239</v>
      </c>
      <c r="AT310" s="147" t="str">
        <f ca="1">INDEX(Photobiology!$21:$421,1+$AH310-380,AT$14)</f>
        <v/>
      </c>
      <c r="AU310" s="147">
        <f ca="1">INDEX(Photobiology!$21:$421,1+$AH310-380,AU$14)</f>
        <v>2.6611057085495246E-3</v>
      </c>
      <c r="AV310" s="147">
        <f ca="1">INDEX(Photobiology!$21:$421,1+$AH310-380,AV$14)</f>
        <v>4.0499664883727346E-2</v>
      </c>
      <c r="AW310" s="147">
        <f ca="1">INDEX(Photobiology!$21:$421,1+$AH310-380,AW$14)</f>
        <v>1.2037187796573576E-4</v>
      </c>
      <c r="AX310" s="147">
        <f ca="1">INDEX(Photobiology!$21:$421,1+$AH310-380,AX$14)</f>
        <v>1.5359778142933667E-5</v>
      </c>
      <c r="AY310" s="147">
        <f t="shared" si="99"/>
        <v>1.1371499067114362E-3</v>
      </c>
      <c r="AZ310" s="147">
        <f t="shared" ca="1" si="113"/>
        <v>0</v>
      </c>
      <c r="BA310" s="147">
        <f t="shared" ca="1" si="100"/>
        <v>3.7449644162737058E-6</v>
      </c>
      <c r="BB310" s="147">
        <f t="shared" ca="1" si="101"/>
        <v>5.4366682179911085E-5</v>
      </c>
      <c r="BC310" s="147">
        <f t="shared" ca="1" si="102"/>
        <v>1.8114798013913179E-7</v>
      </c>
      <c r="BD310" s="147">
        <f t="shared" ca="1" si="103"/>
        <v>2.3896977859559491E-8</v>
      </c>
    </row>
    <row r="311" spans="8:56" s="147" customFormat="1" ht="0.25" customHeight="1" x14ac:dyDescent="0.2">
      <c r="H311" s="147">
        <f t="shared" si="104"/>
        <v>670</v>
      </c>
      <c r="I311" s="147">
        <f>IF($H311&gt;$H310,INDEX(Spectra!311:311,1,MATCH($I$20,Spectra!$20:$20,0)),I310)</f>
        <v>1.0349003554668301E-3</v>
      </c>
      <c r="J311" s="147">
        <f>((Physics!$C$9*Physics!$C$10)/(Physics!$C$11*Physics!$C$12*$H311))^($J$17-$J$18)</f>
        <v>3.3738025005216865E+18</v>
      </c>
      <c r="K311" s="147">
        <f t="shared" si="105"/>
        <v>1</v>
      </c>
      <c r="L311" s="147">
        <f>INDEX(Photobiology!$21:$421,1+$H311-380,10)</f>
        <v>3.2000000000000001E-2</v>
      </c>
      <c r="M311" s="147">
        <f t="shared" si="106"/>
        <v>1.0349003554668301E-3</v>
      </c>
      <c r="N311" s="147">
        <f ca="1">INDEX(Photobiology!$21:$421,1+$H311-380,N$14)</f>
        <v>0</v>
      </c>
      <c r="O311" s="147">
        <f ca="1">INDEX(Photobiology!$21:$421,1+$H311-380,O$14)</f>
        <v>3.0604999999999999E-3</v>
      </c>
      <c r="P311" s="147">
        <f ca="1">INDEX(Photobiology!$21:$421,1+$H311-380,P$14)</f>
        <v>4.4813199999999997E-2</v>
      </c>
      <c r="Q311" s="147">
        <f ca="1">INDEX(Photobiology!$21:$421,1+$H311-380,Q$14)</f>
        <v>1.4799999999999999E-4</v>
      </c>
      <c r="R311" s="147">
        <f ca="1">INDEX(Photobiology!$21:$421,1+$H311-380,R$14)</f>
        <v>1.9553499999999998E-5</v>
      </c>
      <c r="S311" s="147">
        <f t="shared" si="107"/>
        <v>3491549407064773.5</v>
      </c>
      <c r="T311" s="147" t="str">
        <f ca="1">INDEX(Photobiology!$21:$421,1+$H311-380,T$14)</f>
        <v/>
      </c>
      <c r="U311" s="147">
        <f ca="1">INDEX(Photobiology!$21:$421,1+$H311-380,U$14)</f>
        <v>2.4693113356088108E-3</v>
      </c>
      <c r="V311" s="147">
        <f ca="1">INDEX(Photobiology!$21:$421,1+$H311-380,V$14)</f>
        <v>3.7904746058738975E-2</v>
      </c>
      <c r="W311" s="147">
        <f ca="1">INDEX(Photobiology!$21:$421,1+$H311-380,W$14)</f>
        <v>1.1166634231051362E-4</v>
      </c>
      <c r="X311" s="147">
        <f ca="1">INDEX(Photobiology!$21:$421,1+$H311-380,X$14)</f>
        <v>1.4270378833442185E-5</v>
      </c>
      <c r="Y311" s="147">
        <f t="shared" si="94"/>
        <v>1.0349003554668301E-3</v>
      </c>
      <c r="Z311" s="147">
        <f t="shared" ca="1" si="108"/>
        <v>0</v>
      </c>
      <c r="AA311" s="147">
        <f t="shared" ca="1" si="95"/>
        <v>3.1673125379062331E-6</v>
      </c>
      <c r="AB311" s="147">
        <f t="shared" ca="1" si="96"/>
        <v>4.6377196609606146E-5</v>
      </c>
      <c r="AC311" s="147">
        <f t="shared" ca="1" si="97"/>
        <v>1.5316525260909085E-7</v>
      </c>
      <c r="AD311" s="147">
        <f t="shared" ca="1" si="98"/>
        <v>2.0235924100620661E-8</v>
      </c>
      <c r="AH311" s="147">
        <f t="shared" si="109"/>
        <v>670</v>
      </c>
      <c r="AI311" s="147">
        <f>IF($AH311&gt;$AH310,INDEX(Spectra!311:311,1,MATCH($AI$20,Spectra!$20:$20,0)),AI310)</f>
        <v>82.277799999999999</v>
      </c>
      <c r="AJ311" s="147">
        <f>((Physics!$C$9*Physics!$C$10)/(Physics!$C$11*Physics!$C$12*$AH311))^($AJ$17-$AJ$18)</f>
        <v>3.3738025005216865E+18</v>
      </c>
      <c r="AK311" s="147">
        <f t="shared" si="110"/>
        <v>1</v>
      </c>
      <c r="AL311" s="147">
        <f>INDEX(Photobiology!$21:$421,1+$AH311-380,10)</f>
        <v>3.2000000000000001E-2</v>
      </c>
      <c r="AM311" s="147">
        <f t="shared" si="111"/>
        <v>1.1400083170701426E-3</v>
      </c>
      <c r="AN311" s="147">
        <f ca="1">INDEX(Photobiology!$21:$421,1+$AH311-380,AN$14)</f>
        <v>0</v>
      </c>
      <c r="AO311" s="147">
        <f ca="1">INDEX(Photobiology!$21:$421,1+$AH311-380,AO$14)</f>
        <v>3.0604999999999999E-3</v>
      </c>
      <c r="AP311" s="147">
        <f ca="1">INDEX(Photobiology!$21:$421,1+$AH311-380,AP$14)</f>
        <v>4.4813199999999997E-2</v>
      </c>
      <c r="AQ311" s="147">
        <f ca="1">INDEX(Photobiology!$21:$421,1+$AH311-380,AQ$14)</f>
        <v>1.4799999999999999E-4</v>
      </c>
      <c r="AR311" s="147">
        <f ca="1">INDEX(Photobiology!$21:$421,1+$AH311-380,AR$14)</f>
        <v>1.9553499999999998E-5</v>
      </c>
      <c r="AS311" s="147">
        <f t="shared" si="112"/>
        <v>3846162910746766.5</v>
      </c>
      <c r="AT311" s="147" t="str">
        <f ca="1">INDEX(Photobiology!$21:$421,1+$AH311-380,AT$14)</f>
        <v/>
      </c>
      <c r="AU311" s="147">
        <f ca="1">INDEX(Photobiology!$21:$421,1+$AH311-380,AU$14)</f>
        <v>2.4693113356088108E-3</v>
      </c>
      <c r="AV311" s="147">
        <f ca="1">INDEX(Photobiology!$21:$421,1+$AH311-380,AV$14)</f>
        <v>3.7904746058738975E-2</v>
      </c>
      <c r="AW311" s="147">
        <f ca="1">INDEX(Photobiology!$21:$421,1+$AH311-380,AW$14)</f>
        <v>1.1166634231051362E-4</v>
      </c>
      <c r="AX311" s="147">
        <f ca="1">INDEX(Photobiology!$21:$421,1+$AH311-380,AX$14)</f>
        <v>1.4270378833442185E-5</v>
      </c>
      <c r="AY311" s="147">
        <f t="shared" si="99"/>
        <v>1.1400083170701426E-3</v>
      </c>
      <c r="AZ311" s="147">
        <f t="shared" ca="1" si="113"/>
        <v>0</v>
      </c>
      <c r="BA311" s="147">
        <f t="shared" ca="1" si="100"/>
        <v>3.4889954543931713E-6</v>
      </c>
      <c r="BB311" s="147">
        <f t="shared" ca="1" si="101"/>
        <v>5.108742071452771E-5</v>
      </c>
      <c r="BC311" s="147">
        <f t="shared" ca="1" si="102"/>
        <v>1.6872123092638109E-7</v>
      </c>
      <c r="BD311" s="147">
        <f t="shared" ca="1" si="103"/>
        <v>2.2291152627831031E-8</v>
      </c>
    </row>
    <row r="312" spans="8:56" s="147" customFormat="1" ht="0.25" customHeight="1" x14ac:dyDescent="0.2">
      <c r="H312" s="147">
        <f t="shared" si="104"/>
        <v>671</v>
      </c>
      <c r="I312" s="147">
        <f>IF($H312&gt;$H311,INDEX(Spectra!312:312,1,MATCH($I$20,Spectra!$20:$20,0)),I311)</f>
        <v>1.0299008368413901E-3</v>
      </c>
      <c r="J312" s="147">
        <f>((Physics!$C$9*Physics!$C$10)/(Physics!$C$11*Physics!$C$12*$H312))^($J$17-$J$18)</f>
        <v>3.3788380266418683E+18</v>
      </c>
      <c r="K312" s="147">
        <f t="shared" si="105"/>
        <v>1</v>
      </c>
      <c r="L312" s="147">
        <f>INDEX(Photobiology!$21:$421,1+$H312-380,10)</f>
        <v>2.9962610000000001E-2</v>
      </c>
      <c r="M312" s="147">
        <f t="shared" si="106"/>
        <v>1.0299008368413901E-3</v>
      </c>
      <c r="N312" s="147">
        <f ca="1">INDEX(Photobiology!$21:$421,1+$H312-380,N$14)</f>
        <v>0</v>
      </c>
      <c r="O312" s="147">
        <f ca="1">INDEX(Photobiology!$21:$421,1+$H312-380,O$14)</f>
        <v>2.8436899999999998E-3</v>
      </c>
      <c r="P312" s="147">
        <f ca="1">INDEX(Photobiology!$21:$421,1+$H312-380,P$14)</f>
        <v>4.1983100000000002E-2</v>
      </c>
      <c r="Q312" s="147">
        <f ca="1">INDEX(Photobiology!$21:$421,1+$H312-380,Q$14)</f>
        <v>1.3750000000000001E-4</v>
      </c>
      <c r="R312" s="147">
        <f ca="1">INDEX(Photobiology!$21:$421,1+$H312-380,R$14)</f>
        <v>1.8198200000000001E-5</v>
      </c>
      <c r="S312" s="147">
        <f t="shared" si="107"/>
        <v>3479868111189971</v>
      </c>
      <c r="T312" s="147" t="str">
        <f ca="1">INDEX(Photobiology!$21:$421,1+$H312-380,T$14)</f>
        <v/>
      </c>
      <c r="U312" s="147">
        <f ca="1">INDEX(Photobiology!$21:$421,1+$H312-380,U$14)</f>
        <v>2.2909626008683162E-3</v>
      </c>
      <c r="V312" s="147">
        <f ca="1">INDEX(Photobiology!$21:$421,1+$H312-380,V$14)</f>
        <v>3.5458015086826188E-2</v>
      </c>
      <c r="W312" s="147">
        <f ca="1">INDEX(Photobiology!$21:$421,1+$H312-380,W$14)</f>
        <v>1.0358945689527599E-4</v>
      </c>
      <c r="X312" s="147">
        <f ca="1">INDEX(Photobiology!$21:$421,1+$H312-380,X$14)</f>
        <v>1.3261471396476326E-5</v>
      </c>
      <c r="Y312" s="147">
        <f t="shared" si="94"/>
        <v>1.0299008368413901E-3</v>
      </c>
      <c r="Z312" s="147">
        <f t="shared" ca="1" si="108"/>
        <v>0</v>
      </c>
      <c r="AA312" s="147">
        <f t="shared" ca="1" si="95"/>
        <v>2.9287187107174923E-6</v>
      </c>
      <c r="AB312" s="147">
        <f t="shared" ca="1" si="96"/>
        <v>4.3238429823195768E-5</v>
      </c>
      <c r="AC312" s="147">
        <f t="shared" ca="1" si="97"/>
        <v>1.4161136506569115E-7</v>
      </c>
      <c r="AD312" s="147">
        <f t="shared" ca="1" si="98"/>
        <v>1.8742341409006987E-8</v>
      </c>
      <c r="AH312" s="147">
        <f t="shared" si="109"/>
        <v>671</v>
      </c>
      <c r="AI312" s="147">
        <f>IF($AH312&gt;$AH311,INDEX(Spectra!312:312,1,MATCH($AI$20,Spectra!$20:$20,0)),AI311)</f>
        <v>81.878399999999999</v>
      </c>
      <c r="AJ312" s="147">
        <f>((Physics!$C$9*Physics!$C$10)/(Physics!$C$11*Physics!$C$12*$AH312))^($AJ$17-$AJ$18)</f>
        <v>3.3788380266418683E+18</v>
      </c>
      <c r="AK312" s="147">
        <f t="shared" si="110"/>
        <v>1</v>
      </c>
      <c r="AL312" s="147">
        <f>INDEX(Photobiology!$21:$421,1+$AH312-380,10)</f>
        <v>2.9962610000000001E-2</v>
      </c>
      <c r="AM312" s="147">
        <f t="shared" si="111"/>
        <v>1.134474390277766E-3</v>
      </c>
      <c r="AN312" s="147">
        <f ca="1">INDEX(Photobiology!$21:$421,1+$AH312-380,AN$14)</f>
        <v>0</v>
      </c>
      <c r="AO312" s="147">
        <f ca="1">INDEX(Photobiology!$21:$421,1+$AH312-380,AO$14)</f>
        <v>2.8436899999999998E-3</v>
      </c>
      <c r="AP312" s="147">
        <f ca="1">INDEX(Photobiology!$21:$421,1+$AH312-380,AP$14)</f>
        <v>4.1983100000000002E-2</v>
      </c>
      <c r="AQ312" s="147">
        <f ca="1">INDEX(Photobiology!$21:$421,1+$AH312-380,AQ$14)</f>
        <v>1.3750000000000001E-4</v>
      </c>
      <c r="AR312" s="147">
        <f ca="1">INDEX(Photobiology!$21:$421,1+$AH312-380,AR$14)</f>
        <v>1.8198200000000001E-5</v>
      </c>
      <c r="AS312" s="147">
        <f t="shared" si="112"/>
        <v>3833205210121863.5</v>
      </c>
      <c r="AT312" s="147" t="str">
        <f ca="1">INDEX(Photobiology!$21:$421,1+$AH312-380,AT$14)</f>
        <v/>
      </c>
      <c r="AU312" s="147">
        <f ca="1">INDEX(Photobiology!$21:$421,1+$AH312-380,AU$14)</f>
        <v>2.2909626008683162E-3</v>
      </c>
      <c r="AV312" s="147">
        <f ca="1">INDEX(Photobiology!$21:$421,1+$AH312-380,AV$14)</f>
        <v>3.5458015086826188E-2</v>
      </c>
      <c r="AW312" s="147">
        <f ca="1">INDEX(Photobiology!$21:$421,1+$AH312-380,AW$14)</f>
        <v>1.0358945689527599E-4</v>
      </c>
      <c r="AX312" s="147">
        <f ca="1">INDEX(Photobiology!$21:$421,1+$AH312-380,AX$14)</f>
        <v>1.3261471396476326E-5</v>
      </c>
      <c r="AY312" s="147">
        <f t="shared" si="99"/>
        <v>1.134474390277766E-3</v>
      </c>
      <c r="AZ312" s="147">
        <f t="shared" ca="1" si="113"/>
        <v>0</v>
      </c>
      <c r="BA312" s="147">
        <f t="shared" ca="1" si="100"/>
        <v>3.2260934788889799E-6</v>
      </c>
      <c r="BB312" s="147">
        <f t="shared" ca="1" si="101"/>
        <v>4.762875177447048E-5</v>
      </c>
      <c r="BC312" s="147">
        <f t="shared" ca="1" si="102"/>
        <v>1.5599022866319283E-7</v>
      </c>
      <c r="BD312" s="147">
        <f t="shared" ca="1" si="103"/>
        <v>2.0645391849152842E-8</v>
      </c>
    </row>
    <row r="313" spans="8:56" s="147" customFormat="1" ht="0.25" customHeight="1" x14ac:dyDescent="0.2">
      <c r="H313" s="147">
        <f t="shared" si="104"/>
        <v>672</v>
      </c>
      <c r="I313" s="147">
        <f>IF($H313&gt;$H312,INDEX(Spectra!313:313,1,MATCH($I$20,Spectra!$20:$20,0)),I312)</f>
        <v>1.0299008368413901E-3</v>
      </c>
      <c r="J313" s="147">
        <f>((Physics!$C$9*Physics!$C$10)/(Physics!$C$11*Physics!$C$12*$H313))^($J$17-$J$18)</f>
        <v>3.3838735527620506E+18</v>
      </c>
      <c r="K313" s="147">
        <f t="shared" si="105"/>
        <v>1</v>
      </c>
      <c r="L313" s="147">
        <f>INDEX(Photobiology!$21:$421,1+$H313-380,10)</f>
        <v>2.807664E-2</v>
      </c>
      <c r="M313" s="147">
        <f t="shared" si="106"/>
        <v>1.0299008368413901E-3</v>
      </c>
      <c r="N313" s="147">
        <f ca="1">INDEX(Photobiology!$21:$421,1+$H313-380,N$14)</f>
        <v>0</v>
      </c>
      <c r="O313" s="147">
        <f ca="1">INDEX(Photobiology!$21:$421,1+$H313-380,O$14)</f>
        <v>2.64175E-3</v>
      </c>
      <c r="P313" s="147">
        <f ca="1">INDEX(Photobiology!$21:$421,1+$H313-380,P$14)</f>
        <v>3.9311100000000002E-2</v>
      </c>
      <c r="Q313" s="147">
        <f ca="1">INDEX(Photobiology!$21:$421,1+$H313-380,Q$14)</f>
        <v>1.2769999999999999E-4</v>
      </c>
      <c r="R313" s="147">
        <f ca="1">INDEX(Photobiology!$21:$421,1+$H313-380,R$14)</f>
        <v>1.6930199999999999E-5</v>
      </c>
      <c r="S313" s="147">
        <f t="shared" si="107"/>
        <v>3485054203755083.5</v>
      </c>
      <c r="T313" s="147" t="str">
        <f ca="1">INDEX(Photobiology!$21:$421,1+$H313-380,T$14)</f>
        <v/>
      </c>
      <c r="U313" s="147">
        <f ca="1">INDEX(Photobiology!$21:$421,1+$H313-380,U$14)</f>
        <v>2.1251065603415768E-3</v>
      </c>
      <c r="V313" s="147">
        <f ca="1">INDEX(Photobiology!$21:$421,1+$H313-380,V$14)</f>
        <v>3.3151895178906911E-2</v>
      </c>
      <c r="W313" s="147">
        <f ca="1">INDEX(Photobiology!$21:$421,1+$H313-380,W$14)</f>
        <v>9.6063189568706115E-5</v>
      </c>
      <c r="X313" s="147">
        <f ca="1">INDEX(Photobiology!$21:$421,1+$H313-380,X$14)</f>
        <v>1.2319089626536058E-5</v>
      </c>
      <c r="Y313" s="147">
        <f t="shared" si="94"/>
        <v>1.0299008368413901E-3</v>
      </c>
      <c r="Z313" s="147">
        <f t="shared" ca="1" si="108"/>
        <v>0</v>
      </c>
      <c r="AA313" s="147">
        <f t="shared" ca="1" si="95"/>
        <v>2.7207405357257423E-6</v>
      </c>
      <c r="AB313" s="147">
        <f t="shared" ca="1" si="96"/>
        <v>4.0486534787155571E-5</v>
      </c>
      <c r="AC313" s="147">
        <f t="shared" ca="1" si="97"/>
        <v>1.3151833686464549E-7</v>
      </c>
      <c r="AD313" s="147">
        <f t="shared" ca="1" si="98"/>
        <v>1.74364271478921E-8</v>
      </c>
      <c r="AH313" s="147">
        <f t="shared" si="109"/>
        <v>672</v>
      </c>
      <c r="AI313" s="147">
        <f>IF($AH313&gt;$AH312,INDEX(Spectra!313:313,1,MATCH($AI$20,Spectra!$20:$20,0)),AI312)</f>
        <v>81.479100000000003</v>
      </c>
      <c r="AJ313" s="147">
        <f>((Physics!$C$9*Physics!$C$10)/(Physics!$C$11*Physics!$C$12*$AH313))^($AJ$17-$AJ$18)</f>
        <v>3.3838735527620506E+18</v>
      </c>
      <c r="AK313" s="147">
        <f t="shared" si="110"/>
        <v>1</v>
      </c>
      <c r="AL313" s="147">
        <f>INDEX(Photobiology!$21:$421,1+$AH313-380,10)</f>
        <v>2.807664E-2</v>
      </c>
      <c r="AM313" s="147">
        <f t="shared" si="111"/>
        <v>1.1289418490454273E-3</v>
      </c>
      <c r="AN313" s="147">
        <f ca="1">INDEX(Photobiology!$21:$421,1+$AH313-380,AN$14)</f>
        <v>0</v>
      </c>
      <c r="AO313" s="147">
        <f ca="1">INDEX(Photobiology!$21:$421,1+$AH313-380,AO$14)</f>
        <v>2.64175E-3</v>
      </c>
      <c r="AP313" s="147">
        <f ca="1">INDEX(Photobiology!$21:$421,1+$AH313-380,AP$14)</f>
        <v>3.9311100000000002E-2</v>
      </c>
      <c r="AQ313" s="147">
        <f ca="1">INDEX(Photobiology!$21:$421,1+$AH313-380,AQ$14)</f>
        <v>1.2769999999999999E-4</v>
      </c>
      <c r="AR313" s="147">
        <f ca="1">INDEX(Photobiology!$21:$421,1+$AH313-380,AR$14)</f>
        <v>1.6930199999999999E-5</v>
      </c>
      <c r="AS313" s="147">
        <f t="shared" si="112"/>
        <v>3820196465591109</v>
      </c>
      <c r="AT313" s="147" t="str">
        <f ca="1">INDEX(Photobiology!$21:$421,1+$AH313-380,AT$14)</f>
        <v/>
      </c>
      <c r="AU313" s="147">
        <f ca="1">INDEX(Photobiology!$21:$421,1+$AH313-380,AU$14)</f>
        <v>2.1251065603415768E-3</v>
      </c>
      <c r="AV313" s="147">
        <f ca="1">INDEX(Photobiology!$21:$421,1+$AH313-380,AV$14)</f>
        <v>3.3151895178906911E-2</v>
      </c>
      <c r="AW313" s="147">
        <f ca="1">INDEX(Photobiology!$21:$421,1+$AH313-380,AW$14)</f>
        <v>9.6063189568706115E-5</v>
      </c>
      <c r="AX313" s="147">
        <f ca="1">INDEX(Photobiology!$21:$421,1+$AH313-380,AX$14)</f>
        <v>1.2319089626536058E-5</v>
      </c>
      <c r="AY313" s="147">
        <f t="shared" si="99"/>
        <v>1.1289418490454273E-3</v>
      </c>
      <c r="AZ313" s="147">
        <f t="shared" ca="1" si="113"/>
        <v>0</v>
      </c>
      <c r="BA313" s="147">
        <f t="shared" ca="1" si="100"/>
        <v>2.9823821297157576E-6</v>
      </c>
      <c r="BB313" s="147">
        <f t="shared" ca="1" si="101"/>
        <v>4.4379945922009703E-5</v>
      </c>
      <c r="BC313" s="147">
        <f t="shared" ca="1" si="102"/>
        <v>1.4416587412310106E-7</v>
      </c>
      <c r="BD313" s="147">
        <f t="shared" ca="1" si="103"/>
        <v>1.9113211292708893E-8</v>
      </c>
    </row>
    <row r="314" spans="8:56" s="147" customFormat="1" ht="0.25" customHeight="1" x14ac:dyDescent="0.2">
      <c r="H314" s="147">
        <f t="shared" si="104"/>
        <v>673</v>
      </c>
      <c r="I314" s="147">
        <f>IF($H314&gt;$H313,INDEX(Spectra!314:314,1,MATCH($I$20,Spectra!$20:$20,0)),I313)</f>
        <v>1.0299008368413901E-3</v>
      </c>
      <c r="J314" s="147">
        <f>((Physics!$C$9*Physics!$C$10)/(Physics!$C$11*Physics!$C$12*$H314))^($J$17-$J$18)</f>
        <v>3.3889090788822323E+18</v>
      </c>
      <c r="K314" s="147">
        <f t="shared" si="105"/>
        <v>1</v>
      </c>
      <c r="L314" s="147">
        <f>INDEX(Photobiology!$21:$421,1+$H314-380,10)</f>
        <v>2.632936E-2</v>
      </c>
      <c r="M314" s="147">
        <f t="shared" si="106"/>
        <v>1.0299008368413901E-3</v>
      </c>
      <c r="N314" s="147">
        <f ca="1">INDEX(Photobiology!$21:$421,1+$H314-380,N$14)</f>
        <v>0</v>
      </c>
      <c r="O314" s="147">
        <f ca="1">INDEX(Photobiology!$21:$421,1+$H314-380,O$14)</f>
        <v>2.4537399999999998E-3</v>
      </c>
      <c r="P314" s="147">
        <f ca="1">INDEX(Photobiology!$21:$421,1+$H314-380,P$14)</f>
        <v>3.6789200000000001E-2</v>
      </c>
      <c r="Q314" s="147">
        <f ca="1">INDEX(Photobiology!$21:$421,1+$H314-380,Q$14)</f>
        <v>1.187E-4</v>
      </c>
      <c r="R314" s="147">
        <f ca="1">INDEX(Photobiology!$21:$421,1+$H314-380,R$14)</f>
        <v>1.5749299999999998E-5</v>
      </c>
      <c r="S314" s="147">
        <f t="shared" si="107"/>
        <v>3490240296320195.5</v>
      </c>
      <c r="T314" s="147" t="str">
        <f ca="1">INDEX(Photobiology!$21:$421,1+$H314-380,T$14)</f>
        <v/>
      </c>
      <c r="U314" s="147">
        <f ca="1">INDEX(Photobiology!$21:$421,1+$H314-380,U$14)</f>
        <v>1.970932484031968E-3</v>
      </c>
      <c r="V314" s="147">
        <f ca="1">INDEX(Photobiology!$21:$421,1+$H314-380,V$14)</f>
        <v>3.0979022992501958E-2</v>
      </c>
      <c r="W314" s="147">
        <f ca="1">INDEX(Photobiology!$21:$421,1+$H314-380,W$14)</f>
        <v>8.9160199767206527E-5</v>
      </c>
      <c r="X314" s="147">
        <f ca="1">INDEX(Photobiology!$21:$421,1+$H314-380,X$14)</f>
        <v>1.1442791663579286E-5</v>
      </c>
      <c r="Y314" s="147">
        <f t="shared" si="94"/>
        <v>1.0299008368413901E-3</v>
      </c>
      <c r="Z314" s="147">
        <f t="shared" ca="1" si="108"/>
        <v>0</v>
      </c>
      <c r="AA314" s="147">
        <f t="shared" ca="1" si="95"/>
        <v>2.5271088793911925E-6</v>
      </c>
      <c r="AB314" s="147">
        <f t="shared" ca="1" si="96"/>
        <v>3.7889227866725267E-5</v>
      </c>
      <c r="AC314" s="147">
        <f t="shared" ca="1" si="97"/>
        <v>1.22249229333073E-7</v>
      </c>
      <c r="AD314" s="147">
        <f t="shared" ca="1" si="98"/>
        <v>1.6220217249666103E-8</v>
      </c>
      <c r="AH314" s="147">
        <f t="shared" si="109"/>
        <v>673</v>
      </c>
      <c r="AI314" s="147">
        <f>IF($AH314&gt;$AH313,INDEX(Spectra!314:314,1,MATCH($AI$20,Spectra!$20:$20,0)),AI313)</f>
        <v>81.079700000000003</v>
      </c>
      <c r="AJ314" s="147">
        <f>((Physics!$C$9*Physics!$C$10)/(Physics!$C$11*Physics!$C$12*$AH314))^($AJ$17-$AJ$18)</f>
        <v>3.3889090788822323E+18</v>
      </c>
      <c r="AK314" s="147">
        <f t="shared" si="110"/>
        <v>1</v>
      </c>
      <c r="AL314" s="147">
        <f>INDEX(Photobiology!$21:$421,1+$AH314-380,10)</f>
        <v>2.632936E-2</v>
      </c>
      <c r="AM314" s="147">
        <f t="shared" si="111"/>
        <v>1.1234079222530507E-3</v>
      </c>
      <c r="AN314" s="147">
        <f ca="1">INDEX(Photobiology!$21:$421,1+$AH314-380,AN$14)</f>
        <v>0</v>
      </c>
      <c r="AO314" s="147">
        <f ca="1">INDEX(Photobiology!$21:$421,1+$AH314-380,AO$14)</f>
        <v>2.4537399999999998E-3</v>
      </c>
      <c r="AP314" s="147">
        <f ca="1">INDEX(Photobiology!$21:$421,1+$AH314-380,AP$14)</f>
        <v>3.6789200000000001E-2</v>
      </c>
      <c r="AQ314" s="147">
        <f ca="1">INDEX(Photobiology!$21:$421,1+$AH314-380,AQ$14)</f>
        <v>1.187E-4</v>
      </c>
      <c r="AR314" s="147">
        <f ca="1">INDEX(Photobiology!$21:$421,1+$AH314-380,AR$14)</f>
        <v>1.5749299999999998E-5</v>
      </c>
      <c r="AS314" s="147">
        <f t="shared" si="112"/>
        <v>3807127307011588.5</v>
      </c>
      <c r="AT314" s="147" t="str">
        <f ca="1">INDEX(Photobiology!$21:$421,1+$AH314-380,AT$14)</f>
        <v/>
      </c>
      <c r="AU314" s="147">
        <f ca="1">INDEX(Photobiology!$21:$421,1+$AH314-380,AU$14)</f>
        <v>1.970932484031968E-3</v>
      </c>
      <c r="AV314" s="147">
        <f ca="1">INDEX(Photobiology!$21:$421,1+$AH314-380,AV$14)</f>
        <v>3.0979022992501958E-2</v>
      </c>
      <c r="AW314" s="147">
        <f ca="1">INDEX(Photobiology!$21:$421,1+$AH314-380,AW$14)</f>
        <v>8.9160199767206527E-5</v>
      </c>
      <c r="AX314" s="147">
        <f ca="1">INDEX(Photobiology!$21:$421,1+$AH314-380,AX$14)</f>
        <v>1.1442791663579286E-5</v>
      </c>
      <c r="AY314" s="147">
        <f t="shared" si="99"/>
        <v>1.1234079222530507E-3</v>
      </c>
      <c r="AZ314" s="147">
        <f t="shared" ca="1" si="113"/>
        <v>0</v>
      </c>
      <c r="BA314" s="147">
        <f t="shared" ca="1" si="100"/>
        <v>2.7565509551492003E-6</v>
      </c>
      <c r="BB314" s="147">
        <f t="shared" ca="1" si="101"/>
        <v>4.1329278733351934E-5</v>
      </c>
      <c r="BC314" s="147">
        <f t="shared" ca="1" si="102"/>
        <v>1.3334852037143712E-7</v>
      </c>
      <c r="BD314" s="147">
        <f t="shared" ca="1" si="103"/>
        <v>1.7692888389939971E-8</v>
      </c>
    </row>
    <row r="315" spans="8:56" s="147" customFormat="1" ht="0.25" customHeight="1" x14ac:dyDescent="0.2">
      <c r="H315" s="147">
        <f t="shared" si="104"/>
        <v>674</v>
      </c>
      <c r="I315" s="147">
        <f>IF($H315&gt;$H314,INDEX(Spectra!315:315,1,MATCH($I$20,Spectra!$20:$20,0)),I314)</f>
        <v>1.0299008368413901E-3</v>
      </c>
      <c r="J315" s="147">
        <f>((Physics!$C$9*Physics!$C$10)/(Physics!$C$11*Physics!$C$12*$H315))^($J$17-$J$18)</f>
        <v>3.3939446050024136E+18</v>
      </c>
      <c r="K315" s="147">
        <f t="shared" si="105"/>
        <v>1</v>
      </c>
      <c r="L315" s="147">
        <f>INDEX(Photobiology!$21:$421,1+$H315-380,10)</f>
        <v>2.4708049999999999E-2</v>
      </c>
      <c r="M315" s="147">
        <f t="shared" si="106"/>
        <v>1.0299008368413901E-3</v>
      </c>
      <c r="N315" s="147">
        <f ca="1">INDEX(Photobiology!$21:$421,1+$H315-380,N$14)</f>
        <v>0</v>
      </c>
      <c r="O315" s="147">
        <f ca="1">INDEX(Photobiology!$21:$421,1+$H315-380,O$14)</f>
        <v>2.27875E-3</v>
      </c>
      <c r="P315" s="147">
        <f ca="1">INDEX(Photobiology!$21:$421,1+$H315-380,P$14)</f>
        <v>3.4409799999999997E-2</v>
      </c>
      <c r="Q315" s="147">
        <f ca="1">INDEX(Photobiology!$21:$421,1+$H315-380,Q$14)</f>
        <v>1.104E-4</v>
      </c>
      <c r="R315" s="147">
        <f ca="1">INDEX(Photobiology!$21:$421,1+$H315-380,R$14)</f>
        <v>1.46553E-5</v>
      </c>
      <c r="S315" s="147">
        <f t="shared" si="107"/>
        <v>3495426388885307</v>
      </c>
      <c r="T315" s="147" t="str">
        <f ca="1">INDEX(Photobiology!$21:$421,1+$H315-380,T$14)</f>
        <v/>
      </c>
      <c r="U315" s="147">
        <f ca="1">INDEX(Photobiology!$21:$421,1+$H315-380,U$14)</f>
        <v>1.8276585147267235E-3</v>
      </c>
      <c r="V315" s="147">
        <f ca="1">INDEX(Photobiology!$21:$421,1+$H315-380,V$14)</f>
        <v>2.8932415212112469E-2</v>
      </c>
      <c r="W315" s="147">
        <f ca="1">INDEX(Photobiology!$21:$421,1+$H315-380,W$14)</f>
        <v>8.2802710803032235E-5</v>
      </c>
      <c r="X315" s="147">
        <f ca="1">INDEX(Photobiology!$21:$421,1+$H315-380,X$14)</f>
        <v>1.06321382698787E-5</v>
      </c>
      <c r="Y315" s="147">
        <f t="shared" si="94"/>
        <v>1.0299008368413901E-3</v>
      </c>
      <c r="Z315" s="147">
        <f t="shared" ca="1" si="108"/>
        <v>0</v>
      </c>
      <c r="AA315" s="147">
        <f t="shared" ca="1" si="95"/>
        <v>2.3468865319523177E-6</v>
      </c>
      <c r="AB315" s="147">
        <f t="shared" ca="1" si="96"/>
        <v>3.5438681815544861E-5</v>
      </c>
      <c r="AC315" s="147">
        <f t="shared" ca="1" si="97"/>
        <v>1.1370105238728947E-7</v>
      </c>
      <c r="AD315" s="147">
        <f t="shared" ca="1" si="98"/>
        <v>1.5093505734161625E-8</v>
      </c>
      <c r="AH315" s="147">
        <f t="shared" si="109"/>
        <v>674</v>
      </c>
      <c r="AI315" s="147">
        <f>IF($AH315&gt;$AH314,INDEX(Spectra!315:315,1,MATCH($AI$20,Spectra!$20:$20,0)),AI314)</f>
        <v>80.680400000000006</v>
      </c>
      <c r="AJ315" s="147">
        <f>((Physics!$C$9*Physics!$C$10)/(Physics!$C$11*Physics!$C$12*$AH315))^($AJ$17-$AJ$18)</f>
        <v>3.3939446050024136E+18</v>
      </c>
      <c r="AK315" s="147">
        <f t="shared" si="110"/>
        <v>1</v>
      </c>
      <c r="AL315" s="147">
        <f>INDEX(Photobiology!$21:$421,1+$AH315-380,10)</f>
        <v>2.4708049999999999E-2</v>
      </c>
      <c r="AM315" s="147">
        <f t="shared" si="111"/>
        <v>1.1178753810207121E-3</v>
      </c>
      <c r="AN315" s="147">
        <f ca="1">INDEX(Photobiology!$21:$421,1+$AH315-380,AN$14)</f>
        <v>0</v>
      </c>
      <c r="AO315" s="147">
        <f ca="1">INDEX(Photobiology!$21:$421,1+$AH315-380,AO$14)</f>
        <v>2.27875E-3</v>
      </c>
      <c r="AP315" s="147">
        <f ca="1">INDEX(Photobiology!$21:$421,1+$AH315-380,AP$14)</f>
        <v>3.4409799999999997E-2</v>
      </c>
      <c r="AQ315" s="147">
        <f ca="1">INDEX(Photobiology!$21:$421,1+$AH315-380,AQ$14)</f>
        <v>1.104E-4</v>
      </c>
      <c r="AR315" s="147">
        <f ca="1">INDEX(Photobiology!$21:$421,1+$AH315-380,AR$14)</f>
        <v>1.46553E-5</v>
      </c>
      <c r="AS315" s="147">
        <f t="shared" si="112"/>
        <v>3794007118480263.5</v>
      </c>
      <c r="AT315" s="147" t="str">
        <f ca="1">INDEX(Photobiology!$21:$421,1+$AH315-380,AT$14)</f>
        <v/>
      </c>
      <c r="AU315" s="147">
        <f ca="1">INDEX(Photobiology!$21:$421,1+$AH315-380,AU$14)</f>
        <v>1.8276585147267235E-3</v>
      </c>
      <c r="AV315" s="147">
        <f ca="1">INDEX(Photobiology!$21:$421,1+$AH315-380,AV$14)</f>
        <v>2.8932415212112469E-2</v>
      </c>
      <c r="AW315" s="147">
        <f ca="1">INDEX(Photobiology!$21:$421,1+$AH315-380,AW$14)</f>
        <v>8.2802710803032235E-5</v>
      </c>
      <c r="AX315" s="147">
        <f ca="1">INDEX(Photobiology!$21:$421,1+$AH315-380,AX$14)</f>
        <v>1.06321382698787E-5</v>
      </c>
      <c r="AY315" s="147">
        <f t="shared" si="99"/>
        <v>1.1178753810207121E-3</v>
      </c>
      <c r="AZ315" s="147">
        <f t="shared" ca="1" si="113"/>
        <v>0</v>
      </c>
      <c r="BA315" s="147">
        <f t="shared" ca="1" si="100"/>
        <v>2.5473585245009478E-6</v>
      </c>
      <c r="BB315" s="147">
        <f t="shared" ca="1" si="101"/>
        <v>3.8465868285846494E-5</v>
      </c>
      <c r="BC315" s="147">
        <f t="shared" ca="1" si="102"/>
        <v>1.2341344206468662E-7</v>
      </c>
      <c r="BD315" s="147">
        <f t="shared" ca="1" si="103"/>
        <v>1.6382799071472843E-8</v>
      </c>
    </row>
    <row r="316" spans="8:56" s="147" customFormat="1" ht="0.25" customHeight="1" x14ac:dyDescent="0.2">
      <c r="H316" s="147">
        <f t="shared" si="104"/>
        <v>675</v>
      </c>
      <c r="I316" s="147">
        <f>IF($H316&gt;$H315,INDEX(Spectra!316:316,1,MATCH($I$20,Spectra!$20:$20,0)),I315)</f>
        <v>1.0249013182159501E-3</v>
      </c>
      <c r="J316" s="147">
        <f>((Physics!$C$9*Physics!$C$10)/(Physics!$C$11*Physics!$C$12*$H316))^($J$17-$J$18)</f>
        <v>3.3989801311225948E+18</v>
      </c>
      <c r="K316" s="147">
        <f t="shared" si="105"/>
        <v>1</v>
      </c>
      <c r="L316" s="147">
        <f>INDEX(Photobiology!$21:$421,1+$H316-380,10)</f>
        <v>2.3199999999999998E-2</v>
      </c>
      <c r="M316" s="147">
        <f t="shared" si="106"/>
        <v>1.0249013182159501E-3</v>
      </c>
      <c r="N316" s="147">
        <f ca="1">INDEX(Photobiology!$21:$421,1+$H316-380,N$14)</f>
        <v>0</v>
      </c>
      <c r="O316" s="147">
        <f ca="1">INDEX(Photobiology!$21:$421,1+$H316-380,O$14)</f>
        <v>2.1159600000000001E-3</v>
      </c>
      <c r="P316" s="147">
        <f ca="1">INDEX(Photobiology!$21:$421,1+$H316-380,P$14)</f>
        <v>3.2166E-2</v>
      </c>
      <c r="Q316" s="147">
        <f ca="1">INDEX(Photobiology!$21:$421,1+$H316-380,Q$14)</f>
        <v>1.026E-4</v>
      </c>
      <c r="R316" s="147">
        <f ca="1">INDEX(Photobiology!$21:$421,1+$H316-380,R$14)</f>
        <v>1.3648E-5</v>
      </c>
      <c r="S316" s="147">
        <f t="shared" si="107"/>
        <v>3483619216977370</v>
      </c>
      <c r="T316" s="147" t="str">
        <f ca="1">INDEX(Photobiology!$21:$421,1+$H316-380,T$14)</f>
        <v/>
      </c>
      <c r="U316" s="147">
        <f ca="1">INDEX(Photobiology!$21:$421,1+$H316-380,U$14)</f>
        <v>1.6945795054913704E-3</v>
      </c>
      <c r="V316" s="147">
        <f ca="1">INDEX(Photobiology!$21:$421,1+$H316-380,V$14)</f>
        <v>2.7005717606221731E-2</v>
      </c>
      <c r="W316" s="147">
        <f ca="1">INDEX(Photobiology!$21:$421,1+$H316-380,W$14)</f>
        <v>7.6838515546639923E-5</v>
      </c>
      <c r="X316" s="147">
        <f ca="1">INDEX(Photobiology!$21:$421,1+$H316-380,X$14)</f>
        <v>9.8866928105972265E-6</v>
      </c>
      <c r="Y316" s="147">
        <f t="shared" si="94"/>
        <v>1.0249013182159501E-3</v>
      </c>
      <c r="Z316" s="147">
        <f t="shared" ca="1" si="108"/>
        <v>0</v>
      </c>
      <c r="AA316" s="147">
        <f t="shared" ca="1" si="95"/>
        <v>2.1686501932922219E-6</v>
      </c>
      <c r="AB316" s="147">
        <f t="shared" ca="1" si="96"/>
        <v>3.2966975801734252E-5</v>
      </c>
      <c r="AC316" s="147">
        <f t="shared" ca="1" si="97"/>
        <v>1.0515487524895647E-7</v>
      </c>
      <c r="AD316" s="147">
        <f t="shared" ca="1" si="98"/>
        <v>1.3987853191011287E-8</v>
      </c>
      <c r="AH316" s="147">
        <f t="shared" si="109"/>
        <v>675</v>
      </c>
      <c r="AI316" s="147">
        <f>IF($AH316&gt;$AH315,INDEX(Spectra!316:316,1,MATCH($AI$20,Spectra!$20:$20,0)),AI315)</f>
        <v>80.281000000000006</v>
      </c>
      <c r="AJ316" s="147">
        <f>((Physics!$C$9*Physics!$C$10)/(Physics!$C$11*Physics!$C$12*$AH316))^($AJ$17-$AJ$18)</f>
        <v>3.3989801311225948E+18</v>
      </c>
      <c r="AK316" s="147">
        <f t="shared" si="110"/>
        <v>1</v>
      </c>
      <c r="AL316" s="147">
        <f>INDEX(Photobiology!$21:$421,1+$AH316-380,10)</f>
        <v>2.3199999999999998E-2</v>
      </c>
      <c r="AM316" s="147">
        <f t="shared" si="111"/>
        <v>1.1123414542283353E-3</v>
      </c>
      <c r="AN316" s="147">
        <f ca="1">INDEX(Photobiology!$21:$421,1+$AH316-380,AN$14)</f>
        <v>0</v>
      </c>
      <c r="AO316" s="147">
        <f ca="1">INDEX(Photobiology!$21:$421,1+$AH316-380,AO$14)</f>
        <v>2.1159600000000001E-3</v>
      </c>
      <c r="AP316" s="147">
        <f ca="1">INDEX(Photobiology!$21:$421,1+$AH316-380,AP$14)</f>
        <v>3.2166E-2</v>
      </c>
      <c r="AQ316" s="147">
        <f ca="1">INDEX(Photobiology!$21:$421,1+$AH316-380,AQ$14)</f>
        <v>1.026E-4</v>
      </c>
      <c r="AR316" s="147">
        <f ca="1">INDEX(Photobiology!$21:$421,1+$AH316-380,AR$14)</f>
        <v>1.3648E-5</v>
      </c>
      <c r="AS316" s="147">
        <f t="shared" si="112"/>
        <v>3780826501946125</v>
      </c>
      <c r="AT316" s="147" t="str">
        <f ca="1">INDEX(Photobiology!$21:$421,1+$AH316-380,AT$14)</f>
        <v/>
      </c>
      <c r="AU316" s="147">
        <f ca="1">INDEX(Photobiology!$21:$421,1+$AH316-380,AU$14)</f>
        <v>1.6945795054913704E-3</v>
      </c>
      <c r="AV316" s="147">
        <f ca="1">INDEX(Photobiology!$21:$421,1+$AH316-380,AV$14)</f>
        <v>2.7005717606221731E-2</v>
      </c>
      <c r="AW316" s="147">
        <f ca="1">INDEX(Photobiology!$21:$421,1+$AH316-380,AW$14)</f>
        <v>7.6838515546639923E-5</v>
      </c>
      <c r="AX316" s="147">
        <f ca="1">INDEX(Photobiology!$21:$421,1+$AH316-380,AX$14)</f>
        <v>9.8866928105972265E-6</v>
      </c>
      <c r="AY316" s="147">
        <f t="shared" si="99"/>
        <v>1.1123414542283353E-3</v>
      </c>
      <c r="AZ316" s="147">
        <f t="shared" ca="1" si="113"/>
        <v>0</v>
      </c>
      <c r="BA316" s="147">
        <f t="shared" ca="1" si="100"/>
        <v>2.3536700234889885E-6</v>
      </c>
      <c r="BB316" s="147">
        <f t="shared" ca="1" si="101"/>
        <v>3.5779575216708633E-5</v>
      </c>
      <c r="BC316" s="147">
        <f t="shared" ca="1" si="102"/>
        <v>1.141262332038272E-7</v>
      </c>
      <c r="BD316" s="147">
        <f t="shared" ca="1" si="103"/>
        <v>1.5181236167308321E-8</v>
      </c>
    </row>
    <row r="317" spans="8:56" s="147" customFormat="1" ht="0.25" customHeight="1" x14ac:dyDescent="0.2">
      <c r="H317" s="147">
        <f t="shared" si="104"/>
        <v>676</v>
      </c>
      <c r="I317" s="147">
        <f>IF($H317&gt;$H316,INDEX(Spectra!317:317,1,MATCH($I$20,Spectra!$20:$20,0)),I316)</f>
        <v>1.0249013182159501E-3</v>
      </c>
      <c r="J317" s="147">
        <f>((Physics!$C$9*Physics!$C$10)/(Physics!$C$11*Physics!$C$12*$H317))^($J$17-$J$18)</f>
        <v>3.4040156572427771E+18</v>
      </c>
      <c r="K317" s="147">
        <f t="shared" si="105"/>
        <v>1</v>
      </c>
      <c r="L317" s="147">
        <f>INDEX(Photobiology!$21:$421,1+$H317-380,10)</f>
        <v>2.1800770000000001E-2</v>
      </c>
      <c r="M317" s="147">
        <f t="shared" si="106"/>
        <v>1.0249013182159501E-3</v>
      </c>
      <c r="N317" s="147">
        <f ca="1">INDEX(Photobiology!$21:$421,1+$H317-380,N$14)</f>
        <v>0</v>
      </c>
      <c r="O317" s="147">
        <f ca="1">INDEX(Photobiology!$21:$421,1+$H317-380,O$14)</f>
        <v>1.9645600000000002E-3</v>
      </c>
      <c r="P317" s="147">
        <f ca="1">INDEX(Photobiology!$21:$421,1+$H317-380,P$14)</f>
        <v>3.0050899999999998E-2</v>
      </c>
      <c r="Q317" s="147">
        <f ca="1">INDEX(Photobiology!$21:$421,1+$H317-380,Q$14)</f>
        <v>9.5400000000000001E-5</v>
      </c>
      <c r="R317" s="147">
        <f ca="1">INDEX(Photobiology!$21:$421,1+$H317-380,R$14)</f>
        <v>1.27143E-5</v>
      </c>
      <c r="S317" s="147">
        <f t="shared" si="107"/>
        <v>3488780134335856</v>
      </c>
      <c r="T317" s="147" t="str">
        <f ca="1">INDEX(Photobiology!$21:$421,1+$H317-380,T$14)</f>
        <v/>
      </c>
      <c r="U317" s="147">
        <f ca="1">INDEX(Photobiology!$21:$421,1+$H317-380,U$14)</f>
        <v>1.5710024785726712E-3</v>
      </c>
      <c r="V317" s="147">
        <f ca="1">INDEX(Photobiology!$21:$421,1+$H317-380,V$14)</f>
        <v>2.5192613542316073E-2</v>
      </c>
      <c r="W317" s="147">
        <f ca="1">INDEX(Photobiology!$21:$421,1+$H317-380,W$14)</f>
        <v>7.1340649166434209E-5</v>
      </c>
      <c r="X317" s="147">
        <f ca="1">INDEX(Photobiology!$21:$421,1+$H317-380,X$14)</f>
        <v>9.1966902211216563E-6</v>
      </c>
      <c r="Y317" s="147">
        <f t="shared" si="94"/>
        <v>1.0249013182159501E-3</v>
      </c>
      <c r="Z317" s="147">
        <f t="shared" ca="1" si="108"/>
        <v>0</v>
      </c>
      <c r="AA317" s="147">
        <f t="shared" ca="1" si="95"/>
        <v>2.0134801337143271E-6</v>
      </c>
      <c r="AB317" s="147">
        <f t="shared" ca="1" si="96"/>
        <v>3.0799207023575692E-5</v>
      </c>
      <c r="AC317" s="147">
        <f t="shared" ca="1" si="97"/>
        <v>9.7775585757801631E-8</v>
      </c>
      <c r="AD317" s="147">
        <f t="shared" ca="1" si="98"/>
        <v>1.3030902830193053E-8</v>
      </c>
      <c r="AH317" s="147">
        <f t="shared" si="109"/>
        <v>676</v>
      </c>
      <c r="AI317" s="147">
        <f>IF($AH317&gt;$AH316,INDEX(Spectra!317:317,1,MATCH($AI$20,Spectra!$20:$20,0)),AI316)</f>
        <v>79.881600000000006</v>
      </c>
      <c r="AJ317" s="147">
        <f>((Physics!$C$9*Physics!$C$10)/(Physics!$C$11*Physics!$C$12*$AH317))^($AJ$17-$AJ$18)</f>
        <v>3.4040156572427771E+18</v>
      </c>
      <c r="AK317" s="147">
        <f t="shared" si="110"/>
        <v>1</v>
      </c>
      <c r="AL317" s="147">
        <f>INDEX(Photobiology!$21:$421,1+$AH317-380,10)</f>
        <v>2.1800770000000001E-2</v>
      </c>
      <c r="AM317" s="147">
        <f t="shared" si="111"/>
        <v>1.1068075274359586E-3</v>
      </c>
      <c r="AN317" s="147">
        <f ca="1">INDEX(Photobiology!$21:$421,1+$AH317-380,AN$14)</f>
        <v>0</v>
      </c>
      <c r="AO317" s="147">
        <f ca="1">INDEX(Photobiology!$21:$421,1+$AH317-380,AO$14)</f>
        <v>1.9645600000000002E-3</v>
      </c>
      <c r="AP317" s="147">
        <f ca="1">INDEX(Photobiology!$21:$421,1+$AH317-380,AP$14)</f>
        <v>3.0050899999999998E-2</v>
      </c>
      <c r="AQ317" s="147">
        <f ca="1">INDEX(Photobiology!$21:$421,1+$AH317-380,AQ$14)</f>
        <v>9.5400000000000001E-5</v>
      </c>
      <c r="AR317" s="147">
        <f ca="1">INDEX(Photobiology!$21:$421,1+$AH317-380,AR$14)</f>
        <v>1.27143E-5</v>
      </c>
      <c r="AS317" s="147">
        <f t="shared" si="112"/>
        <v>3767590152946168</v>
      </c>
      <c r="AT317" s="147" t="str">
        <f ca="1">INDEX(Photobiology!$21:$421,1+$AH317-380,AT$14)</f>
        <v/>
      </c>
      <c r="AU317" s="147">
        <f ca="1">INDEX(Photobiology!$21:$421,1+$AH317-380,AU$14)</f>
        <v>1.5710024785726712E-3</v>
      </c>
      <c r="AV317" s="147">
        <f ca="1">INDEX(Photobiology!$21:$421,1+$AH317-380,AV$14)</f>
        <v>2.5192613542316073E-2</v>
      </c>
      <c r="AW317" s="147">
        <f ca="1">INDEX(Photobiology!$21:$421,1+$AH317-380,AW$14)</f>
        <v>7.1340649166434209E-5</v>
      </c>
      <c r="AX317" s="147">
        <f ca="1">INDEX(Photobiology!$21:$421,1+$AH317-380,AX$14)</f>
        <v>9.1966902211216563E-6</v>
      </c>
      <c r="AY317" s="147">
        <f t="shared" si="99"/>
        <v>1.1068075274359586E-3</v>
      </c>
      <c r="AZ317" s="147">
        <f t="shared" ca="1" si="113"/>
        <v>0</v>
      </c>
      <c r="BA317" s="147">
        <f t="shared" ca="1" si="100"/>
        <v>2.1743897960995871E-6</v>
      </c>
      <c r="BB317" s="147">
        <f t="shared" ca="1" si="101"/>
        <v>3.3260562326225247E-5</v>
      </c>
      <c r="BC317" s="147">
        <f t="shared" ca="1" si="102"/>
        <v>1.0558943811739046E-7</v>
      </c>
      <c r="BD317" s="147">
        <f t="shared" ca="1" si="103"/>
        <v>1.4072282946079009E-8</v>
      </c>
    </row>
    <row r="318" spans="8:56" s="147" customFormat="1" ht="0.25" customHeight="1" x14ac:dyDescent="0.2">
      <c r="H318" s="147">
        <f t="shared" si="104"/>
        <v>677</v>
      </c>
      <c r="I318" s="147">
        <f>IF($H318&gt;$H317,INDEX(Spectra!318:318,1,MATCH($I$20,Spectra!$20:$20,0)),I317)</f>
        <v>1.0249013182159501E-3</v>
      </c>
      <c r="J318" s="147">
        <f>((Physics!$C$9*Physics!$C$10)/(Physics!$C$11*Physics!$C$12*$H318))^($J$17-$J$18)</f>
        <v>3.4090511833629583E+18</v>
      </c>
      <c r="K318" s="147">
        <f t="shared" si="105"/>
        <v>1</v>
      </c>
      <c r="L318" s="147">
        <f>INDEX(Photobiology!$21:$421,1+$H318-380,10)</f>
        <v>2.0501120000000001E-2</v>
      </c>
      <c r="M318" s="147">
        <f t="shared" si="106"/>
        <v>1.0249013182159501E-3</v>
      </c>
      <c r="N318" s="147">
        <f ca="1">INDEX(Photobiology!$21:$421,1+$H318-380,N$14)</f>
        <v>0</v>
      </c>
      <c r="O318" s="147">
        <f ca="1">INDEX(Photobiology!$21:$421,1+$H318-380,O$14)</f>
        <v>1.8237800000000001E-3</v>
      </c>
      <c r="P318" s="147">
        <f ca="1">INDEX(Photobiology!$21:$421,1+$H318-380,P$14)</f>
        <v>2.8059400000000002E-2</v>
      </c>
      <c r="Q318" s="147">
        <f ca="1">INDEX(Photobiology!$21:$421,1+$H318-380,Q$14)</f>
        <v>8.8800000000000004E-5</v>
      </c>
      <c r="R318" s="147">
        <f ca="1">INDEX(Photobiology!$21:$421,1+$H318-380,R$14)</f>
        <v>1.18407E-5</v>
      </c>
      <c r="S318" s="147">
        <f t="shared" si="107"/>
        <v>3493941051694340.5</v>
      </c>
      <c r="T318" s="147" t="str">
        <f ca="1">INDEX(Photobiology!$21:$421,1+$H318-380,T$14)</f>
        <v/>
      </c>
      <c r="U318" s="147">
        <f ca="1">INDEX(Photobiology!$21:$421,1+$H318-380,U$14)</f>
        <v>1.4562704902293876E-3</v>
      </c>
      <c r="V318" s="147">
        <f ca="1">INDEX(Photobiology!$21:$421,1+$H318-380,V$14)</f>
        <v>2.3488330476798772E-2</v>
      </c>
      <c r="W318" s="147">
        <f ca="1">INDEX(Photobiology!$21:$421,1+$H318-380,W$14)</f>
        <v>6.6307045212446797E-5</v>
      </c>
      <c r="X318" s="147">
        <f ca="1">INDEX(Photobiology!$21:$421,1+$H318-380,X$14)</f>
        <v>8.5521342265639529E-6</v>
      </c>
      <c r="Y318" s="147">
        <f t="shared" si="94"/>
        <v>1.0249013182159501E-3</v>
      </c>
      <c r="Z318" s="147">
        <f t="shared" ca="1" si="108"/>
        <v>0</v>
      </c>
      <c r="AA318" s="147">
        <f t="shared" ca="1" si="95"/>
        <v>1.8691945261358856E-6</v>
      </c>
      <c r="AB318" s="147">
        <f t="shared" ca="1" si="96"/>
        <v>2.8758116048348629E-5</v>
      </c>
      <c r="AC318" s="147">
        <f t="shared" ca="1" si="97"/>
        <v>9.1011237057576369E-8</v>
      </c>
      <c r="AD318" s="147">
        <f t="shared" ca="1" si="98"/>
        <v>1.21355490385996E-8</v>
      </c>
      <c r="AH318" s="147">
        <f t="shared" si="109"/>
        <v>677</v>
      </c>
      <c r="AI318" s="147">
        <f>IF($AH318&gt;$AH317,INDEX(Spectra!318:318,1,MATCH($AI$20,Spectra!$20:$20,0)),AI317)</f>
        <v>79.482299999999995</v>
      </c>
      <c r="AJ318" s="147">
        <f>((Physics!$C$9*Physics!$C$10)/(Physics!$C$11*Physics!$C$12*$AH318))^($AJ$17-$AJ$18)</f>
        <v>3.4090511833629583E+18</v>
      </c>
      <c r="AK318" s="147">
        <f t="shared" si="110"/>
        <v>1</v>
      </c>
      <c r="AL318" s="147">
        <f>INDEX(Photobiology!$21:$421,1+$AH318-380,10)</f>
        <v>2.0501120000000001E-2</v>
      </c>
      <c r="AM318" s="147">
        <f t="shared" si="111"/>
        <v>1.1012749862036198E-3</v>
      </c>
      <c r="AN318" s="147">
        <f ca="1">INDEX(Photobiology!$21:$421,1+$AH318-380,AN$14)</f>
        <v>0</v>
      </c>
      <c r="AO318" s="147">
        <f ca="1">INDEX(Photobiology!$21:$421,1+$AH318-380,AO$14)</f>
        <v>1.8237800000000001E-3</v>
      </c>
      <c r="AP318" s="147">
        <f ca="1">INDEX(Photobiology!$21:$421,1+$AH318-380,AP$14)</f>
        <v>2.8059400000000002E-2</v>
      </c>
      <c r="AQ318" s="147">
        <f ca="1">INDEX(Photobiology!$21:$421,1+$AH318-380,AQ$14)</f>
        <v>8.8800000000000004E-5</v>
      </c>
      <c r="AR318" s="147">
        <f ca="1">INDEX(Photobiology!$21:$421,1+$AH318-380,AR$14)</f>
        <v>1.18407E-5</v>
      </c>
      <c r="AS318" s="147">
        <f t="shared" si="112"/>
        <v>3754302794925475.5</v>
      </c>
      <c r="AT318" s="147" t="str">
        <f ca="1">INDEX(Photobiology!$21:$421,1+$AH318-380,AT$14)</f>
        <v/>
      </c>
      <c r="AU318" s="147">
        <f ca="1">INDEX(Photobiology!$21:$421,1+$AH318-380,AU$14)</f>
        <v>1.4562704902293876E-3</v>
      </c>
      <c r="AV318" s="147">
        <f ca="1">INDEX(Photobiology!$21:$421,1+$AH318-380,AV$14)</f>
        <v>2.3488330476798772E-2</v>
      </c>
      <c r="AW318" s="147">
        <f ca="1">INDEX(Photobiology!$21:$421,1+$AH318-380,AW$14)</f>
        <v>6.6307045212446797E-5</v>
      </c>
      <c r="AX318" s="147">
        <f ca="1">INDEX(Photobiology!$21:$421,1+$AH318-380,AX$14)</f>
        <v>8.5521342265639529E-6</v>
      </c>
      <c r="AY318" s="147">
        <f t="shared" si="99"/>
        <v>1.1012749862036198E-3</v>
      </c>
      <c r="AZ318" s="147">
        <f t="shared" ca="1" si="113"/>
        <v>0</v>
      </c>
      <c r="BA318" s="147">
        <f t="shared" ca="1" si="100"/>
        <v>2.008483294338438E-6</v>
      </c>
      <c r="BB318" s="147">
        <f t="shared" ca="1" si="101"/>
        <v>3.0901115347881855E-5</v>
      </c>
      <c r="BC318" s="147">
        <f t="shared" ca="1" si="102"/>
        <v>9.7793218774881441E-8</v>
      </c>
      <c r="BD318" s="147">
        <f t="shared" ca="1" si="103"/>
        <v>1.3039866729141201E-8</v>
      </c>
    </row>
    <row r="319" spans="8:56" s="147" customFormat="1" ht="0.25" customHeight="1" x14ac:dyDescent="0.2">
      <c r="H319" s="147">
        <f t="shared" si="104"/>
        <v>678</v>
      </c>
      <c r="I319" s="147">
        <f>IF($H319&gt;$H318,INDEX(Spectra!319:319,1,MATCH($I$20,Spectra!$20:$20,0)),I318)</f>
        <v>1.0249013182159501E-3</v>
      </c>
      <c r="J319" s="147">
        <f>((Physics!$C$9*Physics!$C$10)/(Physics!$C$11*Physics!$C$12*$H319))^($J$17-$J$18)</f>
        <v>3.4140867094831396E+18</v>
      </c>
      <c r="K319" s="147">
        <f t="shared" si="105"/>
        <v>1</v>
      </c>
      <c r="L319" s="147">
        <f>INDEX(Photobiology!$21:$421,1+$H319-380,10)</f>
        <v>1.9281079999999999E-2</v>
      </c>
      <c r="M319" s="147">
        <f t="shared" si="106"/>
        <v>1.0249013182159501E-3</v>
      </c>
      <c r="N319" s="147">
        <f ca="1">INDEX(Photobiology!$21:$421,1+$H319-380,N$14)</f>
        <v>0</v>
      </c>
      <c r="O319" s="147">
        <f ca="1">INDEX(Photobiology!$21:$421,1+$H319-380,O$14)</f>
        <v>1.69287E-3</v>
      </c>
      <c r="P319" s="147">
        <f ca="1">INDEX(Photobiology!$21:$421,1+$H319-380,P$14)</f>
        <v>2.61861E-2</v>
      </c>
      <c r="Q319" s="147">
        <f ca="1">INDEX(Photobiology!$21:$421,1+$H319-380,Q$14)</f>
        <v>8.2600000000000002E-5</v>
      </c>
      <c r="R319" s="147">
        <f ca="1">INDEX(Photobiology!$21:$421,1+$H319-380,R$14)</f>
        <v>1.1026899999999999E-5</v>
      </c>
      <c r="S319" s="147">
        <f t="shared" si="107"/>
        <v>3499101969052825</v>
      </c>
      <c r="T319" s="147" t="str">
        <f ca="1">INDEX(Photobiology!$21:$421,1+$H319-380,T$14)</f>
        <v/>
      </c>
      <c r="U319" s="147">
        <f ca="1">INDEX(Photobiology!$21:$421,1+$H319-380,U$14)</f>
        <v>1.3497464187446468E-3</v>
      </c>
      <c r="V319" s="147">
        <f ca="1">INDEX(Photobiology!$21:$421,1+$H319-380,V$14)</f>
        <v>2.1887873265133972E-2</v>
      </c>
      <c r="W319" s="147">
        <f ca="1">INDEX(Photobiology!$21:$421,1+$H319-380,W$14)</f>
        <v>6.1586529500004447E-5</v>
      </c>
      <c r="X319" s="147">
        <f ca="1">INDEX(Photobiology!$21:$421,1+$H319-380,X$14)</f>
        <v>7.9526073756031146E-6</v>
      </c>
      <c r="Y319" s="147">
        <f t="shared" si="94"/>
        <v>1.0249013182159501E-3</v>
      </c>
      <c r="Z319" s="147">
        <f t="shared" ca="1" si="108"/>
        <v>0</v>
      </c>
      <c r="AA319" s="147">
        <f t="shared" ca="1" si="95"/>
        <v>1.7350246945682353E-6</v>
      </c>
      <c r="AB319" s="147">
        <f t="shared" ca="1" si="96"/>
        <v>2.6838168408934689E-5</v>
      </c>
      <c r="AC319" s="147">
        <f t="shared" ca="1" si="97"/>
        <v>8.4656848884637471E-8</v>
      </c>
      <c r="AD319" s="147">
        <f t="shared" ca="1" si="98"/>
        <v>1.1301484345835459E-8</v>
      </c>
      <c r="AH319" s="147">
        <f t="shared" si="109"/>
        <v>678</v>
      </c>
      <c r="AI319" s="147">
        <f>IF($AH319&gt;$AH318,INDEX(Spectra!319:319,1,MATCH($AI$20,Spectra!$20:$20,0)),AI318)</f>
        <v>79.082899999999995</v>
      </c>
      <c r="AJ319" s="147">
        <f>((Physics!$C$9*Physics!$C$10)/(Physics!$C$11*Physics!$C$12*$AH319))^($AJ$17-$AJ$18)</f>
        <v>3.4140867094831396E+18</v>
      </c>
      <c r="AK319" s="147">
        <f t="shared" si="110"/>
        <v>1</v>
      </c>
      <c r="AL319" s="147">
        <f>INDEX(Photobiology!$21:$421,1+$AH319-380,10)</f>
        <v>1.9281079999999999E-2</v>
      </c>
      <c r="AM319" s="147">
        <f t="shared" si="111"/>
        <v>1.0957410594112432E-3</v>
      </c>
      <c r="AN319" s="147">
        <f ca="1">INDEX(Photobiology!$21:$421,1+$AH319-380,AN$14)</f>
        <v>0</v>
      </c>
      <c r="AO319" s="147">
        <f ca="1">INDEX(Photobiology!$21:$421,1+$AH319-380,AO$14)</f>
        <v>1.69287E-3</v>
      </c>
      <c r="AP319" s="147">
        <f ca="1">INDEX(Photobiology!$21:$421,1+$AH319-380,AP$14)</f>
        <v>2.61861E-2</v>
      </c>
      <c r="AQ319" s="147">
        <f ca="1">INDEX(Photobiology!$21:$421,1+$AH319-380,AQ$14)</f>
        <v>8.2600000000000002E-5</v>
      </c>
      <c r="AR319" s="147">
        <f ca="1">INDEX(Photobiology!$21:$421,1+$AH319-380,AR$14)</f>
        <v>1.1026899999999999E-5</v>
      </c>
      <c r="AS319" s="147">
        <f t="shared" si="112"/>
        <v>3740954987970900.5</v>
      </c>
      <c r="AT319" s="147" t="str">
        <f ca="1">INDEX(Photobiology!$21:$421,1+$AH319-380,AT$14)</f>
        <v/>
      </c>
      <c r="AU319" s="147">
        <f ca="1">INDEX(Photobiology!$21:$421,1+$AH319-380,AU$14)</f>
        <v>1.3497464187446468E-3</v>
      </c>
      <c r="AV319" s="147">
        <f ca="1">INDEX(Photobiology!$21:$421,1+$AH319-380,AV$14)</f>
        <v>2.1887873265133972E-2</v>
      </c>
      <c r="AW319" s="147">
        <f ca="1">INDEX(Photobiology!$21:$421,1+$AH319-380,AW$14)</f>
        <v>6.1586529500004447E-5</v>
      </c>
      <c r="AX319" s="147">
        <f ca="1">INDEX(Photobiology!$21:$421,1+$AH319-380,AX$14)</f>
        <v>7.9526073756031146E-6</v>
      </c>
      <c r="AY319" s="147">
        <f t="shared" si="99"/>
        <v>1.0957410594112432E-3</v>
      </c>
      <c r="AZ319" s="147">
        <f t="shared" ca="1" si="113"/>
        <v>0</v>
      </c>
      <c r="BA319" s="147">
        <f t="shared" ca="1" si="100"/>
        <v>1.8549471672455111E-6</v>
      </c>
      <c r="BB319" s="147">
        <f t="shared" ca="1" si="101"/>
        <v>2.8693184955848757E-5</v>
      </c>
      <c r="BC319" s="147">
        <f t="shared" ca="1" si="102"/>
        <v>9.0508211507368689E-8</v>
      </c>
      <c r="BD319" s="147">
        <f t="shared" ca="1" si="103"/>
        <v>1.2082627088021837E-8</v>
      </c>
    </row>
    <row r="320" spans="8:56" s="147" customFormat="1" ht="0.25" customHeight="1" x14ac:dyDescent="0.2">
      <c r="H320" s="147">
        <f t="shared" si="104"/>
        <v>679</v>
      </c>
      <c r="I320" s="147">
        <f>IF($H320&gt;$H319,INDEX(Spectra!320:320,1,MATCH($I$20,Spectra!$20:$20,0)),I319)</f>
        <v>1.0249013182159501E-3</v>
      </c>
      <c r="J320" s="147">
        <f>((Physics!$C$9*Physics!$C$10)/(Physics!$C$11*Physics!$C$12*$H320))^($J$17-$J$18)</f>
        <v>3.4191222356033213E+18</v>
      </c>
      <c r="K320" s="147">
        <f t="shared" si="105"/>
        <v>1</v>
      </c>
      <c r="L320" s="147">
        <f>INDEX(Photobiology!$21:$421,1+$H320-380,10)</f>
        <v>1.8120689999999998E-2</v>
      </c>
      <c r="M320" s="147">
        <f t="shared" si="106"/>
        <v>1.0249013182159501E-3</v>
      </c>
      <c r="N320" s="147">
        <f ca="1">INDEX(Photobiology!$21:$421,1+$H320-380,N$14)</f>
        <v>0</v>
      </c>
      <c r="O320" s="147">
        <f ca="1">INDEX(Photobiology!$21:$421,1+$H320-380,O$14)</f>
        <v>1.5711500000000001E-3</v>
      </c>
      <c r="P320" s="147">
        <f ca="1">INDEX(Photobiology!$21:$421,1+$H320-380,P$14)</f>
        <v>2.4426E-2</v>
      </c>
      <c r="Q320" s="147">
        <f ca="1">INDEX(Photobiology!$21:$421,1+$H320-380,Q$14)</f>
        <v>7.6899999999999999E-5</v>
      </c>
      <c r="R320" s="147">
        <f ca="1">INDEX(Photobiology!$21:$421,1+$H320-380,R$14)</f>
        <v>1.02723E-5</v>
      </c>
      <c r="S320" s="147">
        <f t="shared" si="107"/>
        <v>3504262886411310</v>
      </c>
      <c r="T320" s="147" t="str">
        <f ca="1">INDEX(Photobiology!$21:$421,1+$H320-380,T$14)</f>
        <v/>
      </c>
      <c r="U320" s="147">
        <f ca="1">INDEX(Photobiology!$21:$421,1+$H320-380,U$14)</f>
        <v>1.2508526253740507E-3</v>
      </c>
      <c r="V320" s="147">
        <f ca="1">INDEX(Photobiology!$21:$421,1+$H320-380,V$14)</f>
        <v>2.0386610040242323E-2</v>
      </c>
      <c r="W320" s="147">
        <f ca="1">INDEX(Photobiology!$21:$421,1+$H320-380,W$14)</f>
        <v>5.7252168877767321E-5</v>
      </c>
      <c r="X320" s="147">
        <f ca="1">INDEX(Photobiology!$21:$421,1+$H320-380,X$14)</f>
        <v>7.397478634582946E-6</v>
      </c>
      <c r="Y320" s="147">
        <f t="shared" si="94"/>
        <v>1.0249013182159501E-3</v>
      </c>
      <c r="Z320" s="147">
        <f t="shared" ca="1" si="108"/>
        <v>0</v>
      </c>
      <c r="AA320" s="147">
        <f t="shared" ca="1" si="95"/>
        <v>1.61027370611499E-6</v>
      </c>
      <c r="AB320" s="147">
        <f t="shared" ca="1" si="96"/>
        <v>2.5034239598742794E-5</v>
      </c>
      <c r="AC320" s="147">
        <f t="shared" ca="1" si="97"/>
        <v>7.8814911370806556E-8</v>
      </c>
      <c r="AD320" s="147">
        <f t="shared" ca="1" si="98"/>
        <v>1.0528093811109704E-8</v>
      </c>
      <c r="AH320" s="147">
        <f t="shared" si="109"/>
        <v>679</v>
      </c>
      <c r="AI320" s="147">
        <f>IF($AH320&gt;$AH319,INDEX(Spectra!320:320,1,MATCH($AI$20,Spectra!$20:$20,0)),AI319)</f>
        <v>78.683599999999998</v>
      </c>
      <c r="AJ320" s="147">
        <f>((Physics!$C$9*Physics!$C$10)/(Physics!$C$11*Physics!$C$12*$AH320))^($AJ$17-$AJ$18)</f>
        <v>3.4191222356033213E+18</v>
      </c>
      <c r="AK320" s="147">
        <f t="shared" si="110"/>
        <v>1</v>
      </c>
      <c r="AL320" s="147">
        <f>INDEX(Photobiology!$21:$421,1+$AH320-380,10)</f>
        <v>1.8120689999999998E-2</v>
      </c>
      <c r="AM320" s="147">
        <f t="shared" si="111"/>
        <v>1.0902085181789046E-3</v>
      </c>
      <c r="AN320" s="147">
        <f ca="1">INDEX(Photobiology!$21:$421,1+$AH320-380,AN$14)</f>
        <v>0</v>
      </c>
      <c r="AO320" s="147">
        <f ca="1">INDEX(Photobiology!$21:$421,1+$AH320-380,AO$14)</f>
        <v>1.5711500000000001E-3</v>
      </c>
      <c r="AP320" s="147">
        <f ca="1">INDEX(Photobiology!$21:$421,1+$AH320-380,AP$14)</f>
        <v>2.4426E-2</v>
      </c>
      <c r="AQ320" s="147">
        <f ca="1">INDEX(Photobiology!$21:$421,1+$AH320-380,AQ$14)</f>
        <v>7.6899999999999999E-5</v>
      </c>
      <c r="AR320" s="147">
        <f ca="1">INDEX(Photobiology!$21:$421,1+$AH320-380,AR$14)</f>
        <v>1.02723E-5</v>
      </c>
      <c r="AS320" s="147">
        <f t="shared" si="112"/>
        <v>3727556185949640.5</v>
      </c>
      <c r="AT320" s="147" t="str">
        <f ca="1">INDEX(Photobiology!$21:$421,1+$AH320-380,AT$14)</f>
        <v/>
      </c>
      <c r="AU320" s="147">
        <f ca="1">INDEX(Photobiology!$21:$421,1+$AH320-380,AU$14)</f>
        <v>1.2508526253740507E-3</v>
      </c>
      <c r="AV320" s="147">
        <f ca="1">INDEX(Photobiology!$21:$421,1+$AH320-380,AV$14)</f>
        <v>2.0386610040242323E-2</v>
      </c>
      <c r="AW320" s="147">
        <f ca="1">INDEX(Photobiology!$21:$421,1+$AH320-380,AW$14)</f>
        <v>5.7252168877767321E-5</v>
      </c>
      <c r="AX320" s="147">
        <f ca="1">INDEX(Photobiology!$21:$421,1+$AH320-380,AX$14)</f>
        <v>7.397478634582946E-6</v>
      </c>
      <c r="AY320" s="147">
        <f t="shared" si="99"/>
        <v>1.0902085181789046E-3</v>
      </c>
      <c r="AZ320" s="147">
        <f t="shared" ca="1" si="113"/>
        <v>0</v>
      </c>
      <c r="BA320" s="147">
        <f t="shared" ca="1" si="100"/>
        <v>1.7128811133367859E-6</v>
      </c>
      <c r="BB320" s="147">
        <f t="shared" ca="1" si="101"/>
        <v>2.6629433265037924E-5</v>
      </c>
      <c r="BC320" s="147">
        <f t="shared" ca="1" si="102"/>
        <v>8.3837035047957767E-8</v>
      </c>
      <c r="BD320" s="147">
        <f t="shared" ca="1" si="103"/>
        <v>1.1198948961289162E-8</v>
      </c>
    </row>
    <row r="321" spans="8:56" s="147" customFormat="1" ht="0.25" customHeight="1" x14ac:dyDescent="0.2">
      <c r="H321" s="147">
        <f t="shared" si="104"/>
        <v>680</v>
      </c>
      <c r="I321" s="147">
        <f>IF($H321&gt;$H320,INDEX(Spectra!321:321,1,MATCH($I$20,Spectra!$20:$20,0)),I320)</f>
        <v>1.0199017995905001E-3</v>
      </c>
      <c r="J321" s="147">
        <f>((Physics!$C$9*Physics!$C$10)/(Physics!$C$11*Physics!$C$12*$H321))^($J$17-$J$18)</f>
        <v>3.4241577617235031E+18</v>
      </c>
      <c r="K321" s="147">
        <f t="shared" si="105"/>
        <v>1</v>
      </c>
      <c r="L321" s="147">
        <f>INDEX(Photobiology!$21:$421,1+$H321-380,10)</f>
        <v>1.7000000000000001E-2</v>
      </c>
      <c r="M321" s="147">
        <f t="shared" si="106"/>
        <v>1.0199017995905001E-3</v>
      </c>
      <c r="N321" s="147">
        <f ca="1">INDEX(Photobiology!$21:$421,1+$H321-380,N$14)</f>
        <v>0</v>
      </c>
      <c r="O321" s="147">
        <f ca="1">INDEX(Photobiology!$21:$421,1+$H321-380,O$14)</f>
        <v>1.45798E-3</v>
      </c>
      <c r="P321" s="147">
        <f ca="1">INDEX(Photobiology!$21:$421,1+$H321-380,P$14)</f>
        <v>2.27738E-2</v>
      </c>
      <c r="Q321" s="147">
        <f ca="1">INDEX(Photobiology!$21:$421,1+$H321-380,Q$14)</f>
        <v>7.1500000000000003E-5</v>
      </c>
      <c r="R321" s="147">
        <f ca="1">INDEX(Photobiology!$21:$421,1+$H321-380,R$14)</f>
        <v>9.5763699999999999E-6</v>
      </c>
      <c r="S321" s="147">
        <f t="shared" si="107"/>
        <v>3492304663263579.5</v>
      </c>
      <c r="T321" s="147" t="str">
        <f ca="1">INDEX(Photobiology!$21:$421,1+$H321-380,T$14)</f>
        <v/>
      </c>
      <c r="U321" s="147">
        <f ca="1">INDEX(Photobiology!$21:$421,1+$H321-380,U$14)</f>
        <v>1.1590466679468586E-3</v>
      </c>
      <c r="V321" s="147">
        <f ca="1">INDEX(Photobiology!$21:$421,1+$H321-380,V$14)</f>
        <v>1.8979686161305069E-2</v>
      </c>
      <c r="W321" s="147">
        <f ca="1">INDEX(Photobiology!$21:$421,1+$H321-380,W$14)</f>
        <v>5.3153578382205442E-5</v>
      </c>
      <c r="X321" s="147">
        <f ca="1">INDEX(Photobiology!$21:$421,1+$H321-380,X$14)</f>
        <v>6.8861710173724874E-6</v>
      </c>
      <c r="Y321" s="147">
        <f t="shared" si="94"/>
        <v>1.0199017995905001E-3</v>
      </c>
      <c r="Z321" s="147">
        <f t="shared" ca="1" si="108"/>
        <v>0</v>
      </c>
      <c r="AA321" s="147">
        <f t="shared" ca="1" si="95"/>
        <v>1.4869964257669574E-6</v>
      </c>
      <c r="AB321" s="147">
        <f t="shared" ca="1" si="96"/>
        <v>2.3227039603514132E-5</v>
      </c>
      <c r="AC321" s="147">
        <f t="shared" ca="1" si="97"/>
        <v>7.292297867072076E-8</v>
      </c>
      <c r="AD321" s="147">
        <f t="shared" ca="1" si="98"/>
        <v>9.7669569965444764E-9</v>
      </c>
      <c r="AH321" s="147">
        <f t="shared" si="109"/>
        <v>680</v>
      </c>
      <c r="AI321" s="147">
        <f>IF($AH321&gt;$AH320,INDEX(Spectra!321:321,1,MATCH($AI$20,Spectra!$20:$20,0)),AI320)</f>
        <v>78.284199999999998</v>
      </c>
      <c r="AJ321" s="147">
        <f>((Physics!$C$9*Physics!$C$10)/(Physics!$C$11*Physics!$C$12*$AH321))^($AJ$17-$AJ$18)</f>
        <v>3.4241577617235031E+18</v>
      </c>
      <c r="AK321" s="147">
        <f t="shared" si="110"/>
        <v>1</v>
      </c>
      <c r="AL321" s="147">
        <f>INDEX(Photobiology!$21:$421,1+$AH321-380,10)</f>
        <v>1.7000000000000001E-2</v>
      </c>
      <c r="AM321" s="147">
        <f t="shared" si="111"/>
        <v>1.0846745913865277E-3</v>
      </c>
      <c r="AN321" s="147">
        <f ca="1">INDEX(Photobiology!$21:$421,1+$AH321-380,AN$14)</f>
        <v>0</v>
      </c>
      <c r="AO321" s="147">
        <f ca="1">INDEX(Photobiology!$21:$421,1+$AH321-380,AO$14)</f>
        <v>1.45798E-3</v>
      </c>
      <c r="AP321" s="147">
        <f ca="1">INDEX(Photobiology!$21:$421,1+$AH321-380,AP$14)</f>
        <v>2.27738E-2</v>
      </c>
      <c r="AQ321" s="147">
        <f ca="1">INDEX(Photobiology!$21:$421,1+$AH321-380,AQ$14)</f>
        <v>7.1500000000000003E-5</v>
      </c>
      <c r="AR321" s="147">
        <f ca="1">INDEX(Photobiology!$21:$421,1+$AH321-380,AR$14)</f>
        <v>9.5763699999999999E-6</v>
      </c>
      <c r="AS321" s="147">
        <f t="shared" si="112"/>
        <v>3714096921040448</v>
      </c>
      <c r="AT321" s="147" t="str">
        <f ca="1">INDEX(Photobiology!$21:$421,1+$AH321-380,AT$14)</f>
        <v/>
      </c>
      <c r="AU321" s="147">
        <f ca="1">INDEX(Photobiology!$21:$421,1+$AH321-380,AU$14)</f>
        <v>1.1590466679468586E-3</v>
      </c>
      <c r="AV321" s="147">
        <f ca="1">INDEX(Photobiology!$21:$421,1+$AH321-380,AV$14)</f>
        <v>1.8979686161305069E-2</v>
      </c>
      <c r="AW321" s="147">
        <f ca="1">INDEX(Photobiology!$21:$421,1+$AH321-380,AW$14)</f>
        <v>5.3153578382205442E-5</v>
      </c>
      <c r="AX321" s="147">
        <f ca="1">INDEX(Photobiology!$21:$421,1+$AH321-380,AX$14)</f>
        <v>6.8861710173724874E-6</v>
      </c>
      <c r="AY321" s="147">
        <f t="shared" si="99"/>
        <v>1.0846745913865277E-3</v>
      </c>
      <c r="AZ321" s="147">
        <f t="shared" ca="1" si="113"/>
        <v>0</v>
      </c>
      <c r="BA321" s="147">
        <f t="shared" ca="1" si="100"/>
        <v>1.5814338607497296E-6</v>
      </c>
      <c r="BB321" s="147">
        <f t="shared" ca="1" si="101"/>
        <v>2.4702162209318506E-5</v>
      </c>
      <c r="BC321" s="147">
        <f t="shared" ca="1" si="102"/>
        <v>7.7554233284136731E-8</v>
      </c>
      <c r="BD321" s="147">
        <f t="shared" ca="1" si="103"/>
        <v>1.0387245216716203E-8</v>
      </c>
    </row>
    <row r="322" spans="8:56" s="147" customFormat="1" ht="0.25" customHeight="1" x14ac:dyDescent="0.2">
      <c r="H322" s="147">
        <f t="shared" si="104"/>
        <v>681</v>
      </c>
      <c r="I322" s="147">
        <f>IF($H322&gt;$H321,INDEX(Spectra!322:322,1,MATCH($I$20,Spectra!$20:$20,0)),I321)</f>
        <v>1.0199017995905001E-3</v>
      </c>
      <c r="J322" s="147">
        <f>((Physics!$C$9*Physics!$C$10)/(Physics!$C$11*Physics!$C$12*$H322))^($J$17-$J$18)</f>
        <v>3.4291932878436844E+18</v>
      </c>
      <c r="K322" s="147">
        <f t="shared" si="105"/>
        <v>1</v>
      </c>
      <c r="L322" s="147">
        <f>INDEX(Photobiology!$21:$421,1+$H322-380,10)</f>
        <v>1.5903790000000001E-2</v>
      </c>
      <c r="M322" s="147">
        <f t="shared" si="106"/>
        <v>1.0199017995905001E-3</v>
      </c>
      <c r="N322" s="147">
        <f ca="1">INDEX(Photobiology!$21:$421,1+$H322-380,N$14)</f>
        <v>0</v>
      </c>
      <c r="O322" s="147">
        <f ca="1">INDEX(Photobiology!$21:$421,1+$H322-380,O$14)</f>
        <v>1.3527400000000001E-3</v>
      </c>
      <c r="P322" s="147">
        <f ca="1">INDEX(Photobiology!$21:$421,1+$H322-380,P$14)</f>
        <v>2.1223800000000001E-2</v>
      </c>
      <c r="Q322" s="147">
        <f ca="1">INDEX(Photobiology!$21:$421,1+$H322-380,Q$14)</f>
        <v>6.6600000000000006E-5</v>
      </c>
      <c r="R322" s="147">
        <f ca="1">INDEX(Photobiology!$21:$421,1+$H322-380,R$14)</f>
        <v>8.9303300000000003E-6</v>
      </c>
      <c r="S322" s="147">
        <f t="shared" si="107"/>
        <v>3497440405415437.5</v>
      </c>
      <c r="T322" s="147" t="str">
        <f ca="1">INDEX(Photobiology!$21:$421,1+$H322-380,T$14)</f>
        <v/>
      </c>
      <c r="U322" s="147">
        <f ca="1">INDEX(Photobiology!$21:$421,1+$H322-380,U$14)</f>
        <v>1.0738051664453971E-3</v>
      </c>
      <c r="V322" s="147">
        <f ca="1">INDEX(Photobiology!$21:$421,1+$H322-380,V$14)</f>
        <v>1.7661942631774293E-2</v>
      </c>
      <c r="W322" s="147">
        <f ca="1">INDEX(Photobiology!$21:$421,1+$H322-380,W$14)</f>
        <v>4.9438182388575424E-5</v>
      </c>
      <c r="X322" s="147">
        <f ca="1">INDEX(Photobiology!$21:$421,1+$H322-380,X$14)</f>
        <v>6.4121872326208316E-6</v>
      </c>
      <c r="Y322" s="147">
        <f t="shared" si="94"/>
        <v>1.0199017995905001E-3</v>
      </c>
      <c r="Z322" s="147">
        <f t="shared" ca="1" si="108"/>
        <v>0</v>
      </c>
      <c r="AA322" s="147">
        <f t="shared" ca="1" si="95"/>
        <v>1.3796619603780532E-6</v>
      </c>
      <c r="AB322" s="147">
        <f t="shared" ca="1" si="96"/>
        <v>2.1646191814148856E-5</v>
      </c>
      <c r="AC322" s="147">
        <f t="shared" ca="1" si="97"/>
        <v>6.7925459852727317E-8</v>
      </c>
      <c r="AD322" s="147">
        <f t="shared" ca="1" si="98"/>
        <v>9.1080596379370311E-9</v>
      </c>
      <c r="AH322" s="147">
        <f t="shared" si="109"/>
        <v>681</v>
      </c>
      <c r="AI322" s="147">
        <f>IF($AH322&gt;$AH321,INDEX(Spectra!322:322,1,MATCH($AI$20,Spectra!$20:$20,0)),AI321)</f>
        <v>77.427899999999994</v>
      </c>
      <c r="AJ322" s="147">
        <f>((Physics!$C$9*Physics!$C$10)/(Physics!$C$11*Physics!$C$12*$AH322))^($AJ$17-$AJ$18)</f>
        <v>3.4291932878436844E+18</v>
      </c>
      <c r="AK322" s="147">
        <f t="shared" si="110"/>
        <v>1</v>
      </c>
      <c r="AL322" s="147">
        <f>INDEX(Photobiology!$21:$421,1+$AH322-380,10)</f>
        <v>1.5903790000000001E-2</v>
      </c>
      <c r="AM322" s="147">
        <f t="shared" si="111"/>
        <v>1.0728100407798372E-3</v>
      </c>
      <c r="AN322" s="147">
        <f ca="1">INDEX(Photobiology!$21:$421,1+$AH322-380,AN$14)</f>
        <v>0</v>
      </c>
      <c r="AO322" s="147">
        <f ca="1">INDEX(Photobiology!$21:$421,1+$AH322-380,AO$14)</f>
        <v>1.3527400000000001E-3</v>
      </c>
      <c r="AP322" s="147">
        <f ca="1">INDEX(Photobiology!$21:$421,1+$AH322-380,AP$14)</f>
        <v>2.1223800000000001E-2</v>
      </c>
      <c r="AQ322" s="147">
        <f ca="1">INDEX(Photobiology!$21:$421,1+$AH322-380,AQ$14)</f>
        <v>6.6600000000000006E-5</v>
      </c>
      <c r="AR322" s="147">
        <f ca="1">INDEX(Photobiology!$21:$421,1+$AH322-380,AR$14)</f>
        <v>8.9303300000000003E-6</v>
      </c>
      <c r="AS322" s="147">
        <f t="shared" si="112"/>
        <v>3678872990973527</v>
      </c>
      <c r="AT322" s="147" t="str">
        <f ca="1">INDEX(Photobiology!$21:$421,1+$AH322-380,AT$14)</f>
        <v/>
      </c>
      <c r="AU322" s="147">
        <f ca="1">INDEX(Photobiology!$21:$421,1+$AH322-380,AU$14)</f>
        <v>1.0738051664453971E-3</v>
      </c>
      <c r="AV322" s="147">
        <f ca="1">INDEX(Photobiology!$21:$421,1+$AH322-380,AV$14)</f>
        <v>1.7661942631774293E-2</v>
      </c>
      <c r="AW322" s="147">
        <f ca="1">INDEX(Photobiology!$21:$421,1+$AH322-380,AW$14)</f>
        <v>4.9438182388575424E-5</v>
      </c>
      <c r="AX322" s="147">
        <f ca="1">INDEX(Photobiology!$21:$421,1+$AH322-380,AX$14)</f>
        <v>6.4121872326208316E-6</v>
      </c>
      <c r="AY322" s="147">
        <f t="shared" si="99"/>
        <v>1.0728100407798372E-3</v>
      </c>
      <c r="AZ322" s="147">
        <f t="shared" ca="1" si="113"/>
        <v>0</v>
      </c>
      <c r="BA322" s="147">
        <f t="shared" ca="1" si="100"/>
        <v>1.451233054564517E-6</v>
      </c>
      <c r="BB322" s="147">
        <f t="shared" ca="1" si="101"/>
        <v>2.2769105743503111E-5</v>
      </c>
      <c r="BC322" s="147">
        <f t="shared" ca="1" si="102"/>
        <v>7.1449148715937169E-8</v>
      </c>
      <c r="BD322" s="147">
        <f t="shared" ca="1" si="103"/>
        <v>9.5805476914774039E-9</v>
      </c>
    </row>
    <row r="323" spans="8:56" s="147" customFormat="1" ht="0.25" customHeight="1" x14ac:dyDescent="0.2">
      <c r="H323" s="147">
        <f t="shared" si="104"/>
        <v>682</v>
      </c>
      <c r="I323" s="147">
        <f>IF($H323&gt;$H322,INDEX(Spectra!323:323,1,MATCH($I$20,Spectra!$20:$20,0)),I322)</f>
        <v>1.0149022809650601E-3</v>
      </c>
      <c r="J323" s="147">
        <f>((Physics!$C$9*Physics!$C$10)/(Physics!$C$11*Physics!$C$12*$H323))^($J$17-$J$18)</f>
        <v>3.4342288139638666E+18</v>
      </c>
      <c r="K323" s="147">
        <f t="shared" si="105"/>
        <v>1</v>
      </c>
      <c r="L323" s="147">
        <f>INDEX(Photobiology!$21:$421,1+$H323-380,10)</f>
        <v>1.483718E-2</v>
      </c>
      <c r="M323" s="147">
        <f t="shared" si="106"/>
        <v>1.0149022809650601E-3</v>
      </c>
      <c r="N323" s="147">
        <f ca="1">INDEX(Photobiology!$21:$421,1+$H323-380,N$14)</f>
        <v>0</v>
      </c>
      <c r="O323" s="147">
        <f ca="1">INDEX(Photobiology!$21:$421,1+$H323-380,O$14)</f>
        <v>1.2547599999999999E-3</v>
      </c>
      <c r="P323" s="147">
        <f ca="1">INDEX(Photobiology!$21:$421,1+$H323-380,P$14)</f>
        <v>1.9767900000000001E-2</v>
      </c>
      <c r="Q323" s="147">
        <f ca="1">INDEX(Photobiology!$21:$421,1+$H323-380,Q$14)</f>
        <v>6.2000000000000003E-5</v>
      </c>
      <c r="R323" s="147">
        <f ca="1">INDEX(Photobiology!$21:$421,1+$H323-380,R$14)</f>
        <v>8.3254300000000003E-6</v>
      </c>
      <c r="S323" s="147">
        <f t="shared" si="107"/>
        <v>3485406656647861</v>
      </c>
      <c r="T323" s="147" t="str">
        <f ca="1">INDEX(Photobiology!$21:$421,1+$H323-380,T$14)</f>
        <v/>
      </c>
      <c r="U323" s="147">
        <f ca="1">INDEX(Photobiology!$21:$421,1+$H323-380,U$14)</f>
        <v>9.9456817872029544E-4</v>
      </c>
      <c r="V323" s="147">
        <f ca="1">INDEX(Photobiology!$21:$421,1+$H323-380,V$14)</f>
        <v>1.6426256418587769E-2</v>
      </c>
      <c r="W323" s="147">
        <f ca="1">INDEX(Photobiology!$21:$421,1+$H323-380,W$14)</f>
        <v>4.5956049968086077E-5</v>
      </c>
      <c r="X323" s="147">
        <f ca="1">INDEX(Photobiology!$21:$421,1+$H323-380,X$14)</f>
        <v>5.9690896053795458E-6</v>
      </c>
      <c r="Y323" s="147">
        <f t="shared" si="94"/>
        <v>1.0149022809650601E-3</v>
      </c>
      <c r="Z323" s="147">
        <f t="shared" ca="1" si="108"/>
        <v>0</v>
      </c>
      <c r="AA323" s="147">
        <f t="shared" ca="1" si="95"/>
        <v>1.2734587860637186E-6</v>
      </c>
      <c r="AB323" s="147">
        <f t="shared" ca="1" si="96"/>
        <v>2.0062486799889212E-5</v>
      </c>
      <c r="AC323" s="147">
        <f t="shared" ca="1" si="97"/>
        <v>6.2923941419833732E-8</v>
      </c>
      <c r="AD323" s="147">
        <f t="shared" ca="1" si="98"/>
        <v>8.4494978970149401E-9</v>
      </c>
      <c r="AH323" s="147">
        <f t="shared" si="109"/>
        <v>682</v>
      </c>
      <c r="AI323" s="147">
        <f>IF($AH323&gt;$AH322,INDEX(Spectra!323:323,1,MATCH($AI$20,Spectra!$20:$20,0)),AI322)</f>
        <v>76.571600000000004</v>
      </c>
      <c r="AJ323" s="147">
        <f>((Physics!$C$9*Physics!$C$10)/(Physics!$C$11*Physics!$C$12*$AH323))^($AJ$17-$AJ$18)</f>
        <v>3.4342288139638666E+18</v>
      </c>
      <c r="AK323" s="147">
        <f t="shared" si="110"/>
        <v>1</v>
      </c>
      <c r="AL323" s="147">
        <f>INDEX(Photobiology!$21:$421,1+$AH323-380,10)</f>
        <v>1.483718E-2</v>
      </c>
      <c r="AM323" s="147">
        <f t="shared" si="111"/>
        <v>1.0609454901731469E-3</v>
      </c>
      <c r="AN323" s="147">
        <f ca="1">INDEX(Photobiology!$21:$421,1+$AH323-380,AN$14)</f>
        <v>0</v>
      </c>
      <c r="AO323" s="147">
        <f ca="1">INDEX(Photobiology!$21:$421,1+$AH323-380,AO$14)</f>
        <v>1.2547599999999999E-3</v>
      </c>
      <c r="AP323" s="147">
        <f ca="1">INDEX(Photobiology!$21:$421,1+$AH323-380,AP$14)</f>
        <v>1.9767900000000001E-2</v>
      </c>
      <c r="AQ323" s="147">
        <f ca="1">INDEX(Photobiology!$21:$421,1+$AH323-380,AQ$14)</f>
        <v>6.2000000000000003E-5</v>
      </c>
      <c r="AR323" s="147">
        <f ca="1">INDEX(Photobiology!$21:$421,1+$AH323-380,AR$14)</f>
        <v>8.3254300000000003E-6</v>
      </c>
      <c r="AS323" s="147">
        <f t="shared" si="112"/>
        <v>3643529572397639</v>
      </c>
      <c r="AT323" s="147" t="str">
        <f ca="1">INDEX(Photobiology!$21:$421,1+$AH323-380,AT$14)</f>
        <v/>
      </c>
      <c r="AU323" s="147">
        <f ca="1">INDEX(Photobiology!$21:$421,1+$AH323-380,AU$14)</f>
        <v>9.9456817872029544E-4</v>
      </c>
      <c r="AV323" s="147">
        <f ca="1">INDEX(Photobiology!$21:$421,1+$AH323-380,AV$14)</f>
        <v>1.6426256418587769E-2</v>
      </c>
      <c r="AW323" s="147">
        <f ca="1">INDEX(Photobiology!$21:$421,1+$AH323-380,AW$14)</f>
        <v>4.5956049968086077E-5</v>
      </c>
      <c r="AX323" s="147">
        <f ca="1">INDEX(Photobiology!$21:$421,1+$AH323-380,AX$14)</f>
        <v>5.9690896053795458E-6</v>
      </c>
      <c r="AY323" s="147">
        <f t="shared" si="99"/>
        <v>1.0609454901731469E-3</v>
      </c>
      <c r="AZ323" s="147">
        <f t="shared" ca="1" si="113"/>
        <v>0</v>
      </c>
      <c r="BA323" s="147">
        <f t="shared" ca="1" si="100"/>
        <v>1.3312319632496577E-6</v>
      </c>
      <c r="BB323" s="147">
        <f t="shared" ca="1" si="101"/>
        <v>2.0972664355193751E-5</v>
      </c>
      <c r="BC323" s="147">
        <f t="shared" ca="1" si="102"/>
        <v>6.5778620390735102E-8</v>
      </c>
      <c r="BD323" s="147">
        <f t="shared" ca="1" si="103"/>
        <v>8.8328274122522224E-9</v>
      </c>
    </row>
    <row r="324" spans="8:56" s="147" customFormat="1" ht="0.25" customHeight="1" x14ac:dyDescent="0.2">
      <c r="H324" s="147">
        <f t="shared" si="104"/>
        <v>683</v>
      </c>
      <c r="I324" s="147">
        <f>IF($H324&gt;$H323,INDEX(Spectra!324:324,1,MATCH($I$20,Spectra!$20:$20,0)),I323)</f>
        <v>9.9990372508873397E-4</v>
      </c>
      <c r="J324" s="147">
        <f>((Physics!$C$9*Physics!$C$10)/(Physics!$C$11*Physics!$C$12*$H324))^($J$17-$J$18)</f>
        <v>3.4392643400840484E+18</v>
      </c>
      <c r="K324" s="147">
        <f t="shared" si="105"/>
        <v>1</v>
      </c>
      <c r="L324" s="147">
        <f>INDEX(Photobiology!$21:$421,1+$H324-380,10)</f>
        <v>1.3810680000000001E-2</v>
      </c>
      <c r="M324" s="147">
        <f t="shared" si="106"/>
        <v>9.9990372508873397E-4</v>
      </c>
      <c r="N324" s="147">
        <f ca="1">INDEX(Photobiology!$21:$421,1+$H324-380,N$14)</f>
        <v>0</v>
      </c>
      <c r="O324" s="147">
        <f ca="1">INDEX(Photobiology!$21:$421,1+$H324-380,O$14)</f>
        <v>1.1634E-3</v>
      </c>
      <c r="P324" s="147">
        <f ca="1">INDEX(Photobiology!$21:$421,1+$H324-380,P$14)</f>
        <v>1.8398600000000001E-2</v>
      </c>
      <c r="Q324" s="147">
        <f ca="1">INDEX(Photobiology!$21:$421,1+$H324-380,Q$14)</f>
        <v>5.7800000000000002E-5</v>
      </c>
      <c r="R324" s="147">
        <f ca="1">INDEX(Photobiology!$21:$421,1+$H324-380,R$14)</f>
        <v>7.7613499999999998E-6</v>
      </c>
      <c r="S324" s="147">
        <f t="shared" si="107"/>
        <v>3438933225214886.5</v>
      </c>
      <c r="T324" s="147" t="str">
        <f ca="1">INDEX(Photobiology!$21:$421,1+$H324-380,T$14)</f>
        <v/>
      </c>
      <c r="U324" s="147">
        <f ca="1">INDEX(Photobiology!$21:$421,1+$H324-380,U$14)</f>
        <v>9.2080278620187592E-4</v>
      </c>
      <c r="V324" s="147">
        <f ca="1">INDEX(Photobiology!$21:$421,1+$H324-380,V$14)</f>
        <v>1.5266044048499509E-2</v>
      </c>
      <c r="W324" s="147">
        <f ca="1">INDEX(Photobiology!$21:$421,1+$H324-380,W$14)</f>
        <v>4.2780170673073392E-5</v>
      </c>
      <c r="X324" s="147">
        <f ca="1">INDEX(Photobiology!$21:$421,1+$H324-380,X$14)</f>
        <v>5.5565133769895686E-6</v>
      </c>
      <c r="Y324" s="147">
        <f t="shared" si="94"/>
        <v>9.9990372508873397E-4</v>
      </c>
      <c r="Z324" s="147">
        <f t="shared" ca="1" si="108"/>
        <v>0</v>
      </c>
      <c r="AA324" s="147">
        <f t="shared" ca="1" si="95"/>
        <v>1.1632879937682332E-6</v>
      </c>
      <c r="AB324" s="147">
        <f t="shared" ca="1" si="96"/>
        <v>1.8396828676417581E-5</v>
      </c>
      <c r="AC324" s="147">
        <f t="shared" ca="1" si="97"/>
        <v>5.7794435310128823E-8</v>
      </c>
      <c r="AD324" s="147">
        <f t="shared" ca="1" si="98"/>
        <v>7.7606027767174448E-9</v>
      </c>
      <c r="AH324" s="147">
        <f t="shared" si="109"/>
        <v>683</v>
      </c>
      <c r="AI324" s="147">
        <f>IF($AH324&gt;$AH323,INDEX(Spectra!324:324,1,MATCH($AI$20,Spectra!$20:$20,0)),AI323)</f>
        <v>75.715299999999999</v>
      </c>
      <c r="AJ324" s="147">
        <f>((Physics!$C$9*Physics!$C$10)/(Physics!$C$11*Physics!$C$12*$AH324))^($AJ$17-$AJ$18)</f>
        <v>3.4392643400840484E+18</v>
      </c>
      <c r="AK324" s="147">
        <f t="shared" si="110"/>
        <v>1</v>
      </c>
      <c r="AL324" s="147">
        <f>INDEX(Photobiology!$21:$421,1+$AH324-380,10)</f>
        <v>1.3810680000000001E-2</v>
      </c>
      <c r="AM324" s="147">
        <f t="shared" si="111"/>
        <v>1.0490809395664563E-3</v>
      </c>
      <c r="AN324" s="147">
        <f ca="1">INDEX(Photobiology!$21:$421,1+$AH324-380,AN$14)</f>
        <v>0</v>
      </c>
      <c r="AO324" s="147">
        <f ca="1">INDEX(Photobiology!$21:$421,1+$AH324-380,AO$14)</f>
        <v>1.1634E-3</v>
      </c>
      <c r="AP324" s="147">
        <f ca="1">INDEX(Photobiology!$21:$421,1+$AH324-380,AP$14)</f>
        <v>1.8398600000000001E-2</v>
      </c>
      <c r="AQ324" s="147">
        <f ca="1">INDEX(Photobiology!$21:$421,1+$AH324-380,AQ$14)</f>
        <v>5.7800000000000002E-5</v>
      </c>
      <c r="AR324" s="147">
        <f ca="1">INDEX(Photobiology!$21:$421,1+$AH324-380,AR$14)</f>
        <v>7.7613499999999998E-6</v>
      </c>
      <c r="AS324" s="147">
        <f t="shared" si="112"/>
        <v>3608066665312782</v>
      </c>
      <c r="AT324" s="147" t="str">
        <f ca="1">INDEX(Photobiology!$21:$421,1+$AH324-380,AT$14)</f>
        <v/>
      </c>
      <c r="AU324" s="147">
        <f ca="1">INDEX(Photobiology!$21:$421,1+$AH324-380,AU$14)</f>
        <v>9.2080278620187592E-4</v>
      </c>
      <c r="AV324" s="147">
        <f ca="1">INDEX(Photobiology!$21:$421,1+$AH324-380,AV$14)</f>
        <v>1.5266044048499509E-2</v>
      </c>
      <c r="AW324" s="147">
        <f ca="1">INDEX(Photobiology!$21:$421,1+$AH324-380,AW$14)</f>
        <v>4.2780170673073392E-5</v>
      </c>
      <c r="AX324" s="147">
        <f ca="1">INDEX(Photobiology!$21:$421,1+$AH324-380,AX$14)</f>
        <v>5.5565133769895686E-6</v>
      </c>
      <c r="AY324" s="147">
        <f t="shared" si="99"/>
        <v>1.0490809395664563E-3</v>
      </c>
      <c r="AZ324" s="147">
        <f t="shared" ca="1" si="113"/>
        <v>0</v>
      </c>
      <c r="BA324" s="147">
        <f t="shared" ca="1" si="100"/>
        <v>1.2205007650916152E-6</v>
      </c>
      <c r="BB324" s="147">
        <f t="shared" ca="1" si="101"/>
        <v>1.9301620574707402E-5</v>
      </c>
      <c r="BC324" s="147">
        <f t="shared" ca="1" si="102"/>
        <v>6.0636878306941178E-8</v>
      </c>
      <c r="BD324" s="147">
        <f t="shared" ca="1" si="103"/>
        <v>8.1422843503041161E-9</v>
      </c>
    </row>
    <row r="325" spans="8:56" s="147" customFormat="1" ht="0.25" customHeight="1" x14ac:dyDescent="0.2">
      <c r="H325" s="147">
        <f t="shared" si="104"/>
        <v>684</v>
      </c>
      <c r="I325" s="147">
        <f>IF($H325&gt;$H324,INDEX(Spectra!325:325,1,MATCH($I$20,Spectra!$20:$20,0)),I324)</f>
        <v>9.7490613196151495E-4</v>
      </c>
      <c r="J325" s="147">
        <f>((Physics!$C$9*Physics!$C$10)/(Physics!$C$11*Physics!$C$12*$H325))^($J$17-$J$18)</f>
        <v>3.4442998662042296E+18</v>
      </c>
      <c r="K325" s="147">
        <f t="shared" si="105"/>
        <v>1</v>
      </c>
      <c r="L325" s="147">
        <f>INDEX(Photobiology!$21:$421,1+$H325-380,10)</f>
        <v>1.283478E-2</v>
      </c>
      <c r="M325" s="147">
        <f t="shared" si="106"/>
        <v>9.7490613196151495E-4</v>
      </c>
      <c r="N325" s="147">
        <f ca="1">INDEX(Photobiology!$21:$421,1+$H325-380,N$14)</f>
        <v>0</v>
      </c>
      <c r="O325" s="147">
        <f ca="1">INDEX(Photobiology!$21:$421,1+$H325-380,O$14)</f>
        <v>1.0781199999999999E-3</v>
      </c>
      <c r="P325" s="147">
        <f ca="1">INDEX(Photobiology!$21:$421,1+$H325-380,P$14)</f>
        <v>1.7109200000000001E-2</v>
      </c>
      <c r="Q325" s="147">
        <f ca="1">INDEX(Photobiology!$21:$421,1+$H325-380,Q$14)</f>
        <v>5.38E-5</v>
      </c>
      <c r="R325" s="147">
        <f ca="1">INDEX(Photobiology!$21:$421,1+$H325-380,R$14)</f>
        <v>7.2377299999999997E-6</v>
      </c>
      <c r="S325" s="147">
        <f t="shared" si="107"/>
        <v>3357869059876729</v>
      </c>
      <c r="T325" s="147" t="str">
        <f ca="1">INDEX(Photobiology!$21:$421,1+$H325-380,T$14)</f>
        <v/>
      </c>
      <c r="U325" s="147">
        <f ca="1">INDEX(Photobiology!$21:$421,1+$H325-380,U$14)</f>
        <v>8.5205821865679671E-4</v>
      </c>
      <c r="V325" s="147">
        <f ca="1">INDEX(Photobiology!$21:$421,1+$H325-380,V$14)</f>
        <v>1.4175423369203044E-2</v>
      </c>
      <c r="W325" s="147">
        <f ca="1">INDEX(Photobiology!$21:$421,1+$H325-380,W$14)</f>
        <v>3.9761389431452249E-5</v>
      </c>
      <c r="X325" s="147">
        <f ca="1">INDEX(Photobiology!$21:$421,1+$H325-380,X$14)</f>
        <v>5.174067326910527E-6</v>
      </c>
      <c r="Y325" s="147">
        <f t="shared" si="94"/>
        <v>9.7490613196151495E-4</v>
      </c>
      <c r="Z325" s="147">
        <f t="shared" ca="1" si="108"/>
        <v>0</v>
      </c>
      <c r="AA325" s="147">
        <f t="shared" ca="1" si="95"/>
        <v>1.0510657989903484E-6</v>
      </c>
      <c r="AB325" s="147">
        <f t="shared" ca="1" si="96"/>
        <v>1.6679863992955953E-5</v>
      </c>
      <c r="AC325" s="147">
        <f t="shared" ca="1" si="97"/>
        <v>5.2449949899529505E-8</v>
      </c>
      <c r="AD325" s="147">
        <f t="shared" ca="1" si="98"/>
        <v>7.0561073584818156E-9</v>
      </c>
      <c r="AH325" s="147">
        <f t="shared" si="109"/>
        <v>684</v>
      </c>
      <c r="AI325" s="147">
        <f>IF($AH325&gt;$AH324,INDEX(Spectra!325:325,1,MATCH($AI$20,Spectra!$20:$20,0)),AI324)</f>
        <v>74.858999999999995</v>
      </c>
      <c r="AJ325" s="147">
        <f>((Physics!$C$9*Physics!$C$10)/(Physics!$C$11*Physics!$C$12*$AH325))^($AJ$17-$AJ$18)</f>
        <v>3.4442998662042296E+18</v>
      </c>
      <c r="AK325" s="147">
        <f t="shared" si="110"/>
        <v>1</v>
      </c>
      <c r="AL325" s="147">
        <f>INDEX(Photobiology!$21:$421,1+$AH325-380,10)</f>
        <v>1.283478E-2</v>
      </c>
      <c r="AM325" s="147">
        <f t="shared" si="111"/>
        <v>1.0372163889597655E-3</v>
      </c>
      <c r="AN325" s="147">
        <f ca="1">INDEX(Photobiology!$21:$421,1+$AH325-380,AN$14)</f>
        <v>0</v>
      </c>
      <c r="AO325" s="147">
        <f ca="1">INDEX(Photobiology!$21:$421,1+$AH325-380,AO$14)</f>
        <v>1.0781199999999999E-3</v>
      </c>
      <c r="AP325" s="147">
        <f ca="1">INDEX(Photobiology!$21:$421,1+$AH325-380,AP$14)</f>
        <v>1.7109200000000001E-2</v>
      </c>
      <c r="AQ325" s="147">
        <f ca="1">INDEX(Photobiology!$21:$421,1+$AH325-380,AQ$14)</f>
        <v>5.38E-5</v>
      </c>
      <c r="AR325" s="147">
        <f ca="1">INDEX(Photobiology!$21:$421,1+$AH325-380,AR$14)</f>
        <v>7.2377299999999997E-6</v>
      </c>
      <c r="AS325" s="147">
        <f t="shared" si="112"/>
        <v>3572484269718954.5</v>
      </c>
      <c r="AT325" s="147" t="str">
        <f ca="1">INDEX(Photobiology!$21:$421,1+$AH325-380,AT$14)</f>
        <v/>
      </c>
      <c r="AU325" s="147">
        <f ca="1">INDEX(Photobiology!$21:$421,1+$AH325-380,AU$14)</f>
        <v>8.5205821865679671E-4</v>
      </c>
      <c r="AV325" s="147">
        <f ca="1">INDEX(Photobiology!$21:$421,1+$AH325-380,AV$14)</f>
        <v>1.4175423369203044E-2</v>
      </c>
      <c r="AW325" s="147">
        <f ca="1">INDEX(Photobiology!$21:$421,1+$AH325-380,AW$14)</f>
        <v>3.9761389431452249E-5</v>
      </c>
      <c r="AX325" s="147">
        <f ca="1">INDEX(Photobiology!$21:$421,1+$AH325-380,AX$14)</f>
        <v>5.174067326910527E-6</v>
      </c>
      <c r="AY325" s="147">
        <f t="shared" si="99"/>
        <v>1.0372163889597655E-3</v>
      </c>
      <c r="AZ325" s="147">
        <f t="shared" ca="1" si="113"/>
        <v>0</v>
      </c>
      <c r="BA325" s="147">
        <f t="shared" ca="1" si="100"/>
        <v>1.1182437332653022E-6</v>
      </c>
      <c r="BB325" s="147">
        <f t="shared" ca="1" si="101"/>
        <v>1.7745942641990422E-5</v>
      </c>
      <c r="BC325" s="147">
        <f t="shared" ca="1" si="102"/>
        <v>5.5802241726035382E-8</v>
      </c>
      <c r="BD325" s="147">
        <f t="shared" ca="1" si="103"/>
        <v>7.5070921748657633E-9</v>
      </c>
    </row>
    <row r="326" spans="8:56" s="147" customFormat="1" ht="0.25" customHeight="1" x14ac:dyDescent="0.2">
      <c r="H326" s="147">
        <f t="shared" si="104"/>
        <v>685</v>
      </c>
      <c r="I326" s="147">
        <f>IF($H326&gt;$H325,INDEX(Spectra!326:326,1,MATCH($I$20,Spectra!$20:$20,0)),I325)</f>
        <v>9.1991142708163496E-4</v>
      </c>
      <c r="J326" s="147">
        <f>((Physics!$C$9*Physics!$C$10)/(Physics!$C$11*Physics!$C$12*$H326))^($J$17-$J$18)</f>
        <v>3.4493353923244114E+18</v>
      </c>
      <c r="K326" s="147">
        <f t="shared" si="105"/>
        <v>1</v>
      </c>
      <c r="L326" s="147">
        <f>INDEX(Photobiology!$21:$421,1+$H326-380,10)</f>
        <v>1.192E-2</v>
      </c>
      <c r="M326" s="147">
        <f t="shared" si="106"/>
        <v>9.1991142708163496E-4</v>
      </c>
      <c r="N326" s="147">
        <f ca="1">INDEX(Photobiology!$21:$421,1+$H326-380,N$14)</f>
        <v>0</v>
      </c>
      <c r="O326" s="147">
        <f ca="1">INDEX(Photobiology!$21:$421,1+$H326-380,O$14)</f>
        <v>9.9842399999999993E-4</v>
      </c>
      <c r="P326" s="147">
        <f ca="1">INDEX(Photobiology!$21:$421,1+$H326-380,P$14)</f>
        <v>1.5893899999999999E-2</v>
      </c>
      <c r="Q326" s="147">
        <f ca="1">INDEX(Photobiology!$21:$421,1+$H326-380,Q$14)</f>
        <v>5.0099999999999998E-5</v>
      </c>
      <c r="R326" s="147">
        <f ca="1">INDEX(Photobiology!$21:$421,1+$H326-380,R$14)</f>
        <v>6.7542499999999997E-6</v>
      </c>
      <c r="S326" s="147">
        <f t="shared" si="107"/>
        <v>3173083043236340.5</v>
      </c>
      <c r="T326" s="147" t="str">
        <f ca="1">INDEX(Photobiology!$21:$421,1+$H326-380,T$14)</f>
        <v/>
      </c>
      <c r="U326" s="147">
        <f ca="1">INDEX(Photobiology!$21:$421,1+$H326-380,U$14)</f>
        <v>7.8792106133719717E-4</v>
      </c>
      <c r="V326" s="147">
        <f ca="1">INDEX(Photobiology!$21:$421,1+$H326-380,V$14)</f>
        <v>1.3149291161884725E-2</v>
      </c>
      <c r="W326" s="147">
        <f ca="1">INDEX(Photobiology!$21:$421,1+$H326-380,W$14)</f>
        <v>3.697281625899596E-5</v>
      </c>
      <c r="X326" s="147">
        <f ca="1">INDEX(Photobiology!$21:$421,1+$H326-380,X$14)</f>
        <v>4.8213910723299489E-6</v>
      </c>
      <c r="Y326" s="147">
        <f t="shared" si="94"/>
        <v>9.1991142708163496E-4</v>
      </c>
      <c r="Z326" s="147">
        <f t="shared" ca="1" si="108"/>
        <v>0</v>
      </c>
      <c r="AA326" s="147">
        <f t="shared" ca="1" si="95"/>
        <v>9.1846164667255419E-7</v>
      </c>
      <c r="AB326" s="147">
        <f t="shared" ca="1" si="96"/>
        <v>1.4620980230892797E-5</v>
      </c>
      <c r="AC326" s="147">
        <f t="shared" ca="1" si="97"/>
        <v>4.6087562496789907E-8</v>
      </c>
      <c r="AD326" s="147">
        <f t="shared" ca="1" si="98"/>
        <v>6.2133117563661326E-9</v>
      </c>
      <c r="AH326" s="147">
        <f t="shared" si="109"/>
        <v>685</v>
      </c>
      <c r="AI326" s="147">
        <f>IF($AH326&gt;$AH325,INDEX(Spectra!326:326,1,MATCH($AI$20,Spectra!$20:$20,0)),AI325)</f>
        <v>74.002700000000004</v>
      </c>
      <c r="AJ326" s="147">
        <f>((Physics!$C$9*Physics!$C$10)/(Physics!$C$11*Physics!$C$12*$AH326))^($AJ$17-$AJ$18)</f>
        <v>3.4493353923244114E+18</v>
      </c>
      <c r="AK326" s="147">
        <f t="shared" si="110"/>
        <v>1</v>
      </c>
      <c r="AL326" s="147">
        <f>INDEX(Photobiology!$21:$421,1+$AH326-380,10)</f>
        <v>1.192E-2</v>
      </c>
      <c r="AM326" s="147">
        <f t="shared" si="111"/>
        <v>1.0253518383530752E-3</v>
      </c>
      <c r="AN326" s="147">
        <f ca="1">INDEX(Photobiology!$21:$421,1+$AH326-380,AN$14)</f>
        <v>0</v>
      </c>
      <c r="AO326" s="147">
        <f ca="1">INDEX(Photobiology!$21:$421,1+$AH326-380,AO$14)</f>
        <v>9.9842399999999993E-4</v>
      </c>
      <c r="AP326" s="147">
        <f ca="1">INDEX(Photobiology!$21:$421,1+$AH326-380,AP$14)</f>
        <v>1.5893899999999999E-2</v>
      </c>
      <c r="AQ326" s="147">
        <f ca="1">INDEX(Photobiology!$21:$421,1+$AH326-380,AQ$14)</f>
        <v>5.0099999999999998E-5</v>
      </c>
      <c r="AR326" s="147">
        <f ca="1">INDEX(Photobiology!$21:$421,1+$AH326-380,AR$14)</f>
        <v>6.7542499999999997E-6</v>
      </c>
      <c r="AS326" s="147">
        <f t="shared" si="112"/>
        <v>3536782385616161</v>
      </c>
      <c r="AT326" s="147" t="str">
        <f ca="1">INDEX(Photobiology!$21:$421,1+$AH326-380,AT$14)</f>
        <v/>
      </c>
      <c r="AU326" s="147">
        <f ca="1">INDEX(Photobiology!$21:$421,1+$AH326-380,AU$14)</f>
        <v>7.8792106133719717E-4</v>
      </c>
      <c r="AV326" s="147">
        <f ca="1">INDEX(Photobiology!$21:$421,1+$AH326-380,AV$14)</f>
        <v>1.3149291161884725E-2</v>
      </c>
      <c r="AW326" s="147">
        <f ca="1">INDEX(Photobiology!$21:$421,1+$AH326-380,AW$14)</f>
        <v>3.697281625899596E-5</v>
      </c>
      <c r="AX326" s="147">
        <f ca="1">INDEX(Photobiology!$21:$421,1+$AH326-380,AX$14)</f>
        <v>4.8213910723299489E-6</v>
      </c>
      <c r="AY326" s="147">
        <f t="shared" si="99"/>
        <v>1.0253518383530752E-3</v>
      </c>
      <c r="AZ326" s="147">
        <f t="shared" ca="1" si="113"/>
        <v>0</v>
      </c>
      <c r="BA326" s="147">
        <f t="shared" ca="1" si="100"/>
        <v>1.0237358838558307E-6</v>
      </c>
      <c r="BB326" s="147">
        <f t="shared" ca="1" si="101"/>
        <v>1.629683958359994E-5</v>
      </c>
      <c r="BC326" s="147">
        <f t="shared" ca="1" si="102"/>
        <v>5.1370127101489066E-8</v>
      </c>
      <c r="BD326" s="147">
        <f t="shared" ca="1" si="103"/>
        <v>6.9254826541962583E-9</v>
      </c>
    </row>
    <row r="327" spans="8:56" s="147" customFormat="1" ht="0.25" customHeight="1" x14ac:dyDescent="0.2">
      <c r="H327" s="147">
        <f t="shared" si="104"/>
        <v>686</v>
      </c>
      <c r="I327" s="147">
        <f>IF($H327&gt;$H326,INDEX(Spectra!327:327,1,MATCH($I$20,Spectra!$20:$20,0)),I326)</f>
        <v>8.5491768495086704E-4</v>
      </c>
      <c r="J327" s="147">
        <f>((Physics!$C$9*Physics!$C$10)/(Physics!$C$11*Physics!$C$12*$H327))^($J$17-$J$18)</f>
        <v>3.4543709184445932E+18</v>
      </c>
      <c r="K327" s="147">
        <f t="shared" si="105"/>
        <v>1</v>
      </c>
      <c r="L327" s="147">
        <f>INDEX(Photobiology!$21:$421,1+$H327-380,10)</f>
        <v>1.106831E-2</v>
      </c>
      <c r="M327" s="147">
        <f t="shared" si="106"/>
        <v>8.5491768495086704E-4</v>
      </c>
      <c r="N327" s="147">
        <f ca="1">INDEX(Photobiology!$21:$421,1+$H327-380,N$14)</f>
        <v>0</v>
      </c>
      <c r="O327" s="147">
        <f ca="1">INDEX(Photobiology!$21:$421,1+$H327-380,O$14)</f>
        <v>9.2396199999999996E-4</v>
      </c>
      <c r="P327" s="147">
        <f ca="1">INDEX(Photobiology!$21:$421,1+$H327-380,P$14)</f>
        <v>1.4749200000000001E-2</v>
      </c>
      <c r="Q327" s="147">
        <f ca="1">INDEX(Photobiology!$21:$421,1+$H327-380,Q$14)</f>
        <v>4.6699999999999997E-5</v>
      </c>
      <c r="R327" s="147">
        <f ca="1">INDEX(Photobiology!$21:$421,1+$H327-380,R$14)</f>
        <v>6.3049899999999999E-6</v>
      </c>
      <c r="S327" s="147">
        <f t="shared" si="107"/>
        <v>2953202788558252</v>
      </c>
      <c r="T327" s="147" t="str">
        <f ca="1">INDEX(Photobiology!$21:$421,1+$H327-380,T$14)</f>
        <v/>
      </c>
      <c r="U327" s="147">
        <f ca="1">INDEX(Photobiology!$21:$421,1+$H327-380,U$14)</f>
        <v>7.2809536017909846E-4</v>
      </c>
      <c r="V327" s="147">
        <f ca="1">INDEX(Photobiology!$21:$421,1+$H327-380,V$14)</f>
        <v>1.2184474019043601E-2</v>
      </c>
      <c r="W327" s="147">
        <f ca="1">INDEX(Photobiology!$21:$421,1+$H327-380,W$14)</f>
        <v>3.4413444414877278E-5</v>
      </c>
      <c r="X327" s="147">
        <f ca="1">INDEX(Photobiology!$21:$421,1+$H327-380,X$14)</f>
        <v>4.4941347070069106E-6</v>
      </c>
      <c r="Y327" s="147">
        <f t="shared" si="94"/>
        <v>8.5491768495086704E-4</v>
      </c>
      <c r="Z327" s="147">
        <f t="shared" ca="1" si="108"/>
        <v>0</v>
      </c>
      <c r="AA327" s="147">
        <f t="shared" ca="1" si="95"/>
        <v>7.89911454022573E-7</v>
      </c>
      <c r="AB327" s="147">
        <f t="shared" ca="1" si="96"/>
        <v>1.2609351918877329E-5</v>
      </c>
      <c r="AC327" s="147">
        <f t="shared" ca="1" si="97"/>
        <v>3.9924655887205491E-8</v>
      </c>
      <c r="AD327" s="147">
        <f t="shared" ca="1" si="98"/>
        <v>5.3902474544383667E-9</v>
      </c>
      <c r="AH327" s="147">
        <f t="shared" si="109"/>
        <v>686</v>
      </c>
      <c r="AI327" s="147">
        <f>IF($AH327&gt;$AH326,INDEX(Spectra!327:327,1,MATCH($AI$20,Spectra!$20:$20,0)),AI326)</f>
        <v>73.146500000000003</v>
      </c>
      <c r="AJ327" s="147">
        <f>((Physics!$C$9*Physics!$C$10)/(Physics!$C$11*Physics!$C$12*$AH327))^($AJ$17-$AJ$18)</f>
        <v>3.4543709184445932E+18</v>
      </c>
      <c r="AK327" s="147">
        <f t="shared" si="110"/>
        <v>1</v>
      </c>
      <c r="AL327" s="147">
        <f>INDEX(Photobiology!$21:$421,1+$AH327-380,10)</f>
        <v>1.106831E-2</v>
      </c>
      <c r="AM327" s="147">
        <f t="shared" si="111"/>
        <v>1.0134886733064229E-3</v>
      </c>
      <c r="AN327" s="147">
        <f ca="1">INDEX(Photobiology!$21:$421,1+$AH327-380,AN$14)</f>
        <v>0</v>
      </c>
      <c r="AO327" s="147">
        <f ca="1">INDEX(Photobiology!$21:$421,1+$AH327-380,AO$14)</f>
        <v>9.2396199999999996E-4</v>
      </c>
      <c r="AP327" s="147">
        <f ca="1">INDEX(Photobiology!$21:$421,1+$AH327-380,AP$14)</f>
        <v>1.4749200000000001E-2</v>
      </c>
      <c r="AQ327" s="147">
        <f ca="1">INDEX(Photobiology!$21:$421,1+$AH327-380,AQ$14)</f>
        <v>4.6699999999999997E-5</v>
      </c>
      <c r="AR327" s="147">
        <f ca="1">INDEX(Photobiology!$21:$421,1+$AH327-380,AR$14)</f>
        <v>6.3049899999999999E-6</v>
      </c>
      <c r="AS327" s="147">
        <f t="shared" si="112"/>
        <v>3500965799242700</v>
      </c>
      <c r="AT327" s="147" t="str">
        <f ca="1">INDEX(Photobiology!$21:$421,1+$AH327-380,AT$14)</f>
        <v/>
      </c>
      <c r="AU327" s="147">
        <f ca="1">INDEX(Photobiology!$21:$421,1+$AH327-380,AU$14)</f>
        <v>7.2809536017909846E-4</v>
      </c>
      <c r="AV327" s="147">
        <f ca="1">INDEX(Photobiology!$21:$421,1+$AH327-380,AV$14)</f>
        <v>1.2184474019043601E-2</v>
      </c>
      <c r="AW327" s="147">
        <f ca="1">INDEX(Photobiology!$21:$421,1+$AH327-380,AW$14)</f>
        <v>3.4413444414877278E-5</v>
      </c>
      <c r="AX327" s="147">
        <f ca="1">INDEX(Photobiology!$21:$421,1+$AH327-380,AX$14)</f>
        <v>4.4941347070069106E-6</v>
      </c>
      <c r="AY327" s="147">
        <f t="shared" si="99"/>
        <v>1.0134886733064229E-3</v>
      </c>
      <c r="AZ327" s="147">
        <f t="shared" ca="1" si="113"/>
        <v>0</v>
      </c>
      <c r="BA327" s="147">
        <f t="shared" ca="1" si="100"/>
        <v>9.3642502156554904E-7</v>
      </c>
      <c r="BB327" s="147">
        <f t="shared" ca="1" si="101"/>
        <v>1.4948147140331093E-5</v>
      </c>
      <c r="BC327" s="147">
        <f t="shared" ca="1" si="102"/>
        <v>4.7329921043409948E-8</v>
      </c>
      <c r="BD327" s="147">
        <f t="shared" ca="1" si="103"/>
        <v>6.3900359503102634E-9</v>
      </c>
    </row>
    <row r="328" spans="8:56" s="147" customFormat="1" ht="0.25" customHeight="1" x14ac:dyDescent="0.2">
      <c r="H328" s="147">
        <f t="shared" si="104"/>
        <v>687</v>
      </c>
      <c r="I328" s="147">
        <f>IF($H328&gt;$H327,INDEX(Spectra!328:328,1,MATCH($I$20,Spectra!$20:$20,0)),I327)</f>
        <v>7.9492346144554302E-4</v>
      </c>
      <c r="J328" s="147">
        <f>((Physics!$C$9*Physics!$C$10)/(Physics!$C$11*Physics!$C$12*$H328))^($J$17-$J$18)</f>
        <v>3.4594064445647744E+18</v>
      </c>
      <c r="K328" s="147">
        <f t="shared" si="105"/>
        <v>1</v>
      </c>
      <c r="L328" s="147">
        <f>INDEX(Photobiology!$21:$421,1+$H328-380,10)</f>
        <v>1.027339E-2</v>
      </c>
      <c r="M328" s="147">
        <f t="shared" si="106"/>
        <v>7.9492346144554302E-4</v>
      </c>
      <c r="N328" s="147">
        <f ca="1">INDEX(Photobiology!$21:$421,1+$H328-380,N$14)</f>
        <v>0</v>
      </c>
      <c r="O328" s="147">
        <f ca="1">INDEX(Photobiology!$21:$421,1+$H328-380,O$14)</f>
        <v>8.54713E-4</v>
      </c>
      <c r="P328" s="147">
        <f ca="1">INDEX(Photobiology!$21:$421,1+$H328-380,P$14)</f>
        <v>1.36773E-2</v>
      </c>
      <c r="Q328" s="147">
        <f ca="1">INDEX(Photobiology!$21:$421,1+$H328-380,Q$14)</f>
        <v>4.3600000000000003E-5</v>
      </c>
      <c r="R328" s="147">
        <f ca="1">INDEX(Photobiology!$21:$421,1+$H328-380,R$14)</f>
        <v>5.8840699999999997E-6</v>
      </c>
      <c r="S328" s="147">
        <f t="shared" si="107"/>
        <v>2749963345460449.5</v>
      </c>
      <c r="T328" s="147" t="str">
        <f ca="1">INDEX(Photobiology!$21:$421,1+$H328-380,T$14)</f>
        <v/>
      </c>
      <c r="U328" s="147">
        <f ca="1">INDEX(Photobiology!$21:$421,1+$H328-380,U$14)</f>
        <v>6.7254576364841434E-4</v>
      </c>
      <c r="V328" s="147">
        <f ca="1">INDEX(Photobiology!$21:$421,1+$H328-380,V$14)</f>
        <v>1.128251898767837E-2</v>
      </c>
      <c r="W328" s="147">
        <f ca="1">INDEX(Photobiology!$21:$421,1+$H328-380,W$14)</f>
        <v>3.2082273019933161E-5</v>
      </c>
      <c r="X328" s="147">
        <f ca="1">INDEX(Photobiology!$21:$421,1+$H328-380,X$14)</f>
        <v>4.1880021217695048E-6</v>
      </c>
      <c r="Y328" s="147">
        <f t="shared" si="94"/>
        <v>7.9492346144554302E-4</v>
      </c>
      <c r="Z328" s="147">
        <f t="shared" ca="1" si="108"/>
        <v>0</v>
      </c>
      <c r="AA328" s="147">
        <f t="shared" ca="1" si="95"/>
        <v>6.7943141650250446E-7</v>
      </c>
      <c r="AB328" s="147">
        <f t="shared" ca="1" si="96"/>
        <v>1.0872406659229125E-5</v>
      </c>
      <c r="AC328" s="147">
        <f t="shared" ca="1" si="97"/>
        <v>3.4658662919025676E-8</v>
      </c>
      <c r="AD328" s="147">
        <f t="shared" ca="1" si="98"/>
        <v>4.6773852917878765E-9</v>
      </c>
      <c r="AH328" s="147">
        <f t="shared" si="109"/>
        <v>687</v>
      </c>
      <c r="AI328" s="147">
        <f>IF($AH328&gt;$AH327,INDEX(Spectra!328:328,1,MATCH($AI$20,Spectra!$20:$20,0)),AI327)</f>
        <v>72.290199999999999</v>
      </c>
      <c r="AJ328" s="147">
        <f>((Physics!$C$9*Physics!$C$10)/(Physics!$C$11*Physics!$C$12*$AH328))^($AJ$17-$AJ$18)</f>
        <v>3.4594064445647744E+18</v>
      </c>
      <c r="AK328" s="147">
        <f t="shared" si="110"/>
        <v>1</v>
      </c>
      <c r="AL328" s="147">
        <f>INDEX(Photobiology!$21:$421,1+$AH328-380,10)</f>
        <v>1.027339E-2</v>
      </c>
      <c r="AM328" s="147">
        <f t="shared" si="111"/>
        <v>1.0016241226997321E-3</v>
      </c>
      <c r="AN328" s="147">
        <f ca="1">INDEX(Photobiology!$21:$421,1+$AH328-380,AN$14)</f>
        <v>0</v>
      </c>
      <c r="AO328" s="147">
        <f ca="1">INDEX(Photobiology!$21:$421,1+$AH328-380,AO$14)</f>
        <v>8.54713E-4</v>
      </c>
      <c r="AP328" s="147">
        <f ca="1">INDEX(Photobiology!$21:$421,1+$AH328-380,AP$14)</f>
        <v>1.36773E-2</v>
      </c>
      <c r="AQ328" s="147">
        <f ca="1">INDEX(Photobiology!$21:$421,1+$AH328-380,AQ$14)</f>
        <v>4.3600000000000003E-5</v>
      </c>
      <c r="AR328" s="147">
        <f ca="1">INDEX(Photobiology!$21:$421,1+$AH328-380,AR$14)</f>
        <v>5.8840699999999997E-6</v>
      </c>
      <c r="AS328" s="147">
        <f t="shared" si="112"/>
        <v>3465024945098991.5</v>
      </c>
      <c r="AT328" s="147" t="str">
        <f ca="1">INDEX(Photobiology!$21:$421,1+$AH328-380,AT$14)</f>
        <v/>
      </c>
      <c r="AU328" s="147">
        <f ca="1">INDEX(Photobiology!$21:$421,1+$AH328-380,AU$14)</f>
        <v>6.7254576364841434E-4</v>
      </c>
      <c r="AV328" s="147">
        <f ca="1">INDEX(Photobiology!$21:$421,1+$AH328-380,AV$14)</f>
        <v>1.128251898767837E-2</v>
      </c>
      <c r="AW328" s="147">
        <f ca="1">INDEX(Photobiology!$21:$421,1+$AH328-380,AW$14)</f>
        <v>3.2082273019933161E-5</v>
      </c>
      <c r="AX328" s="147">
        <f ca="1">INDEX(Photobiology!$21:$421,1+$AH328-380,AX$14)</f>
        <v>4.1880021217695048E-6</v>
      </c>
      <c r="AY328" s="147">
        <f t="shared" si="99"/>
        <v>1.0016241226997321E-3</v>
      </c>
      <c r="AZ328" s="147">
        <f t="shared" ca="1" si="113"/>
        <v>0</v>
      </c>
      <c r="BA328" s="147">
        <f t="shared" ca="1" si="100"/>
        <v>8.5610115878505609E-7</v>
      </c>
      <c r="BB328" s="147">
        <f t="shared" ca="1" si="101"/>
        <v>1.3699513613401046E-5</v>
      </c>
      <c r="BC328" s="147">
        <f t="shared" ca="1" si="102"/>
        <v>4.3670811749708323E-8</v>
      </c>
      <c r="BD328" s="147">
        <f t="shared" ca="1" si="103"/>
        <v>5.8936264516538125E-9</v>
      </c>
    </row>
    <row r="329" spans="8:56" s="147" customFormat="1" ht="0.25" customHeight="1" x14ac:dyDescent="0.2">
      <c r="H329" s="147">
        <f t="shared" si="104"/>
        <v>688</v>
      </c>
      <c r="I329" s="147">
        <f>IF($H329&gt;$H328,INDEX(Spectra!329:329,1,MATCH($I$20,Spectra!$20:$20,0)),I328)</f>
        <v>7.5992683106743705E-4</v>
      </c>
      <c r="J329" s="147">
        <f>((Physics!$C$9*Physics!$C$10)/(Physics!$C$11*Physics!$C$12*$H329))^($J$17-$J$18)</f>
        <v>3.4644419706849562E+18</v>
      </c>
      <c r="K329" s="147">
        <f t="shared" si="105"/>
        <v>1</v>
      </c>
      <c r="L329" s="147">
        <f>INDEX(Photobiology!$21:$421,1+$H329-380,10)</f>
        <v>9.5333109999999992E-3</v>
      </c>
      <c r="M329" s="147">
        <f t="shared" si="106"/>
        <v>7.5992683106743705E-4</v>
      </c>
      <c r="N329" s="147">
        <f ca="1">INDEX(Photobiology!$21:$421,1+$H329-380,N$14)</f>
        <v>0</v>
      </c>
      <c r="O329" s="147">
        <f ca="1">INDEX(Photobiology!$21:$421,1+$H329-380,O$14)</f>
        <v>7.9065199999999998E-4</v>
      </c>
      <c r="P329" s="147">
        <f ca="1">INDEX(Photobiology!$21:$421,1+$H329-380,P$14)</f>
        <v>1.26804E-2</v>
      </c>
      <c r="Q329" s="147">
        <f ca="1">INDEX(Photobiology!$21:$421,1+$H329-380,Q$14)</f>
        <v>4.0599999999999998E-5</v>
      </c>
      <c r="R329" s="147">
        <f ca="1">INDEX(Photobiology!$21:$421,1+$H329-380,R$14)</f>
        <v>5.4911499999999999E-6</v>
      </c>
      <c r="S329" s="147">
        <f t="shared" si="107"/>
        <v>2632722408199645.5</v>
      </c>
      <c r="T329" s="147" t="str">
        <f ca="1">INDEX(Photobiology!$21:$421,1+$H329-380,T$14)</f>
        <v/>
      </c>
      <c r="U329" s="147">
        <f ca="1">INDEX(Photobiology!$21:$421,1+$H329-380,U$14)</f>
        <v>6.2123398284859538E-4</v>
      </c>
      <c r="V329" s="147">
        <f ca="1">INDEX(Photobiology!$21:$421,1+$H329-380,V$14)</f>
        <v>1.0444964120328443E-2</v>
      </c>
      <c r="W329" s="147">
        <f ca="1">INDEX(Photobiology!$21:$421,1+$H329-380,W$14)</f>
        <v>2.9831354528702385E-5</v>
      </c>
      <c r="X329" s="147">
        <f ca="1">INDEX(Photobiology!$21:$421,1+$H329-380,X$14)</f>
        <v>3.9026595629657069E-6</v>
      </c>
      <c r="Y329" s="147">
        <f t="shared" si="94"/>
        <v>7.5992683106743705E-4</v>
      </c>
      <c r="Z329" s="147">
        <f t="shared" ca="1" si="108"/>
        <v>0</v>
      </c>
      <c r="AA329" s="147">
        <f t="shared" ca="1" si="95"/>
        <v>6.0083766883713122E-7</v>
      </c>
      <c r="AB329" s="147">
        <f t="shared" ca="1" si="96"/>
        <v>9.6361761886675278E-6</v>
      </c>
      <c r="AC329" s="147">
        <f t="shared" ca="1" si="97"/>
        <v>3.0853029341337944E-8</v>
      </c>
      <c r="AD329" s="147">
        <f t="shared" ca="1" si="98"/>
        <v>4.1728722184159572E-9</v>
      </c>
      <c r="AH329" s="147">
        <f t="shared" si="109"/>
        <v>688</v>
      </c>
      <c r="AI329" s="147">
        <f>IF($AH329&gt;$AH328,INDEX(Spectra!329:329,1,MATCH($AI$20,Spectra!$20:$20,0)),AI328)</f>
        <v>71.433899999999994</v>
      </c>
      <c r="AJ329" s="147">
        <f>((Physics!$C$9*Physics!$C$10)/(Physics!$C$11*Physics!$C$12*$AH329))^($AJ$17-$AJ$18)</f>
        <v>3.4644419706849562E+18</v>
      </c>
      <c r="AK329" s="147">
        <f t="shared" si="110"/>
        <v>1</v>
      </c>
      <c r="AL329" s="147">
        <f>INDEX(Photobiology!$21:$421,1+$AH329-380,10)</f>
        <v>9.5333109999999992E-3</v>
      </c>
      <c r="AM329" s="147">
        <f t="shared" si="111"/>
        <v>9.8975957209304155E-4</v>
      </c>
      <c r="AN329" s="147">
        <f ca="1">INDEX(Photobiology!$21:$421,1+$AH329-380,AN$14)</f>
        <v>0</v>
      </c>
      <c r="AO329" s="147">
        <f ca="1">INDEX(Photobiology!$21:$421,1+$AH329-380,AO$14)</f>
        <v>7.9065199999999998E-4</v>
      </c>
      <c r="AP329" s="147">
        <f ca="1">INDEX(Photobiology!$21:$421,1+$AH329-380,AP$14)</f>
        <v>1.26804E-2</v>
      </c>
      <c r="AQ329" s="147">
        <f ca="1">INDEX(Photobiology!$21:$421,1+$AH329-380,AQ$14)</f>
        <v>4.0599999999999998E-5</v>
      </c>
      <c r="AR329" s="147">
        <f ca="1">INDEX(Photobiology!$21:$421,1+$AH329-380,AR$14)</f>
        <v>5.4911499999999999E-6</v>
      </c>
      <c r="AS329" s="147">
        <f t="shared" si="112"/>
        <v>3428964602446316</v>
      </c>
      <c r="AT329" s="147" t="str">
        <f ca="1">INDEX(Photobiology!$21:$421,1+$AH329-380,AT$14)</f>
        <v/>
      </c>
      <c r="AU329" s="147">
        <f ca="1">INDEX(Photobiology!$21:$421,1+$AH329-380,AU$14)</f>
        <v>6.2123398284859538E-4</v>
      </c>
      <c r="AV329" s="147">
        <f ca="1">INDEX(Photobiology!$21:$421,1+$AH329-380,AV$14)</f>
        <v>1.0444964120328443E-2</v>
      </c>
      <c r="AW329" s="147">
        <f ca="1">INDEX(Photobiology!$21:$421,1+$AH329-380,AW$14)</f>
        <v>2.9831354528702385E-5</v>
      </c>
      <c r="AX329" s="147">
        <f ca="1">INDEX(Photobiology!$21:$421,1+$AH329-380,AX$14)</f>
        <v>3.9026595629657069E-6</v>
      </c>
      <c r="AY329" s="147">
        <f t="shared" si="99"/>
        <v>9.8975957209304155E-4</v>
      </c>
      <c r="AZ329" s="147">
        <f t="shared" ca="1" si="113"/>
        <v>0</v>
      </c>
      <c r="BA329" s="147">
        <f t="shared" ca="1" si="100"/>
        <v>7.8255538519450743E-7</v>
      </c>
      <c r="BB329" s="147">
        <f t="shared" ca="1" si="101"/>
        <v>1.2550547277968603E-5</v>
      </c>
      <c r="BC329" s="147">
        <f t="shared" ca="1" si="102"/>
        <v>4.0184238626977488E-8</v>
      </c>
      <c r="BD329" s="147">
        <f t="shared" ca="1" si="103"/>
        <v>5.4349182742987051E-9</v>
      </c>
    </row>
    <row r="330" spans="8:56" s="147" customFormat="1" ht="0.25" customHeight="1" x14ac:dyDescent="0.2">
      <c r="H330" s="147">
        <f t="shared" si="104"/>
        <v>689</v>
      </c>
      <c r="I330" s="147">
        <f>IF($H330&gt;$H329,INDEX(Spectra!330:330,1,MATCH($I$20,Spectra!$20:$20,0)),I329)</f>
        <v>7.6992586831832401E-4</v>
      </c>
      <c r="J330" s="147">
        <f>((Physics!$C$9*Physics!$C$10)/(Physics!$C$11*Physics!$C$12*$H330))^($J$17-$J$18)</f>
        <v>3.4694774968051379E+18</v>
      </c>
      <c r="K330" s="147">
        <f t="shared" si="105"/>
        <v>1</v>
      </c>
      <c r="L330" s="147">
        <f>INDEX(Photobiology!$21:$421,1+$H330-380,10)</f>
        <v>8.8461570000000003E-3</v>
      </c>
      <c r="M330" s="147">
        <f t="shared" si="106"/>
        <v>7.6992586831832401E-4</v>
      </c>
      <c r="N330" s="147">
        <f ca="1">INDEX(Photobiology!$21:$421,1+$H330-380,N$14)</f>
        <v>0</v>
      </c>
      <c r="O330" s="147">
        <f ca="1">INDEX(Photobiology!$21:$421,1+$H330-380,O$14)</f>
        <v>7.3168400000000002E-4</v>
      </c>
      <c r="P330" s="147">
        <f ca="1">INDEX(Photobiology!$21:$421,1+$H330-380,P$14)</f>
        <v>1.1759E-2</v>
      </c>
      <c r="Q330" s="147">
        <f ca="1">INDEX(Photobiology!$21:$421,1+$H330-380,Q$14)</f>
        <v>3.7889999999999998E-5</v>
      </c>
      <c r="R330" s="147">
        <f ca="1">INDEX(Photobiology!$21:$421,1+$H330-380,R$14)</f>
        <v>5.12592E-6</v>
      </c>
      <c r="S330" s="147">
        <f t="shared" si="107"/>
        <v>2671240474338581</v>
      </c>
      <c r="T330" s="147" t="str">
        <f ca="1">INDEX(Photobiology!$21:$421,1+$H330-380,T$14)</f>
        <v/>
      </c>
      <c r="U330" s="147">
        <f ca="1">INDEX(Photobiology!$21:$421,1+$H330-380,U$14)</f>
        <v>5.7406703034048473E-4</v>
      </c>
      <c r="V330" s="147">
        <f ca="1">INDEX(Photobiology!$21:$421,1+$H330-380,V$14)</f>
        <v>9.6719402668145535E-3</v>
      </c>
      <c r="W330" s="147">
        <f ca="1">INDEX(Photobiology!$21:$421,1+$H330-380,W$14)</f>
        <v>2.779974175065108E-5</v>
      </c>
      <c r="X330" s="147">
        <f ca="1">INDEX(Photobiology!$21:$421,1+$H330-380,X$14)</f>
        <v>3.6377965051520509E-6</v>
      </c>
      <c r="Y330" s="147">
        <f t="shared" si="94"/>
        <v>7.6992586831832401E-4</v>
      </c>
      <c r="Z330" s="147">
        <f t="shared" ca="1" si="108"/>
        <v>0</v>
      </c>
      <c r="AA330" s="147">
        <f t="shared" ca="1" si="95"/>
        <v>5.6334243903462456E-7</v>
      </c>
      <c r="AB330" s="147">
        <f t="shared" ca="1" si="96"/>
        <v>9.0535582855551719E-6</v>
      </c>
      <c r="AC330" s="147">
        <f t="shared" ca="1" si="97"/>
        <v>2.9172491150581295E-8</v>
      </c>
      <c r="AD330" s="147">
        <f t="shared" ca="1" si="98"/>
        <v>3.9465784069302632E-9</v>
      </c>
      <c r="AH330" s="147">
        <f t="shared" si="109"/>
        <v>689</v>
      </c>
      <c r="AI330" s="147">
        <f>IF($AH330&gt;$AH329,INDEX(Spectra!330:330,1,MATCH($AI$20,Spectra!$20:$20,0)),AI329)</f>
        <v>70.577600000000004</v>
      </c>
      <c r="AJ330" s="147">
        <f>((Physics!$C$9*Physics!$C$10)/(Physics!$C$11*Physics!$C$12*$AH330))^($AJ$17-$AJ$18)</f>
        <v>3.4694774968051379E+18</v>
      </c>
      <c r="AK330" s="147">
        <f t="shared" si="110"/>
        <v>1</v>
      </c>
      <c r="AL330" s="147">
        <f>INDEX(Photobiology!$21:$421,1+$AH330-380,10)</f>
        <v>8.8461570000000003E-3</v>
      </c>
      <c r="AM330" s="147">
        <f t="shared" si="111"/>
        <v>9.7789502148635122E-4</v>
      </c>
      <c r="AN330" s="147">
        <f ca="1">INDEX(Photobiology!$21:$421,1+$AH330-380,AN$14)</f>
        <v>0</v>
      </c>
      <c r="AO330" s="147">
        <f ca="1">INDEX(Photobiology!$21:$421,1+$AH330-380,AO$14)</f>
        <v>7.3168400000000002E-4</v>
      </c>
      <c r="AP330" s="147">
        <f ca="1">INDEX(Photobiology!$21:$421,1+$AH330-380,AP$14)</f>
        <v>1.1759E-2</v>
      </c>
      <c r="AQ330" s="147">
        <f ca="1">INDEX(Photobiology!$21:$421,1+$AH330-380,AQ$14)</f>
        <v>3.7889999999999998E-5</v>
      </c>
      <c r="AR330" s="147">
        <f ca="1">INDEX(Photobiology!$21:$421,1+$AH330-380,AR$14)</f>
        <v>5.12592E-6</v>
      </c>
      <c r="AS330" s="147">
        <f t="shared" si="112"/>
        <v>3392784771284672.5</v>
      </c>
      <c r="AT330" s="147" t="str">
        <f ca="1">INDEX(Photobiology!$21:$421,1+$AH330-380,AT$14)</f>
        <v/>
      </c>
      <c r="AU330" s="147">
        <f ca="1">INDEX(Photobiology!$21:$421,1+$AH330-380,AU$14)</f>
        <v>5.7406703034048473E-4</v>
      </c>
      <c r="AV330" s="147">
        <f ca="1">INDEX(Photobiology!$21:$421,1+$AH330-380,AV$14)</f>
        <v>9.6719402668145535E-3</v>
      </c>
      <c r="AW330" s="147">
        <f ca="1">INDEX(Photobiology!$21:$421,1+$AH330-380,AW$14)</f>
        <v>2.779974175065108E-5</v>
      </c>
      <c r="AX330" s="147">
        <f ca="1">INDEX(Photobiology!$21:$421,1+$AH330-380,AX$14)</f>
        <v>3.6377965051520509E-6</v>
      </c>
      <c r="AY330" s="147">
        <f t="shared" si="99"/>
        <v>9.7789502148635122E-4</v>
      </c>
      <c r="AZ330" s="147">
        <f t="shared" ca="1" si="113"/>
        <v>0</v>
      </c>
      <c r="BA330" s="147">
        <f t="shared" ca="1" si="100"/>
        <v>7.1551014090121946E-7</v>
      </c>
      <c r="BB330" s="147">
        <f t="shared" ca="1" si="101"/>
        <v>1.1499067557658005E-5</v>
      </c>
      <c r="BC330" s="147">
        <f t="shared" ca="1" si="102"/>
        <v>3.7052442364117847E-8</v>
      </c>
      <c r="BD330" s="147">
        <f t="shared" ca="1" si="103"/>
        <v>5.0126116485373174E-9</v>
      </c>
    </row>
    <row r="331" spans="8:56" s="147" customFormat="1" ht="0.25" customHeight="1" x14ac:dyDescent="0.2">
      <c r="H331" s="147">
        <f t="shared" si="104"/>
        <v>690</v>
      </c>
      <c r="I331" s="147">
        <f>IF($H331&gt;$H330,INDEX(Spectra!331:331,1,MATCH($I$20,Spectra!$20:$20,0)),I330)</f>
        <v>8.09922017321874E-4</v>
      </c>
      <c r="J331" s="147">
        <f>((Physics!$C$9*Physics!$C$10)/(Physics!$C$11*Physics!$C$12*$H331))^($J$17-$J$18)</f>
        <v>3.4745130229253192E+18</v>
      </c>
      <c r="K331" s="147">
        <f t="shared" si="105"/>
        <v>1</v>
      </c>
      <c r="L331" s="147">
        <f>INDEX(Photobiology!$21:$421,1+$H331-380,10)</f>
        <v>8.2100000000000003E-3</v>
      </c>
      <c r="M331" s="147">
        <f t="shared" si="106"/>
        <v>8.09922017321874E-4</v>
      </c>
      <c r="N331" s="147">
        <f ca="1">INDEX(Photobiology!$21:$421,1+$H331-380,N$14)</f>
        <v>0</v>
      </c>
      <c r="O331" s="147">
        <f ca="1">INDEX(Photobiology!$21:$421,1+$H331-380,O$14)</f>
        <v>6.7765299999999996E-4</v>
      </c>
      <c r="P331" s="147">
        <f ca="1">INDEX(Photobiology!$21:$421,1+$H331-380,P$14)</f>
        <v>1.09123E-2</v>
      </c>
      <c r="Q331" s="147">
        <f ca="1">INDEX(Photobiology!$21:$421,1+$H331-380,Q$14)</f>
        <v>3.5330000000000002E-5</v>
      </c>
      <c r="R331" s="147">
        <f ca="1">INDEX(Photobiology!$21:$421,1+$H331-380,R$14)</f>
        <v>4.78804E-6</v>
      </c>
      <c r="S331" s="147">
        <f t="shared" si="107"/>
        <v>2814084596738797</v>
      </c>
      <c r="T331" s="147" t="str">
        <f ca="1">INDEX(Photobiology!$21:$421,1+$H331-380,T$14)</f>
        <v/>
      </c>
      <c r="U331" s="147">
        <f ca="1">INDEX(Photobiology!$21:$421,1+$H331-380,U$14)</f>
        <v>5.3090466752436609E-4</v>
      </c>
      <c r="V331" s="147">
        <f ca="1">INDEX(Photobiology!$21:$421,1+$H331-380,V$14)</f>
        <v>8.9625098000770467E-3</v>
      </c>
      <c r="W331" s="147">
        <f ca="1">INDEX(Photobiology!$21:$421,1+$H331-380,W$14)</f>
        <v>2.5883912607387381E-5</v>
      </c>
      <c r="X331" s="147">
        <f ca="1">INDEX(Photobiology!$21:$421,1+$H331-380,X$14)</f>
        <v>3.3930829632918625E-6</v>
      </c>
      <c r="Y331" s="147">
        <f t="shared" si="94"/>
        <v>8.09922017321874E-4</v>
      </c>
      <c r="Z331" s="147">
        <f t="shared" ca="1" si="108"/>
        <v>0</v>
      </c>
      <c r="AA331" s="147">
        <f t="shared" ca="1" si="95"/>
        <v>5.488460848042198E-7</v>
      </c>
      <c r="AB331" s="147">
        <f t="shared" ca="1" si="96"/>
        <v>8.8381120296214846E-6</v>
      </c>
      <c r="AC331" s="147">
        <f t="shared" ca="1" si="97"/>
        <v>2.8614544871981812E-8</v>
      </c>
      <c r="AD331" s="147">
        <f t="shared" ca="1" si="98"/>
        <v>3.8779390158178254E-9</v>
      </c>
      <c r="AH331" s="147">
        <f t="shared" si="109"/>
        <v>690</v>
      </c>
      <c r="AI331" s="147">
        <f>IF($AH331&gt;$AH330,INDEX(Spectra!331:331,1,MATCH($AI$20,Spectra!$20:$20,0)),AI330)</f>
        <v>69.721299999999999</v>
      </c>
      <c r="AJ331" s="147">
        <f>((Physics!$C$9*Physics!$C$10)/(Physics!$C$11*Physics!$C$12*$AH331))^($AJ$17-$AJ$18)</f>
        <v>3.4745130229253192E+18</v>
      </c>
      <c r="AK331" s="147">
        <f t="shared" si="110"/>
        <v>1</v>
      </c>
      <c r="AL331" s="147">
        <f>INDEX(Photobiology!$21:$421,1+$AH331-380,10)</f>
        <v>8.2100000000000003E-3</v>
      </c>
      <c r="AM331" s="147">
        <f t="shared" si="111"/>
        <v>9.6603047087966056E-4</v>
      </c>
      <c r="AN331" s="147">
        <f ca="1">INDEX(Photobiology!$21:$421,1+$AH331-380,AN$14)</f>
        <v>0</v>
      </c>
      <c r="AO331" s="147">
        <f ca="1">INDEX(Photobiology!$21:$421,1+$AH331-380,AO$14)</f>
        <v>6.7765299999999996E-4</v>
      </c>
      <c r="AP331" s="147">
        <f ca="1">INDEX(Photobiology!$21:$421,1+$AH331-380,AP$14)</f>
        <v>1.09123E-2</v>
      </c>
      <c r="AQ331" s="147">
        <f ca="1">INDEX(Photobiology!$21:$421,1+$AH331-380,AQ$14)</f>
        <v>3.5330000000000002E-5</v>
      </c>
      <c r="AR331" s="147">
        <f ca="1">INDEX(Photobiology!$21:$421,1+$AH331-380,AR$14)</f>
        <v>4.78804E-6</v>
      </c>
      <c r="AS331" s="147">
        <f t="shared" si="112"/>
        <v>3356485451614059</v>
      </c>
      <c r="AT331" s="147" t="str">
        <f ca="1">INDEX(Photobiology!$21:$421,1+$AH331-380,AT$14)</f>
        <v/>
      </c>
      <c r="AU331" s="147">
        <f ca="1">INDEX(Photobiology!$21:$421,1+$AH331-380,AU$14)</f>
        <v>5.3090466752436609E-4</v>
      </c>
      <c r="AV331" s="147">
        <f ca="1">INDEX(Photobiology!$21:$421,1+$AH331-380,AV$14)</f>
        <v>8.9625098000770467E-3</v>
      </c>
      <c r="AW331" s="147">
        <f ca="1">INDEX(Photobiology!$21:$421,1+$AH331-380,AW$14)</f>
        <v>2.5883912607387381E-5</v>
      </c>
      <c r="AX331" s="147">
        <f ca="1">INDEX(Photobiology!$21:$421,1+$AH331-380,AX$14)</f>
        <v>3.3930829632918625E-6</v>
      </c>
      <c r="AY331" s="147">
        <f t="shared" si="99"/>
        <v>9.6603047087966056E-4</v>
      </c>
      <c r="AZ331" s="147">
        <f t="shared" ca="1" si="113"/>
        <v>0</v>
      </c>
      <c r="BA331" s="147">
        <f t="shared" ca="1" si="100"/>
        <v>6.5463344668301459E-7</v>
      </c>
      <c r="BB331" s="147">
        <f t="shared" ca="1" si="101"/>
        <v>1.0541614307380119E-5</v>
      </c>
      <c r="BC331" s="147">
        <f t="shared" ca="1" si="102"/>
        <v>3.4129856536178409E-8</v>
      </c>
      <c r="BD331" s="147">
        <f t="shared" ca="1" si="103"/>
        <v>4.6253925357906495E-9</v>
      </c>
    </row>
    <row r="332" spans="8:56" s="147" customFormat="1" ht="0.25" customHeight="1" x14ac:dyDescent="0.2">
      <c r="H332" s="147">
        <f t="shared" si="104"/>
        <v>691</v>
      </c>
      <c r="I332" s="147">
        <f>IF($H332&gt;$H331,INDEX(Spectra!332:332,1,MATCH($I$20,Spectra!$20:$20,0)),I331)</f>
        <v>8.4991816632542302E-4</v>
      </c>
      <c r="J332" s="147">
        <f>((Physics!$C$9*Physics!$C$10)/(Physics!$C$11*Physics!$C$12*$H332))^($J$17-$J$18)</f>
        <v>3.4795485490455009E+18</v>
      </c>
      <c r="K332" s="147">
        <f t="shared" si="105"/>
        <v>1</v>
      </c>
      <c r="L332" s="147">
        <f>INDEX(Photobiology!$21:$421,1+$H332-380,10)</f>
        <v>7.6237809999999996E-3</v>
      </c>
      <c r="M332" s="147">
        <f t="shared" si="106"/>
        <v>8.4991816632542302E-4</v>
      </c>
      <c r="N332" s="147">
        <f ca="1">INDEX(Photobiology!$21:$421,1+$H332-380,N$14)</f>
        <v>0</v>
      </c>
      <c r="O332" s="147">
        <f ca="1">INDEX(Photobiology!$21:$421,1+$H332-380,O$14)</f>
        <v>6.2829699999999999E-4</v>
      </c>
      <c r="P332" s="147">
        <f ca="1">INDEX(Photobiology!$21:$421,1+$H332-380,P$14)</f>
        <v>1.01373E-2</v>
      </c>
      <c r="Q332" s="147">
        <f ca="1">INDEX(Photobiology!$21:$421,1+$H332-380,Q$14)</f>
        <v>3.2950000000000001E-5</v>
      </c>
      <c r="R332" s="147">
        <f ca="1">INDEX(Photobiology!$21:$421,1+$H332-380,R$14)</f>
        <v>4.47347E-6</v>
      </c>
      <c r="S332" s="147">
        <f t="shared" si="107"/>
        <v>2957331522445038.5</v>
      </c>
      <c r="T332" s="147" t="str">
        <f ca="1">INDEX(Photobiology!$21:$421,1+$H332-380,T$14)</f>
        <v/>
      </c>
      <c r="U332" s="147">
        <f ca="1">INDEX(Photobiology!$21:$421,1+$H332-380,U$14)</f>
        <v>4.915245424855553E-4</v>
      </c>
      <c r="V332" s="147">
        <f ca="1">INDEX(Photobiology!$21:$421,1+$H332-380,V$14)</f>
        <v>8.3139362276824693E-3</v>
      </c>
      <c r="W332" s="147">
        <f ca="1">INDEX(Photobiology!$21:$421,1+$H332-380,W$14)</f>
        <v>2.4105311593245726E-5</v>
      </c>
      <c r="X332" s="147">
        <f ca="1">INDEX(Photobiology!$21:$421,1+$H332-380,X$14)</f>
        <v>3.1655726224004351E-6</v>
      </c>
      <c r="Y332" s="147">
        <f t="shared" si="94"/>
        <v>8.4991816632542302E-4</v>
      </c>
      <c r="Z332" s="147">
        <f t="shared" ca="1" si="108"/>
        <v>0</v>
      </c>
      <c r="AA332" s="147">
        <f t="shared" ca="1" si="95"/>
        <v>5.340010341477643E-7</v>
      </c>
      <c r="AB332" s="147">
        <f t="shared" ca="1" si="96"/>
        <v>8.6158754274907115E-6</v>
      </c>
      <c r="AC332" s="147">
        <f t="shared" ca="1" si="97"/>
        <v>2.8004803580422688E-8</v>
      </c>
      <c r="AD332" s="147">
        <f t="shared" ca="1" si="98"/>
        <v>3.8020834195117902E-9</v>
      </c>
      <c r="AH332" s="147">
        <f t="shared" si="109"/>
        <v>691</v>
      </c>
      <c r="AI332" s="147">
        <f>IF($AH332&gt;$AH331,INDEX(Spectra!332:332,1,MATCH($AI$20,Spectra!$20:$20,0)),AI331)</f>
        <v>69.9101</v>
      </c>
      <c r="AJ332" s="147">
        <f>((Physics!$C$9*Physics!$C$10)/(Physics!$C$11*Physics!$C$12*$AH332))^($AJ$17-$AJ$18)</f>
        <v>3.4795485490455009E+18</v>
      </c>
      <c r="AK332" s="147">
        <f t="shared" si="110"/>
        <v>1</v>
      </c>
      <c r="AL332" s="147">
        <f>INDEX(Photobiology!$21:$421,1+$AH332-380,10)</f>
        <v>7.6237809999999996E-3</v>
      </c>
      <c r="AM332" s="147">
        <f t="shared" si="111"/>
        <v>9.686464082316904E-4</v>
      </c>
      <c r="AN332" s="147">
        <f ca="1">INDEX(Photobiology!$21:$421,1+$AH332-380,AN$14)</f>
        <v>0</v>
      </c>
      <c r="AO332" s="147">
        <f ca="1">INDEX(Photobiology!$21:$421,1+$AH332-380,AO$14)</f>
        <v>6.2829699999999999E-4</v>
      </c>
      <c r="AP332" s="147">
        <f ca="1">INDEX(Photobiology!$21:$421,1+$AH332-380,AP$14)</f>
        <v>1.01373E-2</v>
      </c>
      <c r="AQ332" s="147">
        <f ca="1">INDEX(Photobiology!$21:$421,1+$AH332-380,AQ$14)</f>
        <v>3.2950000000000001E-5</v>
      </c>
      <c r="AR332" s="147">
        <f ca="1">INDEX(Photobiology!$21:$421,1+$AH332-380,AR$14)</f>
        <v>4.47347E-6</v>
      </c>
      <c r="AS332" s="147">
        <f t="shared" si="112"/>
        <v>3370452204300714.5</v>
      </c>
      <c r="AT332" s="147" t="str">
        <f ca="1">INDEX(Photobiology!$21:$421,1+$AH332-380,AT$14)</f>
        <v/>
      </c>
      <c r="AU332" s="147">
        <f ca="1">INDEX(Photobiology!$21:$421,1+$AH332-380,AU$14)</f>
        <v>4.915245424855553E-4</v>
      </c>
      <c r="AV332" s="147">
        <f ca="1">INDEX(Photobiology!$21:$421,1+$AH332-380,AV$14)</f>
        <v>8.3139362276824693E-3</v>
      </c>
      <c r="AW332" s="147">
        <f ca="1">INDEX(Photobiology!$21:$421,1+$AH332-380,AW$14)</f>
        <v>2.4105311593245726E-5</v>
      </c>
      <c r="AX332" s="147">
        <f ca="1">INDEX(Photobiology!$21:$421,1+$AH332-380,AX$14)</f>
        <v>3.1655726224004351E-6</v>
      </c>
      <c r="AY332" s="147">
        <f t="shared" si="99"/>
        <v>9.686464082316904E-4</v>
      </c>
      <c r="AZ332" s="147">
        <f t="shared" ca="1" si="113"/>
        <v>0</v>
      </c>
      <c r="BA332" s="147">
        <f t="shared" ca="1" si="100"/>
        <v>6.0859763235274642E-7</v>
      </c>
      <c r="BB332" s="147">
        <f t="shared" ca="1" si="101"/>
        <v>9.8194592341671161E-6</v>
      </c>
      <c r="BC332" s="147">
        <f t="shared" ca="1" si="102"/>
        <v>3.1916899151234197E-8</v>
      </c>
      <c r="BD332" s="147">
        <f t="shared" ca="1" si="103"/>
        <v>4.3332106478322201E-9</v>
      </c>
    </row>
    <row r="333" spans="8:56" s="147" customFormat="1" ht="0.25" customHeight="1" x14ac:dyDescent="0.2">
      <c r="H333" s="147">
        <f t="shared" si="104"/>
        <v>692</v>
      </c>
      <c r="I333" s="147">
        <f>IF($H333&gt;$H332,INDEX(Spectra!333:333,1,MATCH($I$20,Spectra!$20:$20,0)),I332)</f>
        <v>8.7491575945264203E-4</v>
      </c>
      <c r="J333" s="147">
        <f>((Physics!$C$9*Physics!$C$10)/(Physics!$C$11*Physics!$C$12*$H333))^($J$17-$J$18)</f>
        <v>3.4845840751656827E+18</v>
      </c>
      <c r="K333" s="147">
        <f t="shared" si="105"/>
        <v>1</v>
      </c>
      <c r="L333" s="147">
        <f>INDEX(Photobiology!$21:$421,1+$H333-380,10)</f>
        <v>7.0854239999999999E-3</v>
      </c>
      <c r="M333" s="147">
        <f t="shared" si="106"/>
        <v>8.7491575945264203E-4</v>
      </c>
      <c r="N333" s="147">
        <f ca="1">INDEX(Photobiology!$21:$421,1+$H333-380,N$14)</f>
        <v>0</v>
      </c>
      <c r="O333" s="147">
        <f ca="1">INDEX(Photobiology!$21:$421,1+$H333-380,O$14)</f>
        <v>5.8310800000000004E-4</v>
      </c>
      <c r="P333" s="147">
        <f ca="1">INDEX(Photobiology!$21:$421,1+$H333-380,P$14)</f>
        <v>9.4256800000000005E-3</v>
      </c>
      <c r="Q333" s="147">
        <f ca="1">INDEX(Photobiology!$21:$421,1+$H333-380,Q$14)</f>
        <v>3.0750000000000002E-5</v>
      </c>
      <c r="R333" s="147">
        <f ca="1">INDEX(Photobiology!$21:$421,1+$H333-380,R$14)</f>
        <v>4.1782899999999996E-6</v>
      </c>
      <c r="S333" s="147">
        <f t="shared" si="107"/>
        <v>3048717522500165.5</v>
      </c>
      <c r="T333" s="147" t="str">
        <f ca="1">INDEX(Photobiology!$21:$421,1+$H333-380,T$14)</f>
        <v/>
      </c>
      <c r="U333" s="147">
        <f ca="1">INDEX(Photobiology!$21:$421,1+$H333-380,U$14)</f>
        <v>4.5551341783210182E-4</v>
      </c>
      <c r="V333" s="147">
        <f ca="1">INDEX(Photobiology!$21:$421,1+$H333-380,V$14)</f>
        <v>7.7191420715507567E-3</v>
      </c>
      <c r="W333" s="147">
        <f ca="1">INDEX(Photobiology!$21:$421,1+$H333-380,W$14)</f>
        <v>2.2463343788591208E-5</v>
      </c>
      <c r="X333" s="147">
        <f ca="1">INDEX(Photobiology!$21:$421,1+$H333-380,X$14)</f>
        <v>2.9524209914009972E-6</v>
      </c>
      <c r="Y333" s="147">
        <f t="shared" si="94"/>
        <v>8.7491575945264203E-4</v>
      </c>
      <c r="Z333" s="147">
        <f t="shared" ca="1" si="108"/>
        <v>0</v>
      </c>
      <c r="AA333" s="147">
        <f t="shared" ca="1" si="95"/>
        <v>5.1017037866291119E-7</v>
      </c>
      <c r="AB333" s="147">
        <f t="shared" ca="1" si="96"/>
        <v>8.2466759755575797E-6</v>
      </c>
      <c r="AC333" s="147">
        <f t="shared" ca="1" si="97"/>
        <v>2.6903659603168745E-8</v>
      </c>
      <c r="AD333" s="147">
        <f t="shared" ca="1" si="98"/>
        <v>3.6556517685633793E-9</v>
      </c>
      <c r="AH333" s="147">
        <f t="shared" si="109"/>
        <v>692</v>
      </c>
      <c r="AI333" s="147">
        <f>IF($AH333&gt;$AH332,INDEX(Spectra!333:333,1,MATCH($AI$20,Spectra!$20:$20,0)),AI332)</f>
        <v>70.0989</v>
      </c>
      <c r="AJ333" s="147">
        <f>((Physics!$C$9*Physics!$C$10)/(Physics!$C$11*Physics!$C$12*$AH333))^($AJ$17-$AJ$18)</f>
        <v>3.4845840751656827E+18</v>
      </c>
      <c r="AK333" s="147">
        <f t="shared" si="110"/>
        <v>1</v>
      </c>
      <c r="AL333" s="147">
        <f>INDEX(Photobiology!$21:$421,1+$AH333-380,10)</f>
        <v>7.0854239999999999E-3</v>
      </c>
      <c r="AM333" s="147">
        <f t="shared" si="111"/>
        <v>9.7126234558372036E-4</v>
      </c>
      <c r="AN333" s="147">
        <f ca="1">INDEX(Photobiology!$21:$421,1+$AH333-380,AN$14)</f>
        <v>0</v>
      </c>
      <c r="AO333" s="147">
        <f ca="1">INDEX(Photobiology!$21:$421,1+$AH333-380,AO$14)</f>
        <v>5.8310800000000004E-4</v>
      </c>
      <c r="AP333" s="147">
        <f ca="1">INDEX(Photobiology!$21:$421,1+$AH333-380,AP$14)</f>
        <v>9.4256800000000005E-3</v>
      </c>
      <c r="AQ333" s="147">
        <f ca="1">INDEX(Photobiology!$21:$421,1+$AH333-380,AQ$14)</f>
        <v>3.0750000000000002E-5</v>
      </c>
      <c r="AR333" s="147">
        <f ca="1">INDEX(Photobiology!$21:$421,1+$AH333-380,AR$14)</f>
        <v>4.1782899999999996E-6</v>
      </c>
      <c r="AS333" s="147">
        <f t="shared" si="112"/>
        <v>3384445302229100</v>
      </c>
      <c r="AT333" s="147" t="str">
        <f ca="1">INDEX(Photobiology!$21:$421,1+$AH333-380,AT$14)</f>
        <v/>
      </c>
      <c r="AU333" s="147">
        <f ca="1">INDEX(Photobiology!$21:$421,1+$AH333-380,AU$14)</f>
        <v>4.5551341783210182E-4</v>
      </c>
      <c r="AV333" s="147">
        <f ca="1">INDEX(Photobiology!$21:$421,1+$AH333-380,AV$14)</f>
        <v>7.7191420715507567E-3</v>
      </c>
      <c r="AW333" s="147">
        <f ca="1">INDEX(Photobiology!$21:$421,1+$AH333-380,AW$14)</f>
        <v>2.2463343788591208E-5</v>
      </c>
      <c r="AX333" s="147">
        <f ca="1">INDEX(Photobiology!$21:$421,1+$AH333-380,AX$14)</f>
        <v>2.9524209914009972E-6</v>
      </c>
      <c r="AY333" s="147">
        <f t="shared" si="99"/>
        <v>9.7126234558372036E-4</v>
      </c>
      <c r="AZ333" s="147">
        <f t="shared" ca="1" si="113"/>
        <v>0</v>
      </c>
      <c r="BA333" s="147">
        <f t="shared" ca="1" si="100"/>
        <v>5.6635084380863205E-7</v>
      </c>
      <c r="BB333" s="147">
        <f t="shared" ca="1" si="101"/>
        <v>9.1548080655215622E-6</v>
      </c>
      <c r="BC333" s="147">
        <f t="shared" ca="1" si="102"/>
        <v>2.9866317126699403E-8</v>
      </c>
      <c r="BD333" s="147">
        <f t="shared" ca="1" si="103"/>
        <v>4.0582157459290025E-9</v>
      </c>
    </row>
    <row r="334" spans="8:56" s="147" customFormat="1" ht="0.25" customHeight="1" x14ac:dyDescent="0.2">
      <c r="H334" s="147">
        <f t="shared" si="104"/>
        <v>693</v>
      </c>
      <c r="I334" s="147">
        <f>IF($H334&gt;$H333,INDEX(Spectra!334:334,1,MATCH($I$20,Spectra!$20:$20,0)),I333)</f>
        <v>8.9491383395441605E-4</v>
      </c>
      <c r="J334" s="147">
        <f>((Physics!$C$9*Physics!$C$10)/(Physics!$C$11*Physics!$C$12*$H334))^($J$17-$J$18)</f>
        <v>3.489619601285865E+18</v>
      </c>
      <c r="K334" s="147">
        <f t="shared" si="105"/>
        <v>1</v>
      </c>
      <c r="L334" s="147">
        <f>INDEX(Photobiology!$21:$421,1+$H334-380,10)</f>
        <v>6.5914759999999998E-3</v>
      </c>
      <c r="M334" s="147">
        <f t="shared" si="106"/>
        <v>8.9491383395441605E-4</v>
      </c>
      <c r="N334" s="147">
        <f ca="1">INDEX(Photobiology!$21:$421,1+$H334-380,N$14)</f>
        <v>0</v>
      </c>
      <c r="O334" s="147">
        <f ca="1">INDEX(Photobiology!$21:$421,1+$H334-380,O$14)</f>
        <v>5.4158400000000001E-4</v>
      </c>
      <c r="P334" s="147">
        <f ca="1">INDEX(Photobiology!$21:$421,1+$H334-380,P$14)</f>
        <v>8.7691699999999997E-3</v>
      </c>
      <c r="Q334" s="147">
        <f ca="1">INDEX(Photobiology!$21:$421,1+$H334-380,Q$14)</f>
        <v>2.87E-5</v>
      </c>
      <c r="R334" s="147">
        <f ca="1">INDEX(Photobiology!$21:$421,1+$H334-380,R$14)</f>
        <v>3.9024299999999997E-6</v>
      </c>
      <c r="S334" s="147">
        <f t="shared" si="107"/>
        <v>3122908856429214</v>
      </c>
      <c r="T334" s="147" t="str">
        <f ca="1">INDEX(Photobiology!$21:$421,1+$H334-380,T$14)</f>
        <v/>
      </c>
      <c r="U334" s="147">
        <f ca="1">INDEX(Photobiology!$21:$421,1+$H334-380,U$14)</f>
        <v>4.2246512170861298E-4</v>
      </c>
      <c r="V334" s="147">
        <f ca="1">INDEX(Photobiology!$21:$421,1+$H334-380,V$14)</f>
        <v>7.1711315931605431E-3</v>
      </c>
      <c r="W334" s="147">
        <f ca="1">INDEX(Photobiology!$21:$421,1+$H334-380,W$14)</f>
        <v>2.0935533874350322E-5</v>
      </c>
      <c r="X334" s="147">
        <f ca="1">INDEX(Photobiology!$21:$421,1+$H334-380,X$14)</f>
        <v>2.7535165200594733E-6</v>
      </c>
      <c r="Y334" s="147">
        <f t="shared" si="94"/>
        <v>8.9491383395441605E-4</v>
      </c>
      <c r="Z334" s="147">
        <f t="shared" ca="1" si="108"/>
        <v>0</v>
      </c>
      <c r="AA334" s="147">
        <f t="shared" ca="1" si="95"/>
        <v>4.8467101384836849E-7</v>
      </c>
      <c r="AB334" s="147">
        <f t="shared" ca="1" si="96"/>
        <v>7.8476515452980465E-6</v>
      </c>
      <c r="AC334" s="147">
        <f t="shared" ca="1" si="97"/>
        <v>2.568402703449174E-8</v>
      </c>
      <c r="AD334" s="147">
        <f t="shared" ca="1" si="98"/>
        <v>3.4923385930387316E-9</v>
      </c>
      <c r="AH334" s="147">
        <f t="shared" si="109"/>
        <v>693</v>
      </c>
      <c r="AI334" s="147">
        <f>IF($AH334&gt;$AH333,INDEX(Spectra!334:334,1,MATCH($AI$20,Spectra!$20:$20,0)),AI333)</f>
        <v>70.287599999999998</v>
      </c>
      <c r="AJ334" s="147">
        <f>((Physics!$C$9*Physics!$C$10)/(Physics!$C$11*Physics!$C$12*$AH334))^($AJ$17-$AJ$18)</f>
        <v>3.489619601285865E+18</v>
      </c>
      <c r="AK334" s="147">
        <f t="shared" si="110"/>
        <v>1</v>
      </c>
      <c r="AL334" s="147">
        <f>INDEX(Photobiology!$21:$421,1+$AH334-380,10)</f>
        <v>6.5914759999999998E-3</v>
      </c>
      <c r="AM334" s="147">
        <f t="shared" si="111"/>
        <v>9.7387689737571197E-4</v>
      </c>
      <c r="AN334" s="147">
        <f ca="1">INDEX(Photobiology!$21:$421,1+$AH334-380,AN$14)</f>
        <v>0</v>
      </c>
      <c r="AO334" s="147">
        <f ca="1">INDEX(Photobiology!$21:$421,1+$AH334-380,AO$14)</f>
        <v>5.4158400000000001E-4</v>
      </c>
      <c r="AP334" s="147">
        <f ca="1">INDEX(Photobiology!$21:$421,1+$AH334-380,AP$14)</f>
        <v>8.7691699999999997E-3</v>
      </c>
      <c r="AQ334" s="147">
        <f ca="1">INDEX(Photobiology!$21:$421,1+$AH334-380,AQ$14)</f>
        <v>2.87E-5</v>
      </c>
      <c r="AR334" s="147">
        <f ca="1">INDEX(Photobiology!$21:$421,1+$AH334-380,AR$14)</f>
        <v>3.9024299999999997E-6</v>
      </c>
      <c r="AS334" s="147">
        <f t="shared" si="112"/>
        <v>3398459910321747</v>
      </c>
      <c r="AT334" s="147" t="str">
        <f ca="1">INDEX(Photobiology!$21:$421,1+$AH334-380,AT$14)</f>
        <v/>
      </c>
      <c r="AU334" s="147">
        <f ca="1">INDEX(Photobiology!$21:$421,1+$AH334-380,AU$14)</f>
        <v>4.2246512170861298E-4</v>
      </c>
      <c r="AV334" s="147">
        <f ca="1">INDEX(Photobiology!$21:$421,1+$AH334-380,AV$14)</f>
        <v>7.1711315931605431E-3</v>
      </c>
      <c r="AW334" s="147">
        <f ca="1">INDEX(Photobiology!$21:$421,1+$AH334-380,AW$14)</f>
        <v>2.0935533874350322E-5</v>
      </c>
      <c r="AX334" s="147">
        <f ca="1">INDEX(Photobiology!$21:$421,1+$AH334-380,AX$14)</f>
        <v>2.7535165200594733E-6</v>
      </c>
      <c r="AY334" s="147">
        <f t="shared" si="99"/>
        <v>9.7387689737571197E-4</v>
      </c>
      <c r="AZ334" s="147">
        <f t="shared" ca="1" si="113"/>
        <v>0</v>
      </c>
      <c r="BA334" s="147">
        <f t="shared" ca="1" si="100"/>
        <v>5.2743614558832765E-7</v>
      </c>
      <c r="BB334" s="147">
        <f t="shared" ca="1" si="101"/>
        <v>8.5400920721601712E-6</v>
      </c>
      <c r="BC334" s="147">
        <f t="shared" ca="1" si="102"/>
        <v>2.7950266954682935E-8</v>
      </c>
      <c r="BD334" s="147">
        <f t="shared" ca="1" si="103"/>
        <v>3.8004864206258996E-9</v>
      </c>
    </row>
    <row r="335" spans="8:56" s="147" customFormat="1" ht="0.25" customHeight="1" x14ac:dyDescent="0.2">
      <c r="H335" s="147">
        <f t="shared" si="104"/>
        <v>694</v>
      </c>
      <c r="I335" s="147">
        <f>IF($H335&gt;$H334,INDEX(Spectra!335:335,1,MATCH($I$20,Spectra!$20:$20,0)),I334)</f>
        <v>9.0991238983074703E-4</v>
      </c>
      <c r="J335" s="147">
        <f>((Physics!$C$9*Physics!$C$10)/(Physics!$C$11*Physics!$C$12*$H335))^($J$17-$J$18)</f>
        <v>3.4946551274060457E+18</v>
      </c>
      <c r="K335" s="147">
        <f t="shared" si="105"/>
        <v>1</v>
      </c>
      <c r="L335" s="147">
        <f>INDEX(Photobiology!$21:$421,1+$H335-380,10)</f>
        <v>6.1384849999999999E-3</v>
      </c>
      <c r="M335" s="147">
        <f t="shared" si="106"/>
        <v>9.0991238983074703E-4</v>
      </c>
      <c r="N335" s="147">
        <f ca="1">INDEX(Photobiology!$21:$421,1+$H335-380,N$14)</f>
        <v>0</v>
      </c>
      <c r="O335" s="147">
        <f ca="1">INDEX(Photobiology!$21:$421,1+$H335-380,O$14)</f>
        <v>5.0329400000000005E-4</v>
      </c>
      <c r="P335" s="147">
        <f ca="1">INDEX(Photobiology!$21:$421,1+$H335-380,P$14)</f>
        <v>8.1607599999999995E-3</v>
      </c>
      <c r="Q335" s="147">
        <f ca="1">INDEX(Photobiology!$21:$421,1+$H335-380,Q$14)</f>
        <v>2.6789999999999999E-5</v>
      </c>
      <c r="R335" s="147">
        <f ca="1">INDEX(Photobiology!$21:$421,1+$H335-380,R$14)</f>
        <v>3.6458299999999999E-6</v>
      </c>
      <c r="S335" s="147">
        <f t="shared" si="107"/>
        <v>3179829998612309</v>
      </c>
      <c r="T335" s="147" t="str">
        <f ca="1">INDEX(Photobiology!$21:$421,1+$H335-380,T$14)</f>
        <v/>
      </c>
      <c r="U335" s="147">
        <f ca="1">INDEX(Photobiology!$21:$421,1+$H335-380,U$14)</f>
        <v>3.9203112738468439E-4</v>
      </c>
      <c r="V335" s="147">
        <f ca="1">INDEX(Photobiology!$21:$421,1+$H335-380,V$14)</f>
        <v>6.6639782760665213E-3</v>
      </c>
      <c r="W335" s="147">
        <f ca="1">INDEX(Photobiology!$21:$421,1+$H335-380,W$14)</f>
        <v>1.9514104272471594E-5</v>
      </c>
      <c r="X335" s="147">
        <f ca="1">INDEX(Photobiology!$21:$421,1+$H335-380,X$14)</f>
        <v>2.568755346818008E-6</v>
      </c>
      <c r="Y335" s="147">
        <f t="shared" si="94"/>
        <v>9.0991238983074703E-4</v>
      </c>
      <c r="Z335" s="147">
        <f t="shared" ca="1" si="108"/>
        <v>0</v>
      </c>
      <c r="AA335" s="147">
        <f t="shared" ca="1" si="95"/>
        <v>4.5795344632747601E-7</v>
      </c>
      <c r="AB335" s="147">
        <f t="shared" ca="1" si="96"/>
        <v>7.4255766344351668E-6</v>
      </c>
      <c r="AC335" s="147">
        <f t="shared" ca="1" si="97"/>
        <v>2.4376552923565713E-8</v>
      </c>
      <c r="AD335" s="147">
        <f t="shared" ca="1" si="98"/>
        <v>3.3173858882166325E-9</v>
      </c>
      <c r="AH335" s="147">
        <f t="shared" si="109"/>
        <v>694</v>
      </c>
      <c r="AI335" s="147">
        <f>IF($AH335&gt;$AH334,INDEX(Spectra!335:335,1,MATCH($AI$20,Spectra!$20:$20,0)),AI334)</f>
        <v>70.476399999999998</v>
      </c>
      <c r="AJ335" s="147">
        <f>((Physics!$C$9*Physics!$C$10)/(Physics!$C$11*Physics!$C$12*$AH335))^($AJ$17-$AJ$18)</f>
        <v>3.4946551274060457E+18</v>
      </c>
      <c r="AK335" s="147">
        <f t="shared" si="110"/>
        <v>1</v>
      </c>
      <c r="AL335" s="147">
        <f>INDEX(Photobiology!$21:$421,1+$AH335-380,10)</f>
        <v>6.1384849999999999E-3</v>
      </c>
      <c r="AM335" s="147">
        <f t="shared" si="111"/>
        <v>9.7649283472774182E-4</v>
      </c>
      <c r="AN335" s="147">
        <f ca="1">INDEX(Photobiology!$21:$421,1+$AH335-380,AN$14)</f>
        <v>0</v>
      </c>
      <c r="AO335" s="147">
        <f ca="1">INDEX(Photobiology!$21:$421,1+$AH335-380,AO$14)</f>
        <v>5.0329400000000005E-4</v>
      </c>
      <c r="AP335" s="147">
        <f ca="1">INDEX(Photobiology!$21:$421,1+$AH335-380,AP$14)</f>
        <v>8.1607599999999995E-3</v>
      </c>
      <c r="AQ335" s="147">
        <f ca="1">INDEX(Photobiology!$21:$421,1+$AH335-380,AQ$14)</f>
        <v>2.6789999999999999E-5</v>
      </c>
      <c r="AR335" s="147">
        <f ca="1">INDEX(Photobiology!$21:$421,1+$AH335-380,AR$14)</f>
        <v>3.6458299999999999E-6</v>
      </c>
      <c r="AS335" s="147">
        <f t="shared" si="112"/>
        <v>3412505691756567.5</v>
      </c>
      <c r="AT335" s="147" t="str">
        <f ca="1">INDEX(Photobiology!$21:$421,1+$AH335-380,AT$14)</f>
        <v/>
      </c>
      <c r="AU335" s="147">
        <f ca="1">INDEX(Photobiology!$21:$421,1+$AH335-380,AU$14)</f>
        <v>3.9203112738468439E-4</v>
      </c>
      <c r="AV335" s="147">
        <f ca="1">INDEX(Photobiology!$21:$421,1+$AH335-380,AV$14)</f>
        <v>6.6639782760665213E-3</v>
      </c>
      <c r="AW335" s="147">
        <f ca="1">INDEX(Photobiology!$21:$421,1+$AH335-380,AW$14)</f>
        <v>1.9514104272471594E-5</v>
      </c>
      <c r="AX335" s="147">
        <f ca="1">INDEX(Photobiology!$21:$421,1+$AH335-380,AX$14)</f>
        <v>2.568755346818008E-6</v>
      </c>
      <c r="AY335" s="147">
        <f t="shared" si="99"/>
        <v>9.7649283472774182E-4</v>
      </c>
      <c r="AZ335" s="147">
        <f t="shared" ca="1" si="113"/>
        <v>0</v>
      </c>
      <c r="BA335" s="147">
        <f t="shared" ca="1" si="100"/>
        <v>4.9146298476146415E-7</v>
      </c>
      <c r="BB335" s="147">
        <f t="shared" ca="1" si="101"/>
        <v>7.9689236659327652E-6</v>
      </c>
      <c r="BC335" s="147">
        <f t="shared" ca="1" si="102"/>
        <v>2.6160243042356202E-8</v>
      </c>
      <c r="BD335" s="147">
        <f t="shared" ca="1" si="103"/>
        <v>3.5601268716354429E-9</v>
      </c>
    </row>
    <row r="336" spans="8:56" s="147" customFormat="1" ht="0.25" customHeight="1" x14ac:dyDescent="0.2">
      <c r="H336" s="147">
        <f t="shared" si="104"/>
        <v>695</v>
      </c>
      <c r="I336" s="147">
        <f>IF($H336&gt;$H335,INDEX(Spectra!336:336,1,MATCH($I$20,Spectra!$20:$20,0)),I335)</f>
        <v>9.1991142708163496E-4</v>
      </c>
      <c r="J336" s="147">
        <f>((Physics!$C$9*Physics!$C$10)/(Physics!$C$11*Physics!$C$12*$H336))^($J$17-$J$18)</f>
        <v>3.4996906535262275E+18</v>
      </c>
      <c r="K336" s="147">
        <f t="shared" si="105"/>
        <v>1</v>
      </c>
      <c r="L336" s="147">
        <f>INDEX(Photobiology!$21:$421,1+$H336-380,10)</f>
        <v>5.7229999999999998E-3</v>
      </c>
      <c r="M336" s="147">
        <f t="shared" si="106"/>
        <v>9.1991142708163496E-4</v>
      </c>
      <c r="N336" s="147">
        <f ca="1">INDEX(Photobiology!$21:$421,1+$H336-380,N$14)</f>
        <v>0</v>
      </c>
      <c r="O336" s="147">
        <f ca="1">INDEX(Photobiology!$21:$421,1+$H336-380,O$14)</f>
        <v>4.6787E-4</v>
      </c>
      <c r="P336" s="147">
        <f ca="1">INDEX(Photobiology!$21:$421,1+$H336-380,P$14)</f>
        <v>7.5945300000000004E-3</v>
      </c>
      <c r="Q336" s="147">
        <f ca="1">INDEX(Photobiology!$21:$421,1+$H336-380,Q$14)</f>
        <v>2.5009999999999999E-5</v>
      </c>
      <c r="R336" s="147">
        <f ca="1">INDEX(Photobiology!$21:$421,1+$H336-380,R$14)</f>
        <v>3.4084100000000001E-6</v>
      </c>
      <c r="S336" s="147">
        <f t="shared" si="107"/>
        <v>3219405423429571.5</v>
      </c>
      <c r="T336" s="147" t="str">
        <f ca="1">INDEX(Photobiology!$21:$421,1+$H336-380,T$14)</f>
        <v/>
      </c>
      <c r="U336" s="147">
        <f ca="1">INDEX(Photobiology!$21:$421,1+$H336-380,U$14)</f>
        <v>3.6391391606260186E-4</v>
      </c>
      <c r="V336" s="147">
        <f ca="1">INDEX(Photobiology!$21:$421,1+$H336-380,V$14)</f>
        <v>6.192678513443791E-3</v>
      </c>
      <c r="W336" s="147">
        <f ca="1">INDEX(Photobiology!$21:$421,1+$H336-380,W$14)</f>
        <v>1.8191322167942676E-5</v>
      </c>
      <c r="X336" s="147">
        <f ca="1">INDEX(Photobiology!$21:$421,1+$H336-380,X$14)</f>
        <v>2.3980201366878216E-6</v>
      </c>
      <c r="Y336" s="147">
        <f t="shared" si="94"/>
        <v>9.1991142708163496E-4</v>
      </c>
      <c r="Z336" s="147">
        <f t="shared" ca="1" si="108"/>
        <v>0</v>
      </c>
      <c r="AA336" s="147">
        <f t="shared" ca="1" si="95"/>
        <v>4.3039895938868454E-7</v>
      </c>
      <c r="AB336" s="147">
        <f t="shared" ca="1" si="96"/>
        <v>6.9862949303142894E-6</v>
      </c>
      <c r="AC336" s="147">
        <f t="shared" ca="1" si="97"/>
        <v>2.3006984791311689E-8</v>
      </c>
      <c r="AD336" s="147">
        <f t="shared" ca="1" si="98"/>
        <v>3.1354353071793154E-9</v>
      </c>
      <c r="AH336" s="147">
        <f t="shared" si="109"/>
        <v>695</v>
      </c>
      <c r="AI336" s="147">
        <f>IF($AH336&gt;$AH335,INDEX(Spectra!336:336,1,MATCH($AI$20,Spectra!$20:$20,0)),AI335)</f>
        <v>70.665199999999999</v>
      </c>
      <c r="AJ336" s="147">
        <f>((Physics!$C$9*Physics!$C$10)/(Physics!$C$11*Physics!$C$12*$AH336))^($AJ$17-$AJ$18)</f>
        <v>3.4996906535262275E+18</v>
      </c>
      <c r="AK336" s="147">
        <f t="shared" si="110"/>
        <v>1</v>
      </c>
      <c r="AL336" s="147">
        <f>INDEX(Photobiology!$21:$421,1+$AH336-380,10)</f>
        <v>5.7229999999999998E-3</v>
      </c>
      <c r="AM336" s="147">
        <f t="shared" si="111"/>
        <v>9.7910877207977166E-4</v>
      </c>
      <c r="AN336" s="147">
        <f ca="1">INDEX(Photobiology!$21:$421,1+$AH336-380,AN$14)</f>
        <v>0</v>
      </c>
      <c r="AO336" s="147">
        <f ca="1">INDEX(Photobiology!$21:$421,1+$AH336-380,AO$14)</f>
        <v>4.6787E-4</v>
      </c>
      <c r="AP336" s="147">
        <f ca="1">INDEX(Photobiology!$21:$421,1+$AH336-380,AP$14)</f>
        <v>7.5945300000000004E-3</v>
      </c>
      <c r="AQ336" s="147">
        <f ca="1">INDEX(Photobiology!$21:$421,1+$AH336-380,AQ$14)</f>
        <v>2.5009999999999999E-5</v>
      </c>
      <c r="AR336" s="147">
        <f ca="1">INDEX(Photobiology!$21:$421,1+$AH336-380,AR$14)</f>
        <v>3.4084100000000001E-6</v>
      </c>
      <c r="AS336" s="147">
        <f t="shared" si="112"/>
        <v>3426577818433118</v>
      </c>
      <c r="AT336" s="147" t="str">
        <f ca="1">INDEX(Photobiology!$21:$421,1+$AH336-380,AT$14)</f>
        <v/>
      </c>
      <c r="AU336" s="147">
        <f ca="1">INDEX(Photobiology!$21:$421,1+$AH336-380,AU$14)</f>
        <v>3.6391391606260186E-4</v>
      </c>
      <c r="AV336" s="147">
        <f ca="1">INDEX(Photobiology!$21:$421,1+$AH336-380,AV$14)</f>
        <v>6.192678513443791E-3</v>
      </c>
      <c r="AW336" s="147">
        <f ca="1">INDEX(Photobiology!$21:$421,1+$AH336-380,AW$14)</f>
        <v>1.8191322167942676E-5</v>
      </c>
      <c r="AX336" s="147">
        <f ca="1">INDEX(Photobiology!$21:$421,1+$AH336-380,AX$14)</f>
        <v>2.3980201366878216E-6</v>
      </c>
      <c r="AY336" s="147">
        <f t="shared" si="99"/>
        <v>9.7910877207977166E-4</v>
      </c>
      <c r="AZ336" s="147">
        <f t="shared" ca="1" si="113"/>
        <v>0</v>
      </c>
      <c r="BA336" s="147">
        <f t="shared" ca="1" si="100"/>
        <v>4.5809562119296279E-7</v>
      </c>
      <c r="BB336" s="147">
        <f t="shared" ca="1" si="101"/>
        <v>7.4358709428229883E-6</v>
      </c>
      <c r="BC336" s="147">
        <f t="shared" ca="1" si="102"/>
        <v>2.4487510389715088E-8</v>
      </c>
      <c r="BD336" s="147">
        <f t="shared" ca="1" si="103"/>
        <v>3.3372041298444148E-9</v>
      </c>
    </row>
    <row r="337" spans="8:56" s="147" customFormat="1" ht="0.25" customHeight="1" x14ac:dyDescent="0.2">
      <c r="H337" s="147">
        <f t="shared" si="104"/>
        <v>696</v>
      </c>
      <c r="I337" s="147">
        <f>IF($H337&gt;$H336,INDEX(Spectra!337:337,1,MATCH($I$20,Spectra!$20:$20,0)),I336)</f>
        <v>9.2991046433252202E-4</v>
      </c>
      <c r="J337" s="147">
        <f>((Physics!$C$9*Physics!$C$10)/(Physics!$C$11*Physics!$C$12*$H337))^($J$17-$J$18)</f>
        <v>3.5047261796464092E+18</v>
      </c>
      <c r="K337" s="147">
        <f t="shared" si="105"/>
        <v>1</v>
      </c>
      <c r="L337" s="147">
        <f>INDEX(Photobiology!$21:$421,1+$H337-380,10)</f>
        <v>5.3430589999999998E-3</v>
      </c>
      <c r="M337" s="147">
        <f t="shared" si="106"/>
        <v>9.2991046433252202E-4</v>
      </c>
      <c r="N337" s="147">
        <f ca="1">INDEX(Photobiology!$21:$421,1+$H337-380,N$14)</f>
        <v>0</v>
      </c>
      <c r="O337" s="147">
        <f ca="1">INDEX(Photobiology!$21:$421,1+$H337-380,O$14)</f>
        <v>4.35007E-4</v>
      </c>
      <c r="P337" s="147">
        <f ca="1">INDEX(Photobiology!$21:$421,1+$H337-380,P$14)</f>
        <v>7.0658800000000001E-3</v>
      </c>
      <c r="Q337" s="147">
        <f ca="1">INDEX(Photobiology!$21:$421,1+$H337-380,Q$14)</f>
        <v>2.336E-5</v>
      </c>
      <c r="R337" s="147">
        <f ca="1">INDEX(Photobiology!$21:$421,1+$H337-380,R$14)</f>
        <v>3.1873899999999999E-6</v>
      </c>
      <c r="S337" s="147">
        <f t="shared" si="107"/>
        <v>3259081549073338.5</v>
      </c>
      <c r="T337" s="147" t="str">
        <f ca="1">INDEX(Photobiology!$21:$421,1+$H337-380,T$14)</f>
        <v/>
      </c>
      <c r="U337" s="147">
        <f ca="1">INDEX(Photobiology!$21:$421,1+$H337-380,U$14)</f>
        <v>3.3786661044104421E-4</v>
      </c>
      <c r="V337" s="147">
        <f ca="1">INDEX(Photobiology!$21:$421,1+$H337-380,V$14)</f>
        <v>5.7533322535194917E-3</v>
      </c>
      <c r="W337" s="147">
        <f ca="1">INDEX(Photobiology!$21:$421,1+$H337-380,W$14)</f>
        <v>1.6966762356033617E-5</v>
      </c>
      <c r="X337" s="147">
        <f ca="1">INDEX(Photobiology!$21:$421,1+$H337-380,X$14)</f>
        <v>2.2392973469818541E-6</v>
      </c>
      <c r="Y337" s="147">
        <f t="shared" si="94"/>
        <v>9.2991046433252202E-4</v>
      </c>
      <c r="Z337" s="147">
        <f t="shared" ca="1" si="108"/>
        <v>0</v>
      </c>
      <c r="AA337" s="147">
        <f t="shared" ca="1" si="95"/>
        <v>4.0451756135789743E-7</v>
      </c>
      <c r="AB337" s="147">
        <f t="shared" ca="1" si="96"/>
        <v>6.5706357517178808E-6</v>
      </c>
      <c r="AC337" s="147">
        <f t="shared" ca="1" si="97"/>
        <v>2.1722708446807714E-8</v>
      </c>
      <c r="AD337" s="147">
        <f t="shared" ca="1" si="98"/>
        <v>2.9639873149088372E-9</v>
      </c>
      <c r="AH337" s="147">
        <f t="shared" si="109"/>
        <v>696</v>
      </c>
      <c r="AI337" s="147">
        <f>IF($AH337&gt;$AH336,INDEX(Spectra!337:337,1,MATCH($AI$20,Spectra!$20:$20,0)),AI336)</f>
        <v>70.853999999999999</v>
      </c>
      <c r="AJ337" s="147">
        <f>((Physics!$C$9*Physics!$C$10)/(Physics!$C$11*Physics!$C$12*$AH337))^($AJ$17-$AJ$18)</f>
        <v>3.5047261796464092E+18</v>
      </c>
      <c r="AK337" s="147">
        <f t="shared" si="110"/>
        <v>1</v>
      </c>
      <c r="AL337" s="147">
        <f>INDEX(Photobiology!$21:$421,1+$AH337-380,10)</f>
        <v>5.3430589999999998E-3</v>
      </c>
      <c r="AM337" s="147">
        <f t="shared" si="111"/>
        <v>9.8172470943180151E-4</v>
      </c>
      <c r="AN337" s="147">
        <f ca="1">INDEX(Photobiology!$21:$421,1+$AH337-380,AN$14)</f>
        <v>0</v>
      </c>
      <c r="AO337" s="147">
        <f ca="1">INDEX(Photobiology!$21:$421,1+$AH337-380,AO$14)</f>
        <v>4.35007E-4</v>
      </c>
      <c r="AP337" s="147">
        <f ca="1">INDEX(Photobiology!$21:$421,1+$AH337-380,AP$14)</f>
        <v>7.0658800000000001E-3</v>
      </c>
      <c r="AQ337" s="147">
        <f ca="1">INDEX(Photobiology!$21:$421,1+$AH337-380,AQ$14)</f>
        <v>2.336E-5</v>
      </c>
      <c r="AR337" s="147">
        <f ca="1">INDEX(Photobiology!$21:$421,1+$AH337-380,AR$14)</f>
        <v>3.1873899999999999E-6</v>
      </c>
      <c r="AS337" s="147">
        <f t="shared" si="112"/>
        <v>3440676290351399</v>
      </c>
      <c r="AT337" s="147" t="str">
        <f ca="1">INDEX(Photobiology!$21:$421,1+$AH337-380,AT$14)</f>
        <v/>
      </c>
      <c r="AU337" s="147">
        <f ca="1">INDEX(Photobiology!$21:$421,1+$AH337-380,AU$14)</f>
        <v>3.3786661044104421E-4</v>
      </c>
      <c r="AV337" s="147">
        <f ca="1">INDEX(Photobiology!$21:$421,1+$AH337-380,AV$14)</f>
        <v>5.7533322535194917E-3</v>
      </c>
      <c r="AW337" s="147">
        <f ca="1">INDEX(Photobiology!$21:$421,1+$AH337-380,AW$14)</f>
        <v>1.6966762356033617E-5</v>
      </c>
      <c r="AX337" s="147">
        <f ca="1">INDEX(Photobiology!$21:$421,1+$AH337-380,AX$14)</f>
        <v>2.2392973469818541E-6</v>
      </c>
      <c r="AY337" s="147">
        <f t="shared" si="99"/>
        <v>9.8172470943180151E-4</v>
      </c>
      <c r="AZ337" s="147">
        <f t="shared" ca="1" si="113"/>
        <v>0</v>
      </c>
      <c r="BA337" s="147">
        <f t="shared" ca="1" si="100"/>
        <v>4.2705712067579967E-7</v>
      </c>
      <c r="BB337" s="147">
        <f t="shared" ca="1" si="101"/>
        <v>6.936748989879978E-6</v>
      </c>
      <c r="BC337" s="147">
        <f t="shared" ca="1" si="102"/>
        <v>2.2933089212326883E-8</v>
      </c>
      <c r="BD337" s="147">
        <f t="shared" ca="1" si="103"/>
        <v>3.1291395215958297E-9</v>
      </c>
    </row>
    <row r="338" spans="8:56" s="147" customFormat="1" ht="0.25" customHeight="1" x14ac:dyDescent="0.2">
      <c r="H338" s="147">
        <f t="shared" si="104"/>
        <v>697</v>
      </c>
      <c r="I338" s="147">
        <f>IF($H338&gt;$H337,INDEX(Spectra!338:338,1,MATCH($I$20,Spectra!$20:$20,0)),I337)</f>
        <v>9.3990950158340898E-4</v>
      </c>
      <c r="J338" s="147">
        <f>((Physics!$C$9*Physics!$C$10)/(Physics!$C$11*Physics!$C$12*$H338))^($J$17-$J$18)</f>
        <v>3.5097617057665905E+18</v>
      </c>
      <c r="K338" s="147">
        <f t="shared" si="105"/>
        <v>1</v>
      </c>
      <c r="L338" s="147">
        <f>INDEX(Photobiology!$21:$421,1+$H338-380,10)</f>
        <v>4.9957960000000003E-3</v>
      </c>
      <c r="M338" s="147">
        <f t="shared" si="106"/>
        <v>9.3990950158340898E-4</v>
      </c>
      <c r="N338" s="147">
        <f ca="1">INDEX(Photobiology!$21:$421,1+$H338-380,N$14)</f>
        <v>0</v>
      </c>
      <c r="O338" s="147">
        <f ca="1">INDEX(Photobiology!$21:$421,1+$H338-380,O$14)</f>
        <v>4.0449000000000003E-4</v>
      </c>
      <c r="P338" s="147">
        <f ca="1">INDEX(Photobiology!$21:$421,1+$H338-380,P$14)</f>
        <v>6.5725200000000001E-3</v>
      </c>
      <c r="Q338" s="147">
        <f ca="1">INDEX(Photobiology!$21:$421,1+$H338-380,Q$14)</f>
        <v>2.1820000000000001E-5</v>
      </c>
      <c r="R338" s="147">
        <f ca="1">INDEX(Photobiology!$21:$421,1+$H338-380,R$14)</f>
        <v>2.9799800000000001E-6</v>
      </c>
      <c r="S338" s="147">
        <f t="shared" si="107"/>
        <v>3298858375543611.5</v>
      </c>
      <c r="T338" s="147" t="str">
        <f ca="1">INDEX(Photobiology!$21:$421,1+$H338-380,T$14)</f>
        <v/>
      </c>
      <c r="U338" s="147">
        <f ca="1">INDEX(Photobiology!$21:$421,1+$H338-380,U$14)</f>
        <v>3.1371355203964113E-4</v>
      </c>
      <c r="V338" s="147">
        <f ca="1">INDEX(Photobiology!$21:$421,1+$H338-380,V$14)</f>
        <v>5.3439400256006971E-3</v>
      </c>
      <c r="W338" s="147">
        <f ca="1">INDEX(Photobiology!$21:$421,1+$H338-380,W$14)</f>
        <v>1.5825496575810645E-5</v>
      </c>
      <c r="X338" s="147">
        <f ca="1">INDEX(Photobiology!$21:$421,1+$H338-380,X$14)</f>
        <v>2.0905779750853371E-6</v>
      </c>
      <c r="Y338" s="147">
        <f t="shared" si="94"/>
        <v>9.3990950158340898E-4</v>
      </c>
      <c r="Z338" s="147">
        <f t="shared" ca="1" si="108"/>
        <v>0</v>
      </c>
      <c r="AA338" s="147">
        <f t="shared" ca="1" si="95"/>
        <v>3.8018399429547314E-7</v>
      </c>
      <c r="AB338" s="147">
        <f t="shared" ca="1" si="96"/>
        <v>6.1775739973469874E-6</v>
      </c>
      <c r="AC338" s="147">
        <f t="shared" ca="1" si="97"/>
        <v>2.0508825324549984E-8</v>
      </c>
      <c r="AD338" s="147">
        <f t="shared" ca="1" si="98"/>
        <v>2.800911516528527E-9</v>
      </c>
      <c r="AH338" s="147">
        <f t="shared" si="109"/>
        <v>697</v>
      </c>
      <c r="AI338" s="147">
        <f>IF($AH338&gt;$AH337,INDEX(Spectra!338:338,1,MATCH($AI$20,Spectra!$20:$20,0)),AI337)</f>
        <v>71.0428</v>
      </c>
      <c r="AJ338" s="147">
        <f>((Physics!$C$9*Physics!$C$10)/(Physics!$C$11*Physics!$C$12*$AH338))^($AJ$17-$AJ$18)</f>
        <v>3.5097617057665905E+18</v>
      </c>
      <c r="AK338" s="147">
        <f t="shared" si="110"/>
        <v>1</v>
      </c>
      <c r="AL338" s="147">
        <f>INDEX(Photobiology!$21:$421,1+$AH338-380,10)</f>
        <v>4.9957960000000003E-3</v>
      </c>
      <c r="AM338" s="147">
        <f t="shared" si="111"/>
        <v>9.8434064678383157E-4</v>
      </c>
      <c r="AN338" s="147">
        <f ca="1">INDEX(Photobiology!$21:$421,1+$AH338-380,AN$14)</f>
        <v>0</v>
      </c>
      <c r="AO338" s="147">
        <f ca="1">INDEX(Photobiology!$21:$421,1+$AH338-380,AO$14)</f>
        <v>4.0449000000000003E-4</v>
      </c>
      <c r="AP338" s="147">
        <f ca="1">INDEX(Photobiology!$21:$421,1+$AH338-380,AP$14)</f>
        <v>6.5725200000000001E-3</v>
      </c>
      <c r="AQ338" s="147">
        <f ca="1">INDEX(Photobiology!$21:$421,1+$AH338-380,AQ$14)</f>
        <v>2.1820000000000001E-5</v>
      </c>
      <c r="AR338" s="147">
        <f ca="1">INDEX(Photobiology!$21:$421,1+$AH338-380,AR$14)</f>
        <v>2.9799800000000001E-6</v>
      </c>
      <c r="AS338" s="147">
        <f t="shared" si="112"/>
        <v>3454801107511409.5</v>
      </c>
      <c r="AT338" s="147" t="str">
        <f ca="1">INDEX(Photobiology!$21:$421,1+$AH338-380,AT$14)</f>
        <v/>
      </c>
      <c r="AU338" s="147">
        <f ca="1">INDEX(Photobiology!$21:$421,1+$AH338-380,AU$14)</f>
        <v>3.1371355203964113E-4</v>
      </c>
      <c r="AV338" s="147">
        <f ca="1">INDEX(Photobiology!$21:$421,1+$AH338-380,AV$14)</f>
        <v>5.3439400256006971E-3</v>
      </c>
      <c r="AW338" s="147">
        <f ca="1">INDEX(Photobiology!$21:$421,1+$AH338-380,AW$14)</f>
        <v>1.5825496575810645E-5</v>
      </c>
      <c r="AX338" s="147">
        <f ca="1">INDEX(Photobiology!$21:$421,1+$AH338-380,AX$14)</f>
        <v>2.0905779750853371E-6</v>
      </c>
      <c r="AY338" s="147">
        <f t="shared" si="99"/>
        <v>9.8434064678383157E-4</v>
      </c>
      <c r="AZ338" s="147">
        <f t="shared" ca="1" si="113"/>
        <v>0</v>
      </c>
      <c r="BA338" s="147">
        <f t="shared" ca="1" si="100"/>
        <v>3.9815594821759205E-7</v>
      </c>
      <c r="BB338" s="147">
        <f t="shared" ca="1" si="101"/>
        <v>6.4695985877996685E-6</v>
      </c>
      <c r="BC338" s="147">
        <f t="shared" ca="1" si="102"/>
        <v>2.1478312912823206E-8</v>
      </c>
      <c r="BD338" s="147">
        <f t="shared" ca="1" si="103"/>
        <v>2.9333154406028826E-9</v>
      </c>
    </row>
    <row r="339" spans="8:56" s="147" customFormat="1" ht="0.25" customHeight="1" x14ac:dyDescent="0.2">
      <c r="H339" s="147">
        <f t="shared" si="104"/>
        <v>698</v>
      </c>
      <c r="I339" s="147">
        <f>IF($H339&gt;$H338,INDEX(Spectra!339:339,1,MATCH($I$20,Spectra!$20:$20,0)),I338)</f>
        <v>9.44909020208853E-4</v>
      </c>
      <c r="J339" s="147">
        <f>((Physics!$C$9*Physics!$C$10)/(Physics!$C$11*Physics!$C$12*$H339))^($J$17-$J$18)</f>
        <v>3.5147972318867727E+18</v>
      </c>
      <c r="K339" s="147">
        <f t="shared" si="105"/>
        <v>1</v>
      </c>
      <c r="L339" s="147">
        <f>INDEX(Photobiology!$21:$421,1+$H339-380,10)</f>
        <v>4.6764040000000003E-3</v>
      </c>
      <c r="M339" s="147">
        <f t="shared" si="106"/>
        <v>9.44909020208853E-4</v>
      </c>
      <c r="N339" s="147">
        <f ca="1">INDEX(Photobiology!$21:$421,1+$H339-380,N$14)</f>
        <v>0</v>
      </c>
      <c r="O339" s="147">
        <f ca="1">INDEX(Photobiology!$21:$421,1+$H339-380,O$14)</f>
        <v>3.7613799999999998E-4</v>
      </c>
      <c r="P339" s="147">
        <f ca="1">INDEX(Photobiology!$21:$421,1+$H339-380,P$14)</f>
        <v>6.11262E-3</v>
      </c>
      <c r="Q339" s="147">
        <f ca="1">INDEX(Photobiology!$21:$421,1+$H339-380,Q$14)</f>
        <v>2.0380000000000001E-5</v>
      </c>
      <c r="R339" s="147">
        <f ca="1">INDEX(Photobiology!$21:$421,1+$H339-380,R$14)</f>
        <v>2.7860399999999999E-6</v>
      </c>
      <c r="S339" s="147">
        <f t="shared" si="107"/>
        <v>3321163608614919</v>
      </c>
      <c r="T339" s="147" t="str">
        <f ca="1">INDEX(Photobiology!$21:$421,1+$H339-380,T$14)</f>
        <v/>
      </c>
      <c r="U339" s="147">
        <f ca="1">INDEX(Photobiology!$21:$421,1+$H339-380,U$14)</f>
        <v>2.9130642089057962E-4</v>
      </c>
      <c r="V339" s="147">
        <f ca="1">INDEX(Photobiology!$21:$421,1+$H339-380,V$14)</f>
        <v>4.9628872951260261E-3</v>
      </c>
      <c r="W339" s="147">
        <f ca="1">INDEX(Photobiology!$21:$421,1+$H339-380,W$14)</f>
        <v>1.4759924472558075E-5</v>
      </c>
      <c r="X339" s="147">
        <f ca="1">INDEX(Photobiology!$21:$421,1+$H339-380,X$14)</f>
        <v>1.9517209513442462E-6</v>
      </c>
      <c r="Y339" s="147">
        <f t="shared" si="94"/>
        <v>9.44909020208853E-4</v>
      </c>
      <c r="Z339" s="147">
        <f t="shared" ca="1" si="108"/>
        <v>0</v>
      </c>
      <c r="AA339" s="147">
        <f t="shared" ca="1" si="95"/>
        <v>3.5541618904331751E-7</v>
      </c>
      <c r="AB339" s="147">
        <f t="shared" ca="1" si="96"/>
        <v>5.7758697751090388E-6</v>
      </c>
      <c r="AC339" s="147">
        <f t="shared" ca="1" si="97"/>
        <v>1.9257245831856427E-8</v>
      </c>
      <c r="AD339" s="147">
        <f t="shared" ca="1" si="98"/>
        <v>2.6325543266626728E-9</v>
      </c>
      <c r="AH339" s="147">
        <f t="shared" si="109"/>
        <v>698</v>
      </c>
      <c r="AI339" s="147">
        <f>IF($AH339&gt;$AH338,INDEX(Spectra!339:339,1,MATCH($AI$20,Spectra!$20:$20,0)),AI338)</f>
        <v>71.231499999999997</v>
      </c>
      <c r="AJ339" s="147">
        <f>((Physics!$C$9*Physics!$C$10)/(Physics!$C$11*Physics!$C$12*$AH339))^($AJ$17-$AJ$18)</f>
        <v>3.5147972318867727E+18</v>
      </c>
      <c r="AK339" s="147">
        <f t="shared" si="110"/>
        <v>1</v>
      </c>
      <c r="AL339" s="147">
        <f>INDEX(Photobiology!$21:$421,1+$AH339-380,10)</f>
        <v>4.6764040000000003E-3</v>
      </c>
      <c r="AM339" s="147">
        <f t="shared" si="111"/>
        <v>9.8695519857582318E-4</v>
      </c>
      <c r="AN339" s="147">
        <f ca="1">INDEX(Photobiology!$21:$421,1+$AH339-380,AN$14)</f>
        <v>0</v>
      </c>
      <c r="AO339" s="147">
        <f ca="1">INDEX(Photobiology!$21:$421,1+$AH339-380,AO$14)</f>
        <v>3.7613799999999998E-4</v>
      </c>
      <c r="AP339" s="147">
        <f ca="1">INDEX(Photobiology!$21:$421,1+$AH339-380,AP$14)</f>
        <v>6.11262E-3</v>
      </c>
      <c r="AQ339" s="147">
        <f ca="1">INDEX(Photobiology!$21:$421,1+$AH339-380,AQ$14)</f>
        <v>2.0380000000000001E-5</v>
      </c>
      <c r="AR339" s="147">
        <f ca="1">INDEX(Photobiology!$21:$421,1+$AH339-380,AR$14)</f>
        <v>2.7860399999999999E-6</v>
      </c>
      <c r="AS339" s="147">
        <f t="shared" si="112"/>
        <v>3468947399950563.5</v>
      </c>
      <c r="AT339" s="147" t="str">
        <f ca="1">INDEX(Photobiology!$21:$421,1+$AH339-380,AT$14)</f>
        <v/>
      </c>
      <c r="AU339" s="147">
        <f ca="1">INDEX(Photobiology!$21:$421,1+$AH339-380,AU$14)</f>
        <v>2.9130642089057962E-4</v>
      </c>
      <c r="AV339" s="147">
        <f ca="1">INDEX(Photobiology!$21:$421,1+$AH339-380,AV$14)</f>
        <v>4.9628872951260261E-3</v>
      </c>
      <c r="AW339" s="147">
        <f ca="1">INDEX(Photobiology!$21:$421,1+$AH339-380,AW$14)</f>
        <v>1.4759924472558075E-5</v>
      </c>
      <c r="AX339" s="147">
        <f ca="1">INDEX(Photobiology!$21:$421,1+$AH339-380,AX$14)</f>
        <v>1.9517209513442462E-6</v>
      </c>
      <c r="AY339" s="147">
        <f t="shared" si="99"/>
        <v>9.8695519857582318E-4</v>
      </c>
      <c r="AZ339" s="147">
        <f t="shared" ca="1" si="113"/>
        <v>0</v>
      </c>
      <c r="BA339" s="147">
        <f t="shared" ca="1" si="100"/>
        <v>3.7123135448191295E-7</v>
      </c>
      <c r="BB339" s="147">
        <f t="shared" ca="1" si="101"/>
        <v>6.0328820859185484E-6</v>
      </c>
      <c r="BC339" s="147">
        <f t="shared" ca="1" si="102"/>
        <v>2.0114146946975279E-8</v>
      </c>
      <c r="BD339" s="147">
        <f t="shared" ca="1" si="103"/>
        <v>2.7496966614401865E-9</v>
      </c>
    </row>
    <row r="340" spans="8:56" s="147" customFormat="1" ht="0.25" customHeight="1" x14ac:dyDescent="0.2">
      <c r="H340" s="147">
        <f t="shared" si="104"/>
        <v>699</v>
      </c>
      <c r="I340" s="147">
        <f>IF($H340&gt;$H339,INDEX(Spectra!340:340,1,MATCH($I$20,Spectra!$20:$20,0)),I339)</f>
        <v>9.3990950158340898E-4</v>
      </c>
      <c r="J340" s="147">
        <f>((Physics!$C$9*Physics!$C$10)/(Physics!$C$11*Physics!$C$12*$H340))^($J$17-$J$18)</f>
        <v>3.519832758006954E+18</v>
      </c>
      <c r="K340" s="147">
        <f t="shared" si="105"/>
        <v>1</v>
      </c>
      <c r="L340" s="147">
        <f>INDEX(Photobiology!$21:$421,1+$H340-380,10)</f>
        <v>4.3800749999999998E-3</v>
      </c>
      <c r="M340" s="147">
        <f t="shared" si="106"/>
        <v>9.3990950158340898E-4</v>
      </c>
      <c r="N340" s="147">
        <f ca="1">INDEX(Photobiology!$21:$421,1+$H340-380,N$14)</f>
        <v>0</v>
      </c>
      <c r="O340" s="147">
        <f ca="1">INDEX(Photobiology!$21:$421,1+$H340-380,O$14)</f>
        <v>3.4978400000000001E-4</v>
      </c>
      <c r="P340" s="147">
        <f ca="1">INDEX(Photobiology!$21:$421,1+$H340-380,P$14)</f>
        <v>5.6844E-3</v>
      </c>
      <c r="Q340" s="147">
        <f ca="1">INDEX(Photobiology!$21:$421,1+$H340-380,Q$14)</f>
        <v>1.9049999999999999E-5</v>
      </c>
      <c r="R340" s="147">
        <f ca="1">INDEX(Photobiology!$21:$421,1+$H340-380,R$14)</f>
        <v>2.6054800000000002E-6</v>
      </c>
      <c r="S340" s="147">
        <f t="shared" si="107"/>
        <v>3308324253235272</v>
      </c>
      <c r="T340" s="147" t="str">
        <f ca="1">INDEX(Photobiology!$21:$421,1+$H340-380,T$14)</f>
        <v/>
      </c>
      <c r="U340" s="147">
        <f ca="1">INDEX(Photobiology!$21:$421,1+$H340-380,U$14)</f>
        <v>2.7050857280596047E-4</v>
      </c>
      <c r="V340" s="147">
        <f ca="1">INDEX(Photobiology!$21:$421,1+$H340-380,V$14)</f>
        <v>4.6086093039863132E-3</v>
      </c>
      <c r="W340" s="147">
        <f ca="1">INDEX(Photobiology!$21:$421,1+$H340-380,W$14)</f>
        <v>1.3776953177127951E-5</v>
      </c>
      <c r="X340" s="147">
        <f ca="1">INDEX(Photobiology!$21:$421,1+$H340-380,X$14)</f>
        <v>1.8226209900536748E-6</v>
      </c>
      <c r="Y340" s="147">
        <f t="shared" si="94"/>
        <v>9.3990950158340898E-4</v>
      </c>
      <c r="Z340" s="147">
        <f t="shared" ca="1" si="108"/>
        <v>0</v>
      </c>
      <c r="AA340" s="147">
        <f t="shared" ca="1" si="95"/>
        <v>3.2876530510185112E-7</v>
      </c>
      <c r="AB340" s="147">
        <f t="shared" ca="1" si="96"/>
        <v>5.3428215708007299E-6</v>
      </c>
      <c r="AC340" s="147">
        <f t="shared" ca="1" si="97"/>
        <v>1.7905276005163939E-8</v>
      </c>
      <c r="AD340" s="147">
        <f t="shared" ca="1" si="98"/>
        <v>2.4489154081855407E-9</v>
      </c>
      <c r="AH340" s="147">
        <f t="shared" si="109"/>
        <v>699</v>
      </c>
      <c r="AI340" s="147">
        <f>IF($AH340&gt;$AH339,INDEX(Spectra!340:340,1,MATCH($AI$20,Spectra!$20:$20,0)),AI339)</f>
        <v>71.420299999999997</v>
      </c>
      <c r="AJ340" s="147">
        <f>((Physics!$C$9*Physics!$C$10)/(Physics!$C$11*Physics!$C$12*$AH340))^($AJ$17-$AJ$18)</f>
        <v>3.519832758006954E+18</v>
      </c>
      <c r="AK340" s="147">
        <f t="shared" si="110"/>
        <v>1</v>
      </c>
      <c r="AL340" s="147">
        <f>INDEX(Photobiology!$21:$421,1+$AH340-380,10)</f>
        <v>4.3800749999999998E-3</v>
      </c>
      <c r="AM340" s="147">
        <f t="shared" si="111"/>
        <v>9.8957113592785303E-4</v>
      </c>
      <c r="AN340" s="147">
        <f ca="1">INDEX(Photobiology!$21:$421,1+$AH340-380,AN$14)</f>
        <v>0</v>
      </c>
      <c r="AO340" s="147">
        <f ca="1">INDEX(Photobiology!$21:$421,1+$AH340-380,AO$14)</f>
        <v>3.4978400000000001E-4</v>
      </c>
      <c r="AP340" s="147">
        <f ca="1">INDEX(Photobiology!$21:$421,1+$AH340-380,AP$14)</f>
        <v>5.6844E-3</v>
      </c>
      <c r="AQ340" s="147">
        <f ca="1">INDEX(Photobiology!$21:$421,1+$AH340-380,AQ$14)</f>
        <v>1.9049999999999999E-5</v>
      </c>
      <c r="AR340" s="147">
        <f ca="1">INDEX(Photobiology!$21:$421,1+$AH340-380,AR$14)</f>
        <v>2.6054800000000002E-6</v>
      </c>
      <c r="AS340" s="147">
        <f t="shared" si="112"/>
        <v>3483124900617009.5</v>
      </c>
      <c r="AT340" s="147" t="str">
        <f ca="1">INDEX(Photobiology!$21:$421,1+$AH340-380,AT$14)</f>
        <v/>
      </c>
      <c r="AU340" s="147">
        <f ca="1">INDEX(Photobiology!$21:$421,1+$AH340-380,AU$14)</f>
        <v>2.7050857280596047E-4</v>
      </c>
      <c r="AV340" s="147">
        <f ca="1">INDEX(Photobiology!$21:$421,1+$AH340-380,AV$14)</f>
        <v>4.6086093039863132E-3</v>
      </c>
      <c r="AW340" s="147">
        <f ca="1">INDEX(Photobiology!$21:$421,1+$AH340-380,AW$14)</f>
        <v>1.3776953177127951E-5</v>
      </c>
      <c r="AX340" s="147">
        <f ca="1">INDEX(Photobiology!$21:$421,1+$AH340-380,AX$14)</f>
        <v>1.8226209900536748E-6</v>
      </c>
      <c r="AY340" s="147">
        <f t="shared" si="99"/>
        <v>9.8957113592785303E-4</v>
      </c>
      <c r="AZ340" s="147">
        <f t="shared" ca="1" si="113"/>
        <v>0</v>
      </c>
      <c r="BA340" s="147">
        <f t="shared" ca="1" si="100"/>
        <v>3.4613615020938814E-7</v>
      </c>
      <c r="BB340" s="147">
        <f t="shared" ca="1" si="101"/>
        <v>5.6251181650682881E-6</v>
      </c>
      <c r="BC340" s="147">
        <f t="shared" ca="1" si="102"/>
        <v>1.8851330139425601E-8</v>
      </c>
      <c r="BD340" s="147">
        <f t="shared" ca="1" si="103"/>
        <v>2.5783078032373025E-9</v>
      </c>
    </row>
    <row r="341" spans="8:56" s="147" customFormat="1" ht="0.25" customHeight="1" x14ac:dyDescent="0.2">
      <c r="H341" s="147">
        <f t="shared" si="104"/>
        <v>700</v>
      </c>
      <c r="I341" s="147">
        <f>IF($H341&gt;$H340,INDEX(Spectra!341:341,1,MATCH($I$20,Spectra!$20:$20,0)),I340)</f>
        <v>9.3490998295796496E-4</v>
      </c>
      <c r="J341" s="147">
        <f>((Physics!$C$9*Physics!$C$10)/(Physics!$C$11*Physics!$C$12*$H341))^($J$17-$J$18)</f>
        <v>3.5248682841271352E+18</v>
      </c>
      <c r="K341" s="147">
        <f t="shared" si="105"/>
        <v>1</v>
      </c>
      <c r="L341" s="147">
        <f>INDEX(Photobiology!$21:$421,1+$H341-380,10)</f>
        <v>4.1019999999999997E-3</v>
      </c>
      <c r="M341" s="147">
        <f t="shared" si="106"/>
        <v>9.3490998295796496E-4</v>
      </c>
      <c r="N341" s="147">
        <f ca="1">INDEX(Photobiology!$21:$421,1+$H341-380,N$14)</f>
        <v>0</v>
      </c>
      <c r="O341" s="147">
        <f ca="1">INDEX(Photobiology!$21:$421,1+$H341-380,O$14)</f>
        <v>3.2527800000000003E-4</v>
      </c>
      <c r="P341" s="147">
        <f ca="1">INDEX(Photobiology!$21:$421,1+$H341-380,P$14)</f>
        <v>5.2860700000000004E-3</v>
      </c>
      <c r="Q341" s="147">
        <f ca="1">INDEX(Photobiology!$21:$421,1+$H341-380,Q$14)</f>
        <v>1.7799999999999999E-5</v>
      </c>
      <c r="R341" s="147">
        <f ca="1">INDEX(Photobiology!$21:$421,1+$H341-380,R$14)</f>
        <v>2.4381899999999999E-6</v>
      </c>
      <c r="S341" s="147">
        <f t="shared" si="107"/>
        <v>3295434547442371</v>
      </c>
      <c r="T341" s="147" t="str">
        <f ca="1">INDEX(Photobiology!$21:$421,1+$H341-380,T$14)</f>
        <v/>
      </c>
      <c r="U341" s="147">
        <f ca="1">INDEX(Photobiology!$21:$421,1+$H341-380,U$14)</f>
        <v>2.5119727274170377E-4</v>
      </c>
      <c r="V341" s="147">
        <f ca="1">INDEX(Photobiology!$21:$421,1+$H341-380,V$14)</f>
        <v>4.2795421396610595E-3</v>
      </c>
      <c r="W341" s="147">
        <f ca="1">INDEX(Photobiology!$21:$421,1+$H341-380,W$14)</f>
        <v>1.2854563691073219E-5</v>
      </c>
      <c r="X341" s="147">
        <f ca="1">INDEX(Photobiology!$21:$421,1+$H341-380,X$14)</f>
        <v>1.7031594364545601E-6</v>
      </c>
      <c r="Y341" s="147">
        <f t="shared" ref="Y341:Y404" si="114">IF(TRUE,M341,S341)</f>
        <v>9.3490998295796496E-4</v>
      </c>
      <c r="Z341" s="147">
        <f t="shared" ca="1" si="108"/>
        <v>0</v>
      </c>
      <c r="AA341" s="147">
        <f t="shared" ref="AA341:AA404" ca="1" si="115">$Y341*O341</f>
        <v>3.0410564943660094E-7</v>
      </c>
      <c r="AB341" s="147">
        <f t="shared" ref="AB341:AB404" ca="1" si="116">$Y341*P341</f>
        <v>4.9419996136146101E-6</v>
      </c>
      <c r="AC341" s="147">
        <f t="shared" ref="AC341:AC404" ca="1" si="117">$Y341*Q341</f>
        <v>1.6641397696651774E-8</v>
      </c>
      <c r="AD341" s="147">
        <f t="shared" ref="AD341:AD404" ca="1" si="118">$Y341*R341</f>
        <v>2.2794881713482807E-9</v>
      </c>
      <c r="AH341" s="147">
        <f t="shared" si="109"/>
        <v>700</v>
      </c>
      <c r="AI341" s="147">
        <f>IF($AH341&gt;$AH340,INDEX(Spectra!341:341,1,MATCH($AI$20,Spectra!$20:$20,0)),AI340)</f>
        <v>71.609099999999998</v>
      </c>
      <c r="AJ341" s="147">
        <f>((Physics!$C$9*Physics!$C$10)/(Physics!$C$11*Physics!$C$12*$AH341))^($AJ$17-$AJ$18)</f>
        <v>3.5248682841271352E+18</v>
      </c>
      <c r="AK341" s="147">
        <f t="shared" si="110"/>
        <v>1</v>
      </c>
      <c r="AL341" s="147">
        <f>INDEX(Photobiology!$21:$421,1+$AH341-380,10)</f>
        <v>4.1019999999999997E-3</v>
      </c>
      <c r="AM341" s="147">
        <f t="shared" si="111"/>
        <v>9.9218707327988287E-4</v>
      </c>
      <c r="AN341" s="147">
        <f ca="1">INDEX(Photobiology!$21:$421,1+$AH341-380,AN$14)</f>
        <v>0</v>
      </c>
      <c r="AO341" s="147">
        <f ca="1">INDEX(Photobiology!$21:$421,1+$AH341-380,AO$14)</f>
        <v>3.2527800000000003E-4</v>
      </c>
      <c r="AP341" s="147">
        <f ca="1">INDEX(Photobiology!$21:$421,1+$AH341-380,AP$14)</f>
        <v>5.2860700000000004E-3</v>
      </c>
      <c r="AQ341" s="147">
        <f ca="1">INDEX(Photobiology!$21:$421,1+$AH341-380,AQ$14)</f>
        <v>1.7799999999999999E-5</v>
      </c>
      <c r="AR341" s="147">
        <f ca="1">INDEX(Photobiology!$21:$421,1+$AH341-380,AR$14)</f>
        <v>2.4381899999999999E-6</v>
      </c>
      <c r="AS341" s="147">
        <f t="shared" si="112"/>
        <v>3497328746525185</v>
      </c>
      <c r="AT341" s="147" t="str">
        <f ca="1">INDEX(Photobiology!$21:$421,1+$AH341-380,AT$14)</f>
        <v/>
      </c>
      <c r="AU341" s="147">
        <f ca="1">INDEX(Photobiology!$21:$421,1+$AH341-380,AU$14)</f>
        <v>2.5119727274170377E-4</v>
      </c>
      <c r="AV341" s="147">
        <f ca="1">INDEX(Photobiology!$21:$421,1+$AH341-380,AV$14)</f>
        <v>4.2795421396610595E-3</v>
      </c>
      <c r="AW341" s="147">
        <f ca="1">INDEX(Photobiology!$21:$421,1+$AH341-380,AW$14)</f>
        <v>1.2854563691073219E-5</v>
      </c>
      <c r="AX341" s="147">
        <f ca="1">INDEX(Photobiology!$21:$421,1+$AH341-380,AX$14)</f>
        <v>1.7031594364545601E-6</v>
      </c>
      <c r="AY341" s="147">
        <f t="shared" ref="AY341:AY404" si="119">IF(TRUE,AM341,AS341)</f>
        <v>9.9218707327988287E-4</v>
      </c>
      <c r="AZ341" s="147">
        <f t="shared" ca="1" si="113"/>
        <v>0</v>
      </c>
      <c r="BA341" s="147">
        <f t="shared" ref="BA341:BA404" ca="1" si="120">$AY341*AO341</f>
        <v>3.2273662682233376E-7</v>
      </c>
      <c r="BB341" s="147">
        <f t="shared" ref="BB341:BB404" ca="1" si="121">$AY341*AP341</f>
        <v>5.2447703224525908E-6</v>
      </c>
      <c r="BC341" s="147">
        <f t="shared" ref="BC341:BC404" ca="1" si="122">$AY341*AQ341</f>
        <v>1.7660929904381914E-8</v>
      </c>
      <c r="BD341" s="147">
        <f t="shared" ref="BD341:BD404" ca="1" si="123">$AY341*AR341</f>
        <v>2.4191406002002776E-9</v>
      </c>
    </row>
    <row r="342" spans="8:56" s="147" customFormat="1" ht="0.25" customHeight="1" x14ac:dyDescent="0.2">
      <c r="H342" s="147">
        <f t="shared" ref="H342:H405" si="124">MIN(780,H341+$J$14)</f>
        <v>701</v>
      </c>
      <c r="I342" s="147">
        <f>IF($H342&gt;$H341,INDEX(Spectra!342:342,1,MATCH($I$20,Spectra!$20:$20,0)),I341)</f>
        <v>9.2991046433252202E-4</v>
      </c>
      <c r="J342" s="147">
        <f>((Physics!$C$9*Physics!$C$10)/(Physics!$C$11*Physics!$C$12*$H342))^($J$17-$J$18)</f>
        <v>3.5299038102473175E+18</v>
      </c>
      <c r="K342" s="147">
        <f t="shared" ref="K342:K405" si="125">(H342&lt;&gt;H341)*1</f>
        <v>1</v>
      </c>
      <c r="L342" s="147">
        <f>INDEX(Photobiology!$21:$421,1+$H342-380,10)</f>
        <v>3.8384529999999999E-3</v>
      </c>
      <c r="M342" s="147">
        <f t="shared" ref="M342:M405" si="126">$I342*$J$15*IF($J$18,1,$J342)</f>
        <v>9.2991046433252202E-4</v>
      </c>
      <c r="N342" s="147">
        <f ca="1">INDEX(Photobiology!$21:$421,1+$H342-380,N$14)</f>
        <v>0</v>
      </c>
      <c r="O342" s="147">
        <f ca="1">INDEX(Photobiology!$21:$421,1+$H342-380,O$14)</f>
        <v>3.02477E-4</v>
      </c>
      <c r="P342" s="147">
        <f ca="1">INDEX(Photobiology!$21:$421,1+$H342-380,P$14)</f>
        <v>4.9157300000000001E-3</v>
      </c>
      <c r="Q342" s="147">
        <f ca="1">INDEX(Photobiology!$21:$421,1+$H342-380,Q$14)</f>
        <v>1.664E-5</v>
      </c>
      <c r="R342" s="147">
        <f ca="1">INDEX(Photobiology!$21:$421,1+$H342-380,R$14)</f>
        <v>2.28225E-6</v>
      </c>
      <c r="S342" s="147">
        <f t="shared" ref="S342:S405" si="127">$I342*$J$15*IF($J$17,1,$J342)</f>
        <v>3282494491236221.5</v>
      </c>
      <c r="T342" s="147" t="str">
        <f ca="1">INDEX(Photobiology!$21:$421,1+$H342-380,T$14)</f>
        <v/>
      </c>
      <c r="U342" s="147">
        <f ca="1">INDEX(Photobiology!$21:$421,1+$H342-380,U$14)</f>
        <v>2.3325588406360179E-4</v>
      </c>
      <c r="V342" s="147">
        <f ca="1">INDEX(Photobiology!$21:$421,1+$H342-380,V$14)</f>
        <v>3.9740418858152226E-3</v>
      </c>
      <c r="W342" s="147">
        <f ca="1">INDEX(Photobiology!$21:$421,1+$H342-380,W$14)</f>
        <v>1.1999708111495685E-5</v>
      </c>
      <c r="X342" s="147">
        <f ca="1">INDEX(Photobiology!$21:$421,1+$H342-380,X$14)</f>
        <v>1.5919557693304518E-6</v>
      </c>
      <c r="Y342" s="147">
        <f t="shared" si="114"/>
        <v>9.2991046433252202E-4</v>
      </c>
      <c r="Z342" s="147">
        <f t="shared" ref="Z342:Z405" ca="1" si="128">$Y342*N342</f>
        <v>0</v>
      </c>
      <c r="AA342" s="147">
        <f t="shared" ca="1" si="115"/>
        <v>2.8127652751990828E-7</v>
      </c>
      <c r="AB342" s="147">
        <f t="shared" ca="1" si="116"/>
        <v>4.571188766833309E-6</v>
      </c>
      <c r="AC342" s="147">
        <f t="shared" ca="1" si="117"/>
        <v>1.5473710126493168E-8</v>
      </c>
      <c r="AD342" s="147">
        <f t="shared" ca="1" si="118"/>
        <v>2.1222881572228985E-9</v>
      </c>
      <c r="AH342" s="147">
        <f t="shared" ref="AH342:AH405" si="129">MIN(780,AH341+$AJ$14)</f>
        <v>701</v>
      </c>
      <c r="AI342" s="147">
        <f>IF($AH342&gt;$AH341,INDEX(Spectra!342:342,1,MATCH($AI$20,Spectra!$20:$20,0)),AI341)</f>
        <v>71.883099999999999</v>
      </c>
      <c r="AJ342" s="147">
        <f>((Physics!$C$9*Physics!$C$10)/(Physics!$C$11*Physics!$C$12*$AH342))^($AJ$17-$AJ$18)</f>
        <v>3.5299038102473175E+18</v>
      </c>
      <c r="AK342" s="147">
        <f t="shared" ref="AK342:AK405" si="130">(AH342&lt;&gt;AH341)*1</f>
        <v>1</v>
      </c>
      <c r="AL342" s="147">
        <f>INDEX(Photobiology!$21:$421,1+$AH342-380,10)</f>
        <v>3.8384529999999999E-3</v>
      </c>
      <c r="AM342" s="147">
        <f t="shared" ref="AM342:AM405" si="131">$AI342*$AJ$15*IF($AJ$18,1,$AJ342)</f>
        <v>9.9598350778441779E-4</v>
      </c>
      <c r="AN342" s="147">
        <f ca="1">INDEX(Photobiology!$21:$421,1+$AH342-380,AN$14)</f>
        <v>0</v>
      </c>
      <c r="AO342" s="147">
        <f ca="1">INDEX(Photobiology!$21:$421,1+$AH342-380,AO$14)</f>
        <v>3.02477E-4</v>
      </c>
      <c r="AP342" s="147">
        <f ca="1">INDEX(Photobiology!$21:$421,1+$AH342-380,AP$14)</f>
        <v>4.9157300000000001E-3</v>
      </c>
      <c r="AQ342" s="147">
        <f ca="1">INDEX(Photobiology!$21:$421,1+$AH342-380,AQ$14)</f>
        <v>1.664E-5</v>
      </c>
      <c r="AR342" s="147">
        <f ca="1">INDEX(Photobiology!$21:$421,1+$AH342-380,AR$14)</f>
        <v>2.28225E-6</v>
      </c>
      <c r="AS342" s="147">
        <f t="shared" ref="AS342:AS405" si="132">$AI342*$AJ$15*IF($AJ$17,1,$AJ342)</f>
        <v>3515725979071705</v>
      </c>
      <c r="AT342" s="147" t="str">
        <f ca="1">INDEX(Photobiology!$21:$421,1+$AH342-380,AT$14)</f>
        <v/>
      </c>
      <c r="AU342" s="147">
        <f ca="1">INDEX(Photobiology!$21:$421,1+$AH342-380,AU$14)</f>
        <v>2.3325588406360179E-4</v>
      </c>
      <c r="AV342" s="147">
        <f ca="1">INDEX(Photobiology!$21:$421,1+$AH342-380,AV$14)</f>
        <v>3.9740418858152226E-3</v>
      </c>
      <c r="AW342" s="147">
        <f ca="1">INDEX(Photobiology!$21:$421,1+$AH342-380,AW$14)</f>
        <v>1.1999708111495685E-5</v>
      </c>
      <c r="AX342" s="147">
        <f ca="1">INDEX(Photobiology!$21:$421,1+$AH342-380,AX$14)</f>
        <v>1.5919557693304518E-6</v>
      </c>
      <c r="AY342" s="147">
        <f t="shared" si="119"/>
        <v>9.9598350778441779E-4</v>
      </c>
      <c r="AZ342" s="147">
        <f t="shared" ref="AZ342:AZ405" ca="1" si="133">$AY342*AN342</f>
        <v>0</v>
      </c>
      <c r="BA342" s="147">
        <f t="shared" ca="1" si="120"/>
        <v>3.0126210348410733E-7</v>
      </c>
      <c r="BB342" s="147">
        <f t="shared" ca="1" si="121"/>
        <v>4.8959860087210964E-6</v>
      </c>
      <c r="BC342" s="147">
        <f t="shared" ca="1" si="122"/>
        <v>1.6573165569532713E-8</v>
      </c>
      <c r="BD342" s="147">
        <f t="shared" ca="1" si="123"/>
        <v>2.2730833606409875E-9</v>
      </c>
    </row>
    <row r="343" spans="8:56" s="147" customFormat="1" ht="0.25" customHeight="1" x14ac:dyDescent="0.2">
      <c r="H343" s="147">
        <f t="shared" si="124"/>
        <v>702</v>
      </c>
      <c r="I343" s="147">
        <f>IF($H343&gt;$H342,INDEX(Spectra!343:343,1,MATCH($I$20,Spectra!$20:$20,0)),I342)</f>
        <v>9.3490998295796496E-4</v>
      </c>
      <c r="J343" s="147">
        <f>((Physics!$C$9*Physics!$C$10)/(Physics!$C$11*Physics!$C$12*$H343))^($J$17-$J$18)</f>
        <v>3.5349393363674993E+18</v>
      </c>
      <c r="K343" s="147">
        <f t="shared" si="125"/>
        <v>1</v>
      </c>
      <c r="L343" s="147">
        <f>INDEX(Photobiology!$21:$421,1+$H343-380,10)</f>
        <v>3.5890990000000001E-3</v>
      </c>
      <c r="M343" s="147">
        <f t="shared" si="126"/>
        <v>9.3490998295796496E-4</v>
      </c>
      <c r="N343" s="147">
        <f ca="1">INDEX(Photobiology!$21:$421,1+$H343-380,N$14)</f>
        <v>0</v>
      </c>
      <c r="O343" s="147">
        <f ca="1">INDEX(Photobiology!$21:$421,1+$H343-380,O$14)</f>
        <v>2.8123699999999999E-4</v>
      </c>
      <c r="P343" s="147">
        <f ca="1">INDEX(Photobiology!$21:$421,1+$H343-380,P$14)</f>
        <v>4.5708600000000004E-3</v>
      </c>
      <c r="Q343" s="147">
        <f ca="1">INDEX(Photobiology!$21:$421,1+$H343-380,Q$14)</f>
        <v>1.556E-5</v>
      </c>
      <c r="R343" s="147">
        <f ca="1">INDEX(Photobiology!$21:$421,1+$H343-380,R$14)</f>
        <v>2.1357999999999999E-6</v>
      </c>
      <c r="S343" s="147">
        <f t="shared" si="127"/>
        <v>3304850074720778.5</v>
      </c>
      <c r="T343" s="147" t="str">
        <f ca="1">INDEX(Photobiology!$21:$421,1+$H343-380,T$14)</f>
        <v/>
      </c>
      <c r="U343" s="147">
        <f ca="1">INDEX(Photobiology!$21:$421,1+$H343-380,U$14)</f>
        <v>2.1656766467969643E-4</v>
      </c>
      <c r="V343" s="147">
        <f ca="1">INDEX(Photobiology!$21:$421,1+$H343-380,V$14)</f>
        <v>3.689973478253874E-3</v>
      </c>
      <c r="W343" s="147">
        <f ca="1">INDEX(Photobiology!$21:$421,1+$H343-380,W$14)</f>
        <v>1.1204896741506571E-5</v>
      </c>
      <c r="X343" s="147">
        <f ca="1">INDEX(Photobiology!$21:$421,1+$H343-380,X$14)</f>
        <v>1.4876791263353292E-6</v>
      </c>
      <c r="Y343" s="147">
        <f t="shared" si="114"/>
        <v>9.3490998295796496E-4</v>
      </c>
      <c r="Z343" s="147">
        <f t="shared" ca="1" si="128"/>
        <v>0</v>
      </c>
      <c r="AA343" s="147">
        <f t="shared" ca="1" si="115"/>
        <v>2.6293127887714917E-7</v>
      </c>
      <c r="AB343" s="147">
        <f t="shared" ca="1" si="116"/>
        <v>4.2733426447032444E-6</v>
      </c>
      <c r="AC343" s="147">
        <f t="shared" ca="1" si="117"/>
        <v>1.4547199334825935E-8</v>
      </c>
      <c r="AD343" s="147">
        <f t="shared" ca="1" si="118"/>
        <v>1.9967807416016216E-9</v>
      </c>
      <c r="AH343" s="147">
        <f t="shared" si="129"/>
        <v>702</v>
      </c>
      <c r="AI343" s="147">
        <f>IF($AH343&gt;$AH342,INDEX(Spectra!343:343,1,MATCH($AI$20,Spectra!$20:$20,0)),AI342)</f>
        <v>72.1571</v>
      </c>
      <c r="AJ343" s="147">
        <f>((Physics!$C$9*Physics!$C$10)/(Physics!$C$11*Physics!$C$12*$AH343))^($AJ$17-$AJ$18)</f>
        <v>3.5349393363674993E+18</v>
      </c>
      <c r="AK343" s="147">
        <f t="shared" si="130"/>
        <v>1</v>
      </c>
      <c r="AL343" s="147">
        <f>INDEX(Photobiology!$21:$421,1+$AH343-380,10)</f>
        <v>3.5890990000000001E-3</v>
      </c>
      <c r="AM343" s="147">
        <f t="shared" si="131"/>
        <v>9.9977994228895271E-4</v>
      </c>
      <c r="AN343" s="147">
        <f ca="1">INDEX(Photobiology!$21:$421,1+$AH343-380,AN$14)</f>
        <v>0</v>
      </c>
      <c r="AO343" s="147">
        <f ca="1">INDEX(Photobiology!$21:$421,1+$AH343-380,AO$14)</f>
        <v>2.8123699999999999E-4</v>
      </c>
      <c r="AP343" s="147">
        <f ca="1">INDEX(Photobiology!$21:$421,1+$AH343-380,AP$14)</f>
        <v>4.5708600000000004E-3</v>
      </c>
      <c r="AQ343" s="147">
        <f ca="1">INDEX(Photobiology!$21:$421,1+$AH343-380,AQ$14)</f>
        <v>1.556E-5</v>
      </c>
      <c r="AR343" s="147">
        <f ca="1">INDEX(Photobiology!$21:$421,1+$AH343-380,AR$14)</f>
        <v>2.1357999999999999E-6</v>
      </c>
      <c r="AS343" s="147">
        <f t="shared" si="132"/>
        <v>3534161445708447</v>
      </c>
      <c r="AT343" s="147" t="str">
        <f ca="1">INDEX(Photobiology!$21:$421,1+$AH343-380,AT$14)</f>
        <v/>
      </c>
      <c r="AU343" s="147">
        <f ca="1">INDEX(Photobiology!$21:$421,1+$AH343-380,AU$14)</f>
        <v>2.1656766467969643E-4</v>
      </c>
      <c r="AV343" s="147">
        <f ca="1">INDEX(Photobiology!$21:$421,1+$AH343-380,AV$14)</f>
        <v>3.689973478253874E-3</v>
      </c>
      <c r="AW343" s="147">
        <f ca="1">INDEX(Photobiology!$21:$421,1+$AH343-380,AW$14)</f>
        <v>1.1204896741506571E-5</v>
      </c>
      <c r="AX343" s="147">
        <f ca="1">INDEX(Photobiology!$21:$421,1+$AH343-380,AX$14)</f>
        <v>1.4876791263353292E-6</v>
      </c>
      <c r="AY343" s="147">
        <f t="shared" si="119"/>
        <v>9.9977994228895271E-4</v>
      </c>
      <c r="AZ343" s="147">
        <f t="shared" ca="1" si="133"/>
        <v>0</v>
      </c>
      <c r="BA343" s="147">
        <f t="shared" ca="1" si="120"/>
        <v>2.811751116295182E-7</v>
      </c>
      <c r="BB343" s="147">
        <f t="shared" ca="1" si="121"/>
        <v>4.5698541470108825E-6</v>
      </c>
      <c r="BC343" s="147">
        <f t="shared" ca="1" si="122"/>
        <v>1.5556575902016104E-8</v>
      </c>
      <c r="BD343" s="147">
        <f t="shared" ca="1" si="123"/>
        <v>2.1353300007407451E-9</v>
      </c>
    </row>
    <row r="344" spans="8:56" s="147" customFormat="1" ht="0.25" customHeight="1" x14ac:dyDescent="0.2">
      <c r="H344" s="147">
        <f t="shared" si="124"/>
        <v>703</v>
      </c>
      <c r="I344" s="147">
        <f>IF($H344&gt;$H343,INDEX(Spectra!344:344,1,MATCH($I$20,Spectra!$20:$20,0)),I343)</f>
        <v>9.44909020208853E-4</v>
      </c>
      <c r="J344" s="147">
        <f>((Physics!$C$9*Physics!$C$10)/(Physics!$C$11*Physics!$C$12*$H344))^($J$17-$J$18)</f>
        <v>3.539974862487681E+18</v>
      </c>
      <c r="K344" s="147">
        <f t="shared" si="125"/>
        <v>1</v>
      </c>
      <c r="L344" s="147">
        <f>INDEX(Photobiology!$21:$421,1+$H344-380,10)</f>
        <v>3.3542189999999999E-3</v>
      </c>
      <c r="M344" s="147">
        <f t="shared" si="126"/>
        <v>9.44909020208853E-4</v>
      </c>
      <c r="N344" s="147">
        <f ca="1">INDEX(Photobiology!$21:$421,1+$H344-380,N$14)</f>
        <v>0</v>
      </c>
      <c r="O344" s="147">
        <f ca="1">INDEX(Photobiology!$21:$421,1+$H344-380,O$14)</f>
        <v>2.61427E-4</v>
      </c>
      <c r="P344" s="147">
        <f ca="1">INDEX(Photobiology!$21:$421,1+$H344-380,P$14)</f>
        <v>4.2490799999999997E-3</v>
      </c>
      <c r="Q344" s="147">
        <f ca="1">INDEX(Photobiology!$21:$421,1+$H344-380,Q$14)</f>
        <v>1.454E-5</v>
      </c>
      <c r="R344" s="147">
        <f ca="1">INDEX(Photobiology!$21:$421,1+$H344-380,R$14)</f>
        <v>1.9987399999999999E-6</v>
      </c>
      <c r="S344" s="147">
        <f t="shared" si="127"/>
        <v>3344954178877204</v>
      </c>
      <c r="T344" s="147" t="str">
        <f ca="1">INDEX(Photobiology!$21:$421,1+$H344-380,T$14)</f>
        <v/>
      </c>
      <c r="U344" s="147">
        <f ca="1">INDEX(Photobiology!$21:$421,1+$H344-380,U$14)</f>
        <v>2.0102653321037457E-4</v>
      </c>
      <c r="V344" s="147">
        <f ca="1">INDEX(Photobiology!$21:$421,1+$H344-380,V$14)</f>
        <v>3.4253268598119129E-3</v>
      </c>
      <c r="W344" s="147">
        <f ca="1">INDEX(Photobiology!$21:$421,1+$H344-380,W$14)</f>
        <v>1.0455491652767691E-5</v>
      </c>
      <c r="X344" s="147">
        <f ca="1">INDEX(Photobiology!$21:$421,1+$H344-380,X$14)</f>
        <v>1.3902303915715893E-6</v>
      </c>
      <c r="Y344" s="147">
        <f t="shared" si="114"/>
        <v>9.44909020208853E-4</v>
      </c>
      <c r="Z344" s="147">
        <f t="shared" ca="1" si="128"/>
        <v>0</v>
      </c>
      <c r="AA344" s="147">
        <f t="shared" ca="1" si="115"/>
        <v>2.4702473042613979E-7</v>
      </c>
      <c r="AB344" s="147">
        <f t="shared" ca="1" si="116"/>
        <v>4.0149940195890327E-6</v>
      </c>
      <c r="AC344" s="147">
        <f t="shared" ca="1" si="117"/>
        <v>1.3738977153836722E-8</v>
      </c>
      <c r="AD344" s="147">
        <f t="shared" ca="1" si="118"/>
        <v>1.8886274550522425E-9</v>
      </c>
      <c r="AH344" s="147">
        <f t="shared" si="129"/>
        <v>703</v>
      </c>
      <c r="AI344" s="147">
        <f>IF($AH344&gt;$AH343,INDEX(Spectra!344:344,1,MATCH($AI$20,Spectra!$20:$20,0)),AI343)</f>
        <v>72.431100000000001</v>
      </c>
      <c r="AJ344" s="147">
        <f>((Physics!$C$9*Physics!$C$10)/(Physics!$C$11*Physics!$C$12*$AH344))^($AJ$17-$AJ$18)</f>
        <v>3.539974862487681E+18</v>
      </c>
      <c r="AK344" s="147">
        <f t="shared" si="130"/>
        <v>1</v>
      </c>
      <c r="AL344" s="147">
        <f>INDEX(Photobiology!$21:$421,1+$AH344-380,10)</f>
        <v>3.3542189999999999E-3</v>
      </c>
      <c r="AM344" s="147">
        <f t="shared" si="131"/>
        <v>1.0035763767934876E-3</v>
      </c>
      <c r="AN344" s="147">
        <f ca="1">INDEX(Photobiology!$21:$421,1+$AH344-380,AN$14)</f>
        <v>0</v>
      </c>
      <c r="AO344" s="147">
        <f ca="1">INDEX(Photobiology!$21:$421,1+$AH344-380,AO$14)</f>
        <v>2.61427E-4</v>
      </c>
      <c r="AP344" s="147">
        <f ca="1">INDEX(Photobiology!$21:$421,1+$AH344-380,AP$14)</f>
        <v>4.2490799999999997E-3</v>
      </c>
      <c r="AQ344" s="147">
        <f ca="1">INDEX(Photobiology!$21:$421,1+$AH344-380,AQ$14)</f>
        <v>1.454E-5</v>
      </c>
      <c r="AR344" s="147">
        <f ca="1">INDEX(Photobiology!$21:$421,1+$AH344-380,AR$14)</f>
        <v>1.9987399999999999E-6</v>
      </c>
      <c r="AS344" s="147">
        <f t="shared" si="132"/>
        <v>3552635146435411.5</v>
      </c>
      <c r="AT344" s="147" t="str">
        <f ca="1">INDEX(Photobiology!$21:$421,1+$AH344-380,AT$14)</f>
        <v/>
      </c>
      <c r="AU344" s="147">
        <f ca="1">INDEX(Photobiology!$21:$421,1+$AH344-380,AU$14)</f>
        <v>2.0102653321037457E-4</v>
      </c>
      <c r="AV344" s="147">
        <f ca="1">INDEX(Photobiology!$21:$421,1+$AH344-380,AV$14)</f>
        <v>3.4253268598119129E-3</v>
      </c>
      <c r="AW344" s="147">
        <f ca="1">INDEX(Photobiology!$21:$421,1+$AH344-380,AW$14)</f>
        <v>1.0455491652767691E-5</v>
      </c>
      <c r="AX344" s="147">
        <f ca="1">INDEX(Photobiology!$21:$421,1+$AH344-380,AX$14)</f>
        <v>1.3902303915715893E-6</v>
      </c>
      <c r="AY344" s="147">
        <f t="shared" si="119"/>
        <v>1.0035763767934876E-3</v>
      </c>
      <c r="AZ344" s="147">
        <f t="shared" ca="1" si="133"/>
        <v>0</v>
      </c>
      <c r="BA344" s="147">
        <f t="shared" ca="1" si="120"/>
        <v>2.6236196145599108E-7</v>
      </c>
      <c r="BB344" s="147">
        <f t="shared" ca="1" si="121"/>
        <v>4.2642763111056717E-6</v>
      </c>
      <c r="BC344" s="147">
        <f t="shared" ca="1" si="122"/>
        <v>1.459200051857731E-8</v>
      </c>
      <c r="BD344" s="147">
        <f t="shared" ca="1" si="123"/>
        <v>2.0058882473522154E-9</v>
      </c>
    </row>
    <row r="345" spans="8:56" s="147" customFormat="1" ht="0.25" customHeight="1" x14ac:dyDescent="0.2">
      <c r="H345" s="147">
        <f t="shared" si="124"/>
        <v>704</v>
      </c>
      <c r="I345" s="147">
        <f>IF($H345&gt;$H344,INDEX(Spectra!345:345,1,MATCH($I$20,Spectra!$20:$20,0)),I344)</f>
        <v>9.4990853883429604E-4</v>
      </c>
      <c r="J345" s="147">
        <f>((Physics!$C$9*Physics!$C$10)/(Physics!$C$11*Physics!$C$12*$H345))^($J$17-$J$18)</f>
        <v>3.5450103886078623E+18</v>
      </c>
      <c r="K345" s="147">
        <f t="shared" si="125"/>
        <v>1</v>
      </c>
      <c r="L345" s="147">
        <f>INDEX(Photobiology!$21:$421,1+$H345-380,10)</f>
        <v>3.1340930000000001E-3</v>
      </c>
      <c r="M345" s="147">
        <f t="shared" si="126"/>
        <v>9.4990853883429604E-4</v>
      </c>
      <c r="N345" s="147">
        <f ca="1">INDEX(Photobiology!$21:$421,1+$H345-380,N$14)</f>
        <v>0</v>
      </c>
      <c r="O345" s="147">
        <f ca="1">INDEX(Photobiology!$21:$421,1+$H345-380,O$14)</f>
        <v>2.4293000000000001E-4</v>
      </c>
      <c r="P345" s="147">
        <f ca="1">INDEX(Photobiology!$21:$421,1+$H345-380,P$14)</f>
        <v>3.94832E-3</v>
      </c>
      <c r="Q345" s="147">
        <f ca="1">INDEX(Photobiology!$21:$421,1+$H345-380,Q$14)</f>
        <v>1.36E-5</v>
      </c>
      <c r="R345" s="147">
        <f ca="1">INDEX(Photobiology!$21:$421,1+$H345-380,R$14)</f>
        <v>1.87101E-6</v>
      </c>
      <c r="S345" s="147">
        <f t="shared" si="127"/>
        <v>3367435638394894.5</v>
      </c>
      <c r="T345" s="147" t="str">
        <f ca="1">INDEX(Photobiology!$21:$421,1+$H345-380,T$14)</f>
        <v/>
      </c>
      <c r="U345" s="147">
        <f ca="1">INDEX(Photobiology!$21:$421,1+$H345-380,U$14)</f>
        <v>1.8653776113938526E-4</v>
      </c>
      <c r="V345" s="147">
        <f ca="1">INDEX(Photobiology!$21:$421,1+$H345-380,V$14)</f>
        <v>3.1783529405971806E-3</v>
      </c>
      <c r="W345" s="147">
        <f ca="1">INDEX(Photobiology!$21:$421,1+$H345-380,W$14)</f>
        <v>9.7656606182182918E-6</v>
      </c>
      <c r="X345" s="147">
        <f ca="1">INDEX(Photobiology!$21:$421,1+$H345-380,X$14)</f>
        <v>1.2995387949158359E-6</v>
      </c>
      <c r="Y345" s="147">
        <f t="shared" si="114"/>
        <v>9.4990853883429604E-4</v>
      </c>
      <c r="Z345" s="147">
        <f t="shared" ca="1" si="128"/>
        <v>0</v>
      </c>
      <c r="AA345" s="147">
        <f t="shared" ca="1" si="115"/>
        <v>2.3076128133901554E-7</v>
      </c>
      <c r="AB345" s="147">
        <f t="shared" ca="1" si="116"/>
        <v>3.7505428820502276E-6</v>
      </c>
      <c r="AC345" s="147">
        <f t="shared" ca="1" si="117"/>
        <v>1.2918756128146426E-8</v>
      </c>
      <c r="AD345" s="147">
        <f t="shared" ca="1" si="118"/>
        <v>1.7772883752443563E-9</v>
      </c>
      <c r="AH345" s="147">
        <f t="shared" si="129"/>
        <v>704</v>
      </c>
      <c r="AI345" s="147">
        <f>IF($AH345&gt;$AH344,INDEX(Spectra!345:345,1,MATCH($AI$20,Spectra!$20:$20,0)),AI344)</f>
        <v>72.705100000000002</v>
      </c>
      <c r="AJ345" s="147">
        <f>((Physics!$C$9*Physics!$C$10)/(Physics!$C$11*Physics!$C$12*$AH345))^($AJ$17-$AJ$18)</f>
        <v>3.5450103886078623E+18</v>
      </c>
      <c r="AK345" s="147">
        <f t="shared" si="130"/>
        <v>1</v>
      </c>
      <c r="AL345" s="147">
        <f>INDEX(Photobiology!$21:$421,1+$AH345-380,10)</f>
        <v>3.1340930000000001E-3</v>
      </c>
      <c r="AM345" s="147">
        <f t="shared" si="131"/>
        <v>1.0073728112980223E-3</v>
      </c>
      <c r="AN345" s="147">
        <f ca="1">INDEX(Photobiology!$21:$421,1+$AH345-380,AN$14)</f>
        <v>0</v>
      </c>
      <c r="AO345" s="147">
        <f ca="1">INDEX(Photobiology!$21:$421,1+$AH345-380,AO$14)</f>
        <v>2.4293000000000001E-4</v>
      </c>
      <c r="AP345" s="147">
        <f ca="1">INDEX(Photobiology!$21:$421,1+$AH345-380,AP$14)</f>
        <v>3.94832E-3</v>
      </c>
      <c r="AQ345" s="147">
        <f ca="1">INDEX(Photobiology!$21:$421,1+$AH345-380,AQ$14)</f>
        <v>1.36E-5</v>
      </c>
      <c r="AR345" s="147">
        <f ca="1">INDEX(Photobiology!$21:$421,1+$AH345-380,AR$14)</f>
        <v>1.87101E-6</v>
      </c>
      <c r="AS345" s="147">
        <f t="shared" si="132"/>
        <v>3571147081252597</v>
      </c>
      <c r="AT345" s="147" t="str">
        <f ca="1">INDEX(Photobiology!$21:$421,1+$AH345-380,AT$14)</f>
        <v/>
      </c>
      <c r="AU345" s="147">
        <f ca="1">INDEX(Photobiology!$21:$421,1+$AH345-380,AU$14)</f>
        <v>1.8653776113938526E-4</v>
      </c>
      <c r="AV345" s="147">
        <f ca="1">INDEX(Photobiology!$21:$421,1+$AH345-380,AV$14)</f>
        <v>3.1783529405971806E-3</v>
      </c>
      <c r="AW345" s="147">
        <f ca="1">INDEX(Photobiology!$21:$421,1+$AH345-380,AW$14)</f>
        <v>9.7656606182182918E-6</v>
      </c>
      <c r="AX345" s="147">
        <f ca="1">INDEX(Photobiology!$21:$421,1+$AH345-380,AX$14)</f>
        <v>1.2995387949158359E-6</v>
      </c>
      <c r="AY345" s="147">
        <f t="shared" si="119"/>
        <v>1.0073728112980223E-3</v>
      </c>
      <c r="AZ345" s="147">
        <f t="shared" ca="1" si="133"/>
        <v>0</v>
      </c>
      <c r="BA345" s="147">
        <f t="shared" ca="1" si="120"/>
        <v>2.4472107704862856E-7</v>
      </c>
      <c r="BB345" s="147">
        <f t="shared" ca="1" si="121"/>
        <v>3.9774302183042072E-6</v>
      </c>
      <c r="BC345" s="147">
        <f t="shared" ca="1" si="122"/>
        <v>1.3700270233653104E-8</v>
      </c>
      <c r="BD345" s="147">
        <f t="shared" ca="1" si="123"/>
        <v>1.8848046036667127E-9</v>
      </c>
    </row>
    <row r="346" spans="8:56" s="147" customFormat="1" ht="0.25" customHeight="1" x14ac:dyDescent="0.2">
      <c r="H346" s="147">
        <f t="shared" si="124"/>
        <v>705</v>
      </c>
      <c r="I346" s="147">
        <f>IF($H346&gt;$H345,INDEX(Spectra!346:346,1,MATCH($I$20,Spectra!$20:$20,0)),I345)</f>
        <v>9.5490805745973995E-4</v>
      </c>
      <c r="J346" s="147">
        <f>((Physics!$C$9*Physics!$C$10)/(Physics!$C$11*Physics!$C$12*$H346))^($J$17-$J$18)</f>
        <v>3.5500459147280435E+18</v>
      </c>
      <c r="K346" s="147">
        <f t="shared" si="125"/>
        <v>1</v>
      </c>
      <c r="L346" s="147">
        <f>INDEX(Photobiology!$21:$421,1+$H346-380,10)</f>
        <v>2.9290000000000002E-3</v>
      </c>
      <c r="M346" s="147">
        <f t="shared" si="126"/>
        <v>9.5490805745973995E-4</v>
      </c>
      <c r="N346" s="147">
        <f ca="1">INDEX(Photobiology!$21:$421,1+$H346-380,N$14)</f>
        <v>0</v>
      </c>
      <c r="O346" s="147">
        <f ca="1">INDEX(Photobiology!$21:$421,1+$H346-380,O$14)</f>
        <v>2.25641E-4</v>
      </c>
      <c r="P346" s="147">
        <f ca="1">INDEX(Photobiology!$21:$421,1+$H346-380,P$14)</f>
        <v>3.6667499999999999E-3</v>
      </c>
      <c r="Q346" s="147">
        <f ca="1">INDEX(Photobiology!$21:$421,1+$H346-380,Q$14)</f>
        <v>1.273E-5</v>
      </c>
      <c r="R346" s="147">
        <f ca="1">INDEX(Photobiology!$21:$421,1+$H346-380,R$14)</f>
        <v>1.7525200000000001E-6</v>
      </c>
      <c r="S346" s="147">
        <f t="shared" si="127"/>
        <v>3389967448325841.5</v>
      </c>
      <c r="T346" s="147" t="str">
        <f ca="1">INDEX(Photobiology!$21:$421,1+$H346-380,T$14)</f>
        <v/>
      </c>
      <c r="U346" s="147">
        <f ca="1">INDEX(Photobiology!$21:$421,1+$H346-380,U$14)</f>
        <v>1.7301635874281522E-4</v>
      </c>
      <c r="V346" s="147">
        <f ca="1">INDEX(Photobiology!$21:$421,1+$H346-380,V$14)</f>
        <v>2.9475054778784582E-3</v>
      </c>
      <c r="W346" s="147">
        <f ca="1">INDEX(Photobiology!$21:$421,1+$H346-380,W$14)</f>
        <v>9.1279796837320463E-6</v>
      </c>
      <c r="X346" s="147">
        <f ca="1">INDEX(Photobiology!$21:$421,1+$H346-380,X$14)</f>
        <v>1.2155131603714883E-6</v>
      </c>
      <c r="Y346" s="147">
        <f t="shared" si="114"/>
        <v>9.5490805745973995E-4</v>
      </c>
      <c r="Z346" s="147">
        <f t="shared" ca="1" si="128"/>
        <v>0</v>
      </c>
      <c r="AA346" s="147">
        <f t="shared" ca="1" si="115"/>
        <v>2.1546640899327319E-7</v>
      </c>
      <c r="AB346" s="147">
        <f t="shared" ca="1" si="116"/>
        <v>3.5014091196905015E-6</v>
      </c>
      <c r="AC346" s="147">
        <f t="shared" ca="1" si="117"/>
        <v>1.215597957146249E-8</v>
      </c>
      <c r="AD346" s="147">
        <f t="shared" ca="1" si="118"/>
        <v>1.6734954688593435E-9</v>
      </c>
      <c r="AH346" s="147">
        <f t="shared" si="129"/>
        <v>705</v>
      </c>
      <c r="AI346" s="147">
        <f>IF($AH346&gt;$AH345,INDEX(Spectra!346:346,1,MATCH($AI$20,Spectra!$20:$20,0)),AI345)</f>
        <v>72.978999999999999</v>
      </c>
      <c r="AJ346" s="147">
        <f>((Physics!$C$9*Physics!$C$10)/(Physics!$C$11*Physics!$C$12*$AH346))^($AJ$17-$AJ$18)</f>
        <v>3.5500459147280435E+18</v>
      </c>
      <c r="AK346" s="147">
        <f t="shared" si="130"/>
        <v>1</v>
      </c>
      <c r="AL346" s="147">
        <f>INDEX(Photobiology!$21:$421,1+$AH346-380,10)</f>
        <v>2.9290000000000002E-3</v>
      </c>
      <c r="AM346" s="147">
        <f t="shared" si="131"/>
        <v>1.011167860242519E-3</v>
      </c>
      <c r="AN346" s="147">
        <f ca="1">INDEX(Photobiology!$21:$421,1+$AH346-380,AN$14)</f>
        <v>0</v>
      </c>
      <c r="AO346" s="147">
        <f ca="1">INDEX(Photobiology!$21:$421,1+$AH346-380,AO$14)</f>
        <v>2.25641E-4</v>
      </c>
      <c r="AP346" s="147">
        <f ca="1">INDEX(Photobiology!$21:$421,1+$AH346-380,AP$14)</f>
        <v>3.6667499999999999E-3</v>
      </c>
      <c r="AQ346" s="147">
        <f ca="1">INDEX(Photobiology!$21:$421,1+$AH346-380,AQ$14)</f>
        <v>1.273E-5</v>
      </c>
      <c r="AR346" s="147">
        <f ca="1">INDEX(Photobiology!$21:$421,1+$AH346-380,AR$14)</f>
        <v>1.7525200000000001E-6</v>
      </c>
      <c r="AS346" s="147">
        <f t="shared" si="132"/>
        <v>3589692331358252</v>
      </c>
      <c r="AT346" s="147" t="str">
        <f ca="1">INDEX(Photobiology!$21:$421,1+$AH346-380,AT$14)</f>
        <v/>
      </c>
      <c r="AU346" s="147">
        <f ca="1">INDEX(Photobiology!$21:$421,1+$AH346-380,AU$14)</f>
        <v>1.7301635874281522E-4</v>
      </c>
      <c r="AV346" s="147">
        <f ca="1">INDEX(Photobiology!$21:$421,1+$AH346-380,AV$14)</f>
        <v>2.9475054778784582E-3</v>
      </c>
      <c r="AW346" s="147">
        <f ca="1">INDEX(Photobiology!$21:$421,1+$AH346-380,AW$14)</f>
        <v>9.1279796837320463E-6</v>
      </c>
      <c r="AX346" s="147">
        <f ca="1">INDEX(Photobiology!$21:$421,1+$AH346-380,AX$14)</f>
        <v>1.2155131603714883E-6</v>
      </c>
      <c r="AY346" s="147">
        <f t="shared" si="119"/>
        <v>1.011167860242519E-3</v>
      </c>
      <c r="AZ346" s="147">
        <f t="shared" ca="1" si="133"/>
        <v>0</v>
      </c>
      <c r="BA346" s="147">
        <f t="shared" ca="1" si="120"/>
        <v>2.2816092715298225E-7</v>
      </c>
      <c r="BB346" s="147">
        <f t="shared" ca="1" si="121"/>
        <v>3.7076997515442565E-6</v>
      </c>
      <c r="BC346" s="147">
        <f t="shared" ca="1" si="122"/>
        <v>1.2872166860887267E-8</v>
      </c>
      <c r="BD346" s="147">
        <f t="shared" ca="1" si="123"/>
        <v>1.7720918984322196E-9</v>
      </c>
    </row>
    <row r="347" spans="8:56" s="147" customFormat="1" ht="0.25" customHeight="1" x14ac:dyDescent="0.2">
      <c r="H347" s="147">
        <f t="shared" si="124"/>
        <v>706</v>
      </c>
      <c r="I347" s="147">
        <f>IF($H347&gt;$H346,INDEX(Spectra!347:347,1,MATCH($I$20,Spectra!$20:$20,0)),I346)</f>
        <v>9.5990757608518397E-4</v>
      </c>
      <c r="J347" s="147">
        <f>((Physics!$C$9*Physics!$C$10)/(Physics!$C$11*Physics!$C$12*$H347))^($J$17-$J$18)</f>
        <v>3.5550814408482253E+18</v>
      </c>
      <c r="K347" s="147">
        <f t="shared" si="125"/>
        <v>1</v>
      </c>
      <c r="L347" s="147">
        <f>INDEX(Photobiology!$21:$421,1+$H347-380,10)</f>
        <v>2.7381390000000001E-3</v>
      </c>
      <c r="M347" s="147">
        <f t="shared" si="126"/>
        <v>9.5990757608518397E-4</v>
      </c>
      <c r="N347" s="147">
        <f ca="1">INDEX(Photobiology!$21:$421,1+$H347-380,N$14)</f>
        <v>0</v>
      </c>
      <c r="O347" s="147">
        <f ca="1">INDEX(Photobiology!$21:$421,1+$H347-380,O$14)</f>
        <v>2.09478E-4</v>
      </c>
      <c r="P347" s="147">
        <f ca="1">INDEX(Photobiology!$21:$421,1+$H347-380,P$14)</f>
        <v>3.40297E-3</v>
      </c>
      <c r="Q347" s="147">
        <f ca="1">INDEX(Photobiology!$21:$421,1+$H347-380,Q$14)</f>
        <v>1.1909999999999999E-5</v>
      </c>
      <c r="R347" s="147">
        <f ca="1">INDEX(Photobiology!$21:$421,1+$H347-380,R$14)</f>
        <v>1.6419699999999999E-6</v>
      </c>
      <c r="S347" s="147">
        <f t="shared" si="127"/>
        <v>3412549608670043.5</v>
      </c>
      <c r="T347" s="147" t="str">
        <f ca="1">INDEX(Photobiology!$21:$421,1+$H347-380,T$14)</f>
        <v/>
      </c>
      <c r="U347" s="147">
        <f ca="1">INDEX(Photobiology!$21:$421,1+$H347-380,U$14)</f>
        <v>1.603954287189663E-4</v>
      </c>
      <c r="V347" s="147">
        <f ca="1">INDEX(Photobiology!$21:$421,1+$H347-380,V$14)</f>
        <v>2.7315921540617266E-3</v>
      </c>
      <c r="W347" s="147">
        <f ca="1">INDEX(Photobiology!$21:$421,1+$H347-380,W$14)</f>
        <v>8.5279066661741605E-6</v>
      </c>
      <c r="X347" s="147">
        <f ca="1">INDEX(Photobiology!$21:$421,1+$H347-380,X$14)</f>
        <v>1.13722478519988E-6</v>
      </c>
      <c r="Y347" s="147">
        <f t="shared" si="114"/>
        <v>9.5990757608518397E-4</v>
      </c>
      <c r="Z347" s="147">
        <f t="shared" ca="1" si="128"/>
        <v>0</v>
      </c>
      <c r="AA347" s="147">
        <f t="shared" ca="1" si="115"/>
        <v>2.0107951922317216E-7</v>
      </c>
      <c r="AB347" s="147">
        <f t="shared" ca="1" si="116"/>
        <v>3.2665366841905986E-6</v>
      </c>
      <c r="AC347" s="147">
        <f t="shared" ca="1" si="117"/>
        <v>1.1432499231174541E-8</v>
      </c>
      <c r="AD347" s="147">
        <f t="shared" ca="1" si="118"/>
        <v>1.5761394427045895E-9</v>
      </c>
      <c r="AH347" s="147">
        <f t="shared" si="129"/>
        <v>706</v>
      </c>
      <c r="AI347" s="147">
        <f>IF($AH347&gt;$AH346,INDEX(Spectra!347:347,1,MATCH($AI$20,Spectra!$20:$20,0)),AI346)</f>
        <v>73.253</v>
      </c>
      <c r="AJ347" s="147">
        <f>((Physics!$C$9*Physics!$C$10)/(Physics!$C$11*Physics!$C$12*$AH347))^($AJ$17-$AJ$18)</f>
        <v>3.5550814408482253E+18</v>
      </c>
      <c r="AK347" s="147">
        <f t="shared" si="130"/>
        <v>1</v>
      </c>
      <c r="AL347" s="147">
        <f>INDEX(Photobiology!$21:$421,1+$AH347-380,10)</f>
        <v>2.7381390000000001E-3</v>
      </c>
      <c r="AM347" s="147">
        <f t="shared" si="131"/>
        <v>1.0149642947470539E-3</v>
      </c>
      <c r="AN347" s="147">
        <f ca="1">INDEX(Photobiology!$21:$421,1+$AH347-380,AN$14)</f>
        <v>0</v>
      </c>
      <c r="AO347" s="147">
        <f ca="1">INDEX(Photobiology!$21:$421,1+$AH347-380,AO$14)</f>
        <v>2.09478E-4</v>
      </c>
      <c r="AP347" s="147">
        <f ca="1">INDEX(Photobiology!$21:$421,1+$AH347-380,AP$14)</f>
        <v>3.40297E-3</v>
      </c>
      <c r="AQ347" s="147">
        <f ca="1">INDEX(Photobiology!$21:$421,1+$AH347-380,AQ$14)</f>
        <v>1.1909999999999999E-5</v>
      </c>
      <c r="AR347" s="147">
        <f ca="1">INDEX(Photobiology!$21:$421,1+$AH347-380,AR$14)</f>
        <v>1.6419699999999999E-6</v>
      </c>
      <c r="AS347" s="147">
        <f t="shared" si="132"/>
        <v>3608280727378859.5</v>
      </c>
      <c r="AT347" s="147" t="str">
        <f ca="1">INDEX(Photobiology!$21:$421,1+$AH347-380,AT$14)</f>
        <v/>
      </c>
      <c r="AU347" s="147">
        <f ca="1">INDEX(Photobiology!$21:$421,1+$AH347-380,AU$14)</f>
        <v>1.603954287189663E-4</v>
      </c>
      <c r="AV347" s="147">
        <f ca="1">INDEX(Photobiology!$21:$421,1+$AH347-380,AV$14)</f>
        <v>2.7315921540617266E-3</v>
      </c>
      <c r="AW347" s="147">
        <f ca="1">INDEX(Photobiology!$21:$421,1+$AH347-380,AW$14)</f>
        <v>8.5279066661741605E-6</v>
      </c>
      <c r="AX347" s="147">
        <f ca="1">INDEX(Photobiology!$21:$421,1+$AH347-380,AX$14)</f>
        <v>1.13722478519988E-6</v>
      </c>
      <c r="AY347" s="147">
        <f t="shared" si="119"/>
        <v>1.0149642947470539E-3</v>
      </c>
      <c r="AZ347" s="147">
        <f t="shared" ca="1" si="133"/>
        <v>0</v>
      </c>
      <c r="BA347" s="147">
        <f t="shared" ca="1" si="120"/>
        <v>2.1261269053502337E-7</v>
      </c>
      <c r="BB347" s="147">
        <f t="shared" ca="1" si="121"/>
        <v>3.4538930460953823E-6</v>
      </c>
      <c r="BC347" s="147">
        <f t="shared" ca="1" si="122"/>
        <v>1.2088224750437412E-8</v>
      </c>
      <c r="BD347" s="147">
        <f t="shared" ca="1" si="123"/>
        <v>1.6665409230458201E-9</v>
      </c>
    </row>
    <row r="348" spans="8:56" s="147" customFormat="1" ht="0.25" customHeight="1" x14ac:dyDescent="0.2">
      <c r="H348" s="147">
        <f t="shared" si="124"/>
        <v>707</v>
      </c>
      <c r="I348" s="147">
        <f>IF($H348&gt;$H347,INDEX(Spectra!348:348,1,MATCH($I$20,Spectra!$20:$20,0)),I347)</f>
        <v>9.6990661333607104E-4</v>
      </c>
      <c r="J348" s="147">
        <f>((Physics!$C$9*Physics!$C$10)/(Physics!$C$11*Physics!$C$12*$H348))^($J$17-$J$18)</f>
        <v>3.560116966968407E+18</v>
      </c>
      <c r="K348" s="147">
        <f t="shared" si="125"/>
        <v>1</v>
      </c>
      <c r="L348" s="147">
        <f>INDEX(Photobiology!$21:$421,1+$H348-380,10)</f>
        <v>2.559876E-3</v>
      </c>
      <c r="M348" s="147">
        <f t="shared" si="126"/>
        <v>9.6990661333607104E-4</v>
      </c>
      <c r="N348" s="147">
        <f ca="1">INDEX(Photobiology!$21:$421,1+$H348-380,N$14)</f>
        <v>0</v>
      </c>
      <c r="O348" s="147">
        <f ca="1">INDEX(Photobiology!$21:$421,1+$H348-380,O$14)</f>
        <v>1.9440000000000001E-4</v>
      </c>
      <c r="P348" s="147">
        <f ca="1">INDEX(Photobiology!$21:$421,1+$H348-380,P$14)</f>
        <v>3.1563199999999998E-3</v>
      </c>
      <c r="Q348" s="147">
        <f ca="1">INDEX(Photobiology!$21:$421,1+$H348-380,Q$14)</f>
        <v>1.114E-5</v>
      </c>
      <c r="R348" s="147">
        <f ca="1">INDEX(Photobiology!$21:$421,1+$H348-380,R$14)</f>
        <v>1.5380600000000001E-6</v>
      </c>
      <c r="S348" s="147">
        <f t="shared" si="127"/>
        <v>3452980990512613</v>
      </c>
      <c r="T348" s="147" t="str">
        <f ca="1">INDEX(Photobiology!$21:$421,1+$H348-380,T$14)</f>
        <v/>
      </c>
      <c r="U348" s="147">
        <f ca="1">INDEX(Photobiology!$21:$421,1+$H348-380,U$14)</f>
        <v>1.4863980118084283E-4</v>
      </c>
      <c r="V348" s="147">
        <f ca="1">INDEX(Photobiology!$21:$421,1+$H348-380,V$14)</f>
        <v>2.5300205612811179E-3</v>
      </c>
      <c r="W348" s="147">
        <f ca="1">INDEX(Photobiology!$21:$421,1+$H348-380,W$14)</f>
        <v>7.9652819845675634E-6</v>
      </c>
      <c r="X348" s="147">
        <f ca="1">INDEX(Photobiology!$21:$421,1+$H348-380,X$14)</f>
        <v>1.0637502209918425E-6</v>
      </c>
      <c r="Y348" s="147">
        <f t="shared" si="114"/>
        <v>9.6990661333607104E-4</v>
      </c>
      <c r="Z348" s="147">
        <f t="shared" ca="1" si="128"/>
        <v>0</v>
      </c>
      <c r="AA348" s="147">
        <f t="shared" ca="1" si="115"/>
        <v>1.8854984563253223E-7</v>
      </c>
      <c r="AB348" s="147">
        <f t="shared" ca="1" si="116"/>
        <v>3.0613356418049077E-6</v>
      </c>
      <c r="AC348" s="147">
        <f t="shared" ca="1" si="117"/>
        <v>1.0804759672563831E-8</v>
      </c>
      <c r="AD348" s="147">
        <f t="shared" ca="1" si="118"/>
        <v>1.4917745657076775E-9</v>
      </c>
      <c r="AH348" s="147">
        <f t="shared" si="129"/>
        <v>707</v>
      </c>
      <c r="AI348" s="147">
        <f>IF($AH348&gt;$AH347,INDEX(Spectra!348:348,1,MATCH($AI$20,Spectra!$20:$20,0)),AI347)</f>
        <v>73.527000000000001</v>
      </c>
      <c r="AJ348" s="147">
        <f>((Physics!$C$9*Physics!$C$10)/(Physics!$C$11*Physics!$C$12*$AH348))^($AJ$17-$AJ$18)</f>
        <v>3.560116966968407E+18</v>
      </c>
      <c r="AK348" s="147">
        <f t="shared" si="130"/>
        <v>1</v>
      </c>
      <c r="AL348" s="147">
        <f>INDEX(Photobiology!$21:$421,1+$AH348-380,10)</f>
        <v>2.559876E-3</v>
      </c>
      <c r="AM348" s="147">
        <f t="shared" si="131"/>
        <v>1.0187607292515889E-3</v>
      </c>
      <c r="AN348" s="147">
        <f ca="1">INDEX(Photobiology!$21:$421,1+$AH348-380,AN$14)</f>
        <v>0</v>
      </c>
      <c r="AO348" s="147">
        <f ca="1">INDEX(Photobiology!$21:$421,1+$AH348-380,AO$14)</f>
        <v>1.9440000000000001E-4</v>
      </c>
      <c r="AP348" s="147">
        <f ca="1">INDEX(Photobiology!$21:$421,1+$AH348-380,AP$14)</f>
        <v>3.1563199999999998E-3</v>
      </c>
      <c r="AQ348" s="147">
        <f ca="1">INDEX(Photobiology!$21:$421,1+$AH348-380,AQ$14)</f>
        <v>1.114E-5</v>
      </c>
      <c r="AR348" s="147">
        <f ca="1">INDEX(Photobiology!$21:$421,1+$AH348-380,AR$14)</f>
        <v>1.5380600000000001E-6</v>
      </c>
      <c r="AS348" s="147">
        <f t="shared" si="132"/>
        <v>3626907357489689</v>
      </c>
      <c r="AT348" s="147" t="str">
        <f ca="1">INDEX(Photobiology!$21:$421,1+$AH348-380,AT$14)</f>
        <v/>
      </c>
      <c r="AU348" s="147">
        <f ca="1">INDEX(Photobiology!$21:$421,1+$AH348-380,AU$14)</f>
        <v>1.4863980118084283E-4</v>
      </c>
      <c r="AV348" s="147">
        <f ca="1">INDEX(Photobiology!$21:$421,1+$AH348-380,AV$14)</f>
        <v>2.5300205612811179E-3</v>
      </c>
      <c r="AW348" s="147">
        <f ca="1">INDEX(Photobiology!$21:$421,1+$AH348-380,AW$14)</f>
        <v>7.9652819845675634E-6</v>
      </c>
      <c r="AX348" s="147">
        <f ca="1">INDEX(Photobiology!$21:$421,1+$AH348-380,AX$14)</f>
        <v>1.0637502209918425E-6</v>
      </c>
      <c r="AY348" s="147">
        <f t="shared" si="119"/>
        <v>1.0187607292515889E-3</v>
      </c>
      <c r="AZ348" s="147">
        <f t="shared" ca="1" si="133"/>
        <v>0</v>
      </c>
      <c r="BA348" s="147">
        <f t="shared" ca="1" si="120"/>
        <v>1.9804708576650888E-7</v>
      </c>
      <c r="BB348" s="147">
        <f t="shared" ca="1" si="121"/>
        <v>3.2155348649513749E-6</v>
      </c>
      <c r="BC348" s="147">
        <f t="shared" ca="1" si="122"/>
        <v>1.1348994523862699E-8</v>
      </c>
      <c r="BD348" s="147">
        <f t="shared" ca="1" si="123"/>
        <v>1.5669151272326989E-9</v>
      </c>
    </row>
    <row r="349" spans="8:56" s="147" customFormat="1" ht="0.25" customHeight="1" x14ac:dyDescent="0.2">
      <c r="H349" s="147">
        <f t="shared" si="124"/>
        <v>708</v>
      </c>
      <c r="I349" s="147">
        <f>IF($H349&gt;$H348,INDEX(Spectra!349:349,1,MATCH($I$20,Spectra!$20:$20,0)),I348)</f>
        <v>9.6990661333607104E-4</v>
      </c>
      <c r="J349" s="147">
        <f>((Physics!$C$9*Physics!$C$10)/(Physics!$C$11*Physics!$C$12*$H349))^($J$17-$J$18)</f>
        <v>3.5651524930885883E+18</v>
      </c>
      <c r="K349" s="147">
        <f t="shared" si="125"/>
        <v>1</v>
      </c>
      <c r="L349" s="147">
        <f>INDEX(Photobiology!$21:$421,1+$H349-380,10)</f>
        <v>2.3932440000000001E-3</v>
      </c>
      <c r="M349" s="147">
        <f t="shared" si="126"/>
        <v>9.6990661333607104E-4</v>
      </c>
      <c r="N349" s="147">
        <f ca="1">INDEX(Photobiology!$21:$421,1+$H349-380,N$14)</f>
        <v>0</v>
      </c>
      <c r="O349" s="147">
        <f ca="1">INDEX(Photobiology!$21:$421,1+$H349-380,O$14)</f>
        <v>1.8037000000000001E-4</v>
      </c>
      <c r="P349" s="147">
        <f ca="1">INDEX(Photobiology!$21:$421,1+$H349-380,P$14)</f>
        <v>2.9262400000000001E-3</v>
      </c>
      <c r="Q349" s="147">
        <f ca="1">INDEX(Photobiology!$21:$421,1+$H349-380,Q$14)</f>
        <v>1.043E-5</v>
      </c>
      <c r="R349" s="147">
        <f ca="1">INDEX(Photobiology!$21:$421,1+$H349-380,R$14)</f>
        <v>1.44073E-6</v>
      </c>
      <c r="S349" s="147">
        <f t="shared" si="127"/>
        <v>3457864980598203</v>
      </c>
      <c r="T349" s="147" t="str">
        <f ca="1">INDEX(Photobiology!$21:$421,1+$H349-380,T$14)</f>
        <v/>
      </c>
      <c r="U349" s="147">
        <f ca="1">INDEX(Photobiology!$21:$421,1+$H349-380,U$14)</f>
        <v>1.3771755905367923E-4</v>
      </c>
      <c r="V349" s="147">
        <f ca="1">INDEX(Photobiology!$21:$421,1+$H349-380,V$14)</f>
        <v>2.342281682680893E-3</v>
      </c>
      <c r="W349" s="147">
        <f ca="1">INDEX(Photobiology!$21:$421,1+$H349-380,W$14)</f>
        <v>7.4470870237832135E-6</v>
      </c>
      <c r="X349" s="147">
        <f ca="1">INDEX(Photobiology!$21:$421,1+$H349-380,X$14)</f>
        <v>9.9502763176564088E-7</v>
      </c>
      <c r="Y349" s="147">
        <f t="shared" si="114"/>
        <v>9.6990661333607104E-4</v>
      </c>
      <c r="Z349" s="147">
        <f t="shared" ca="1" si="128"/>
        <v>0</v>
      </c>
      <c r="AA349" s="147">
        <f t="shared" ca="1" si="115"/>
        <v>1.7494205584742716E-7</v>
      </c>
      <c r="AB349" s="147">
        <f t="shared" ca="1" si="116"/>
        <v>2.8381795282085446E-6</v>
      </c>
      <c r="AC349" s="147">
        <f t="shared" ca="1" si="117"/>
        <v>1.0116125977095221E-8</v>
      </c>
      <c r="AD349" s="147">
        <f t="shared" ca="1" si="118"/>
        <v>1.3973735550316776E-9</v>
      </c>
      <c r="AH349" s="147">
        <f t="shared" si="129"/>
        <v>708</v>
      </c>
      <c r="AI349" s="147">
        <f>IF($AH349&gt;$AH348,INDEX(Spectra!349:349,1,MATCH($AI$20,Spectra!$20:$20,0)),AI348)</f>
        <v>73.801000000000002</v>
      </c>
      <c r="AJ349" s="147">
        <f>((Physics!$C$9*Physics!$C$10)/(Physics!$C$11*Physics!$C$12*$AH349))^($AJ$17-$AJ$18)</f>
        <v>3.5651524930885883E+18</v>
      </c>
      <c r="AK349" s="147">
        <f t="shared" si="130"/>
        <v>1</v>
      </c>
      <c r="AL349" s="147">
        <f>INDEX(Photobiology!$21:$421,1+$AH349-380,10)</f>
        <v>2.3932440000000001E-3</v>
      </c>
      <c r="AM349" s="147">
        <f t="shared" si="131"/>
        <v>1.0225571637561238E-3</v>
      </c>
      <c r="AN349" s="147">
        <f ca="1">INDEX(Photobiology!$21:$421,1+$AH349-380,AN$14)</f>
        <v>0</v>
      </c>
      <c r="AO349" s="147">
        <f ca="1">INDEX(Photobiology!$21:$421,1+$AH349-380,AO$14)</f>
        <v>1.8037000000000001E-4</v>
      </c>
      <c r="AP349" s="147">
        <f ca="1">INDEX(Photobiology!$21:$421,1+$AH349-380,AP$14)</f>
        <v>2.9262400000000001E-3</v>
      </c>
      <c r="AQ349" s="147">
        <f ca="1">INDEX(Photobiology!$21:$421,1+$AH349-380,AQ$14)</f>
        <v>1.043E-5</v>
      </c>
      <c r="AR349" s="147">
        <f ca="1">INDEX(Photobiology!$21:$421,1+$AH349-380,AR$14)</f>
        <v>1.44073E-6</v>
      </c>
      <c r="AS349" s="147">
        <f t="shared" si="132"/>
        <v>3645572221690740.5</v>
      </c>
      <c r="AT349" s="147" t="str">
        <f ca="1">INDEX(Photobiology!$21:$421,1+$AH349-380,AT$14)</f>
        <v/>
      </c>
      <c r="AU349" s="147">
        <f ca="1">INDEX(Photobiology!$21:$421,1+$AH349-380,AU$14)</f>
        <v>1.3771755905367923E-4</v>
      </c>
      <c r="AV349" s="147">
        <f ca="1">INDEX(Photobiology!$21:$421,1+$AH349-380,AV$14)</f>
        <v>2.342281682680893E-3</v>
      </c>
      <c r="AW349" s="147">
        <f ca="1">INDEX(Photobiology!$21:$421,1+$AH349-380,AW$14)</f>
        <v>7.4470870237832135E-6</v>
      </c>
      <c r="AX349" s="147">
        <f ca="1">INDEX(Photobiology!$21:$421,1+$AH349-380,AX$14)</f>
        <v>9.9502763176564088E-7</v>
      </c>
      <c r="AY349" s="147">
        <f t="shared" si="119"/>
        <v>1.0225571637561238E-3</v>
      </c>
      <c r="AZ349" s="147">
        <f t="shared" ca="1" si="133"/>
        <v>0</v>
      </c>
      <c r="BA349" s="147">
        <f t="shared" ca="1" si="120"/>
        <v>1.8443863562669207E-7</v>
      </c>
      <c r="BB349" s="147">
        <f t="shared" ca="1" si="121"/>
        <v>2.9922476748697197E-6</v>
      </c>
      <c r="BC349" s="147">
        <f t="shared" ca="1" si="122"/>
        <v>1.066527121797637E-8</v>
      </c>
      <c r="BD349" s="147">
        <f t="shared" ca="1" si="123"/>
        <v>1.4732287825383603E-9</v>
      </c>
    </row>
    <row r="350" spans="8:56" s="147" customFormat="1" ht="0.25" customHeight="1" x14ac:dyDescent="0.2">
      <c r="H350" s="147">
        <f t="shared" si="124"/>
        <v>709</v>
      </c>
      <c r="I350" s="147">
        <f>IF($H350&gt;$H349,INDEX(Spectra!350:350,1,MATCH($I$20,Spectra!$20:$20,0)),I349)</f>
        <v>9.6490709471062799E-4</v>
      </c>
      <c r="J350" s="147">
        <f>((Physics!$C$9*Physics!$C$10)/(Physics!$C$11*Physics!$C$12*$H350))^($J$17-$J$18)</f>
        <v>3.5701880192087706E+18</v>
      </c>
      <c r="K350" s="147">
        <f t="shared" si="125"/>
        <v>1</v>
      </c>
      <c r="L350" s="147">
        <f>INDEX(Photobiology!$21:$421,1+$H350-380,10)</f>
        <v>2.2372749999999999E-3</v>
      </c>
      <c r="M350" s="147">
        <f t="shared" si="126"/>
        <v>9.6490709471062799E-4</v>
      </c>
      <c r="N350" s="147">
        <f ca="1">INDEX(Photobiology!$21:$421,1+$H350-380,N$14)</f>
        <v>0</v>
      </c>
      <c r="O350" s="147">
        <f ca="1">INDEX(Photobiology!$21:$421,1+$H350-380,O$14)</f>
        <v>1.6734700000000001E-4</v>
      </c>
      <c r="P350" s="147">
        <f ca="1">INDEX(Photobiology!$21:$421,1+$H350-380,P$14)</f>
        <v>2.7121300000000001E-3</v>
      </c>
      <c r="Q350" s="147">
        <f ca="1">INDEX(Photobiology!$21:$421,1+$H350-380,Q$14)</f>
        <v>9.7599999999999997E-6</v>
      </c>
      <c r="R350" s="147">
        <f ca="1">INDEX(Photobiology!$21:$421,1+$H350-380,R$14)</f>
        <v>1.34993E-6</v>
      </c>
      <c r="S350" s="147">
        <f t="shared" si="127"/>
        <v>3444899749185426.5</v>
      </c>
      <c r="T350" s="147" t="str">
        <f ca="1">INDEX(Photobiology!$21:$421,1+$H350-380,T$14)</f>
        <v/>
      </c>
      <c r="U350" s="147">
        <f ca="1">INDEX(Photobiology!$21:$421,1+$H350-380,U$14)</f>
        <v>1.2759391552616292E-4</v>
      </c>
      <c r="V350" s="147">
        <f ca="1">INDEX(Photobiology!$21:$421,1+$H350-380,V$14)</f>
        <v>2.1678374006802621E-3</v>
      </c>
      <c r="W350" s="147">
        <f ca="1">INDEX(Photobiology!$21:$421,1+$H350-380,W$14)</f>
        <v>6.9588738005271105E-6</v>
      </c>
      <c r="X350" s="147">
        <f ca="1">INDEX(Photobiology!$21:$421,1+$H350-380,X$14)</f>
        <v>9.3100242707450669E-7</v>
      </c>
      <c r="Y350" s="147">
        <f t="shared" si="114"/>
        <v>9.6490709471062799E-4</v>
      </c>
      <c r="Z350" s="147">
        <f t="shared" ca="1" si="128"/>
        <v>0</v>
      </c>
      <c r="AA350" s="147">
        <f t="shared" ca="1" si="115"/>
        <v>1.6147430757853947E-7</v>
      </c>
      <c r="AB350" s="147">
        <f t="shared" ca="1" si="116"/>
        <v>2.6169534787775357E-6</v>
      </c>
      <c r="AC350" s="147">
        <f t="shared" ca="1" si="117"/>
        <v>9.4174932443757295E-9</v>
      </c>
      <c r="AD350" s="147">
        <f t="shared" ca="1" si="118"/>
        <v>1.302557034362718E-9</v>
      </c>
      <c r="AH350" s="147">
        <f t="shared" si="129"/>
        <v>709</v>
      </c>
      <c r="AI350" s="147">
        <f>IF($AH350&gt;$AH349,INDEX(Spectra!350:350,1,MATCH($AI$20,Spectra!$20:$20,0)),AI349)</f>
        <v>74.075000000000003</v>
      </c>
      <c r="AJ350" s="147">
        <f>((Physics!$C$9*Physics!$C$10)/(Physics!$C$11*Physics!$C$12*$AH350))^($AJ$17-$AJ$18)</f>
        <v>3.5701880192087706E+18</v>
      </c>
      <c r="AK350" s="147">
        <f t="shared" si="130"/>
        <v>1</v>
      </c>
      <c r="AL350" s="147">
        <f>INDEX(Photobiology!$21:$421,1+$AH350-380,10)</f>
        <v>2.2372749999999999E-3</v>
      </c>
      <c r="AM350" s="147">
        <f t="shared" si="131"/>
        <v>1.0263535982606587E-3</v>
      </c>
      <c r="AN350" s="147">
        <f ca="1">INDEX(Photobiology!$21:$421,1+$AH350-380,AN$14)</f>
        <v>0</v>
      </c>
      <c r="AO350" s="147">
        <f ca="1">INDEX(Photobiology!$21:$421,1+$AH350-380,AO$14)</f>
        <v>1.6734700000000001E-4</v>
      </c>
      <c r="AP350" s="147">
        <f ca="1">INDEX(Photobiology!$21:$421,1+$AH350-380,AP$14)</f>
        <v>2.7121300000000001E-3</v>
      </c>
      <c r="AQ350" s="147">
        <f ca="1">INDEX(Photobiology!$21:$421,1+$AH350-380,AQ$14)</f>
        <v>9.7599999999999997E-6</v>
      </c>
      <c r="AR350" s="147">
        <f ca="1">INDEX(Photobiology!$21:$421,1+$AH350-380,AR$14)</f>
        <v>1.34993E-6</v>
      </c>
      <c r="AS350" s="147">
        <f t="shared" si="132"/>
        <v>3664275319982015.5</v>
      </c>
      <c r="AT350" s="147" t="str">
        <f ca="1">INDEX(Photobiology!$21:$421,1+$AH350-380,AT$14)</f>
        <v/>
      </c>
      <c r="AU350" s="147">
        <f ca="1">INDEX(Photobiology!$21:$421,1+$AH350-380,AU$14)</f>
        <v>1.2759391552616292E-4</v>
      </c>
      <c r="AV350" s="147">
        <f ca="1">INDEX(Photobiology!$21:$421,1+$AH350-380,AV$14)</f>
        <v>2.1678374006802621E-3</v>
      </c>
      <c r="AW350" s="147">
        <f ca="1">INDEX(Photobiology!$21:$421,1+$AH350-380,AW$14)</f>
        <v>6.9588738005271105E-6</v>
      </c>
      <c r="AX350" s="147">
        <f ca="1">INDEX(Photobiology!$21:$421,1+$AH350-380,AX$14)</f>
        <v>9.3100242707450669E-7</v>
      </c>
      <c r="AY350" s="147">
        <f t="shared" si="119"/>
        <v>1.0263535982606587E-3</v>
      </c>
      <c r="AZ350" s="147">
        <f t="shared" ca="1" si="133"/>
        <v>0</v>
      </c>
      <c r="BA350" s="147">
        <f t="shared" ca="1" si="120"/>
        <v>1.7175719560812647E-7</v>
      </c>
      <c r="BB350" s="147">
        <f t="shared" ca="1" si="121"/>
        <v>2.7836043844506805E-6</v>
      </c>
      <c r="BC350" s="147">
        <f t="shared" ca="1" si="122"/>
        <v>1.0017211119024028E-8</v>
      </c>
      <c r="BD350" s="147">
        <f t="shared" ca="1" si="123"/>
        <v>1.385505512900011E-9</v>
      </c>
    </row>
    <row r="351" spans="8:56" s="147" customFormat="1" ht="0.25" customHeight="1" x14ac:dyDescent="0.2">
      <c r="H351" s="147">
        <f t="shared" si="124"/>
        <v>710</v>
      </c>
      <c r="I351" s="147">
        <f>IF($H351&gt;$H350,INDEX(Spectra!351:351,1,MATCH($I$20,Spectra!$20:$20,0)),I350)</f>
        <v>9.6490709471062799E-4</v>
      </c>
      <c r="J351" s="147">
        <f>((Physics!$C$9*Physics!$C$10)/(Physics!$C$11*Physics!$C$12*$H351))^($J$17-$J$18)</f>
        <v>3.5752235453289513E+18</v>
      </c>
      <c r="K351" s="147">
        <f t="shared" si="125"/>
        <v>1</v>
      </c>
      <c r="L351" s="147">
        <f>INDEX(Photobiology!$21:$421,1+$H351-380,10)</f>
        <v>2.091E-3</v>
      </c>
      <c r="M351" s="147">
        <f t="shared" si="126"/>
        <v>9.6490709471062799E-4</v>
      </c>
      <c r="N351" s="147">
        <f ca="1">INDEX(Photobiology!$21:$421,1+$H351-380,N$14)</f>
        <v>0</v>
      </c>
      <c r="O351" s="147">
        <f ca="1">INDEX(Photobiology!$21:$421,1+$H351-380,O$14)</f>
        <v>1.55286E-4</v>
      </c>
      <c r="P351" s="147">
        <f ca="1">INDEX(Photobiology!$21:$421,1+$H351-380,P$14)</f>
        <v>2.5132700000000002E-3</v>
      </c>
      <c r="Q351" s="147">
        <f ca="1">INDEX(Photobiology!$21:$421,1+$H351-380,Q$14)</f>
        <v>9.1400000000000006E-6</v>
      </c>
      <c r="R351" s="147">
        <f ca="1">INDEX(Photobiology!$21:$421,1+$H351-380,R$14)</f>
        <v>1.2656E-6</v>
      </c>
      <c r="S351" s="147">
        <f t="shared" si="127"/>
        <v>3449758564064389.5</v>
      </c>
      <c r="T351" s="147" t="str">
        <f ca="1">INDEX(Photobiology!$21:$421,1+$H351-380,T$14)</f>
        <v/>
      </c>
      <c r="U351" s="147">
        <f ca="1">INDEX(Photobiology!$21:$421,1+$H351-380,U$14)</f>
        <v>1.1823123425984632E-4</v>
      </c>
      <c r="V351" s="147">
        <f ca="1">INDEX(Photobiology!$21:$421,1+$H351-380,V$14)</f>
        <v>2.0060568470306544E-3</v>
      </c>
      <c r="W351" s="147">
        <f ca="1">INDEX(Photobiology!$21:$421,1+$H351-380,W$14)</f>
        <v>6.5076355828047532E-6</v>
      </c>
      <c r="X351" s="147">
        <f ca="1">INDEX(Photobiology!$21:$421,1+$H351-380,X$14)</f>
        <v>8.7161343706522533E-7</v>
      </c>
      <c r="Y351" s="147">
        <f t="shared" si="114"/>
        <v>9.6490709471062799E-4</v>
      </c>
      <c r="Z351" s="147">
        <f t="shared" ca="1" si="128"/>
        <v>0</v>
      </c>
      <c r="AA351" s="147">
        <f t="shared" ca="1" si="115"/>
        <v>1.4983656310923458E-7</v>
      </c>
      <c r="AB351" s="147">
        <f t="shared" ca="1" si="116"/>
        <v>2.4250720539233803E-6</v>
      </c>
      <c r="AC351" s="147">
        <f t="shared" ca="1" si="117"/>
        <v>8.8192508456551403E-9</v>
      </c>
      <c r="AD351" s="147">
        <f t="shared" ca="1" si="118"/>
        <v>1.2211864190657708E-9</v>
      </c>
      <c r="AH351" s="147">
        <f t="shared" si="129"/>
        <v>710</v>
      </c>
      <c r="AI351" s="147">
        <f>IF($AH351&gt;$AH350,INDEX(Spectra!351:351,1,MATCH($AI$20,Spectra!$20:$20,0)),AI350)</f>
        <v>74.349000000000004</v>
      </c>
      <c r="AJ351" s="147">
        <f>((Physics!$C$9*Physics!$C$10)/(Physics!$C$11*Physics!$C$12*$AH351))^($AJ$17-$AJ$18)</f>
        <v>3.5752235453289513E+18</v>
      </c>
      <c r="AK351" s="147">
        <f t="shared" si="130"/>
        <v>1</v>
      </c>
      <c r="AL351" s="147">
        <f>INDEX(Photobiology!$21:$421,1+$AH351-380,10)</f>
        <v>2.091E-3</v>
      </c>
      <c r="AM351" s="147">
        <f t="shared" si="131"/>
        <v>1.0301500327651936E-3</v>
      </c>
      <c r="AN351" s="147">
        <f ca="1">INDEX(Photobiology!$21:$421,1+$AH351-380,AN$14)</f>
        <v>0</v>
      </c>
      <c r="AO351" s="147">
        <f ca="1">INDEX(Photobiology!$21:$421,1+$AH351-380,AO$14)</f>
        <v>1.55286E-4</v>
      </c>
      <c r="AP351" s="147">
        <f ca="1">INDEX(Photobiology!$21:$421,1+$AH351-380,AP$14)</f>
        <v>2.5132700000000002E-3</v>
      </c>
      <c r="AQ351" s="147">
        <f ca="1">INDEX(Photobiology!$21:$421,1+$AH351-380,AQ$14)</f>
        <v>9.1400000000000006E-6</v>
      </c>
      <c r="AR351" s="147">
        <f ca="1">INDEX(Photobiology!$21:$421,1+$AH351-380,AR$14)</f>
        <v>1.2656E-6</v>
      </c>
      <c r="AS351" s="147">
        <f t="shared" si="132"/>
        <v>3683016652363511</v>
      </c>
      <c r="AT351" s="147" t="str">
        <f ca="1">INDEX(Photobiology!$21:$421,1+$AH351-380,AT$14)</f>
        <v/>
      </c>
      <c r="AU351" s="147">
        <f ca="1">INDEX(Photobiology!$21:$421,1+$AH351-380,AU$14)</f>
        <v>1.1823123425984632E-4</v>
      </c>
      <c r="AV351" s="147">
        <f ca="1">INDEX(Photobiology!$21:$421,1+$AH351-380,AV$14)</f>
        <v>2.0060568470306544E-3</v>
      </c>
      <c r="AW351" s="147">
        <f ca="1">INDEX(Photobiology!$21:$421,1+$AH351-380,AW$14)</f>
        <v>6.5076355828047532E-6</v>
      </c>
      <c r="AX351" s="147">
        <f ca="1">INDEX(Photobiology!$21:$421,1+$AH351-380,AX$14)</f>
        <v>8.7161343706522533E-7</v>
      </c>
      <c r="AY351" s="147">
        <f t="shared" si="119"/>
        <v>1.0301500327651936E-3</v>
      </c>
      <c r="AZ351" s="147">
        <f t="shared" ca="1" si="133"/>
        <v>0</v>
      </c>
      <c r="BA351" s="147">
        <f t="shared" ca="1" si="120"/>
        <v>1.5996787798797587E-7</v>
      </c>
      <c r="BB351" s="147">
        <f t="shared" ca="1" si="121"/>
        <v>2.5890451728477784E-6</v>
      </c>
      <c r="BC351" s="147">
        <f t="shared" ca="1" si="122"/>
        <v>9.4155712994738705E-9</v>
      </c>
      <c r="BD351" s="147">
        <f t="shared" ca="1" si="123"/>
        <v>1.303757881467629E-9</v>
      </c>
    </row>
    <row r="352" spans="8:56" s="147" customFormat="1" ht="0.25" customHeight="1" x14ac:dyDescent="0.2">
      <c r="H352" s="147">
        <f t="shared" si="124"/>
        <v>711</v>
      </c>
      <c r="I352" s="147">
        <f>IF($H352&gt;$H351,INDEX(Spectra!352:352,1,MATCH($I$20,Spectra!$20:$20,0)),I351)</f>
        <v>9.6990661333607104E-4</v>
      </c>
      <c r="J352" s="147">
        <f>((Physics!$C$9*Physics!$C$10)/(Physics!$C$11*Physics!$C$12*$H352))^($J$17-$J$18)</f>
        <v>3.5802590714491336E+18</v>
      </c>
      <c r="K352" s="147">
        <f t="shared" si="125"/>
        <v>1</v>
      </c>
      <c r="L352" s="147">
        <f>INDEX(Photobiology!$21:$421,1+$H352-380,10)</f>
        <v>1.9535870000000001E-3</v>
      </c>
      <c r="M352" s="147">
        <f t="shared" si="126"/>
        <v>9.6990661333607104E-4</v>
      </c>
      <c r="N352" s="147">
        <f ca="1">INDEX(Photobiology!$21:$421,1+$H352-380,N$14)</f>
        <v>0</v>
      </c>
      <c r="O352" s="147">
        <f ca="1">INDEX(Photobiology!$21:$421,1+$H352-380,O$14)</f>
        <v>1.4413499999999999E-4</v>
      </c>
      <c r="P352" s="147">
        <f ca="1">INDEX(Photobiology!$21:$421,1+$H352-380,P$14)</f>
        <v>2.3289500000000002E-3</v>
      </c>
      <c r="Q352" s="147">
        <f ca="1">INDEX(Photobiology!$21:$421,1+$H352-380,Q$14)</f>
        <v>8.5599999999999994E-6</v>
      </c>
      <c r="R352" s="147">
        <f ca="1">INDEX(Photobiology!$21:$421,1+$H352-380,R$14)</f>
        <v>1.18683E-6</v>
      </c>
      <c r="S352" s="147">
        <f t="shared" si="127"/>
        <v>3472516950854975.5</v>
      </c>
      <c r="T352" s="147" t="str">
        <f ca="1">INDEX(Photobiology!$21:$421,1+$H352-380,T$14)</f>
        <v/>
      </c>
      <c r="U352" s="147">
        <f ca="1">INDEX(Photobiology!$21:$421,1+$H352-380,U$14)</f>
        <v>1.0958676850870035E-4</v>
      </c>
      <c r="V352" s="147">
        <f ca="1">INDEX(Photobiology!$21:$421,1+$H352-380,V$14)</f>
        <v>1.856320673305392E-3</v>
      </c>
      <c r="W352" s="147">
        <f ca="1">INDEX(Photobiology!$21:$421,1+$H352-380,W$14)</f>
        <v>6.0861064205274043E-6</v>
      </c>
      <c r="X352" s="147">
        <f ca="1">INDEX(Photobiology!$21:$421,1+$H352-380,X$14)</f>
        <v>8.1621526790226884E-7</v>
      </c>
      <c r="Y352" s="147">
        <f t="shared" si="114"/>
        <v>9.6990661333607104E-4</v>
      </c>
      <c r="Z352" s="147">
        <f t="shared" ca="1" si="128"/>
        <v>0</v>
      </c>
      <c r="AA352" s="147">
        <f t="shared" ca="1" si="115"/>
        <v>1.3979748971319459E-7</v>
      </c>
      <c r="AB352" s="147">
        <f t="shared" ca="1" si="116"/>
        <v>2.258864007129043E-6</v>
      </c>
      <c r="AC352" s="147">
        <f t="shared" ca="1" si="117"/>
        <v>8.3024006101567679E-9</v>
      </c>
      <c r="AD352" s="147">
        <f t="shared" ca="1" si="118"/>
        <v>1.1511142659056493E-9</v>
      </c>
      <c r="AH352" s="147">
        <f t="shared" si="129"/>
        <v>711</v>
      </c>
      <c r="AI352" s="147">
        <f>IF($AH352&gt;$AH351,INDEX(Spectra!352:352,1,MATCH($AI$20,Spectra!$20:$20,0)),AI351)</f>
        <v>73.0745</v>
      </c>
      <c r="AJ352" s="147">
        <f>((Physics!$C$9*Physics!$C$10)/(Physics!$C$11*Physics!$C$12*$AH352))^($AJ$17-$AJ$18)</f>
        <v>3.5802590714491336E+18</v>
      </c>
      <c r="AK352" s="147">
        <f t="shared" si="130"/>
        <v>1</v>
      </c>
      <c r="AL352" s="147">
        <f>INDEX(Photobiology!$21:$421,1+$AH352-380,10)</f>
        <v>1.9535870000000001E-3</v>
      </c>
      <c r="AM352" s="147">
        <f t="shared" si="131"/>
        <v>1.0124910700789538E-3</v>
      </c>
      <c r="AN352" s="147">
        <f ca="1">INDEX(Photobiology!$21:$421,1+$AH352-380,AN$14)</f>
        <v>0</v>
      </c>
      <c r="AO352" s="147">
        <f ca="1">INDEX(Photobiology!$21:$421,1+$AH352-380,AO$14)</f>
        <v>1.4413499999999999E-4</v>
      </c>
      <c r="AP352" s="147">
        <f ca="1">INDEX(Photobiology!$21:$421,1+$AH352-380,AP$14)</f>
        <v>2.3289500000000002E-3</v>
      </c>
      <c r="AQ352" s="147">
        <f ca="1">INDEX(Photobiology!$21:$421,1+$AH352-380,AQ$14)</f>
        <v>8.5599999999999994E-6</v>
      </c>
      <c r="AR352" s="147">
        <f ca="1">INDEX(Photobiology!$21:$421,1+$AH352-380,AR$14)</f>
        <v>1.18683E-6</v>
      </c>
      <c r="AS352" s="147">
        <f t="shared" si="132"/>
        <v>3624980338411415</v>
      </c>
      <c r="AT352" s="147" t="str">
        <f ca="1">INDEX(Photobiology!$21:$421,1+$AH352-380,AT$14)</f>
        <v/>
      </c>
      <c r="AU352" s="147">
        <f ca="1">INDEX(Photobiology!$21:$421,1+$AH352-380,AU$14)</f>
        <v>1.0958676850870035E-4</v>
      </c>
      <c r="AV352" s="147">
        <f ca="1">INDEX(Photobiology!$21:$421,1+$AH352-380,AV$14)</f>
        <v>1.856320673305392E-3</v>
      </c>
      <c r="AW352" s="147">
        <f ca="1">INDEX(Photobiology!$21:$421,1+$AH352-380,AW$14)</f>
        <v>6.0861064205274043E-6</v>
      </c>
      <c r="AX352" s="147">
        <f ca="1">INDEX(Photobiology!$21:$421,1+$AH352-380,AX$14)</f>
        <v>8.1621526790226884E-7</v>
      </c>
      <c r="AY352" s="147">
        <f t="shared" si="119"/>
        <v>1.0124910700789538E-3</v>
      </c>
      <c r="AZ352" s="147">
        <f t="shared" ca="1" si="133"/>
        <v>0</v>
      </c>
      <c r="BA352" s="147">
        <f t="shared" ca="1" si="120"/>
        <v>1.4593540038583E-7</v>
      </c>
      <c r="BB352" s="147">
        <f t="shared" ca="1" si="121"/>
        <v>2.3580410776603799E-6</v>
      </c>
      <c r="BC352" s="147">
        <f t="shared" ca="1" si="122"/>
        <v>8.6669235598758437E-9</v>
      </c>
      <c r="BD352" s="147">
        <f t="shared" ca="1" si="123"/>
        <v>1.2016547767018047E-9</v>
      </c>
    </row>
    <row r="353" spans="8:56" s="147" customFormat="1" ht="0.25" customHeight="1" x14ac:dyDescent="0.2">
      <c r="H353" s="147">
        <f t="shared" si="124"/>
        <v>712</v>
      </c>
      <c r="I353" s="147">
        <f>IF($H353&gt;$H352,INDEX(Spectra!353:353,1,MATCH($I$20,Spectra!$20:$20,0)),I352)</f>
        <v>9.6490709471062799E-4</v>
      </c>
      <c r="J353" s="147">
        <f>((Physics!$C$9*Physics!$C$10)/(Physics!$C$11*Physics!$C$12*$H353))^($J$17-$J$18)</f>
        <v>3.5852945975693153E+18</v>
      </c>
      <c r="K353" s="147">
        <f t="shared" si="125"/>
        <v>1</v>
      </c>
      <c r="L353" s="147">
        <f>INDEX(Photobiology!$21:$421,1+$H353-380,10)</f>
        <v>1.8245799999999999E-3</v>
      </c>
      <c r="M353" s="147">
        <f t="shared" si="126"/>
        <v>9.6490709471062799E-4</v>
      </c>
      <c r="N353" s="147">
        <f ca="1">INDEX(Photobiology!$21:$421,1+$H353-380,N$14)</f>
        <v>0</v>
      </c>
      <c r="O353" s="147">
        <f ca="1">INDEX(Photobiology!$21:$421,1+$H353-380,O$14)</f>
        <v>1.3383000000000001E-4</v>
      </c>
      <c r="P353" s="147">
        <f ca="1">INDEX(Photobiology!$21:$421,1+$H353-380,P$14)</f>
        <v>2.1583599999999998E-3</v>
      </c>
      <c r="Q353" s="147">
        <f ca="1">INDEX(Photobiology!$21:$421,1+$H353-380,Q$14)</f>
        <v>8.0199999999999994E-6</v>
      </c>
      <c r="R353" s="147">
        <f ca="1">INDEX(Photobiology!$21:$421,1+$H353-380,R$14)</f>
        <v>1.1127299999999999E-6</v>
      </c>
      <c r="S353" s="147">
        <f t="shared" si="127"/>
        <v>3459476193822318</v>
      </c>
      <c r="T353" s="147" t="str">
        <f ca="1">INDEX(Photobiology!$21:$421,1+$H353-380,T$14)</f>
        <v/>
      </c>
      <c r="U353" s="147">
        <f ca="1">INDEX(Photobiology!$21:$421,1+$H353-380,U$14)</f>
        <v>1.0160890081384642E-4</v>
      </c>
      <c r="V353" s="147">
        <f ca="1">INDEX(Photobiology!$21:$421,1+$H353-380,V$14)</f>
        <v>1.7179334161761108E-3</v>
      </c>
      <c r="W353" s="147">
        <f ca="1">INDEX(Photobiology!$21:$421,1+$H353-380,W$14)</f>
        <v>5.6941611350906645E-6</v>
      </c>
      <c r="X353" s="147">
        <f ca="1">INDEX(Photobiology!$21:$421,1+$H353-380,X$14)</f>
        <v>7.6417988678391164E-7</v>
      </c>
      <c r="Y353" s="147">
        <f t="shared" si="114"/>
        <v>9.6490709471062799E-4</v>
      </c>
      <c r="Z353" s="147">
        <f t="shared" ca="1" si="128"/>
        <v>0</v>
      </c>
      <c r="AA353" s="147">
        <f t="shared" ca="1" si="115"/>
        <v>1.2913351648512336E-7</v>
      </c>
      <c r="AB353" s="147">
        <f t="shared" ca="1" si="116"/>
        <v>2.082616876939631E-6</v>
      </c>
      <c r="AC353" s="147">
        <f t="shared" ca="1" si="117"/>
        <v>7.7385548995792358E-9</v>
      </c>
      <c r="AD353" s="147">
        <f t="shared" ca="1" si="118"/>
        <v>1.0736810714973569E-9</v>
      </c>
      <c r="AH353" s="147">
        <f t="shared" si="129"/>
        <v>712</v>
      </c>
      <c r="AI353" s="147">
        <f>IF($AH353&gt;$AH352,INDEX(Spectra!353:353,1,MATCH($AI$20,Spectra!$20:$20,0)),AI352)</f>
        <v>71.8</v>
      </c>
      <c r="AJ353" s="147">
        <f>((Physics!$C$9*Physics!$C$10)/(Physics!$C$11*Physics!$C$12*$AH353))^($AJ$17-$AJ$18)</f>
        <v>3.5852945975693153E+18</v>
      </c>
      <c r="AK353" s="147">
        <f t="shared" si="130"/>
        <v>1</v>
      </c>
      <c r="AL353" s="147">
        <f>INDEX(Photobiology!$21:$421,1+$AH353-380,10)</f>
        <v>1.8245799999999999E-3</v>
      </c>
      <c r="AM353" s="147">
        <f t="shared" si="131"/>
        <v>9.9483210739271404E-4</v>
      </c>
      <c r="AN353" s="147">
        <f ca="1">INDEX(Photobiology!$21:$421,1+$AH353-380,AN$14)</f>
        <v>0</v>
      </c>
      <c r="AO353" s="147">
        <f ca="1">INDEX(Photobiology!$21:$421,1+$AH353-380,AO$14)</f>
        <v>1.3383000000000001E-4</v>
      </c>
      <c r="AP353" s="147">
        <f ca="1">INDEX(Photobiology!$21:$421,1+$AH353-380,AP$14)</f>
        <v>2.1583599999999998E-3</v>
      </c>
      <c r="AQ353" s="147">
        <f ca="1">INDEX(Photobiology!$21:$421,1+$AH353-380,AQ$14)</f>
        <v>8.0199999999999994E-6</v>
      </c>
      <c r="AR353" s="147">
        <f ca="1">INDEX(Photobiology!$21:$421,1+$AH353-380,AR$14)</f>
        <v>1.1127299999999999E-6</v>
      </c>
      <c r="AS353" s="147">
        <f t="shared" si="132"/>
        <v>3566766180123594.5</v>
      </c>
      <c r="AT353" s="147" t="str">
        <f ca="1">INDEX(Photobiology!$21:$421,1+$AH353-380,AT$14)</f>
        <v/>
      </c>
      <c r="AU353" s="147">
        <f ca="1">INDEX(Photobiology!$21:$421,1+$AH353-380,AU$14)</f>
        <v>1.0160890081384642E-4</v>
      </c>
      <c r="AV353" s="147">
        <f ca="1">INDEX(Photobiology!$21:$421,1+$AH353-380,AV$14)</f>
        <v>1.7179334161761108E-3</v>
      </c>
      <c r="AW353" s="147">
        <f ca="1">INDEX(Photobiology!$21:$421,1+$AH353-380,AW$14)</f>
        <v>5.6941611350906645E-6</v>
      </c>
      <c r="AX353" s="147">
        <f ca="1">INDEX(Photobiology!$21:$421,1+$AH353-380,AX$14)</f>
        <v>7.6417988678391164E-7</v>
      </c>
      <c r="AY353" s="147">
        <f t="shared" si="119"/>
        <v>9.9483210739271404E-4</v>
      </c>
      <c r="AZ353" s="147">
        <f t="shared" ca="1" si="133"/>
        <v>0</v>
      </c>
      <c r="BA353" s="147">
        <f t="shared" ca="1" si="120"/>
        <v>1.3313838093236692E-7</v>
      </c>
      <c r="BB353" s="147">
        <f t="shared" ca="1" si="121"/>
        <v>2.147205827312138E-6</v>
      </c>
      <c r="BC353" s="147">
        <f t="shared" ca="1" si="122"/>
        <v>7.9785535012895661E-9</v>
      </c>
      <c r="BD353" s="147">
        <f t="shared" ca="1" si="123"/>
        <v>1.1069795308590947E-9</v>
      </c>
    </row>
    <row r="354" spans="8:56" s="147" customFormat="1" ht="0.25" customHeight="1" x14ac:dyDescent="0.2">
      <c r="H354" s="147">
        <f t="shared" si="124"/>
        <v>713</v>
      </c>
      <c r="I354" s="147">
        <f>IF($H354&gt;$H353,INDEX(Spectra!354:354,1,MATCH($I$20,Spectra!$20:$20,0)),I353)</f>
        <v>9.5990757608518397E-4</v>
      </c>
      <c r="J354" s="147">
        <f>((Physics!$C$9*Physics!$C$10)/(Physics!$C$11*Physics!$C$12*$H354))^($J$17-$J$18)</f>
        <v>3.5903301236894971E+18</v>
      </c>
      <c r="K354" s="147">
        <f t="shared" si="125"/>
        <v>1</v>
      </c>
      <c r="L354" s="147">
        <f>INDEX(Photobiology!$21:$421,1+$H354-380,10)</f>
        <v>1.7035799999999999E-3</v>
      </c>
      <c r="M354" s="147">
        <f t="shared" si="126"/>
        <v>9.5990757608518397E-4</v>
      </c>
      <c r="N354" s="147">
        <f ca="1">INDEX(Photobiology!$21:$421,1+$H354-380,N$14)</f>
        <v>0</v>
      </c>
      <c r="O354" s="147">
        <f ca="1">INDEX(Photobiology!$21:$421,1+$H354-380,O$14)</f>
        <v>1.2430899999999999E-4</v>
      </c>
      <c r="P354" s="147">
        <f ca="1">INDEX(Photobiology!$21:$421,1+$H354-380,P$14)</f>
        <v>2.0007100000000002E-3</v>
      </c>
      <c r="Q354" s="147">
        <f ca="1">INDEX(Photobiology!$21:$421,1+$H354-380,Q$14)</f>
        <v>7.5100000000000001E-6</v>
      </c>
      <c r="R354" s="147">
        <f ca="1">INDEX(Photobiology!$21:$421,1+$H354-380,R$14)</f>
        <v>1.04326E-6</v>
      </c>
      <c r="S354" s="147">
        <f t="shared" si="127"/>
        <v>3446385086376404</v>
      </c>
      <c r="T354" s="147" t="str">
        <f ca="1">INDEX(Photobiology!$21:$421,1+$H354-380,T$14)</f>
        <v/>
      </c>
      <c r="U354" s="147">
        <f ca="1">INDEX(Photobiology!$21:$421,1+$H354-380,U$14)</f>
        <v>9.4247819642900908E-5</v>
      </c>
      <c r="V354" s="147">
        <f ca="1">INDEX(Photobiology!$21:$421,1+$H354-380,V$14)</f>
        <v>1.5902194104828276E-3</v>
      </c>
      <c r="W354" s="147">
        <f ca="1">INDEX(Photobiology!$21:$421,1+$H354-380,W$14)</f>
        <v>5.3245852564706739E-6</v>
      </c>
      <c r="X354" s="147">
        <f ca="1">INDEX(Photobiology!$21:$421,1+$H354-380,X$14)</f>
        <v>7.1546571260835166E-7</v>
      </c>
      <c r="Y354" s="147">
        <f t="shared" si="114"/>
        <v>9.5990757608518397E-4</v>
      </c>
      <c r="Z354" s="147">
        <f t="shared" ca="1" si="128"/>
        <v>0</v>
      </c>
      <c r="AA354" s="147">
        <f t="shared" ca="1" si="115"/>
        <v>1.1932515087557312E-7</v>
      </c>
      <c r="AB354" s="147">
        <f t="shared" ca="1" si="116"/>
        <v>1.9204966865493887E-6</v>
      </c>
      <c r="AC354" s="147">
        <f t="shared" ca="1" si="117"/>
        <v>7.208905896399732E-9</v>
      </c>
      <c r="AD354" s="147">
        <f t="shared" ca="1" si="118"/>
        <v>1.0014331778266291E-9</v>
      </c>
      <c r="AH354" s="147">
        <f t="shared" si="129"/>
        <v>713</v>
      </c>
      <c r="AI354" s="147">
        <f>IF($AH354&gt;$AH353,INDEX(Spectra!354:354,1,MATCH($AI$20,Spectra!$20:$20,0)),AI353)</f>
        <v>70.525499999999994</v>
      </c>
      <c r="AJ354" s="147">
        <f>((Physics!$C$9*Physics!$C$10)/(Physics!$C$11*Physics!$C$12*$AH354))^($AJ$17-$AJ$18)</f>
        <v>3.5903301236894971E+18</v>
      </c>
      <c r="AK354" s="147">
        <f t="shared" si="130"/>
        <v>1</v>
      </c>
      <c r="AL354" s="147">
        <f>INDEX(Photobiology!$21:$421,1+$AH354-380,10)</f>
        <v>1.7035799999999999E-3</v>
      </c>
      <c r="AM354" s="147">
        <f t="shared" si="131"/>
        <v>9.7717314470647425E-4</v>
      </c>
      <c r="AN354" s="147">
        <f ca="1">INDEX(Photobiology!$21:$421,1+$AH354-380,AN$14)</f>
        <v>0</v>
      </c>
      <c r="AO354" s="147">
        <f ca="1">INDEX(Photobiology!$21:$421,1+$AH354-380,AO$14)</f>
        <v>1.2430899999999999E-4</v>
      </c>
      <c r="AP354" s="147">
        <f ca="1">INDEX(Photobiology!$21:$421,1+$AH354-380,AP$14)</f>
        <v>2.0007100000000002E-3</v>
      </c>
      <c r="AQ354" s="147">
        <f ca="1">INDEX(Photobiology!$21:$421,1+$AH354-380,AQ$14)</f>
        <v>7.5100000000000001E-6</v>
      </c>
      <c r="AR354" s="147">
        <f ca="1">INDEX(Photobiology!$21:$421,1+$AH354-380,AR$14)</f>
        <v>1.04326E-6</v>
      </c>
      <c r="AS354" s="147">
        <f t="shared" si="132"/>
        <v>3508374177500050.5</v>
      </c>
      <c r="AT354" s="147" t="str">
        <f ca="1">INDEX(Photobiology!$21:$421,1+$AH354-380,AT$14)</f>
        <v/>
      </c>
      <c r="AU354" s="147">
        <f ca="1">INDEX(Photobiology!$21:$421,1+$AH354-380,AU$14)</f>
        <v>9.4247819642900908E-5</v>
      </c>
      <c r="AV354" s="147">
        <f ca="1">INDEX(Photobiology!$21:$421,1+$AH354-380,AV$14)</f>
        <v>1.5902194104828276E-3</v>
      </c>
      <c r="AW354" s="147">
        <f ca="1">INDEX(Photobiology!$21:$421,1+$AH354-380,AW$14)</f>
        <v>5.3245852564706739E-6</v>
      </c>
      <c r="AX354" s="147">
        <f ca="1">INDEX(Photobiology!$21:$421,1+$AH354-380,AX$14)</f>
        <v>7.1546571260835166E-7</v>
      </c>
      <c r="AY354" s="147">
        <f t="shared" si="119"/>
        <v>9.7717314470647425E-4</v>
      </c>
      <c r="AZ354" s="147">
        <f t="shared" ca="1" si="133"/>
        <v>0</v>
      </c>
      <c r="BA354" s="147">
        <f t="shared" ca="1" si="120"/>
        <v>1.2147141644531711E-7</v>
      </c>
      <c r="BB354" s="147">
        <f t="shared" ca="1" si="121"/>
        <v>1.9550400823456901E-6</v>
      </c>
      <c r="BC354" s="147">
        <f t="shared" ca="1" si="122"/>
        <v>7.3385703167456221E-9</v>
      </c>
      <c r="BD354" s="147">
        <f t="shared" ca="1" si="123"/>
        <v>1.0194456549464763E-9</v>
      </c>
    </row>
    <row r="355" spans="8:56" s="147" customFormat="1" ht="0.25" customHeight="1" x14ac:dyDescent="0.2">
      <c r="H355" s="147">
        <f t="shared" si="124"/>
        <v>714</v>
      </c>
      <c r="I355" s="147">
        <f>IF($H355&gt;$H354,INDEX(Spectra!355:355,1,MATCH($I$20,Spectra!$20:$20,0)),I354)</f>
        <v>9.3990950158340898E-4</v>
      </c>
      <c r="J355" s="147">
        <f>((Physics!$C$9*Physics!$C$10)/(Physics!$C$11*Physics!$C$12*$H355))^($J$17-$J$18)</f>
        <v>3.5953656498096783E+18</v>
      </c>
      <c r="K355" s="147">
        <f t="shared" si="125"/>
        <v>1</v>
      </c>
      <c r="L355" s="147">
        <f>INDEX(Photobiology!$21:$421,1+$H355-380,10)</f>
        <v>1.5901870000000001E-3</v>
      </c>
      <c r="M355" s="147">
        <f t="shared" si="126"/>
        <v>9.3990950158340898E-4</v>
      </c>
      <c r="N355" s="147">
        <f ca="1">INDEX(Photobiology!$21:$421,1+$H355-380,N$14)</f>
        <v>0</v>
      </c>
      <c r="O355" s="147">
        <f ca="1">INDEX(Photobiology!$21:$421,1+$H355-380,O$14)</f>
        <v>1.15513E-4</v>
      </c>
      <c r="P355" s="147">
        <f ca="1">INDEX(Photobiology!$21:$421,1+$H355-380,P$14)</f>
        <v>1.8552099999999999E-3</v>
      </c>
      <c r="Q355" s="147">
        <f ca="1">INDEX(Photobiology!$21:$421,1+$H355-380,Q$14)</f>
        <v>7.0400000000000004E-6</v>
      </c>
      <c r="R355" s="147">
        <f ca="1">INDEX(Photobiology!$21:$421,1+$H355-380,R$14)</f>
        <v>9.7838500000000004E-7</v>
      </c>
      <c r="S355" s="147">
        <f t="shared" si="127"/>
        <v>3379318335922724</v>
      </c>
      <c r="T355" s="147" t="str">
        <f ca="1">INDEX(Photobiology!$21:$421,1+$H355-380,T$14)</f>
        <v/>
      </c>
      <c r="U355" s="147">
        <f ca="1">INDEX(Photobiology!$21:$421,1+$H355-380,U$14)</f>
        <v>8.7456263855305034E-5</v>
      </c>
      <c r="V355" s="147">
        <f ca="1">INDEX(Photobiology!$21:$421,1+$H355-380,V$14)</f>
        <v>1.4725067763045495E-3</v>
      </c>
      <c r="W355" s="147">
        <f ca="1">INDEX(Photobiology!$21:$421,1+$H355-380,W$14)</f>
        <v>4.9843648592837338E-6</v>
      </c>
      <c r="X355" s="147">
        <f ca="1">INDEX(Photobiology!$21:$421,1+$H355-380,X$14)</f>
        <v>6.7003482140906476E-7</v>
      </c>
      <c r="Y355" s="147">
        <f t="shared" si="114"/>
        <v>9.3990950158340898E-4</v>
      </c>
      <c r="Z355" s="147">
        <f t="shared" ca="1" si="128"/>
        <v>0</v>
      </c>
      <c r="AA355" s="147">
        <f t="shared" ca="1" si="115"/>
        <v>1.0857176625640432E-7</v>
      </c>
      <c r="AB355" s="147">
        <f t="shared" ca="1" si="116"/>
        <v>1.743729506432556E-6</v>
      </c>
      <c r="AC355" s="147">
        <f t="shared" ca="1" si="117"/>
        <v>6.6169628911472E-9</v>
      </c>
      <c r="AD355" s="147">
        <f t="shared" ca="1" si="118"/>
        <v>9.1959335770668363E-10</v>
      </c>
      <c r="AH355" s="147">
        <f t="shared" si="129"/>
        <v>714</v>
      </c>
      <c r="AI355" s="147">
        <f>IF($AH355&gt;$AH354,INDEX(Spectra!355:355,1,MATCH($AI$20,Spectra!$20:$20,0)),AI354)</f>
        <v>69.251000000000005</v>
      </c>
      <c r="AJ355" s="147">
        <f>((Physics!$C$9*Physics!$C$10)/(Physics!$C$11*Physics!$C$12*$AH355))^($AJ$17-$AJ$18)</f>
        <v>3.5953656498096783E+18</v>
      </c>
      <c r="AK355" s="147">
        <f t="shared" si="130"/>
        <v>1</v>
      </c>
      <c r="AL355" s="147">
        <f>INDEX(Photobiology!$21:$421,1+$AH355-380,10)</f>
        <v>1.5901870000000001E-3</v>
      </c>
      <c r="AM355" s="147">
        <f t="shared" si="131"/>
        <v>9.5951418202023457E-4</v>
      </c>
      <c r="AN355" s="147">
        <f ca="1">INDEX(Photobiology!$21:$421,1+$AH355-380,AN$14)</f>
        <v>0</v>
      </c>
      <c r="AO355" s="147">
        <f ca="1">INDEX(Photobiology!$21:$421,1+$AH355-380,AO$14)</f>
        <v>1.15513E-4</v>
      </c>
      <c r="AP355" s="147">
        <f ca="1">INDEX(Photobiology!$21:$421,1+$AH355-380,AP$14)</f>
        <v>1.8552099999999999E-3</v>
      </c>
      <c r="AQ355" s="147">
        <f ca="1">INDEX(Photobiology!$21:$421,1+$AH355-380,AQ$14)</f>
        <v>7.0400000000000004E-6</v>
      </c>
      <c r="AR355" s="147">
        <f ca="1">INDEX(Photobiology!$21:$421,1+$AH355-380,AR$14)</f>
        <v>9.7838500000000004E-7</v>
      </c>
      <c r="AS355" s="147">
        <f t="shared" si="132"/>
        <v>3449804330540782.5</v>
      </c>
      <c r="AT355" s="147" t="str">
        <f ca="1">INDEX(Photobiology!$21:$421,1+$AH355-380,AT$14)</f>
        <v/>
      </c>
      <c r="AU355" s="147">
        <f ca="1">INDEX(Photobiology!$21:$421,1+$AH355-380,AU$14)</f>
        <v>8.7456263855305034E-5</v>
      </c>
      <c r="AV355" s="147">
        <f ca="1">INDEX(Photobiology!$21:$421,1+$AH355-380,AV$14)</f>
        <v>1.4725067763045495E-3</v>
      </c>
      <c r="AW355" s="147">
        <f ca="1">INDEX(Photobiology!$21:$421,1+$AH355-380,AW$14)</f>
        <v>4.9843648592837338E-6</v>
      </c>
      <c r="AX355" s="147">
        <f ca="1">INDEX(Photobiology!$21:$421,1+$AH355-380,AX$14)</f>
        <v>6.7003482140906476E-7</v>
      </c>
      <c r="AY355" s="147">
        <f t="shared" si="119"/>
        <v>9.5951418202023457E-4</v>
      </c>
      <c r="AZ355" s="147">
        <f t="shared" ca="1" si="133"/>
        <v>0</v>
      </c>
      <c r="BA355" s="147">
        <f t="shared" ca="1" si="120"/>
        <v>1.1083636170770336E-7</v>
      </c>
      <c r="BB355" s="147">
        <f t="shared" ca="1" si="121"/>
        <v>1.7801003056257592E-6</v>
      </c>
      <c r="BC355" s="147">
        <f t="shared" ca="1" si="122"/>
        <v>6.7549798414224515E-9</v>
      </c>
      <c r="BD355" s="147">
        <f t="shared" ca="1" si="123"/>
        <v>9.3877428297586714E-10</v>
      </c>
    </row>
    <row r="356" spans="8:56" s="147" customFormat="1" ht="0.25" customHeight="1" x14ac:dyDescent="0.2">
      <c r="H356" s="147">
        <f t="shared" si="124"/>
        <v>715</v>
      </c>
      <c r="I356" s="147">
        <f>IF($H356&gt;$H355,INDEX(Spectra!356:356,1,MATCH($I$20,Spectra!$20:$20,0)),I355)</f>
        <v>9.0991238983074703E-4</v>
      </c>
      <c r="J356" s="147">
        <f>((Physics!$C$9*Physics!$C$10)/(Physics!$C$11*Physics!$C$12*$H356))^($J$17-$J$18)</f>
        <v>3.6004011759298601E+18</v>
      </c>
      <c r="K356" s="147">
        <f t="shared" si="125"/>
        <v>1</v>
      </c>
      <c r="L356" s="147">
        <f>INDEX(Photobiology!$21:$421,1+$H356-380,10)</f>
        <v>1.4840000000000001E-3</v>
      </c>
      <c r="M356" s="147">
        <f t="shared" si="126"/>
        <v>9.0991238983074703E-4</v>
      </c>
      <c r="N356" s="147">
        <f ca="1">INDEX(Photobiology!$21:$421,1+$H356-380,N$14)</f>
        <v>0</v>
      </c>
      <c r="O356" s="147">
        <f ca="1">INDEX(Photobiology!$21:$421,1+$H356-380,O$14)</f>
        <v>1.07388E-4</v>
      </c>
      <c r="P356" s="147">
        <f ca="1">INDEX(Photobiology!$21:$421,1+$H356-380,P$14)</f>
        <v>1.72108E-3</v>
      </c>
      <c r="Q356" s="147">
        <f ca="1">INDEX(Photobiology!$21:$421,1+$H356-380,Q$14)</f>
        <v>6.6000000000000003E-6</v>
      </c>
      <c r="R356" s="147">
        <f ca="1">INDEX(Photobiology!$21:$421,1+$H356-380,R$14)</f>
        <v>9.1807799999999997E-7</v>
      </c>
      <c r="S356" s="147">
        <f t="shared" si="127"/>
        <v>3276049638339771</v>
      </c>
      <c r="T356" s="147" t="str">
        <f ca="1">INDEX(Photobiology!$21:$421,1+$H356-380,T$14)</f>
        <v/>
      </c>
      <c r="U356" s="147">
        <f ca="1">INDEX(Photobiology!$21:$421,1+$H356-380,U$14)</f>
        <v>8.1191016973368297E-5</v>
      </c>
      <c r="V356" s="147">
        <f ca="1">INDEX(Photobiology!$21:$421,1+$H356-380,V$14)</f>
        <v>1.3641353185315497E-3</v>
      </c>
      <c r="W356" s="147">
        <f ca="1">INDEX(Photobiology!$21:$421,1+$H356-380,W$14)</f>
        <v>4.6663066121441247E-6</v>
      </c>
      <c r="X356" s="147">
        <f ca="1">INDEX(Photobiology!$21:$421,1+$H356-380,X$14)</f>
        <v>6.2785497241974536E-7</v>
      </c>
      <c r="Y356" s="147">
        <f t="shared" si="114"/>
        <v>9.0991238983074703E-4</v>
      </c>
      <c r="Z356" s="147">
        <f t="shared" ca="1" si="128"/>
        <v>0</v>
      </c>
      <c r="AA356" s="147">
        <f t="shared" ca="1" si="115"/>
        <v>9.7713671719144255E-8</v>
      </c>
      <c r="AB356" s="147">
        <f t="shared" ca="1" si="116"/>
        <v>1.5660320158899022E-6</v>
      </c>
      <c r="AC356" s="147">
        <f t="shared" ca="1" si="117"/>
        <v>6.0054217728829304E-9</v>
      </c>
      <c r="AD356" s="147">
        <f t="shared" ca="1" si="118"/>
        <v>8.3537054703103253E-10</v>
      </c>
      <c r="AH356" s="147">
        <f t="shared" si="129"/>
        <v>715</v>
      </c>
      <c r="AI356" s="147">
        <f>IF($AH356&gt;$AH355,INDEX(Spectra!356:356,1,MATCH($AI$20,Spectra!$20:$20,0)),AI355)</f>
        <v>67.976500000000001</v>
      </c>
      <c r="AJ356" s="147">
        <f>((Physics!$C$9*Physics!$C$10)/(Physics!$C$11*Physics!$C$12*$AH356))^($AJ$17-$AJ$18)</f>
        <v>3.6004011759298601E+18</v>
      </c>
      <c r="AK356" s="147">
        <f t="shared" si="130"/>
        <v>1</v>
      </c>
      <c r="AL356" s="147">
        <f>INDEX(Photobiology!$21:$421,1+$AH356-380,10)</f>
        <v>1.4840000000000001E-3</v>
      </c>
      <c r="AM356" s="147">
        <f t="shared" si="131"/>
        <v>9.4185521933399477E-4</v>
      </c>
      <c r="AN356" s="147">
        <f ca="1">INDEX(Photobiology!$21:$421,1+$AH356-380,AN$14)</f>
        <v>0</v>
      </c>
      <c r="AO356" s="147">
        <f ca="1">INDEX(Photobiology!$21:$421,1+$AH356-380,AO$14)</f>
        <v>1.07388E-4</v>
      </c>
      <c r="AP356" s="147">
        <f ca="1">INDEX(Photobiology!$21:$421,1+$AH356-380,AP$14)</f>
        <v>1.72108E-3</v>
      </c>
      <c r="AQ356" s="147">
        <f ca="1">INDEX(Photobiology!$21:$421,1+$AH356-380,AQ$14)</f>
        <v>6.6000000000000003E-6</v>
      </c>
      <c r="AR356" s="147">
        <f ca="1">INDEX(Photobiology!$21:$421,1+$AH356-380,AR$14)</f>
        <v>9.1807799999999997E-7</v>
      </c>
      <c r="AS356" s="147">
        <f t="shared" si="132"/>
        <v>3391056639245791</v>
      </c>
      <c r="AT356" s="147" t="str">
        <f ca="1">INDEX(Photobiology!$21:$421,1+$AH356-380,AT$14)</f>
        <v/>
      </c>
      <c r="AU356" s="147">
        <f ca="1">INDEX(Photobiology!$21:$421,1+$AH356-380,AU$14)</f>
        <v>8.1191016973368297E-5</v>
      </c>
      <c r="AV356" s="147">
        <f ca="1">INDEX(Photobiology!$21:$421,1+$AH356-380,AV$14)</f>
        <v>1.3641353185315497E-3</v>
      </c>
      <c r="AW356" s="147">
        <f ca="1">INDEX(Photobiology!$21:$421,1+$AH356-380,AW$14)</f>
        <v>4.6663066121441247E-6</v>
      </c>
      <c r="AX356" s="147">
        <f ca="1">INDEX(Photobiology!$21:$421,1+$AH356-380,AX$14)</f>
        <v>6.2785497241974536E-7</v>
      </c>
      <c r="AY356" s="147">
        <f t="shared" si="119"/>
        <v>9.4185521933399477E-4</v>
      </c>
      <c r="AZ356" s="147">
        <f t="shared" ca="1" si="133"/>
        <v>0</v>
      </c>
      <c r="BA356" s="147">
        <f t="shared" ca="1" si="120"/>
        <v>1.0114394829383903E-7</v>
      </c>
      <c r="BB356" s="147">
        <f t="shared" ca="1" si="121"/>
        <v>1.6210081808913517E-6</v>
      </c>
      <c r="BC356" s="147">
        <f t="shared" ca="1" si="122"/>
        <v>6.216244447604366E-9</v>
      </c>
      <c r="BD356" s="147">
        <f t="shared" ca="1" si="123"/>
        <v>8.6469655605571519E-10</v>
      </c>
    </row>
    <row r="357" spans="8:56" s="147" customFormat="1" ht="0.25" customHeight="1" x14ac:dyDescent="0.2">
      <c r="H357" s="147">
        <f t="shared" si="124"/>
        <v>716</v>
      </c>
      <c r="I357" s="147">
        <f>IF($H357&gt;$H356,INDEX(Spectra!357:357,1,MATCH($I$20,Spectra!$20:$20,0)),I356)</f>
        <v>8.5491768495086704E-4</v>
      </c>
      <c r="J357" s="147">
        <f>((Physics!$C$9*Physics!$C$10)/(Physics!$C$11*Physics!$C$12*$H357))^($J$17-$J$18)</f>
        <v>3.6054367020500419E+18</v>
      </c>
      <c r="K357" s="147">
        <f t="shared" si="125"/>
        <v>1</v>
      </c>
      <c r="L357" s="147">
        <f>INDEX(Photobiology!$21:$421,1+$H357-380,10)</f>
        <v>1.384496E-3</v>
      </c>
      <c r="M357" s="147">
        <f t="shared" si="126"/>
        <v>8.5491768495086704E-4</v>
      </c>
      <c r="N357" s="147">
        <f ca="1">INDEX(Photobiology!$21:$421,1+$H357-380,N$14)</f>
        <v>0</v>
      </c>
      <c r="O357" s="147">
        <f ca="1">INDEX(Photobiology!$21:$421,1+$H357-380,O$14)</f>
        <v>9.9879999999999999E-5</v>
      </c>
      <c r="P357" s="147">
        <f ca="1">INDEX(Photobiology!$21:$421,1+$H357-380,P$14)</f>
        <v>1.5975E-3</v>
      </c>
      <c r="Q357" s="147">
        <f ca="1">INDEX(Photobiology!$21:$421,1+$H357-380,Q$14)</f>
        <v>6.1800000000000001E-6</v>
      </c>
      <c r="R357" s="147">
        <f ca="1">INDEX(Photobiology!$21:$421,1+$H357-380,R$14)</f>
        <v>8.6170499999999997E-7</v>
      </c>
      <c r="S357" s="147">
        <f t="shared" si="127"/>
        <v>3082351598553510.5</v>
      </c>
      <c r="T357" s="147" t="str">
        <f ca="1">INDEX(Photobiology!$21:$421,1+$H357-380,T$14)</f>
        <v/>
      </c>
      <c r="U357" s="147">
        <f ca="1">INDEX(Photobiology!$21:$421,1+$H357-380,U$14)</f>
        <v>7.5409103952236666E-5</v>
      </c>
      <c r="V357" s="147">
        <f ca="1">INDEX(Photobiology!$21:$421,1+$H357-380,V$14)</f>
        <v>1.2644168704045984E-3</v>
      </c>
      <c r="W357" s="147">
        <f ca="1">INDEX(Photobiology!$21:$421,1+$H357-380,W$14)</f>
        <v>4.3632573698749885E-6</v>
      </c>
      <c r="X357" s="147">
        <f ca="1">INDEX(Photobiology!$21:$421,1+$H357-380,X$14)</f>
        <v>5.8847956973867357E-7</v>
      </c>
      <c r="Y357" s="147">
        <f t="shared" si="114"/>
        <v>8.5491768495086704E-4</v>
      </c>
      <c r="Z357" s="147">
        <f t="shared" ca="1" si="128"/>
        <v>0</v>
      </c>
      <c r="AA357" s="147">
        <f t="shared" ca="1" si="115"/>
        <v>8.5389178372892605E-8</v>
      </c>
      <c r="AB357" s="147">
        <f t="shared" ca="1" si="116"/>
        <v>1.36573100170901E-6</v>
      </c>
      <c r="AC357" s="147">
        <f t="shared" ca="1" si="117"/>
        <v>5.2833912929963584E-9</v>
      </c>
      <c r="AD357" s="147">
        <f t="shared" ca="1" si="118"/>
        <v>7.3668684371058691E-10</v>
      </c>
      <c r="AH357" s="147">
        <f t="shared" si="129"/>
        <v>716</v>
      </c>
      <c r="AI357" s="147">
        <f>IF($AH357&gt;$AH356,INDEX(Spectra!357:357,1,MATCH($AI$20,Spectra!$20:$20,0)),AI356)</f>
        <v>66.701999999999998</v>
      </c>
      <c r="AJ357" s="147">
        <f>((Physics!$C$9*Physics!$C$10)/(Physics!$C$11*Physics!$C$12*$AH357))^($AJ$17-$AJ$18)</f>
        <v>3.6054367020500419E+18</v>
      </c>
      <c r="AK357" s="147">
        <f t="shared" si="130"/>
        <v>1</v>
      </c>
      <c r="AL357" s="147">
        <f>INDEX(Photobiology!$21:$421,1+$AH357-380,10)</f>
        <v>1.384496E-3</v>
      </c>
      <c r="AM357" s="147">
        <f t="shared" si="131"/>
        <v>9.2419625664775498E-4</v>
      </c>
      <c r="AN357" s="147">
        <f ca="1">INDEX(Photobiology!$21:$421,1+$AH357-380,AN$14)</f>
        <v>0</v>
      </c>
      <c r="AO357" s="147">
        <f ca="1">INDEX(Photobiology!$21:$421,1+$AH357-380,AO$14)</f>
        <v>9.9879999999999999E-5</v>
      </c>
      <c r="AP357" s="147">
        <f ca="1">INDEX(Photobiology!$21:$421,1+$AH357-380,AP$14)</f>
        <v>1.5975E-3</v>
      </c>
      <c r="AQ357" s="147">
        <f ca="1">INDEX(Photobiology!$21:$421,1+$AH357-380,AQ$14)</f>
        <v>6.1800000000000001E-6</v>
      </c>
      <c r="AR357" s="147">
        <f ca="1">INDEX(Photobiology!$21:$421,1+$AH357-380,AR$14)</f>
        <v>8.6170499999999997E-7</v>
      </c>
      <c r="AS357" s="147">
        <f t="shared" si="132"/>
        <v>3332131103615076</v>
      </c>
      <c r="AT357" s="147" t="str">
        <f ca="1">INDEX(Photobiology!$21:$421,1+$AH357-380,AT$14)</f>
        <v/>
      </c>
      <c r="AU357" s="147">
        <f ca="1">INDEX(Photobiology!$21:$421,1+$AH357-380,AU$14)</f>
        <v>7.5409103952236666E-5</v>
      </c>
      <c r="AV357" s="147">
        <f ca="1">INDEX(Photobiology!$21:$421,1+$AH357-380,AV$14)</f>
        <v>1.2644168704045984E-3</v>
      </c>
      <c r="AW357" s="147">
        <f ca="1">INDEX(Photobiology!$21:$421,1+$AH357-380,AW$14)</f>
        <v>4.3632573698749885E-6</v>
      </c>
      <c r="AX357" s="147">
        <f ca="1">INDEX(Photobiology!$21:$421,1+$AH357-380,AX$14)</f>
        <v>5.8847956973867357E-7</v>
      </c>
      <c r="AY357" s="147">
        <f t="shared" si="119"/>
        <v>9.2419625664775498E-4</v>
      </c>
      <c r="AZ357" s="147">
        <f t="shared" ca="1" si="133"/>
        <v>0</v>
      </c>
      <c r="BA357" s="147">
        <f t="shared" ca="1" si="120"/>
        <v>9.2308722113977766E-8</v>
      </c>
      <c r="BB357" s="147">
        <f t="shared" ca="1" si="121"/>
        <v>1.4764035199947887E-6</v>
      </c>
      <c r="BC357" s="147">
        <f t="shared" ca="1" si="122"/>
        <v>5.7115328660831259E-9</v>
      </c>
      <c r="BD357" s="147">
        <f t="shared" ca="1" si="123"/>
        <v>7.9638453533465363E-10</v>
      </c>
    </row>
    <row r="358" spans="8:56" s="147" customFormat="1" ht="0.25" customHeight="1" x14ac:dyDescent="0.2">
      <c r="H358" s="147">
        <f t="shared" si="124"/>
        <v>717</v>
      </c>
      <c r="I358" s="147">
        <f>IF($H358&gt;$H357,INDEX(Spectra!358:358,1,MATCH($I$20,Spectra!$20:$20,0)),I357)</f>
        <v>7.9992298007098596E-4</v>
      </c>
      <c r="J358" s="147">
        <f>((Physics!$C$9*Physics!$C$10)/(Physics!$C$11*Physics!$C$12*$H358))^($J$17-$J$18)</f>
        <v>3.6104722281702231E+18</v>
      </c>
      <c r="K358" s="147">
        <f t="shared" si="125"/>
        <v>1</v>
      </c>
      <c r="L358" s="147">
        <f>INDEX(Photobiology!$21:$421,1+$H358-380,10)</f>
        <v>1.2912679999999999E-3</v>
      </c>
      <c r="M358" s="147">
        <f t="shared" si="126"/>
        <v>7.9992298007098596E-4</v>
      </c>
      <c r="N358" s="147">
        <f ca="1">INDEX(Photobiology!$21:$421,1+$H358-380,N$14)</f>
        <v>0</v>
      </c>
      <c r="O358" s="147">
        <f ca="1">INDEX(Photobiology!$21:$421,1+$H358-380,O$14)</f>
        <v>9.2931999999999997E-5</v>
      </c>
      <c r="P358" s="147">
        <f ca="1">INDEX(Photobiology!$21:$421,1+$H358-380,P$14)</f>
        <v>1.4834200000000001E-3</v>
      </c>
      <c r="Q358" s="147">
        <f ca="1">INDEX(Photobiology!$21:$421,1+$H358-380,Q$14)</f>
        <v>5.8000000000000004E-6</v>
      </c>
      <c r="R358" s="147">
        <f ca="1">INDEX(Photobiology!$21:$421,1+$H358-380,R$14)</f>
        <v>8.0864000000000002E-7</v>
      </c>
      <c r="S358" s="147">
        <f t="shared" si="127"/>
        <v>2888099704221457.5</v>
      </c>
      <c r="T358" s="147" t="str">
        <f ca="1">INDEX(Photobiology!$21:$421,1+$H358-380,T$14)</f>
        <v/>
      </c>
      <c r="U358" s="147">
        <f ca="1">INDEX(Photobiology!$21:$421,1+$H358-380,U$14)</f>
        <v>7.0065527664135721E-5</v>
      </c>
      <c r="V358" s="147">
        <f ca="1">INDEX(Photobiology!$21:$421,1+$H358-380,V$14)</f>
        <v>1.1724853138374266E-3</v>
      </c>
      <c r="W358" s="147">
        <f ca="1">INDEX(Photobiology!$21:$421,1+$H358-380,W$14)</f>
        <v>4.0892552133387615E-6</v>
      </c>
      <c r="X358" s="147">
        <f ca="1">INDEX(Photobiology!$21:$421,1+$H358-380,X$14)</f>
        <v>5.5146996471084755E-7</v>
      </c>
      <c r="Y358" s="147">
        <f t="shared" si="114"/>
        <v>7.9992298007098596E-4</v>
      </c>
      <c r="Z358" s="147">
        <f t="shared" ca="1" si="128"/>
        <v>0</v>
      </c>
      <c r="AA358" s="147">
        <f t="shared" ca="1" si="115"/>
        <v>7.4338442383956861E-8</v>
      </c>
      <c r="AB358" s="147">
        <f t="shared" ca="1" si="116"/>
        <v>1.1866217470969021E-6</v>
      </c>
      <c r="AC358" s="147">
        <f t="shared" ca="1" si="117"/>
        <v>4.6395532844117189E-9</v>
      </c>
      <c r="AD358" s="147">
        <f t="shared" ca="1" si="118"/>
        <v>6.4684971860460213E-10</v>
      </c>
      <c r="AH358" s="147">
        <f t="shared" si="129"/>
        <v>717</v>
      </c>
      <c r="AI358" s="147">
        <f>IF($AH358&gt;$AH357,INDEX(Spectra!358:358,1,MATCH($AI$20,Spectra!$20:$20,0)),AI357)</f>
        <v>65.427499999999995</v>
      </c>
      <c r="AJ358" s="147">
        <f>((Physics!$C$9*Physics!$C$10)/(Physics!$C$11*Physics!$C$12*$AH358))^($AJ$17-$AJ$18)</f>
        <v>3.6104722281702231E+18</v>
      </c>
      <c r="AK358" s="147">
        <f t="shared" si="130"/>
        <v>1</v>
      </c>
      <c r="AL358" s="147">
        <f>INDEX(Photobiology!$21:$421,1+$AH358-380,10)</f>
        <v>1.2912679999999999E-3</v>
      </c>
      <c r="AM358" s="147">
        <f t="shared" si="131"/>
        <v>9.0653729396151519E-4</v>
      </c>
      <c r="AN358" s="147">
        <f ca="1">INDEX(Photobiology!$21:$421,1+$AH358-380,AN$14)</f>
        <v>0</v>
      </c>
      <c r="AO358" s="147">
        <f ca="1">INDEX(Photobiology!$21:$421,1+$AH358-380,AO$14)</f>
        <v>9.2931999999999997E-5</v>
      </c>
      <c r="AP358" s="147">
        <f ca="1">INDEX(Photobiology!$21:$421,1+$AH358-380,AP$14)</f>
        <v>1.4834200000000001E-3</v>
      </c>
      <c r="AQ358" s="147">
        <f ca="1">INDEX(Photobiology!$21:$421,1+$AH358-380,AQ$14)</f>
        <v>5.8000000000000004E-6</v>
      </c>
      <c r="AR358" s="147">
        <f ca="1">INDEX(Photobiology!$21:$421,1+$AH358-380,AR$14)</f>
        <v>8.0864000000000002E-7</v>
      </c>
      <c r="AS358" s="147">
        <f t="shared" si="132"/>
        <v>3273027723648636.5</v>
      </c>
      <c r="AT358" s="147" t="str">
        <f ca="1">INDEX(Photobiology!$21:$421,1+$AH358-380,AT$14)</f>
        <v/>
      </c>
      <c r="AU358" s="147">
        <f ca="1">INDEX(Photobiology!$21:$421,1+$AH358-380,AU$14)</f>
        <v>7.0065527664135721E-5</v>
      </c>
      <c r="AV358" s="147">
        <f ca="1">INDEX(Photobiology!$21:$421,1+$AH358-380,AV$14)</f>
        <v>1.1724853138374266E-3</v>
      </c>
      <c r="AW358" s="147">
        <f ca="1">INDEX(Photobiology!$21:$421,1+$AH358-380,AW$14)</f>
        <v>4.0892552133387615E-6</v>
      </c>
      <c r="AX358" s="147">
        <f ca="1">INDEX(Photobiology!$21:$421,1+$AH358-380,AX$14)</f>
        <v>5.5146996471084755E-7</v>
      </c>
      <c r="AY358" s="147">
        <f t="shared" si="119"/>
        <v>9.0653729396151519E-4</v>
      </c>
      <c r="AZ358" s="147">
        <f t="shared" ca="1" si="133"/>
        <v>0</v>
      </c>
      <c r="BA358" s="147">
        <f t="shared" ca="1" si="120"/>
        <v>8.4246323802431533E-8</v>
      </c>
      <c r="BB358" s="147">
        <f t="shared" ca="1" si="121"/>
        <v>1.344775552608391E-6</v>
      </c>
      <c r="BC358" s="147">
        <f t="shared" ca="1" si="122"/>
        <v>5.257916304976788E-9</v>
      </c>
      <c r="BD358" s="147">
        <f t="shared" ca="1" si="123"/>
        <v>7.330623173890397E-10</v>
      </c>
    </row>
    <row r="359" spans="8:56" s="147" customFormat="1" ht="0.25" customHeight="1" x14ac:dyDescent="0.2">
      <c r="H359" s="147">
        <f t="shared" si="124"/>
        <v>718</v>
      </c>
      <c r="I359" s="147">
        <f>IF($H359&gt;$H358,INDEX(Spectra!359:359,1,MATCH($I$20,Spectra!$20:$20,0)),I358)</f>
        <v>7.5992683106743705E-4</v>
      </c>
      <c r="J359" s="147">
        <f>((Physics!$C$9*Physics!$C$10)/(Physics!$C$11*Physics!$C$12*$H359))^($J$17-$J$18)</f>
        <v>3.6155077542904049E+18</v>
      </c>
      <c r="K359" s="147">
        <f t="shared" si="125"/>
        <v>1</v>
      </c>
      <c r="L359" s="147">
        <f>INDEX(Photobiology!$21:$421,1+$H359-380,10)</f>
        <v>1.2040919999999999E-3</v>
      </c>
      <c r="M359" s="147">
        <f t="shared" si="126"/>
        <v>7.5992683106743705E-4</v>
      </c>
      <c r="N359" s="147">
        <f ca="1">INDEX(Photobiology!$21:$421,1+$H359-380,N$14)</f>
        <v>0</v>
      </c>
      <c r="O359" s="147">
        <f ca="1">INDEX(Photobiology!$21:$421,1+$H359-380,O$14)</f>
        <v>8.6490700000000002E-5</v>
      </c>
      <c r="P359" s="147">
        <f ca="1">INDEX(Photobiology!$21:$421,1+$H359-380,P$14)</f>
        <v>1.37787E-3</v>
      </c>
      <c r="Q359" s="147">
        <f ca="1">INDEX(Photobiology!$21:$421,1+$H359-380,Q$14)</f>
        <v>5.4399999999999996E-6</v>
      </c>
      <c r="R359" s="147">
        <f ca="1">INDEX(Photobiology!$21:$421,1+$H359-380,R$14)</f>
        <v>7.5885300000000003E-7</v>
      </c>
      <c r="S359" s="147">
        <f t="shared" si="127"/>
        <v>2747521350417653</v>
      </c>
      <c r="T359" s="147" t="str">
        <f ca="1">INDEX(Photobiology!$21:$421,1+$H359-380,T$14)</f>
        <v/>
      </c>
      <c r="U359" s="147">
        <f ca="1">INDEX(Photobiology!$21:$421,1+$H359-380,U$14)</f>
        <v>6.5118327369395219E-5</v>
      </c>
      <c r="V359" s="147">
        <f ca="1">INDEX(Photobiology!$21:$421,1+$H359-380,V$14)</f>
        <v>1.0875424993166192E-3</v>
      </c>
      <c r="W359" s="147">
        <f ca="1">INDEX(Photobiology!$21:$421,1+$H359-380,W$14)</f>
        <v>3.8300975349446668E-6</v>
      </c>
      <c r="X359" s="147">
        <f ca="1">INDEX(Photobiology!$21:$421,1+$H359-380,X$14)</f>
        <v>5.1679584171781598E-7</v>
      </c>
      <c r="Y359" s="147">
        <f t="shared" si="114"/>
        <v>7.5992683106743705E-4</v>
      </c>
      <c r="Z359" s="147">
        <f t="shared" ca="1" si="128"/>
        <v>0</v>
      </c>
      <c r="AA359" s="147">
        <f t="shared" ca="1" si="115"/>
        <v>6.5726603567804373E-8</v>
      </c>
      <c r="AB359" s="147">
        <f t="shared" ca="1" si="116"/>
        <v>1.0470803827228896E-6</v>
      </c>
      <c r="AC359" s="147">
        <f t="shared" ca="1" si="117"/>
        <v>4.1340019610068571E-9</v>
      </c>
      <c r="AD359" s="147">
        <f t="shared" ca="1" si="118"/>
        <v>5.766727555360178E-10</v>
      </c>
      <c r="AH359" s="147">
        <f t="shared" si="129"/>
        <v>718</v>
      </c>
      <c r="AI359" s="147">
        <f>IF($AH359&gt;$AH358,INDEX(Spectra!359:359,1,MATCH($AI$20,Spectra!$20:$20,0)),AI358)</f>
        <v>64.153000000000006</v>
      </c>
      <c r="AJ359" s="147">
        <f>((Physics!$C$9*Physics!$C$10)/(Physics!$C$11*Physics!$C$12*$AH359))^($AJ$17-$AJ$18)</f>
        <v>3.6155077542904049E+18</v>
      </c>
      <c r="AK359" s="147">
        <f t="shared" si="130"/>
        <v>1</v>
      </c>
      <c r="AL359" s="147">
        <f>INDEX(Photobiology!$21:$421,1+$AH359-380,10)</f>
        <v>1.2040919999999999E-3</v>
      </c>
      <c r="AM359" s="147">
        <f t="shared" si="131"/>
        <v>8.8887833127527561E-4</v>
      </c>
      <c r="AN359" s="147">
        <f ca="1">INDEX(Photobiology!$21:$421,1+$AH359-380,AN$14)</f>
        <v>0</v>
      </c>
      <c r="AO359" s="147">
        <f ca="1">INDEX(Photobiology!$21:$421,1+$AH359-380,AO$14)</f>
        <v>8.6490700000000002E-5</v>
      </c>
      <c r="AP359" s="147">
        <f ca="1">INDEX(Photobiology!$21:$421,1+$AH359-380,AP$14)</f>
        <v>1.37787E-3</v>
      </c>
      <c r="AQ359" s="147">
        <f ca="1">INDEX(Photobiology!$21:$421,1+$AH359-380,AQ$14)</f>
        <v>5.4399999999999996E-6</v>
      </c>
      <c r="AR359" s="147">
        <f ca="1">INDEX(Photobiology!$21:$421,1+$AH359-380,AR$14)</f>
        <v>7.5885300000000003E-7</v>
      </c>
      <c r="AS359" s="147">
        <f t="shared" si="132"/>
        <v>3213746499346474.5</v>
      </c>
      <c r="AT359" s="147" t="str">
        <f ca="1">INDEX(Photobiology!$21:$421,1+$AH359-380,AT$14)</f>
        <v/>
      </c>
      <c r="AU359" s="147">
        <f ca="1">INDEX(Photobiology!$21:$421,1+$AH359-380,AU$14)</f>
        <v>6.5118327369395219E-5</v>
      </c>
      <c r="AV359" s="147">
        <f ca="1">INDEX(Photobiology!$21:$421,1+$AH359-380,AV$14)</f>
        <v>1.0875424993166192E-3</v>
      </c>
      <c r="AW359" s="147">
        <f ca="1">INDEX(Photobiology!$21:$421,1+$AH359-380,AW$14)</f>
        <v>3.8300975349446668E-6</v>
      </c>
      <c r="AX359" s="147">
        <f ca="1">INDEX(Photobiology!$21:$421,1+$AH359-380,AX$14)</f>
        <v>5.1679584171781598E-7</v>
      </c>
      <c r="AY359" s="147">
        <f t="shared" si="119"/>
        <v>8.8887833127527561E-4</v>
      </c>
      <c r="AZ359" s="147">
        <f t="shared" ca="1" si="133"/>
        <v>0</v>
      </c>
      <c r="BA359" s="147">
        <f t="shared" ca="1" si="120"/>
        <v>7.6879709086830486E-8</v>
      </c>
      <c r="BB359" s="147">
        <f t="shared" ca="1" si="121"/>
        <v>1.2247587863142639E-6</v>
      </c>
      <c r="BC359" s="147">
        <f t="shared" ca="1" si="122"/>
        <v>4.8354981221374988E-9</v>
      </c>
      <c r="BD359" s="147">
        <f t="shared" ca="1" si="123"/>
        <v>6.7452798832323675E-10</v>
      </c>
    </row>
    <row r="360" spans="8:56" s="147" customFormat="1" ht="0.25" customHeight="1" x14ac:dyDescent="0.2">
      <c r="H360" s="147">
        <f t="shared" si="124"/>
        <v>719</v>
      </c>
      <c r="I360" s="147">
        <f>IF($H360&gt;$H359,INDEX(Spectra!360:360,1,MATCH($I$20,Spectra!$20:$20,0)),I359)</f>
        <v>7.4992779381654999E-4</v>
      </c>
      <c r="J360" s="147">
        <f>((Physics!$C$9*Physics!$C$10)/(Physics!$C$11*Physics!$C$12*$H360))^($J$17-$J$18)</f>
        <v>3.6205432804105871E+18</v>
      </c>
      <c r="K360" s="147">
        <f t="shared" si="125"/>
        <v>1</v>
      </c>
      <c r="L360" s="147">
        <f>INDEX(Photobiology!$21:$421,1+$H360-380,10)</f>
        <v>1.122744E-3</v>
      </c>
      <c r="M360" s="147">
        <f t="shared" si="126"/>
        <v>7.4992779381654999E-4</v>
      </c>
      <c r="N360" s="147">
        <f ca="1">INDEX(Photobiology!$21:$421,1+$H360-380,N$14)</f>
        <v>0</v>
      </c>
      <c r="O360" s="147">
        <f ca="1">INDEX(Photobiology!$21:$421,1+$H360-380,O$14)</f>
        <v>8.0508999999999998E-5</v>
      </c>
      <c r="P360" s="147">
        <f ca="1">INDEX(Photobiology!$21:$421,1+$H360-380,P$14)</f>
        <v>1.27998E-3</v>
      </c>
      <c r="Q360" s="147">
        <f ca="1">INDEX(Photobiology!$21:$421,1+$H360-380,Q$14)</f>
        <v>5.1000000000000003E-6</v>
      </c>
      <c r="R360" s="147">
        <f ca="1">INDEX(Photobiology!$21:$421,1+$H360-380,R$14)</f>
        <v>7.1231299999999998E-7</v>
      </c>
      <c r="S360" s="147">
        <f t="shared" si="127"/>
        <v>2715146034695646.5</v>
      </c>
      <c r="T360" s="147" t="str">
        <f ca="1">INDEX(Photobiology!$21:$421,1+$H360-380,T$14)</f>
        <v/>
      </c>
      <c r="U360" s="147">
        <f ca="1">INDEX(Photobiology!$21:$421,1+$H360-380,U$14)</f>
        <v>6.0530437218192923E-5</v>
      </c>
      <c r="V360" s="147">
        <f ca="1">INDEX(Photobiology!$21:$421,1+$H360-380,V$14)</f>
        <v>1.0088735371364961E-3</v>
      </c>
      <c r="W360" s="147">
        <f ca="1">INDEX(Photobiology!$21:$421,1+$H360-380,W$14)</f>
        <v>3.5857223966754225E-6</v>
      </c>
      <c r="X360" s="147">
        <f ca="1">INDEX(Photobiology!$21:$421,1+$H360-380,X$14)</f>
        <v>4.8442637372031727E-7</v>
      </c>
      <c r="Y360" s="147">
        <f t="shared" si="114"/>
        <v>7.4992779381654999E-4</v>
      </c>
      <c r="Z360" s="147">
        <f t="shared" ca="1" si="128"/>
        <v>0</v>
      </c>
      <c r="AA360" s="147">
        <f t="shared" ca="1" si="115"/>
        <v>6.0375936752376622E-8</v>
      </c>
      <c r="AB360" s="147">
        <f t="shared" ca="1" si="116"/>
        <v>9.5989257752930769E-7</v>
      </c>
      <c r="AC360" s="147">
        <f t="shared" ca="1" si="117"/>
        <v>3.8246317484644049E-9</v>
      </c>
      <c r="AD360" s="147">
        <f t="shared" ca="1" si="118"/>
        <v>5.3418331659684818E-10</v>
      </c>
      <c r="AH360" s="147">
        <f t="shared" si="129"/>
        <v>719</v>
      </c>
      <c r="AI360" s="147">
        <f>IF($AH360&gt;$AH359,INDEX(Spectra!360:360,1,MATCH($AI$20,Spectra!$20:$20,0)),AI359)</f>
        <v>62.878500000000003</v>
      </c>
      <c r="AJ360" s="147">
        <f>((Physics!$C$9*Physics!$C$10)/(Physics!$C$11*Physics!$C$12*$AH360))^($AJ$17-$AJ$18)</f>
        <v>3.6205432804105871E+18</v>
      </c>
      <c r="AK360" s="147">
        <f t="shared" si="130"/>
        <v>1</v>
      </c>
      <c r="AL360" s="147">
        <f>INDEX(Photobiology!$21:$421,1+$AH360-380,10)</f>
        <v>1.122744E-3</v>
      </c>
      <c r="AM360" s="147">
        <f t="shared" si="131"/>
        <v>8.7121936858903582E-4</v>
      </c>
      <c r="AN360" s="147">
        <f ca="1">INDEX(Photobiology!$21:$421,1+$AH360-380,AN$14)</f>
        <v>0</v>
      </c>
      <c r="AO360" s="147">
        <f ca="1">INDEX(Photobiology!$21:$421,1+$AH360-380,AO$14)</f>
        <v>8.0508999999999998E-5</v>
      </c>
      <c r="AP360" s="147">
        <f ca="1">INDEX(Photobiology!$21:$421,1+$AH360-380,AP$14)</f>
        <v>1.27998E-3</v>
      </c>
      <c r="AQ360" s="147">
        <f ca="1">INDEX(Photobiology!$21:$421,1+$AH360-380,AQ$14)</f>
        <v>5.1000000000000003E-6</v>
      </c>
      <c r="AR360" s="147">
        <f ca="1">INDEX(Photobiology!$21:$421,1+$AH360-380,AR$14)</f>
        <v>7.1231299999999998E-7</v>
      </c>
      <c r="AS360" s="147">
        <f t="shared" si="132"/>
        <v>3154287430708588</v>
      </c>
      <c r="AT360" s="147" t="str">
        <f ca="1">INDEX(Photobiology!$21:$421,1+$AH360-380,AT$14)</f>
        <v/>
      </c>
      <c r="AU360" s="147">
        <f ca="1">INDEX(Photobiology!$21:$421,1+$AH360-380,AU$14)</f>
        <v>6.0530437218192923E-5</v>
      </c>
      <c r="AV360" s="147">
        <f ca="1">INDEX(Photobiology!$21:$421,1+$AH360-380,AV$14)</f>
        <v>1.0088735371364961E-3</v>
      </c>
      <c r="AW360" s="147">
        <f ca="1">INDEX(Photobiology!$21:$421,1+$AH360-380,AW$14)</f>
        <v>3.5857223966754225E-6</v>
      </c>
      <c r="AX360" s="147">
        <f ca="1">INDEX(Photobiology!$21:$421,1+$AH360-380,AX$14)</f>
        <v>4.8442637372031727E-7</v>
      </c>
      <c r="AY360" s="147">
        <f t="shared" si="119"/>
        <v>8.7121936858903582E-4</v>
      </c>
      <c r="AZ360" s="147">
        <f t="shared" ca="1" si="133"/>
        <v>0</v>
      </c>
      <c r="BA360" s="147">
        <f t="shared" ca="1" si="120"/>
        <v>7.0141000145734685E-8</v>
      </c>
      <c r="BB360" s="147">
        <f t="shared" ca="1" si="121"/>
        <v>1.115143367406594E-6</v>
      </c>
      <c r="BC360" s="147">
        <f t="shared" ca="1" si="122"/>
        <v>4.4432187798040833E-9</v>
      </c>
      <c r="BD360" s="147">
        <f t="shared" ca="1" si="123"/>
        <v>6.2058088209776181E-10</v>
      </c>
    </row>
    <row r="361" spans="8:56" s="147" customFormat="1" ht="0.25" customHeight="1" x14ac:dyDescent="0.2">
      <c r="H361" s="147">
        <f t="shared" si="124"/>
        <v>720</v>
      </c>
      <c r="I361" s="147">
        <f>IF($H361&gt;$H360,INDEX(Spectra!361:361,1,MATCH($I$20,Spectra!$20:$20,0)),I360)</f>
        <v>7.6992586831832401E-4</v>
      </c>
      <c r="J361" s="147">
        <f>((Physics!$C$9*Physics!$C$10)/(Physics!$C$11*Physics!$C$12*$H361))^($J$17-$J$18)</f>
        <v>3.6255788065307679E+18</v>
      </c>
      <c r="K361" s="147">
        <f t="shared" si="125"/>
        <v>1</v>
      </c>
      <c r="L361" s="147">
        <f>INDEX(Photobiology!$21:$421,1+$H361-380,10)</f>
        <v>1.047E-3</v>
      </c>
      <c r="M361" s="147">
        <f t="shared" si="126"/>
        <v>7.6992586831832401E-4</v>
      </c>
      <c r="N361" s="147">
        <f ca="1">INDEX(Photobiology!$21:$421,1+$H361-380,N$14)</f>
        <v>0</v>
      </c>
      <c r="O361" s="147">
        <f ca="1">INDEX(Photobiology!$21:$421,1+$H361-380,O$14)</f>
        <v>7.4945300000000002E-5</v>
      </c>
      <c r="P361" s="147">
        <f ca="1">INDEX(Photobiology!$21:$421,1+$H361-380,P$14)</f>
        <v>1.189E-3</v>
      </c>
      <c r="Q361" s="147">
        <f ca="1">INDEX(Photobiology!$21:$421,1+$H361-380,Q$14)</f>
        <v>4.78E-6</v>
      </c>
      <c r="R361" s="147">
        <f ca="1">INDEX(Photobiology!$21:$421,1+$H361-380,R$14)</f>
        <v>6.6899100000000004E-7</v>
      </c>
      <c r="S361" s="147">
        <f t="shared" si="127"/>
        <v>2791426910774714.5</v>
      </c>
      <c r="T361" s="147" t="str">
        <f ca="1">INDEX(Photobiology!$21:$421,1+$H361-380,T$14)</f>
        <v/>
      </c>
      <c r="U361" s="147">
        <f ca="1">INDEX(Photobiology!$21:$421,1+$H361-380,U$14)</f>
        <v>5.6269126696438496E-5</v>
      </c>
      <c r="V361" s="147">
        <f ca="1">INDEX(Photobiology!$21:$421,1+$H361-380,V$14)</f>
        <v>9.3586196120702865E-4</v>
      </c>
      <c r="W361" s="147">
        <f ca="1">INDEX(Photobiology!$21:$421,1+$H361-380,W$14)</f>
        <v>3.3560682046138416E-6</v>
      </c>
      <c r="X361" s="147">
        <f ca="1">INDEX(Photobiology!$21:$421,1+$H361-380,X$14)</f>
        <v>4.5433226320163097E-7</v>
      </c>
      <c r="Y361" s="147">
        <f t="shared" si="114"/>
        <v>7.6992586831832401E-4</v>
      </c>
      <c r="Z361" s="147">
        <f t="shared" ca="1" si="128"/>
        <v>0</v>
      </c>
      <c r="AA361" s="147">
        <f t="shared" ca="1" si="115"/>
        <v>5.7702325178877288E-8</v>
      </c>
      <c r="AB361" s="147">
        <f t="shared" ca="1" si="116"/>
        <v>9.1544185743048719E-7</v>
      </c>
      <c r="AC361" s="147">
        <f t="shared" ca="1" si="117"/>
        <v>3.6802456505615889E-9</v>
      </c>
      <c r="AD361" s="147">
        <f t="shared" ca="1" si="118"/>
        <v>5.1507347657214395E-10</v>
      </c>
      <c r="AH361" s="147">
        <f t="shared" si="129"/>
        <v>720</v>
      </c>
      <c r="AI361" s="147">
        <f>IF($AH361&gt;$AH360,INDEX(Spectra!361:361,1,MATCH($AI$20,Spectra!$20:$20,0)),AI360)</f>
        <v>61.603999999999999</v>
      </c>
      <c r="AJ361" s="147">
        <f>((Physics!$C$9*Physics!$C$10)/(Physics!$C$11*Physics!$C$12*$AH361))^($AJ$17-$AJ$18)</f>
        <v>3.6255788065307679E+18</v>
      </c>
      <c r="AK361" s="147">
        <f t="shared" si="130"/>
        <v>1</v>
      </c>
      <c r="AL361" s="147">
        <f>INDEX(Photobiology!$21:$421,1+$AH361-380,10)</f>
        <v>1.047E-3</v>
      </c>
      <c r="AM361" s="147">
        <f t="shared" si="131"/>
        <v>8.5356040590279603E-4</v>
      </c>
      <c r="AN361" s="147">
        <f ca="1">INDEX(Photobiology!$21:$421,1+$AH361-380,AN$14)</f>
        <v>0</v>
      </c>
      <c r="AO361" s="147">
        <f ca="1">INDEX(Photobiology!$21:$421,1+$AH361-380,AO$14)</f>
        <v>7.4945300000000002E-5</v>
      </c>
      <c r="AP361" s="147">
        <f ca="1">INDEX(Photobiology!$21:$421,1+$AH361-380,AP$14)</f>
        <v>1.189E-3</v>
      </c>
      <c r="AQ361" s="147">
        <f ca="1">INDEX(Photobiology!$21:$421,1+$AH361-380,AQ$14)</f>
        <v>4.78E-6</v>
      </c>
      <c r="AR361" s="147">
        <f ca="1">INDEX(Photobiology!$21:$421,1+$AH361-380,AR$14)</f>
        <v>6.6899100000000004E-7</v>
      </c>
      <c r="AS361" s="147">
        <f t="shared" si="132"/>
        <v>3094650517734977</v>
      </c>
      <c r="AT361" s="147" t="str">
        <f ca="1">INDEX(Photobiology!$21:$421,1+$AH361-380,AT$14)</f>
        <v/>
      </c>
      <c r="AU361" s="147">
        <f ca="1">INDEX(Photobiology!$21:$421,1+$AH361-380,AU$14)</f>
        <v>5.6269126696438496E-5</v>
      </c>
      <c r="AV361" s="147">
        <f ca="1">INDEX(Photobiology!$21:$421,1+$AH361-380,AV$14)</f>
        <v>9.3586196120702865E-4</v>
      </c>
      <c r="AW361" s="147">
        <f ca="1">INDEX(Photobiology!$21:$421,1+$AH361-380,AW$14)</f>
        <v>3.3560682046138416E-6</v>
      </c>
      <c r="AX361" s="147">
        <f ca="1">INDEX(Photobiology!$21:$421,1+$AH361-380,AX$14)</f>
        <v>4.5433226320163097E-7</v>
      </c>
      <c r="AY361" s="147">
        <f t="shared" si="119"/>
        <v>8.5356040590279603E-4</v>
      </c>
      <c r="AZ361" s="147">
        <f t="shared" ca="1" si="133"/>
        <v>0</v>
      </c>
      <c r="BA361" s="147">
        <f t="shared" ca="1" si="120"/>
        <v>6.3970340688506826E-8</v>
      </c>
      <c r="BB361" s="147">
        <f t="shared" ca="1" si="121"/>
        <v>1.0148833226184243E-6</v>
      </c>
      <c r="BC361" s="147">
        <f t="shared" ca="1" si="122"/>
        <v>4.0800187402153651E-9</v>
      </c>
      <c r="BD361" s="147">
        <f t="shared" ca="1" si="123"/>
        <v>5.7102422950531744E-10</v>
      </c>
    </row>
    <row r="362" spans="8:56" s="147" customFormat="1" ht="0.25" customHeight="1" x14ac:dyDescent="0.2">
      <c r="H362" s="147">
        <f t="shared" si="124"/>
        <v>721</v>
      </c>
      <c r="I362" s="147">
        <f>IF($H362&gt;$H361,INDEX(Spectra!362:362,1,MATCH($I$20,Spectra!$20:$20,0)),I361)</f>
        <v>7.9492346144554302E-4</v>
      </c>
      <c r="J362" s="147">
        <f>((Physics!$C$9*Physics!$C$10)/(Physics!$C$11*Physics!$C$12*$H362))^($J$17-$J$18)</f>
        <v>3.6306143326509496E+18</v>
      </c>
      <c r="K362" s="147">
        <f t="shared" si="125"/>
        <v>1</v>
      </c>
      <c r="L362" s="147">
        <f>INDEX(Photobiology!$21:$421,1+$H362-380,10)</f>
        <v>9.7658959999999992E-4</v>
      </c>
      <c r="M362" s="147">
        <f t="shared" si="126"/>
        <v>7.9492346144554302E-4</v>
      </c>
      <c r="N362" s="147">
        <f ca="1">INDEX(Photobiology!$21:$421,1+$H362-380,N$14)</f>
        <v>0</v>
      </c>
      <c r="O362" s="147">
        <f ca="1">INDEX(Photobiology!$21:$421,1+$H362-380,O$14)</f>
        <v>6.9765199999999994E-5</v>
      </c>
      <c r="P362" s="147">
        <f ca="1">INDEX(Photobiology!$21:$421,1+$H362-380,P$14)</f>
        <v>1.1043299999999999E-3</v>
      </c>
      <c r="Q362" s="147">
        <f ca="1">INDEX(Photobiology!$21:$421,1+$H362-380,Q$14)</f>
        <v>4.4900000000000002E-6</v>
      </c>
      <c r="R362" s="147">
        <f ca="1">INDEX(Photobiology!$21:$421,1+$H362-380,R$14)</f>
        <v>6.2844400000000004E-7</v>
      </c>
      <c r="S362" s="147">
        <f t="shared" si="127"/>
        <v>2886060512484693</v>
      </c>
      <c r="T362" s="147" t="str">
        <f ca="1">INDEX(Photobiology!$21:$421,1+$H362-380,T$14)</f>
        <v/>
      </c>
      <c r="U362" s="147">
        <f ca="1">INDEX(Photobiology!$21:$421,1+$H362-380,U$14)</f>
        <v>5.2307245155195731E-5</v>
      </c>
      <c r="V362" s="147">
        <f ca="1">INDEX(Photobiology!$21:$421,1+$H362-380,V$14)</f>
        <v>8.6801262675569252E-4</v>
      </c>
      <c r="W362" s="147">
        <f ca="1">INDEX(Photobiology!$21:$421,1+$H362-380,W$14)</f>
        <v>3.1480850317944127E-6</v>
      </c>
      <c r="X362" s="147">
        <f ca="1">INDEX(Photobiology!$21:$421,1+$H362-380,X$14)</f>
        <v>4.2620360507089898E-7</v>
      </c>
      <c r="Y362" s="147">
        <f t="shared" si="114"/>
        <v>7.9492346144554302E-4</v>
      </c>
      <c r="Z362" s="147">
        <f t="shared" ca="1" si="128"/>
        <v>0</v>
      </c>
      <c r="AA362" s="147">
        <f t="shared" ca="1" si="115"/>
        <v>5.5457994272440594E-8</v>
      </c>
      <c r="AB362" s="147">
        <f t="shared" ca="1" si="116"/>
        <v>8.7785782617815644E-7</v>
      </c>
      <c r="AC362" s="147">
        <f t="shared" ca="1" si="117"/>
        <v>3.5692063418904884E-9</v>
      </c>
      <c r="AD362" s="147">
        <f t="shared" ca="1" si="118"/>
        <v>4.9956487980468291E-10</v>
      </c>
      <c r="AH362" s="147">
        <f t="shared" si="129"/>
        <v>721</v>
      </c>
      <c r="AI362" s="147">
        <f>IF($AH362&gt;$AH361,INDEX(Spectra!362:362,1,MATCH($AI$20,Spectra!$20:$20,0)),AI361)</f>
        <v>62.432200000000002</v>
      </c>
      <c r="AJ362" s="147">
        <f>((Physics!$C$9*Physics!$C$10)/(Physics!$C$11*Physics!$C$12*$AH362))^($AJ$17-$AJ$18)</f>
        <v>3.6306143326509496E+18</v>
      </c>
      <c r="AK362" s="147">
        <f t="shared" si="130"/>
        <v>1</v>
      </c>
      <c r="AL362" s="147">
        <f>INDEX(Photobiology!$21:$421,1+$AH362-380,10)</f>
        <v>9.7658959999999992E-4</v>
      </c>
      <c r="AM362" s="147">
        <f t="shared" si="131"/>
        <v>8.6503561413876599E-4</v>
      </c>
      <c r="AN362" s="147">
        <f ca="1">INDEX(Photobiology!$21:$421,1+$AH362-380,AN$14)</f>
        <v>0</v>
      </c>
      <c r="AO362" s="147">
        <f ca="1">INDEX(Photobiology!$21:$421,1+$AH362-380,AO$14)</f>
        <v>6.9765199999999994E-5</v>
      </c>
      <c r="AP362" s="147">
        <f ca="1">INDEX(Photobiology!$21:$421,1+$AH362-380,AP$14)</f>
        <v>1.1043299999999999E-3</v>
      </c>
      <c r="AQ362" s="147">
        <f ca="1">INDEX(Photobiology!$21:$421,1+$AH362-380,AQ$14)</f>
        <v>4.4900000000000002E-6</v>
      </c>
      <c r="AR362" s="147">
        <f ca="1">INDEX(Photobiology!$21:$421,1+$AH362-380,AR$14)</f>
        <v>6.2844400000000004E-7</v>
      </c>
      <c r="AS362" s="147">
        <f t="shared" si="132"/>
        <v>3140610698945720.5</v>
      </c>
      <c r="AT362" s="147" t="str">
        <f ca="1">INDEX(Photobiology!$21:$421,1+$AH362-380,AT$14)</f>
        <v/>
      </c>
      <c r="AU362" s="147">
        <f ca="1">INDEX(Photobiology!$21:$421,1+$AH362-380,AU$14)</f>
        <v>5.2307245155195731E-5</v>
      </c>
      <c r="AV362" s="147">
        <f ca="1">INDEX(Photobiology!$21:$421,1+$AH362-380,AV$14)</f>
        <v>8.6801262675569252E-4</v>
      </c>
      <c r="AW362" s="147">
        <f ca="1">INDEX(Photobiology!$21:$421,1+$AH362-380,AW$14)</f>
        <v>3.1480850317944127E-6</v>
      </c>
      <c r="AX362" s="147">
        <f ca="1">INDEX(Photobiology!$21:$421,1+$AH362-380,AX$14)</f>
        <v>4.2620360507089898E-7</v>
      </c>
      <c r="AY362" s="147">
        <f t="shared" si="119"/>
        <v>8.6503561413876599E-4</v>
      </c>
      <c r="AZ362" s="147">
        <f t="shared" ca="1" si="133"/>
        <v>0</v>
      </c>
      <c r="BA362" s="147">
        <f t="shared" ca="1" si="120"/>
        <v>6.0349382627513827E-8</v>
      </c>
      <c r="BB362" s="147">
        <f t="shared" ca="1" si="121"/>
        <v>9.5528477976186329E-7</v>
      </c>
      <c r="BC362" s="147">
        <f t="shared" ca="1" si="122"/>
        <v>3.8840099074830597E-9</v>
      </c>
      <c r="BD362" s="147">
        <f t="shared" ca="1" si="123"/>
        <v>5.4362644149182269E-10</v>
      </c>
    </row>
    <row r="363" spans="8:56" s="147" customFormat="1" ht="0.25" customHeight="1" x14ac:dyDescent="0.2">
      <c r="H363" s="147">
        <f t="shared" si="124"/>
        <v>722</v>
      </c>
      <c r="I363" s="147">
        <f>IF($H363&gt;$H362,INDEX(Spectra!363:363,1,MATCH($I$20,Spectra!$20:$20,0)),I362)</f>
        <v>8.09922017321874E-4</v>
      </c>
      <c r="J363" s="147">
        <f>((Physics!$C$9*Physics!$C$10)/(Physics!$C$11*Physics!$C$12*$H363))^($J$17-$J$18)</f>
        <v>3.6356498587711314E+18</v>
      </c>
      <c r="K363" s="147">
        <f t="shared" si="125"/>
        <v>1</v>
      </c>
      <c r="L363" s="147">
        <f>INDEX(Photobiology!$21:$421,1+$H363-380,10)</f>
        <v>9.1110880000000005E-4</v>
      </c>
      <c r="M363" s="147">
        <f t="shared" si="126"/>
        <v>8.09922017321874E-4</v>
      </c>
      <c r="N363" s="147">
        <f ca="1">INDEX(Photobiology!$21:$421,1+$H363-380,N$14)</f>
        <v>0</v>
      </c>
      <c r="O363" s="147">
        <f ca="1">INDEX(Photobiology!$21:$421,1+$H363-380,O$14)</f>
        <v>6.4947E-5</v>
      </c>
      <c r="P363" s="147">
        <f ca="1">INDEX(Photobiology!$21:$421,1+$H363-380,P$14)</f>
        <v>1.02563E-3</v>
      </c>
      <c r="Q363" s="147">
        <f ca="1">INDEX(Photobiology!$21:$421,1+$H363-380,Q$14)</f>
        <v>4.2100000000000003E-6</v>
      </c>
      <c r="R363" s="147">
        <f ca="1">INDEX(Photobiology!$21:$421,1+$H363-380,R$14)</f>
        <v>5.90239E-7</v>
      </c>
      <c r="S363" s="147">
        <f t="shared" si="127"/>
        <v>2944592867891901</v>
      </c>
      <c r="T363" s="147" t="str">
        <f ca="1">INDEX(Photobiology!$21:$421,1+$H363-380,T$14)</f>
        <v/>
      </c>
      <c r="U363" s="147">
        <f ca="1">INDEX(Photobiology!$21:$421,1+$H363-380,U$14)</f>
        <v>4.8627301144480237E-5</v>
      </c>
      <c r="V363" s="147">
        <f ca="1">INDEX(Photobiology!$21:$421,1+$H363-380,V$14)</f>
        <v>8.0503721132121865E-4</v>
      </c>
      <c r="W363" s="147">
        <f ca="1">INDEX(Photobiology!$21:$421,1+$H363-380,W$14)</f>
        <v>2.9476796039086791E-6</v>
      </c>
      <c r="X363" s="147">
        <f ca="1">INDEX(Photobiology!$21:$421,1+$H363-380,X$14)</f>
        <v>3.9973898365655183E-7</v>
      </c>
      <c r="Y363" s="147">
        <f t="shared" si="114"/>
        <v>8.09922017321874E-4</v>
      </c>
      <c r="Z363" s="147">
        <f t="shared" ca="1" si="128"/>
        <v>0</v>
      </c>
      <c r="AA363" s="147">
        <f t="shared" ca="1" si="115"/>
        <v>5.2602005259003751E-8</v>
      </c>
      <c r="AB363" s="147">
        <f t="shared" ca="1" si="116"/>
        <v>8.3068031862583369E-7</v>
      </c>
      <c r="AC363" s="147">
        <f t="shared" ca="1" si="117"/>
        <v>3.4097716929250899E-9</v>
      </c>
      <c r="AD363" s="147">
        <f t="shared" ca="1" si="118"/>
        <v>4.7804756158204559E-10</v>
      </c>
      <c r="AH363" s="147">
        <f t="shared" si="129"/>
        <v>722</v>
      </c>
      <c r="AI363" s="147">
        <f>IF($AH363&gt;$AH362,INDEX(Spectra!363:363,1,MATCH($AI$20,Spectra!$20:$20,0)),AI362)</f>
        <v>63.260300000000001</v>
      </c>
      <c r="AJ363" s="147">
        <f>((Physics!$C$9*Physics!$C$10)/(Physics!$C$11*Physics!$C$12*$AH363))^($AJ$17-$AJ$18)</f>
        <v>3.6356498587711314E+18</v>
      </c>
      <c r="AK363" s="147">
        <f t="shared" si="130"/>
        <v>1</v>
      </c>
      <c r="AL363" s="147">
        <f>INDEX(Photobiology!$21:$421,1+$AH363-380,10)</f>
        <v>9.1110880000000005E-4</v>
      </c>
      <c r="AM363" s="147">
        <f t="shared" si="131"/>
        <v>8.7650943681469784E-4</v>
      </c>
      <c r="AN363" s="147">
        <f ca="1">INDEX(Photobiology!$21:$421,1+$AH363-380,AN$14)</f>
        <v>0</v>
      </c>
      <c r="AO363" s="147">
        <f ca="1">INDEX(Photobiology!$21:$421,1+$AH363-380,AO$14)</f>
        <v>6.4947E-5</v>
      </c>
      <c r="AP363" s="147">
        <f ca="1">INDEX(Photobiology!$21:$421,1+$AH363-380,AP$14)</f>
        <v>1.02563E-3</v>
      </c>
      <c r="AQ363" s="147">
        <f ca="1">INDEX(Photobiology!$21:$421,1+$AH363-380,AQ$14)</f>
        <v>4.2100000000000003E-6</v>
      </c>
      <c r="AR363" s="147">
        <f ca="1">INDEX(Photobiology!$21:$421,1+$AH363-380,AR$14)</f>
        <v>5.90239E-7</v>
      </c>
      <c r="AS363" s="147">
        <f t="shared" si="132"/>
        <v>3186681410166920</v>
      </c>
      <c r="AT363" s="147" t="str">
        <f ca="1">INDEX(Photobiology!$21:$421,1+$AH363-380,AT$14)</f>
        <v/>
      </c>
      <c r="AU363" s="147">
        <f ca="1">INDEX(Photobiology!$21:$421,1+$AH363-380,AU$14)</f>
        <v>4.8627301144480237E-5</v>
      </c>
      <c r="AV363" s="147">
        <f ca="1">INDEX(Photobiology!$21:$421,1+$AH363-380,AV$14)</f>
        <v>8.0503721132121865E-4</v>
      </c>
      <c r="AW363" s="147">
        <f ca="1">INDEX(Photobiology!$21:$421,1+$AH363-380,AW$14)</f>
        <v>2.9476796039086791E-6</v>
      </c>
      <c r="AX363" s="147">
        <f ca="1">INDEX(Photobiology!$21:$421,1+$AH363-380,AX$14)</f>
        <v>3.9973898365655183E-7</v>
      </c>
      <c r="AY363" s="147">
        <f t="shared" si="119"/>
        <v>8.7650943681469784E-4</v>
      </c>
      <c r="AZ363" s="147">
        <f t="shared" ca="1" si="133"/>
        <v>0</v>
      </c>
      <c r="BA363" s="147">
        <f t="shared" ca="1" si="120"/>
        <v>5.6926658392804178E-8</v>
      </c>
      <c r="BB363" s="147">
        <f t="shared" ca="1" si="121"/>
        <v>8.9897437368025861E-7</v>
      </c>
      <c r="BC363" s="147">
        <f t="shared" ca="1" si="122"/>
        <v>3.6901047289898781E-9</v>
      </c>
      <c r="BD363" s="147">
        <f t="shared" ca="1" si="123"/>
        <v>5.1735005347607039E-10</v>
      </c>
    </row>
    <row r="364" spans="8:56" s="147" customFormat="1" ht="0.25" customHeight="1" x14ac:dyDescent="0.2">
      <c r="H364" s="147">
        <f t="shared" si="124"/>
        <v>723</v>
      </c>
      <c r="I364" s="147">
        <f>IF($H364&gt;$H363,INDEX(Spectra!364:364,1,MATCH($I$20,Spectra!$20:$20,0)),I363)</f>
        <v>8.09922017321874E-4</v>
      </c>
      <c r="J364" s="147">
        <f>((Physics!$C$9*Physics!$C$10)/(Physics!$C$11*Physics!$C$12*$H364))^($J$17-$J$18)</f>
        <v>3.6406853848913132E+18</v>
      </c>
      <c r="K364" s="147">
        <f t="shared" si="125"/>
        <v>1</v>
      </c>
      <c r="L364" s="147">
        <f>INDEX(Photobiology!$21:$421,1+$H364-380,10)</f>
        <v>8.5013319999999995E-4</v>
      </c>
      <c r="M364" s="147">
        <f t="shared" si="126"/>
        <v>8.09922017321874E-4</v>
      </c>
      <c r="N364" s="147">
        <f ca="1">INDEX(Photobiology!$21:$421,1+$H364-380,N$14)</f>
        <v>0</v>
      </c>
      <c r="O364" s="147">
        <f ca="1">INDEX(Photobiology!$21:$421,1+$H364-380,O$14)</f>
        <v>6.0471799999999999E-5</v>
      </c>
      <c r="P364" s="147">
        <f ca="1">INDEX(Photobiology!$21:$421,1+$H364-380,P$14)</f>
        <v>9.5260199999999998E-4</v>
      </c>
      <c r="Q364" s="147">
        <f ca="1">INDEX(Photobiology!$21:$421,1+$H364-380,Q$14)</f>
        <v>3.9509999999999999E-6</v>
      </c>
      <c r="R364" s="147">
        <f ca="1">INDEX(Photobiology!$21:$421,1+$H364-380,R$14)</f>
        <v>5.5436299999999997E-7</v>
      </c>
      <c r="S364" s="147">
        <f t="shared" si="127"/>
        <v>2948671251365435.5</v>
      </c>
      <c r="T364" s="147" t="str">
        <f ca="1">INDEX(Photobiology!$21:$421,1+$H364-380,T$14)</f>
        <v/>
      </c>
      <c r="U364" s="147">
        <f ca="1">INDEX(Photobiology!$21:$421,1+$H364-380,U$14)</f>
        <v>4.5213993510099645E-5</v>
      </c>
      <c r="V364" s="147">
        <f ca="1">INDEX(Photobiology!$21:$421,1+$H364-380,V$14)</f>
        <v>7.4668190861855086E-4</v>
      </c>
      <c r="W364" s="147">
        <f ca="1">INDEX(Photobiology!$21:$421,1+$H364-380,W$14)</f>
        <v>2.7625116011936223E-6</v>
      </c>
      <c r="X364" s="147">
        <f ca="1">INDEX(Photobiology!$21:$421,1+$H364-380,X$14)</f>
        <v>3.7492270217764793E-7</v>
      </c>
      <c r="Y364" s="147">
        <f t="shared" si="114"/>
        <v>8.09922017321874E-4</v>
      </c>
      <c r="Z364" s="147">
        <f t="shared" ca="1" si="128"/>
        <v>0</v>
      </c>
      <c r="AA364" s="147">
        <f t="shared" ca="1" si="115"/>
        <v>4.8977442247084902E-8</v>
      </c>
      <c r="AB364" s="147">
        <f t="shared" ca="1" si="116"/>
        <v>7.7153333354485177E-7</v>
      </c>
      <c r="AC364" s="147">
        <f t="shared" ca="1" si="117"/>
        <v>3.2000018904387242E-9</v>
      </c>
      <c r="AD364" s="147">
        <f t="shared" ca="1" si="118"/>
        <v>4.4899079928860602E-10</v>
      </c>
      <c r="AH364" s="147">
        <f t="shared" si="129"/>
        <v>723</v>
      </c>
      <c r="AI364" s="147">
        <f>IF($AH364&gt;$AH363,INDEX(Spectra!364:364,1,MATCH($AI$20,Spectra!$20:$20,0)),AI363)</f>
        <v>64.088499999999996</v>
      </c>
      <c r="AJ364" s="147">
        <f>((Physics!$C$9*Physics!$C$10)/(Physics!$C$11*Physics!$C$12*$AH364))^($AJ$17-$AJ$18)</f>
        <v>3.6406853848913132E+18</v>
      </c>
      <c r="AK364" s="147">
        <f t="shared" si="130"/>
        <v>1</v>
      </c>
      <c r="AL364" s="147">
        <f>INDEX(Photobiology!$21:$421,1+$AH364-380,10)</f>
        <v>8.5013319999999995E-4</v>
      </c>
      <c r="AM364" s="147">
        <f t="shared" si="131"/>
        <v>8.879846450506678E-4</v>
      </c>
      <c r="AN364" s="147">
        <f ca="1">INDEX(Photobiology!$21:$421,1+$AH364-380,AN$14)</f>
        <v>0</v>
      </c>
      <c r="AO364" s="147">
        <f ca="1">INDEX(Photobiology!$21:$421,1+$AH364-380,AO$14)</f>
        <v>6.0471799999999999E-5</v>
      </c>
      <c r="AP364" s="147">
        <f ca="1">INDEX(Photobiology!$21:$421,1+$AH364-380,AP$14)</f>
        <v>9.5260199999999998E-4</v>
      </c>
      <c r="AQ364" s="147">
        <f ca="1">INDEX(Photobiology!$21:$421,1+$AH364-380,AQ$14)</f>
        <v>3.9509999999999999E-6</v>
      </c>
      <c r="AR364" s="147">
        <f ca="1">INDEX(Photobiology!$21:$421,1+$AH364-380,AR$14)</f>
        <v>5.5436299999999997E-7</v>
      </c>
      <c r="AS364" s="147">
        <f t="shared" si="132"/>
        <v>3232872719243866.5</v>
      </c>
      <c r="AT364" s="147" t="str">
        <f ca="1">INDEX(Photobiology!$21:$421,1+$AH364-380,AT$14)</f>
        <v/>
      </c>
      <c r="AU364" s="147">
        <f ca="1">INDEX(Photobiology!$21:$421,1+$AH364-380,AU$14)</f>
        <v>4.5213993510099645E-5</v>
      </c>
      <c r="AV364" s="147">
        <f ca="1">INDEX(Photobiology!$21:$421,1+$AH364-380,AV$14)</f>
        <v>7.4668190861855086E-4</v>
      </c>
      <c r="AW364" s="147">
        <f ca="1">INDEX(Photobiology!$21:$421,1+$AH364-380,AW$14)</f>
        <v>2.7625116011936223E-6</v>
      </c>
      <c r="AX364" s="147">
        <f ca="1">INDEX(Photobiology!$21:$421,1+$AH364-380,AX$14)</f>
        <v>3.7492270217764793E-7</v>
      </c>
      <c r="AY364" s="147">
        <f t="shared" si="119"/>
        <v>8.879846450506678E-4</v>
      </c>
      <c r="AZ364" s="147">
        <f t="shared" ca="1" si="133"/>
        <v>0</v>
      </c>
      <c r="BA364" s="147">
        <f t="shared" ca="1" si="120"/>
        <v>5.369802985857497E-8</v>
      </c>
      <c r="BB364" s="147">
        <f t="shared" ca="1" si="121"/>
        <v>8.4589594884455627E-7</v>
      </c>
      <c r="BC364" s="147">
        <f t="shared" ca="1" si="122"/>
        <v>3.5084273325951885E-9</v>
      </c>
      <c r="BD364" s="147">
        <f t="shared" ca="1" si="123"/>
        <v>4.9226583178422334E-10</v>
      </c>
    </row>
    <row r="365" spans="8:56" s="147" customFormat="1" ht="0.25" customHeight="1" x14ac:dyDescent="0.2">
      <c r="H365" s="147">
        <f t="shared" si="124"/>
        <v>724</v>
      </c>
      <c r="I365" s="147">
        <f>IF($H365&gt;$H364,INDEX(Spectra!365:365,1,MATCH($I$20,Spectra!$20:$20,0)),I364)</f>
        <v>7.9492346144554302E-4</v>
      </c>
      <c r="J365" s="147">
        <f>((Physics!$C$9*Physics!$C$10)/(Physics!$C$11*Physics!$C$12*$H365))^($J$17-$J$18)</f>
        <v>3.6457209110114944E+18</v>
      </c>
      <c r="K365" s="147">
        <f t="shared" si="125"/>
        <v>1</v>
      </c>
      <c r="L365" s="147">
        <f>INDEX(Photobiology!$21:$421,1+$H365-380,10)</f>
        <v>7.9323839999999996E-4</v>
      </c>
      <c r="M365" s="147">
        <f t="shared" si="126"/>
        <v>7.9492346144554302E-4</v>
      </c>
      <c r="N365" s="147">
        <f ca="1">INDEX(Photobiology!$21:$421,1+$H365-380,N$14)</f>
        <v>0</v>
      </c>
      <c r="O365" s="147">
        <f ca="1">INDEX(Photobiology!$21:$421,1+$H365-380,O$14)</f>
        <v>5.6320699999999998E-5</v>
      </c>
      <c r="P365" s="147">
        <f ca="1">INDEX(Photobiology!$21:$421,1+$H365-380,P$14)</f>
        <v>8.8495900000000005E-4</v>
      </c>
      <c r="Q365" s="147">
        <f ca="1">INDEX(Photobiology!$21:$421,1+$H365-380,Q$14)</f>
        <v>3.709E-6</v>
      </c>
      <c r="R365" s="147">
        <f ca="1">INDEX(Photobiology!$21:$421,1+$H365-380,R$14)</f>
        <v>5.20798E-7</v>
      </c>
      <c r="S365" s="147">
        <f t="shared" si="127"/>
        <v>2898069086045655.5</v>
      </c>
      <c r="T365" s="147" t="str">
        <f ca="1">INDEX(Photobiology!$21:$421,1+$H365-380,T$14)</f>
        <v/>
      </c>
      <c r="U365" s="147">
        <f ca="1">INDEX(Photobiology!$21:$421,1+$H365-380,U$14)</f>
        <v>4.2052105634625074E-5</v>
      </c>
      <c r="V365" s="147">
        <f ca="1">INDEX(Photobiology!$21:$421,1+$H365-380,V$14)</f>
        <v>6.9270292487305814E-4</v>
      </c>
      <c r="W365" s="147">
        <f ca="1">INDEX(Photobiology!$21:$421,1+$H365-380,W$14)</f>
        <v>2.5897249760330719E-6</v>
      </c>
      <c r="X365" s="147">
        <f ca="1">INDEX(Photobiology!$21:$421,1+$H365-380,X$14)</f>
        <v>3.5173577368327651E-7</v>
      </c>
      <c r="Y365" s="147">
        <f t="shared" si="114"/>
        <v>7.9492346144554302E-4</v>
      </c>
      <c r="Z365" s="147">
        <f t="shared" ca="1" si="128"/>
        <v>0</v>
      </c>
      <c r="AA365" s="147">
        <f t="shared" ca="1" si="115"/>
        <v>4.477064579503599E-8</v>
      </c>
      <c r="AB365" s="147">
        <f t="shared" ca="1" si="116"/>
        <v>7.0347467151738629E-7</v>
      </c>
      <c r="AC365" s="147">
        <f t="shared" ca="1" si="117"/>
        <v>2.9483711185015192E-9</v>
      </c>
      <c r="AD365" s="147">
        <f t="shared" ca="1" si="118"/>
        <v>4.139945488739159E-10</v>
      </c>
      <c r="AH365" s="147">
        <f t="shared" si="129"/>
        <v>724</v>
      </c>
      <c r="AI365" s="147">
        <f>IF($AH365&gt;$AH364,INDEX(Spectra!365:365,1,MATCH($AI$20,Spectra!$20:$20,0)),AI364)</f>
        <v>64.916600000000003</v>
      </c>
      <c r="AJ365" s="147">
        <f>((Physics!$C$9*Physics!$C$10)/(Physics!$C$11*Physics!$C$12*$AH365))^($AJ$17-$AJ$18)</f>
        <v>3.6457209110114944E+18</v>
      </c>
      <c r="AK365" s="147">
        <f t="shared" si="130"/>
        <v>1</v>
      </c>
      <c r="AL365" s="147">
        <f>INDEX(Photobiology!$21:$421,1+$AH365-380,10)</f>
        <v>7.9323839999999996E-4</v>
      </c>
      <c r="AM365" s="147">
        <f t="shared" si="131"/>
        <v>8.9945846772659975E-4</v>
      </c>
      <c r="AN365" s="147">
        <f ca="1">INDEX(Photobiology!$21:$421,1+$AH365-380,AN$14)</f>
        <v>0</v>
      </c>
      <c r="AO365" s="147">
        <f ca="1">INDEX(Photobiology!$21:$421,1+$AH365-380,AO$14)</f>
        <v>5.6320699999999998E-5</v>
      </c>
      <c r="AP365" s="147">
        <f ca="1">INDEX(Photobiology!$21:$421,1+$AH365-380,AP$14)</f>
        <v>8.8495900000000005E-4</v>
      </c>
      <c r="AQ365" s="147">
        <f ca="1">INDEX(Photobiology!$21:$421,1+$AH365-380,AQ$14)</f>
        <v>3.709E-6</v>
      </c>
      <c r="AR365" s="147">
        <f ca="1">INDEX(Photobiology!$21:$421,1+$AH365-380,AR$14)</f>
        <v>5.20798E-7</v>
      </c>
      <c r="AS365" s="147">
        <f t="shared" si="132"/>
        <v>3279174544377222</v>
      </c>
      <c r="AT365" s="147" t="str">
        <f ca="1">INDEX(Photobiology!$21:$421,1+$AH365-380,AT$14)</f>
        <v/>
      </c>
      <c r="AU365" s="147">
        <f ca="1">INDEX(Photobiology!$21:$421,1+$AH365-380,AU$14)</f>
        <v>4.2052105634625074E-5</v>
      </c>
      <c r="AV365" s="147">
        <f ca="1">INDEX(Photobiology!$21:$421,1+$AH365-380,AV$14)</f>
        <v>6.9270292487305814E-4</v>
      </c>
      <c r="AW365" s="147">
        <f ca="1">INDEX(Photobiology!$21:$421,1+$AH365-380,AW$14)</f>
        <v>2.5897249760330719E-6</v>
      </c>
      <c r="AX365" s="147">
        <f ca="1">INDEX(Photobiology!$21:$421,1+$AH365-380,AX$14)</f>
        <v>3.5173577368327651E-7</v>
      </c>
      <c r="AY365" s="147">
        <f t="shared" si="119"/>
        <v>8.9945846772659975E-4</v>
      </c>
      <c r="AZ365" s="147">
        <f t="shared" ca="1" si="133"/>
        <v>0</v>
      </c>
      <c r="BA365" s="147">
        <f t="shared" ca="1" si="120"/>
        <v>5.0658130523289501E-8</v>
      </c>
      <c r="BB365" s="147">
        <f t="shared" ca="1" si="121"/>
        <v>7.9598386614086402E-7</v>
      </c>
      <c r="BC365" s="147">
        <f t="shared" ca="1" si="122"/>
        <v>3.3360914567979583E-9</v>
      </c>
      <c r="BD365" s="147">
        <f t="shared" ca="1" si="123"/>
        <v>4.6843617107507774E-10</v>
      </c>
    </row>
    <row r="366" spans="8:56" s="147" customFormat="1" ht="0.25" customHeight="1" x14ac:dyDescent="0.2">
      <c r="H366" s="147">
        <f t="shared" si="124"/>
        <v>725</v>
      </c>
      <c r="I366" s="147">
        <f>IF($H366&gt;$H365,INDEX(Spectra!366:366,1,MATCH($I$20,Spectra!$20:$20,0)),I365)</f>
        <v>7.8492442419465498E-4</v>
      </c>
      <c r="J366" s="147">
        <f>((Physics!$C$9*Physics!$C$10)/(Physics!$C$11*Physics!$C$12*$H366))^($J$17-$J$18)</f>
        <v>3.6507564371316762E+18</v>
      </c>
      <c r="K366" s="147">
        <f t="shared" si="125"/>
        <v>1</v>
      </c>
      <c r="L366" s="147">
        <f>INDEX(Photobiology!$21:$421,1+$H366-380,10)</f>
        <v>7.3999999999999999E-4</v>
      </c>
      <c r="M366" s="147">
        <f t="shared" si="126"/>
        <v>7.8492442419465498E-4</v>
      </c>
      <c r="N366" s="147">
        <f ca="1">INDEX(Photobiology!$21:$421,1+$H366-380,N$14)</f>
        <v>0</v>
      </c>
      <c r="O366" s="147">
        <f ca="1">INDEX(Photobiology!$21:$421,1+$H366-380,O$14)</f>
        <v>5.2474800000000001E-5</v>
      </c>
      <c r="P366" s="147">
        <f ca="1">INDEX(Photobiology!$21:$421,1+$H366-380,P$14)</f>
        <v>8.2239599999999998E-4</v>
      </c>
      <c r="Q366" s="147">
        <f ca="1">INDEX(Photobiology!$21:$421,1+$H366-380,Q$14)</f>
        <v>3.4819999999999999E-6</v>
      </c>
      <c r="R366" s="147">
        <f ca="1">INDEX(Photobiology!$21:$421,1+$H366-380,R$14)</f>
        <v>4.8953100000000004E-7</v>
      </c>
      <c r="S366" s="147">
        <f t="shared" si="127"/>
        <v>2865567894290511</v>
      </c>
      <c r="T366" s="147" t="str">
        <f ca="1">INDEX(Photobiology!$21:$421,1+$H366-380,T$14)</f>
        <v/>
      </c>
      <c r="U366" s="147">
        <f ca="1">INDEX(Photobiology!$21:$421,1+$H366-380,U$14)</f>
        <v>3.9126504854378989E-5</v>
      </c>
      <c r="V366" s="147">
        <f ca="1">INDEX(Photobiology!$21:$421,1+$H366-380,V$14)</f>
        <v>6.4284374128725633E-4</v>
      </c>
      <c r="W366" s="147">
        <f ca="1">INDEX(Photobiology!$21:$421,1+$H366-380,W$14)</f>
        <v>2.4278739667277693E-6</v>
      </c>
      <c r="X366" s="147">
        <f ca="1">INDEX(Photobiology!$21:$421,1+$H366-380,X$14)</f>
        <v>3.3016268821285101E-7</v>
      </c>
      <c r="Y366" s="147">
        <f t="shared" si="114"/>
        <v>7.8492442419465498E-4</v>
      </c>
      <c r="Z366" s="147">
        <f t="shared" ca="1" si="128"/>
        <v>0</v>
      </c>
      <c r="AA366" s="147">
        <f t="shared" ca="1" si="115"/>
        <v>4.1188752174729681E-8</v>
      </c>
      <c r="AB366" s="147">
        <f t="shared" ca="1" si="116"/>
        <v>6.4551870675998749E-7</v>
      </c>
      <c r="AC366" s="147">
        <f t="shared" ca="1" si="117"/>
        <v>2.7331068450457884E-9</v>
      </c>
      <c r="AD366" s="147">
        <f t="shared" ca="1" si="118"/>
        <v>3.8424483830043368E-10</v>
      </c>
      <c r="AH366" s="147">
        <f t="shared" si="129"/>
        <v>725</v>
      </c>
      <c r="AI366" s="147">
        <f>IF($AH366&gt;$AH365,INDEX(Spectra!366:366,1,MATCH($AI$20,Spectra!$20:$20,0)),AI365)</f>
        <v>65.744799999999998</v>
      </c>
      <c r="AJ366" s="147">
        <f>((Physics!$C$9*Physics!$C$10)/(Physics!$C$11*Physics!$C$12*$AH366))^($AJ$17-$AJ$18)</f>
        <v>3.6507564371316762E+18</v>
      </c>
      <c r="AK366" s="147">
        <f t="shared" si="130"/>
        <v>1</v>
      </c>
      <c r="AL366" s="147">
        <f>INDEX(Photobiology!$21:$421,1+$AH366-380,10)</f>
        <v>7.3999999999999999E-4</v>
      </c>
      <c r="AM366" s="147">
        <f t="shared" si="131"/>
        <v>9.1093367596256961E-4</v>
      </c>
      <c r="AN366" s="147">
        <f ca="1">INDEX(Photobiology!$21:$421,1+$AH366-380,AN$14)</f>
        <v>0</v>
      </c>
      <c r="AO366" s="147">
        <f ca="1">INDEX(Photobiology!$21:$421,1+$AH366-380,AO$14)</f>
        <v>5.2474800000000001E-5</v>
      </c>
      <c r="AP366" s="147">
        <f ca="1">INDEX(Photobiology!$21:$421,1+$AH366-380,AP$14)</f>
        <v>8.2239599999999998E-4</v>
      </c>
      <c r="AQ366" s="147">
        <f ca="1">INDEX(Photobiology!$21:$421,1+$AH366-380,AQ$14)</f>
        <v>3.4819999999999999E-6</v>
      </c>
      <c r="AR366" s="147">
        <f ca="1">INDEX(Photobiology!$21:$421,1+$AH366-380,AR$14)</f>
        <v>4.8953100000000004E-7</v>
      </c>
      <c r="AS366" s="147">
        <f t="shared" si="132"/>
        <v>3325596981320371.5</v>
      </c>
      <c r="AT366" s="147" t="str">
        <f ca="1">INDEX(Photobiology!$21:$421,1+$AH366-380,AT$14)</f>
        <v/>
      </c>
      <c r="AU366" s="147">
        <f ca="1">INDEX(Photobiology!$21:$421,1+$AH366-380,AU$14)</f>
        <v>3.9126504854378989E-5</v>
      </c>
      <c r="AV366" s="147">
        <f ca="1">INDEX(Photobiology!$21:$421,1+$AH366-380,AV$14)</f>
        <v>6.4284374128725633E-4</v>
      </c>
      <c r="AW366" s="147">
        <f ca="1">INDEX(Photobiology!$21:$421,1+$AH366-380,AW$14)</f>
        <v>2.4278739667277693E-6</v>
      </c>
      <c r="AX366" s="147">
        <f ca="1">INDEX(Photobiology!$21:$421,1+$AH366-380,AX$14)</f>
        <v>3.3016268821285101E-7</v>
      </c>
      <c r="AY366" s="147">
        <f t="shared" si="119"/>
        <v>9.1093367596256961E-4</v>
      </c>
      <c r="AZ366" s="147">
        <f t="shared" ca="1" si="133"/>
        <v>0</v>
      </c>
      <c r="BA366" s="147">
        <f t="shared" ca="1" si="120"/>
        <v>4.7801062459400646E-8</v>
      </c>
      <c r="BB366" s="147">
        <f t="shared" ca="1" si="121"/>
        <v>7.4914821137691339E-7</v>
      </c>
      <c r="BC366" s="147">
        <f t="shared" ca="1" si="122"/>
        <v>3.1718710597016673E-9</v>
      </c>
      <c r="BD366" s="147">
        <f t="shared" ca="1" si="123"/>
        <v>4.4593027332763272E-10</v>
      </c>
    </row>
    <row r="367" spans="8:56" s="147" customFormat="1" ht="0.25" customHeight="1" x14ac:dyDescent="0.2">
      <c r="H367" s="147">
        <f t="shared" si="124"/>
        <v>726</v>
      </c>
      <c r="I367" s="147">
        <f>IF($H367&gt;$H366,INDEX(Spectra!367:367,1,MATCH($I$20,Spectra!$20:$20,0)),I366)</f>
        <v>7.7992490556921205E-4</v>
      </c>
      <c r="J367" s="147">
        <f>((Physics!$C$9*Physics!$C$10)/(Physics!$C$11*Physics!$C$12*$H367))^($J$17-$J$18)</f>
        <v>3.6557919632518584E+18</v>
      </c>
      <c r="K367" s="147">
        <f t="shared" si="125"/>
        <v>1</v>
      </c>
      <c r="L367" s="147">
        <f>INDEX(Photobiology!$21:$421,1+$H367-380,10)</f>
        <v>6.9008269999999998E-4</v>
      </c>
      <c r="M367" s="147">
        <f t="shared" si="126"/>
        <v>7.7992490556921205E-4</v>
      </c>
      <c r="N367" s="147">
        <f ca="1">INDEX(Photobiology!$21:$421,1+$H367-380,N$14)</f>
        <v>0</v>
      </c>
      <c r="O367" s="147">
        <f ca="1">INDEX(Photobiology!$21:$421,1+$H367-380,O$14)</f>
        <v>4.89142E-5</v>
      </c>
      <c r="P367" s="147">
        <f ca="1">INDEX(Photobiology!$21:$421,1+$H367-380,P$14)</f>
        <v>7.6458500000000003E-4</v>
      </c>
      <c r="Q367" s="147">
        <f ca="1">INDEX(Photobiology!$21:$421,1+$H367-380,Q$14)</f>
        <v>3.27E-6</v>
      </c>
      <c r="R367" s="147">
        <f ca="1">INDEX(Photobiology!$21:$421,1+$H367-380,R$14)</f>
        <v>4.6025099999999998E-7</v>
      </c>
      <c r="S367" s="147">
        <f t="shared" si="127"/>
        <v>2851243201719890</v>
      </c>
      <c r="T367" s="147" t="str">
        <f ca="1">INDEX(Photobiology!$21:$421,1+$H367-380,T$14)</f>
        <v/>
      </c>
      <c r="U367" s="147">
        <f ca="1">INDEX(Photobiology!$21:$421,1+$H367-380,U$14)</f>
        <v>3.6421397283613541E-5</v>
      </c>
      <c r="V367" s="147">
        <f ca="1">INDEX(Photobiology!$21:$421,1+$H367-380,V$14)</f>
        <v>5.9683129870324479E-4</v>
      </c>
      <c r="W367" s="147">
        <f ca="1">INDEX(Photobiology!$21:$421,1+$H367-380,W$14)</f>
        <v>2.2769133847824463E-6</v>
      </c>
      <c r="X367" s="147">
        <f ca="1">INDEX(Photobiology!$21:$421,1+$H367-380,X$14)</f>
        <v>3.0998731290913314E-7</v>
      </c>
      <c r="Y367" s="147">
        <f t="shared" si="114"/>
        <v>7.7992490556921205E-4</v>
      </c>
      <c r="Z367" s="147">
        <f t="shared" ca="1" si="128"/>
        <v>0</v>
      </c>
      <c r="AA367" s="147">
        <f t="shared" ca="1" si="115"/>
        <v>3.8149402815993553E-8</v>
      </c>
      <c r="AB367" s="147">
        <f t="shared" ca="1" si="116"/>
        <v>5.9631888392463599E-7</v>
      </c>
      <c r="AC367" s="147">
        <f t="shared" ca="1" si="117"/>
        <v>2.5503544412113236E-9</v>
      </c>
      <c r="AD367" s="147">
        <f t="shared" ca="1" si="118"/>
        <v>3.589612177131354E-10</v>
      </c>
      <c r="AH367" s="147">
        <f t="shared" si="129"/>
        <v>726</v>
      </c>
      <c r="AI367" s="147">
        <f>IF($AH367&gt;$AH366,INDEX(Spectra!367:367,1,MATCH($AI$20,Spectra!$20:$20,0)),AI366)</f>
        <v>66.572999999999993</v>
      </c>
      <c r="AJ367" s="147">
        <f>((Physics!$C$9*Physics!$C$10)/(Physics!$C$11*Physics!$C$12*$AH367))^($AJ$17-$AJ$18)</f>
        <v>3.6557919632518584E+18</v>
      </c>
      <c r="AK367" s="147">
        <f t="shared" si="130"/>
        <v>1</v>
      </c>
      <c r="AL367" s="147">
        <f>INDEX(Photobiology!$21:$421,1+$AH367-380,10)</f>
        <v>6.9008269999999998E-4</v>
      </c>
      <c r="AM367" s="147">
        <f t="shared" si="131"/>
        <v>9.2240888419853958E-4</v>
      </c>
      <c r="AN367" s="147">
        <f ca="1">INDEX(Photobiology!$21:$421,1+$AH367-380,AN$14)</f>
        <v>0</v>
      </c>
      <c r="AO367" s="147">
        <f ca="1">INDEX(Photobiology!$21:$421,1+$AH367-380,AO$14)</f>
        <v>4.89142E-5</v>
      </c>
      <c r="AP367" s="147">
        <f ca="1">INDEX(Photobiology!$21:$421,1+$AH367-380,AP$14)</f>
        <v>7.6458500000000003E-4</v>
      </c>
      <c r="AQ367" s="147">
        <f ca="1">INDEX(Photobiology!$21:$421,1+$AH367-380,AQ$14)</f>
        <v>3.27E-6</v>
      </c>
      <c r="AR367" s="147">
        <f ca="1">INDEX(Photobiology!$21:$421,1+$AH367-380,AR$14)</f>
        <v>4.6025099999999998E-7</v>
      </c>
      <c r="AS367" s="147">
        <f t="shared" si="132"/>
        <v>3372134985685135</v>
      </c>
      <c r="AT367" s="147" t="str">
        <f ca="1">INDEX(Photobiology!$21:$421,1+$AH367-380,AT$14)</f>
        <v/>
      </c>
      <c r="AU367" s="147">
        <f ca="1">INDEX(Photobiology!$21:$421,1+$AH367-380,AU$14)</f>
        <v>3.6421397283613541E-5</v>
      </c>
      <c r="AV367" s="147">
        <f ca="1">INDEX(Photobiology!$21:$421,1+$AH367-380,AV$14)</f>
        <v>5.9683129870324479E-4</v>
      </c>
      <c r="AW367" s="147">
        <f ca="1">INDEX(Photobiology!$21:$421,1+$AH367-380,AW$14)</f>
        <v>2.2769133847824463E-6</v>
      </c>
      <c r="AX367" s="147">
        <f ca="1">INDEX(Photobiology!$21:$421,1+$AH367-380,AX$14)</f>
        <v>3.0998731290913314E-7</v>
      </c>
      <c r="AY367" s="147">
        <f t="shared" si="119"/>
        <v>9.2240888419853958E-4</v>
      </c>
      <c r="AZ367" s="147">
        <f t="shared" ca="1" si="133"/>
        <v>0</v>
      </c>
      <c r="BA367" s="147">
        <f t="shared" ca="1" si="120"/>
        <v>4.5118892643464203E-8</v>
      </c>
      <c r="BB367" s="147">
        <f t="shared" ca="1" si="121"/>
        <v>7.0525999672494044E-7</v>
      </c>
      <c r="BC367" s="147">
        <f t="shared" ca="1" si="122"/>
        <v>3.0162770513292244E-9</v>
      </c>
      <c r="BD367" s="147">
        <f t="shared" ca="1" si="123"/>
        <v>4.2453961136126201E-10</v>
      </c>
    </row>
    <row r="368" spans="8:56" s="147" customFormat="1" ht="0.25" customHeight="1" x14ac:dyDescent="0.2">
      <c r="H368" s="147">
        <f t="shared" si="124"/>
        <v>727</v>
      </c>
      <c r="I368" s="147">
        <f>IF($H368&gt;$H367,INDEX(Spectra!368:368,1,MATCH($I$20,Spectra!$20:$20,0)),I367)</f>
        <v>7.8492442419465498E-4</v>
      </c>
      <c r="J368" s="147">
        <f>((Physics!$C$9*Physics!$C$10)/(Physics!$C$11*Physics!$C$12*$H368))^($J$17-$J$18)</f>
        <v>3.6608274893720397E+18</v>
      </c>
      <c r="K368" s="147">
        <f t="shared" si="125"/>
        <v>1</v>
      </c>
      <c r="L368" s="147">
        <f>INDEX(Photobiology!$21:$421,1+$H368-380,10)</f>
        <v>6.4331000000000002E-4</v>
      </c>
      <c r="M368" s="147">
        <f t="shared" si="126"/>
        <v>7.8492442419465498E-4</v>
      </c>
      <c r="N368" s="147">
        <f ca="1">INDEX(Photobiology!$21:$421,1+$H368-380,N$14)</f>
        <v>0</v>
      </c>
      <c r="O368" s="147">
        <f ca="1">INDEX(Photobiology!$21:$421,1+$H368-380,O$14)</f>
        <v>4.56137E-5</v>
      </c>
      <c r="P368" s="147">
        <f ca="1">INDEX(Photobiology!$21:$421,1+$H368-380,P$14)</f>
        <v>7.1111000000000004E-4</v>
      </c>
      <c r="Q368" s="147">
        <f ca="1">INDEX(Photobiology!$21:$421,1+$H368-380,Q$14)</f>
        <v>3.0699999999999998E-6</v>
      </c>
      <c r="R368" s="147">
        <f ca="1">INDEX(Photobiology!$21:$421,1+$H368-380,R$14)</f>
        <v>4.32648E-7</v>
      </c>
      <c r="S368" s="147">
        <f t="shared" si="127"/>
        <v>2873472909171312.5</v>
      </c>
      <c r="T368" s="147" t="str">
        <f ca="1">INDEX(Photobiology!$21:$421,1+$H368-380,T$14)</f>
        <v/>
      </c>
      <c r="U368" s="147">
        <f ca="1">INDEX(Photobiology!$21:$421,1+$H368-380,U$14)</f>
        <v>3.3917134996403312E-5</v>
      </c>
      <c r="V368" s="147">
        <f ca="1">INDEX(Photobiology!$21:$421,1+$H368-380,V$14)</f>
        <v>5.5432544247119666E-4</v>
      </c>
      <c r="W368" s="147">
        <f ca="1">INDEX(Photobiology!$21:$421,1+$H368-380,W$14)</f>
        <v>2.1347122523002296E-6</v>
      </c>
      <c r="X368" s="147">
        <f ca="1">INDEX(Photobiology!$21:$421,1+$H368-380,X$14)</f>
        <v>2.9099537668306236E-7</v>
      </c>
      <c r="Y368" s="147">
        <f t="shared" si="114"/>
        <v>7.8492442419465498E-4</v>
      </c>
      <c r="Z368" s="147">
        <f t="shared" ca="1" si="128"/>
        <v>0</v>
      </c>
      <c r="AA368" s="147">
        <f t="shared" ca="1" si="115"/>
        <v>3.5803307207887735E-8</v>
      </c>
      <c r="AB368" s="147">
        <f t="shared" ca="1" si="116"/>
        <v>5.5816760728906114E-7</v>
      </c>
      <c r="AC368" s="147">
        <f t="shared" ca="1" si="117"/>
        <v>2.4097179822775909E-9</v>
      </c>
      <c r="AD368" s="147">
        <f t="shared" ca="1" si="118"/>
        <v>3.3959598227896911E-10</v>
      </c>
      <c r="AH368" s="147">
        <f t="shared" si="129"/>
        <v>727</v>
      </c>
      <c r="AI368" s="147">
        <f>IF($AH368&gt;$AH367,INDEX(Spectra!368:368,1,MATCH($AI$20,Spectra!$20:$20,0)),AI367)</f>
        <v>67.4011</v>
      </c>
      <c r="AJ368" s="147">
        <f>((Physics!$C$9*Physics!$C$10)/(Physics!$C$11*Physics!$C$12*$AH368))^($AJ$17-$AJ$18)</f>
        <v>3.6608274893720397E+18</v>
      </c>
      <c r="AK368" s="147">
        <f t="shared" si="130"/>
        <v>1</v>
      </c>
      <c r="AL368" s="147">
        <f>INDEX(Photobiology!$21:$421,1+$AH368-380,10)</f>
        <v>6.4331000000000002E-4</v>
      </c>
      <c r="AM368" s="147">
        <f t="shared" si="131"/>
        <v>9.3388270687447153E-4</v>
      </c>
      <c r="AN368" s="147">
        <f ca="1">INDEX(Photobiology!$21:$421,1+$AH368-380,AN$14)</f>
        <v>0</v>
      </c>
      <c r="AO368" s="147">
        <f ca="1">INDEX(Photobiology!$21:$421,1+$AH368-380,AO$14)</f>
        <v>4.56137E-5</v>
      </c>
      <c r="AP368" s="147">
        <f ca="1">INDEX(Photobiology!$21:$421,1+$AH368-380,AP$14)</f>
        <v>7.1111000000000004E-4</v>
      </c>
      <c r="AQ368" s="147">
        <f ca="1">INDEX(Photobiology!$21:$421,1+$AH368-380,AQ$14)</f>
        <v>3.0699999999999998E-6</v>
      </c>
      <c r="AR368" s="147">
        <f ca="1">INDEX(Photobiology!$21:$421,1+$AH368-380,AR$14)</f>
        <v>4.32648E-7</v>
      </c>
      <c r="AS368" s="147">
        <f t="shared" si="132"/>
        <v>3418783485175236</v>
      </c>
      <c r="AT368" s="147" t="str">
        <f ca="1">INDEX(Photobiology!$21:$421,1+$AH368-380,AT$14)</f>
        <v/>
      </c>
      <c r="AU368" s="147">
        <f ca="1">INDEX(Photobiology!$21:$421,1+$AH368-380,AU$14)</f>
        <v>3.3917134996403312E-5</v>
      </c>
      <c r="AV368" s="147">
        <f ca="1">INDEX(Photobiology!$21:$421,1+$AH368-380,AV$14)</f>
        <v>5.5432544247119666E-4</v>
      </c>
      <c r="AW368" s="147">
        <f ca="1">INDEX(Photobiology!$21:$421,1+$AH368-380,AW$14)</f>
        <v>2.1347122523002296E-6</v>
      </c>
      <c r="AX368" s="147">
        <f ca="1">INDEX(Photobiology!$21:$421,1+$AH368-380,AX$14)</f>
        <v>2.9099537668306236E-7</v>
      </c>
      <c r="AY368" s="147">
        <f t="shared" si="119"/>
        <v>9.3388270687447153E-4</v>
      </c>
      <c r="AZ368" s="147">
        <f t="shared" ca="1" si="133"/>
        <v>0</v>
      </c>
      <c r="BA368" s="147">
        <f t="shared" ca="1" si="120"/>
        <v>4.259784562656008E-8</v>
      </c>
      <c r="BB368" s="147">
        <f t="shared" ca="1" si="121"/>
        <v>6.6409333168550554E-7</v>
      </c>
      <c r="BC368" s="147">
        <f t="shared" ca="1" si="122"/>
        <v>2.8670199101046273E-9</v>
      </c>
      <c r="BD368" s="147">
        <f t="shared" ca="1" si="123"/>
        <v>4.0404248536382633E-10</v>
      </c>
    </row>
    <row r="369" spans="8:56" s="147" customFormat="1" ht="0.25" customHeight="1" x14ac:dyDescent="0.2">
      <c r="H369" s="147">
        <f t="shared" si="124"/>
        <v>728</v>
      </c>
      <c r="I369" s="147">
        <f>IF($H369&gt;$H368,INDEX(Spectra!369:369,1,MATCH($I$20,Spectra!$20:$20,0)),I368)</f>
        <v>7.89923942820099E-4</v>
      </c>
      <c r="J369" s="147">
        <f>((Physics!$C$9*Physics!$C$10)/(Physics!$C$11*Physics!$C$12*$H369))^($J$17-$J$18)</f>
        <v>3.6658630154922214E+18</v>
      </c>
      <c r="K369" s="147">
        <f t="shared" si="125"/>
        <v>1</v>
      </c>
      <c r="L369" s="147">
        <f>INDEX(Photobiology!$21:$421,1+$H369-380,10)</f>
        <v>5.9949600000000003E-4</v>
      </c>
      <c r="M369" s="147">
        <f t="shared" si="126"/>
        <v>7.89923942820099E-4</v>
      </c>
      <c r="N369" s="147">
        <f ca="1">INDEX(Photobiology!$21:$421,1+$H369-380,N$14)</f>
        <v>0</v>
      </c>
      <c r="O369" s="147">
        <f ca="1">INDEX(Photobiology!$21:$421,1+$H369-380,O$14)</f>
        <v>4.2549000000000002E-5</v>
      </c>
      <c r="P369" s="147">
        <f ca="1">INDEX(Photobiology!$21:$421,1+$H369-380,P$14)</f>
        <v>6.6157E-4</v>
      </c>
      <c r="Q369" s="147">
        <f ca="1">INDEX(Photobiology!$21:$421,1+$H369-380,Q$14)</f>
        <v>2.8839999999999998E-6</v>
      </c>
      <c r="R369" s="147">
        <f ca="1">INDEX(Photobiology!$21:$421,1+$H369-380,R$14)</f>
        <v>4.0671000000000002E-7</v>
      </c>
      <c r="S369" s="147">
        <f t="shared" si="127"/>
        <v>2895752967035993</v>
      </c>
      <c r="T369" s="147" t="str">
        <f ca="1">INDEX(Photobiology!$21:$421,1+$H369-380,T$14)</f>
        <v/>
      </c>
      <c r="U369" s="147">
        <f ca="1">INDEX(Photobiology!$21:$421,1+$H369-380,U$14)</f>
        <v>3.1594846319286749E-5</v>
      </c>
      <c r="V369" s="147">
        <f ca="1">INDEX(Photobiology!$21:$421,1+$H369-380,V$14)</f>
        <v>5.14999563681883E-4</v>
      </c>
      <c r="W369" s="147">
        <f ca="1">INDEX(Photobiology!$21:$421,1+$H369-380,W$14)</f>
        <v>2.0026232543785199E-6</v>
      </c>
      <c r="X369" s="147">
        <f ca="1">INDEX(Photobiology!$21:$421,1+$H369-380,X$14)</f>
        <v>2.7317394271366582E-7</v>
      </c>
      <c r="Y369" s="147">
        <f t="shared" si="114"/>
        <v>7.89923942820099E-4</v>
      </c>
      <c r="Z369" s="147">
        <f t="shared" ca="1" si="128"/>
        <v>0</v>
      </c>
      <c r="AA369" s="147">
        <f t="shared" ca="1" si="115"/>
        <v>3.3610473843052392E-8</v>
      </c>
      <c r="AB369" s="147">
        <f t="shared" ca="1" si="116"/>
        <v>5.2258998285149285E-7</v>
      </c>
      <c r="AC369" s="147">
        <f t="shared" ca="1" si="117"/>
        <v>2.2781406510931655E-9</v>
      </c>
      <c r="AD369" s="147">
        <f t="shared" ca="1" si="118"/>
        <v>3.212699667843625E-10</v>
      </c>
      <c r="AH369" s="147">
        <f t="shared" si="129"/>
        <v>728</v>
      </c>
      <c r="AI369" s="147">
        <f>IF($AH369&gt;$AH368,INDEX(Spectra!369:369,1,MATCH($AI$20,Spectra!$20:$20,0)),AI368)</f>
        <v>68.229299999999995</v>
      </c>
      <c r="AJ369" s="147">
        <f>((Physics!$C$9*Physics!$C$10)/(Physics!$C$11*Physics!$C$12*$AH369))^($AJ$17-$AJ$18)</f>
        <v>3.6658630154922214E+18</v>
      </c>
      <c r="AK369" s="147">
        <f t="shared" si="130"/>
        <v>1</v>
      </c>
      <c r="AL369" s="147">
        <f>INDEX(Photobiology!$21:$421,1+$AH369-380,10)</f>
        <v>5.9949600000000003E-4</v>
      </c>
      <c r="AM369" s="147">
        <f t="shared" si="131"/>
        <v>9.4535791511044139E-4</v>
      </c>
      <c r="AN369" s="147">
        <f ca="1">INDEX(Photobiology!$21:$421,1+$AH369-380,AN$14)</f>
        <v>0</v>
      </c>
      <c r="AO369" s="147">
        <f ca="1">INDEX(Photobiology!$21:$421,1+$AH369-380,AO$14)</f>
        <v>4.2549000000000002E-5</v>
      </c>
      <c r="AP369" s="147">
        <f ca="1">INDEX(Photobiology!$21:$421,1+$AH369-380,AP$14)</f>
        <v>6.6157E-4</v>
      </c>
      <c r="AQ369" s="147">
        <f ca="1">INDEX(Photobiology!$21:$421,1+$AH369-380,AQ$14)</f>
        <v>2.8839999999999998E-6</v>
      </c>
      <c r="AR369" s="147">
        <f ca="1">INDEX(Photobiology!$21:$421,1+$AH369-380,AR$14)</f>
        <v>4.0671000000000002E-7</v>
      </c>
      <c r="AS369" s="147">
        <f t="shared" si="132"/>
        <v>3465552617406202</v>
      </c>
      <c r="AT369" s="147" t="str">
        <f ca="1">INDEX(Photobiology!$21:$421,1+$AH369-380,AT$14)</f>
        <v/>
      </c>
      <c r="AU369" s="147">
        <f ca="1">INDEX(Photobiology!$21:$421,1+$AH369-380,AU$14)</f>
        <v>3.1594846319286749E-5</v>
      </c>
      <c r="AV369" s="147">
        <f ca="1">INDEX(Photobiology!$21:$421,1+$AH369-380,AV$14)</f>
        <v>5.14999563681883E-4</v>
      </c>
      <c r="AW369" s="147">
        <f ca="1">INDEX(Photobiology!$21:$421,1+$AH369-380,AW$14)</f>
        <v>2.0026232543785199E-6</v>
      </c>
      <c r="AX369" s="147">
        <f ca="1">INDEX(Photobiology!$21:$421,1+$AH369-380,AX$14)</f>
        <v>2.7317394271366582E-7</v>
      </c>
      <c r="AY369" s="147">
        <f t="shared" si="119"/>
        <v>9.4535791511044139E-4</v>
      </c>
      <c r="AZ369" s="147">
        <f t="shared" ca="1" si="133"/>
        <v>0</v>
      </c>
      <c r="BA369" s="147">
        <f t="shared" ca="1" si="120"/>
        <v>4.0224033930034173E-8</v>
      </c>
      <c r="BB369" s="147">
        <f t="shared" ca="1" si="121"/>
        <v>6.2542043589961473E-7</v>
      </c>
      <c r="BC369" s="147">
        <f t="shared" ca="1" si="122"/>
        <v>2.7264122271785127E-9</v>
      </c>
      <c r="BD369" s="147">
        <f t="shared" ca="1" si="123"/>
        <v>3.8448651765456762E-10</v>
      </c>
    </row>
    <row r="370" spans="8:56" s="147" customFormat="1" ht="0.25" customHeight="1" x14ac:dyDescent="0.2">
      <c r="H370" s="147">
        <f t="shared" si="124"/>
        <v>729</v>
      </c>
      <c r="I370" s="147">
        <f>IF($H370&gt;$H369,INDEX(Spectra!370:370,1,MATCH($I$20,Spectra!$20:$20,0)),I369)</f>
        <v>7.9492346144554302E-4</v>
      </c>
      <c r="J370" s="147">
        <f>((Physics!$C$9*Physics!$C$10)/(Physics!$C$11*Physics!$C$12*$H370))^($J$17-$J$18)</f>
        <v>3.6708985416124032E+18</v>
      </c>
      <c r="K370" s="147">
        <f t="shared" si="125"/>
        <v>1</v>
      </c>
      <c r="L370" s="147">
        <f>INDEX(Photobiology!$21:$421,1+$H370-380,10)</f>
        <v>5.5845470000000003E-4</v>
      </c>
      <c r="M370" s="147">
        <f t="shared" si="126"/>
        <v>7.9492346144554302E-4</v>
      </c>
      <c r="N370" s="147">
        <f ca="1">INDEX(Photobiology!$21:$421,1+$H370-380,N$14)</f>
        <v>0</v>
      </c>
      <c r="O370" s="147">
        <f ca="1">INDEX(Photobiology!$21:$421,1+$H370-380,O$14)</f>
        <v>3.96989E-5</v>
      </c>
      <c r="P370" s="147">
        <f ca="1">INDEX(Photobiology!$21:$421,1+$H370-380,P$14)</f>
        <v>6.1561199999999997E-4</v>
      </c>
      <c r="Q370" s="147">
        <f ca="1">INDEX(Photobiology!$21:$421,1+$H370-380,Q$14)</f>
        <v>2.7099999999999999E-6</v>
      </c>
      <c r="R370" s="147">
        <f ca="1">INDEX(Photobiology!$21:$421,1+$H370-380,R$14)</f>
        <v>3.8242000000000001E-7</v>
      </c>
      <c r="S370" s="147">
        <f t="shared" si="127"/>
        <v>2918083375313927.5</v>
      </c>
      <c r="T370" s="147" t="str">
        <f ca="1">INDEX(Photobiology!$21:$421,1+$H370-380,T$14)</f>
        <v/>
      </c>
      <c r="U370" s="147">
        <f ca="1">INDEX(Photobiology!$21:$421,1+$H370-380,U$14)</f>
        <v>2.9438061880743109E-5</v>
      </c>
      <c r="V370" s="147">
        <f ca="1">INDEX(Photobiology!$21:$421,1+$H370-380,V$14)</f>
        <v>4.7856615989166646E-4</v>
      </c>
      <c r="W370" s="147">
        <f ca="1">INDEX(Photobiology!$21:$421,1+$H370-380,W$14)</f>
        <v>1.8792179006154265E-6</v>
      </c>
      <c r="X370" s="147">
        <f ca="1">INDEX(Photobiology!$21:$421,1+$H370-380,X$14)</f>
        <v>2.5650679143251161E-7</v>
      </c>
      <c r="Y370" s="147">
        <f t="shared" si="114"/>
        <v>7.9492346144554302E-4</v>
      </c>
      <c r="Z370" s="147">
        <f t="shared" ca="1" si="128"/>
        <v>0</v>
      </c>
      <c r="AA370" s="147">
        <f t="shared" ca="1" si="115"/>
        <v>3.1557587003580469E-8</v>
      </c>
      <c r="AB370" s="147">
        <f t="shared" ca="1" si="116"/>
        <v>4.8936442194741358E-7</v>
      </c>
      <c r="AC370" s="147">
        <f t="shared" ca="1" si="117"/>
        <v>2.1542425805174214E-9</v>
      </c>
      <c r="AD370" s="147">
        <f t="shared" ca="1" si="118"/>
        <v>3.0399463012600458E-10</v>
      </c>
      <c r="AH370" s="147">
        <f t="shared" si="129"/>
        <v>729</v>
      </c>
      <c r="AI370" s="147">
        <f>IF($AH370&gt;$AH369,INDEX(Spectra!370:370,1,MATCH($AI$20,Spectra!$20:$20,0)),AI369)</f>
        <v>69.057400000000001</v>
      </c>
      <c r="AJ370" s="147">
        <f>((Physics!$C$9*Physics!$C$10)/(Physics!$C$11*Physics!$C$12*$AH370))^($AJ$17-$AJ$18)</f>
        <v>3.6708985416124032E+18</v>
      </c>
      <c r="AK370" s="147">
        <f t="shared" si="130"/>
        <v>1</v>
      </c>
      <c r="AL370" s="147">
        <f>INDEX(Photobiology!$21:$421,1+$AH370-380,10)</f>
        <v>5.5845470000000003E-4</v>
      </c>
      <c r="AM370" s="147">
        <f t="shared" si="131"/>
        <v>9.5683173778637334E-4</v>
      </c>
      <c r="AN370" s="147">
        <f ca="1">INDEX(Photobiology!$21:$421,1+$AH370-380,AN$14)</f>
        <v>0</v>
      </c>
      <c r="AO370" s="147">
        <f ca="1">INDEX(Photobiology!$21:$421,1+$AH370-380,AO$14)</f>
        <v>3.96989E-5</v>
      </c>
      <c r="AP370" s="147">
        <f ca="1">INDEX(Photobiology!$21:$421,1+$AH370-380,AP$14)</f>
        <v>6.1561199999999997E-4</v>
      </c>
      <c r="AQ370" s="147">
        <f ca="1">INDEX(Photobiology!$21:$421,1+$AH370-380,AQ$14)</f>
        <v>2.7099999999999999E-6</v>
      </c>
      <c r="AR370" s="147">
        <f ca="1">INDEX(Photobiology!$21:$421,1+$AH370-380,AR$14)</f>
        <v>3.8242000000000001E-7</v>
      </c>
      <c r="AS370" s="147">
        <f t="shared" si="132"/>
        <v>3512432230808459.5</v>
      </c>
      <c r="AT370" s="147" t="str">
        <f ca="1">INDEX(Photobiology!$21:$421,1+$AH370-380,AT$14)</f>
        <v/>
      </c>
      <c r="AU370" s="147">
        <f ca="1">INDEX(Photobiology!$21:$421,1+$AH370-380,AU$14)</f>
        <v>2.9438061880743109E-5</v>
      </c>
      <c r="AV370" s="147">
        <f ca="1">INDEX(Photobiology!$21:$421,1+$AH370-380,AV$14)</f>
        <v>4.7856615989166646E-4</v>
      </c>
      <c r="AW370" s="147">
        <f ca="1">INDEX(Photobiology!$21:$421,1+$AH370-380,AW$14)</f>
        <v>1.8792179006154265E-6</v>
      </c>
      <c r="AX370" s="147">
        <f ca="1">INDEX(Photobiology!$21:$421,1+$AH370-380,AX$14)</f>
        <v>2.5650679143251161E-7</v>
      </c>
      <c r="AY370" s="147">
        <f t="shared" si="119"/>
        <v>9.5683173778637334E-4</v>
      </c>
      <c r="AZ370" s="147">
        <f t="shared" ca="1" si="133"/>
        <v>0</v>
      </c>
      <c r="BA370" s="147">
        <f t="shared" ca="1" si="120"/>
        <v>3.7985167475207456E-8</v>
      </c>
      <c r="BB370" s="147">
        <f t="shared" ca="1" si="121"/>
        <v>5.8903709976214479E-7</v>
      </c>
      <c r="BC370" s="147">
        <f t="shared" ca="1" si="122"/>
        <v>2.5930140094010718E-9</v>
      </c>
      <c r="BD370" s="147">
        <f t="shared" ca="1" si="123"/>
        <v>3.659115931642649E-10</v>
      </c>
    </row>
    <row r="371" spans="8:56" s="147" customFormat="1" ht="0.25" customHeight="1" x14ac:dyDescent="0.2">
      <c r="H371" s="147">
        <f t="shared" si="124"/>
        <v>730</v>
      </c>
      <c r="I371" s="147">
        <f>IF($H371&gt;$H370,INDEX(Spectra!371:371,1,MATCH($I$20,Spectra!$20:$20,0)),I370)</f>
        <v>8.09922017321874E-4</v>
      </c>
      <c r="J371" s="147">
        <f>((Physics!$C$9*Physics!$C$10)/(Physics!$C$11*Physics!$C$12*$H371))^($J$17-$J$18)</f>
        <v>3.6759340677325839E+18</v>
      </c>
      <c r="K371" s="147">
        <f t="shared" si="125"/>
        <v>1</v>
      </c>
      <c r="L371" s="147">
        <f>INDEX(Photobiology!$21:$421,1+$H371-380,10)</f>
        <v>5.1999999999999995E-4</v>
      </c>
      <c r="M371" s="147">
        <f t="shared" si="126"/>
        <v>8.09922017321874E-4</v>
      </c>
      <c r="N371" s="147">
        <f ca="1">INDEX(Photobiology!$21:$421,1+$H371-380,N$14)</f>
        <v>0</v>
      </c>
      <c r="O371" s="147">
        <f ca="1">INDEX(Photobiology!$21:$421,1+$H371-380,O$14)</f>
        <v>3.70443E-5</v>
      </c>
      <c r="P371" s="147">
        <f ca="1">INDEX(Photobiology!$21:$421,1+$H371-380,P$14)</f>
        <v>5.7291700000000004E-4</v>
      </c>
      <c r="Q371" s="147">
        <f ca="1">INDEX(Photobiology!$21:$421,1+$H371-380,Q$14)</f>
        <v>2.5459999999999998E-6</v>
      </c>
      <c r="R371" s="147">
        <f ca="1">INDEX(Photobiology!$21:$421,1+$H371-380,R$14)</f>
        <v>3.5976599999999999E-7</v>
      </c>
      <c r="S371" s="147">
        <f t="shared" si="127"/>
        <v>2977219935680176.5</v>
      </c>
      <c r="T371" s="147" t="str">
        <f ca="1">INDEX(Photobiology!$21:$421,1+$H371-380,T$14)</f>
        <v/>
      </c>
      <c r="U371" s="147">
        <f ca="1">INDEX(Photobiology!$21:$421,1+$H371-380,U$14)</f>
        <v>2.7431957639428878E-5</v>
      </c>
      <c r="V371" s="147">
        <f ca="1">INDEX(Photobiology!$21:$421,1+$H371-380,V$14)</f>
        <v>4.4476569881997082E-4</v>
      </c>
      <c r="W371" s="147">
        <f ca="1">INDEX(Photobiology!$21:$421,1+$H371-380,W$14)</f>
        <v>1.7630755279537241E-6</v>
      </c>
      <c r="X371" s="147">
        <f ca="1">INDEX(Photobiology!$21:$421,1+$H371-380,X$14)</f>
        <v>2.4098114128275028E-7</v>
      </c>
      <c r="Y371" s="147">
        <f t="shared" si="114"/>
        <v>8.09922017321874E-4</v>
      </c>
      <c r="Z371" s="147">
        <f t="shared" ca="1" si="128"/>
        <v>0</v>
      </c>
      <c r="AA371" s="147">
        <f t="shared" ca="1" si="115"/>
        <v>3.0002994186276699E-8</v>
      </c>
      <c r="AB371" s="147">
        <f t="shared" ca="1" si="116"/>
        <v>4.6401809239799612E-7</v>
      </c>
      <c r="AC371" s="147">
        <f t="shared" ca="1" si="117"/>
        <v>2.0620614561014913E-9</v>
      </c>
      <c r="AD371" s="147">
        <f t="shared" ca="1" si="118"/>
        <v>2.913824044838213E-10</v>
      </c>
      <c r="AH371" s="147">
        <f t="shared" si="129"/>
        <v>730</v>
      </c>
      <c r="AI371" s="147">
        <f>IF($AH371&gt;$AH370,INDEX(Spectra!371:371,1,MATCH($AI$20,Spectra!$20:$20,0)),AI370)</f>
        <v>69.885599999999997</v>
      </c>
      <c r="AJ371" s="147">
        <f>((Physics!$C$9*Physics!$C$10)/(Physics!$C$11*Physics!$C$12*$AH371))^($AJ$17-$AJ$18)</f>
        <v>3.6759340677325839E+18</v>
      </c>
      <c r="AK371" s="147">
        <f t="shared" si="130"/>
        <v>1</v>
      </c>
      <c r="AL371" s="147">
        <f>INDEX(Photobiology!$21:$421,1+$AH371-380,10)</f>
        <v>5.1999999999999995E-4</v>
      </c>
      <c r="AM371" s="147">
        <f t="shared" si="131"/>
        <v>9.683069460223433E-4</v>
      </c>
      <c r="AN371" s="147">
        <f ca="1">INDEX(Photobiology!$21:$421,1+$AH371-380,AN$14)</f>
        <v>0</v>
      </c>
      <c r="AO371" s="147">
        <f ca="1">INDEX(Photobiology!$21:$421,1+$AH371-380,AO$14)</f>
        <v>3.70443E-5</v>
      </c>
      <c r="AP371" s="147">
        <f ca="1">INDEX(Photobiology!$21:$421,1+$AH371-380,AP$14)</f>
        <v>5.7291700000000004E-4</v>
      </c>
      <c r="AQ371" s="147">
        <f ca="1">INDEX(Photobiology!$21:$421,1+$AH371-380,AQ$14)</f>
        <v>2.5459999999999998E-6</v>
      </c>
      <c r="AR371" s="147">
        <f ca="1">INDEX(Photobiology!$21:$421,1+$AH371-380,AR$14)</f>
        <v>3.5976599999999999E-7</v>
      </c>
      <c r="AS371" s="147">
        <f t="shared" si="132"/>
        <v>3559432490905628</v>
      </c>
      <c r="AT371" s="147" t="str">
        <f ca="1">INDEX(Photobiology!$21:$421,1+$AH371-380,AT$14)</f>
        <v/>
      </c>
      <c r="AU371" s="147">
        <f ca="1">INDEX(Photobiology!$21:$421,1+$AH371-380,AU$14)</f>
        <v>2.7431957639428878E-5</v>
      </c>
      <c r="AV371" s="147">
        <f ca="1">INDEX(Photobiology!$21:$421,1+$AH371-380,AV$14)</f>
        <v>4.4476569881997082E-4</v>
      </c>
      <c r="AW371" s="147">
        <f ca="1">INDEX(Photobiology!$21:$421,1+$AH371-380,AW$14)</f>
        <v>1.7630755279537241E-6</v>
      </c>
      <c r="AX371" s="147">
        <f ca="1">INDEX(Photobiology!$21:$421,1+$AH371-380,AX$14)</f>
        <v>2.4098114128275028E-7</v>
      </c>
      <c r="AY371" s="147">
        <f t="shared" si="119"/>
        <v>9.683069460223433E-4</v>
      </c>
      <c r="AZ371" s="147">
        <f t="shared" ca="1" si="133"/>
        <v>0</v>
      </c>
      <c r="BA371" s="147">
        <f t="shared" ca="1" si="120"/>
        <v>3.5870253000535491E-8</v>
      </c>
      <c r="BB371" s="147">
        <f t="shared" ca="1" si="121"/>
        <v>5.5475951059428292E-7</v>
      </c>
      <c r="BC371" s="147">
        <f t="shared" ca="1" si="122"/>
        <v>2.4653094845728858E-9</v>
      </c>
      <c r="BD371" s="147">
        <f t="shared" ca="1" si="123"/>
        <v>3.4836391674267438E-10</v>
      </c>
    </row>
    <row r="372" spans="8:56" s="147" customFormat="1" ht="0.25" customHeight="1" x14ac:dyDescent="0.2">
      <c r="H372" s="147">
        <f t="shared" si="124"/>
        <v>731</v>
      </c>
      <c r="I372" s="147">
        <f>IF($H372&gt;$H371,INDEX(Spectra!372:372,1,MATCH($I$20,Spectra!$20:$20,0)),I371)</f>
        <v>8.3491961044909204E-4</v>
      </c>
      <c r="J372" s="147">
        <f>((Physics!$C$9*Physics!$C$10)/(Physics!$C$11*Physics!$C$12*$H372))^($J$17-$J$18)</f>
        <v>3.6809695938527657E+18</v>
      </c>
      <c r="K372" s="147">
        <f t="shared" si="125"/>
        <v>1</v>
      </c>
      <c r="L372" s="147">
        <f>INDEX(Photobiology!$21:$421,1+$H372-380,10)</f>
        <v>4.8391359999999997E-4</v>
      </c>
      <c r="M372" s="147">
        <f t="shared" si="126"/>
        <v>8.3491961044909204E-4</v>
      </c>
      <c r="N372" s="147">
        <f ca="1">INDEX(Photobiology!$21:$421,1+$H372-380,N$14)</f>
        <v>0</v>
      </c>
      <c r="O372" s="147">
        <f ca="1">INDEX(Photobiology!$21:$421,1+$H372-380,O$14)</f>
        <v>3.45688E-5</v>
      </c>
      <c r="P372" s="147">
        <f ca="1">INDEX(Photobiology!$21:$421,1+$H372-380,P$14)</f>
        <v>5.3320600000000004E-4</v>
      </c>
      <c r="Q372" s="147">
        <f ca="1">INDEX(Photobiology!$21:$421,1+$H372-380,Q$14)</f>
        <v>2.3929999999999998E-6</v>
      </c>
      <c r="R372" s="147">
        <f ca="1">INDEX(Photobiology!$21:$421,1+$H372-380,R$14)</f>
        <v>3.38528E-7</v>
      </c>
      <c r="S372" s="147">
        <f t="shared" si="127"/>
        <v>3073313699374503.5</v>
      </c>
      <c r="T372" s="147" t="str">
        <f ca="1">INDEX(Photobiology!$21:$421,1+$H372-380,T$14)</f>
        <v/>
      </c>
      <c r="U372" s="147">
        <f ca="1">INDEX(Photobiology!$21:$421,1+$H372-380,U$14)</f>
        <v>2.5563787332981803E-5</v>
      </c>
      <c r="V372" s="147">
        <f ca="1">INDEX(Photobiology!$21:$421,1+$H372-380,V$14)</f>
        <v>4.1337107857008392E-4</v>
      </c>
      <c r="W372" s="147">
        <f ca="1">INDEX(Photobiology!$21:$421,1+$H372-380,W$14)</f>
        <v>1.6548578704650201E-6</v>
      </c>
      <c r="X372" s="147">
        <f ca="1">INDEX(Photobiology!$21:$421,1+$H372-380,X$14)</f>
        <v>2.2644514713254079E-7</v>
      </c>
      <c r="Y372" s="147">
        <f t="shared" si="114"/>
        <v>8.3491961044909204E-4</v>
      </c>
      <c r="Z372" s="147">
        <f t="shared" ca="1" si="128"/>
        <v>0</v>
      </c>
      <c r="AA372" s="147">
        <f t="shared" ca="1" si="115"/>
        <v>2.8862169029692573E-8</v>
      </c>
      <c r="AB372" s="147">
        <f t="shared" ca="1" si="116"/>
        <v>4.4518414580911861E-7</v>
      </c>
      <c r="AC372" s="147">
        <f t="shared" ca="1" si="117"/>
        <v>1.9979626278046771E-9</v>
      </c>
      <c r="AD372" s="147">
        <f t="shared" ca="1" si="118"/>
        <v>2.8264366588611021E-10</v>
      </c>
      <c r="AH372" s="147">
        <f t="shared" si="129"/>
        <v>731</v>
      </c>
      <c r="AI372" s="147">
        <f>IF($AH372&gt;$AH371,INDEX(Spectra!372:372,1,MATCH($AI$20,Spectra!$20:$20,0)),AI371)</f>
        <v>70.405699999999996</v>
      </c>
      <c r="AJ372" s="147">
        <f>((Physics!$C$9*Physics!$C$10)/(Physics!$C$11*Physics!$C$12*$AH372))^($AJ$17-$AJ$18)</f>
        <v>3.6809695938527657E+18</v>
      </c>
      <c r="AK372" s="147">
        <f t="shared" si="130"/>
        <v>1</v>
      </c>
      <c r="AL372" s="147">
        <f>INDEX(Photobiology!$21:$421,1+$AH372-380,10)</f>
        <v>4.8391359999999997E-4</v>
      </c>
      <c r="AM372" s="147">
        <f t="shared" si="131"/>
        <v>9.755132437807688E-4</v>
      </c>
      <c r="AN372" s="147">
        <f ca="1">INDEX(Photobiology!$21:$421,1+$AH372-380,AN$14)</f>
        <v>0</v>
      </c>
      <c r="AO372" s="147">
        <f ca="1">INDEX(Photobiology!$21:$421,1+$AH372-380,AO$14)</f>
        <v>3.45688E-5</v>
      </c>
      <c r="AP372" s="147">
        <f ca="1">INDEX(Photobiology!$21:$421,1+$AH372-380,AP$14)</f>
        <v>5.3320600000000004E-4</v>
      </c>
      <c r="AQ372" s="147">
        <f ca="1">INDEX(Photobiology!$21:$421,1+$AH372-380,AQ$14)</f>
        <v>2.3929999999999998E-6</v>
      </c>
      <c r="AR372" s="147">
        <f ca="1">INDEX(Photobiology!$21:$421,1+$AH372-380,AR$14)</f>
        <v>3.38528E-7</v>
      </c>
      <c r="AS372" s="147">
        <f t="shared" si="132"/>
        <v>3590834588757690.5</v>
      </c>
      <c r="AT372" s="147" t="str">
        <f ca="1">INDEX(Photobiology!$21:$421,1+$AH372-380,AT$14)</f>
        <v/>
      </c>
      <c r="AU372" s="147">
        <f ca="1">INDEX(Photobiology!$21:$421,1+$AH372-380,AU$14)</f>
        <v>2.5563787332981803E-5</v>
      </c>
      <c r="AV372" s="147">
        <f ca="1">INDEX(Photobiology!$21:$421,1+$AH372-380,AV$14)</f>
        <v>4.1337107857008392E-4</v>
      </c>
      <c r="AW372" s="147">
        <f ca="1">INDEX(Photobiology!$21:$421,1+$AH372-380,AW$14)</f>
        <v>1.6548578704650201E-6</v>
      </c>
      <c r="AX372" s="147">
        <f ca="1">INDEX(Photobiology!$21:$421,1+$AH372-380,AX$14)</f>
        <v>2.2644514713254079E-7</v>
      </c>
      <c r="AY372" s="147">
        <f t="shared" si="119"/>
        <v>9.755132437807688E-4</v>
      </c>
      <c r="AZ372" s="147">
        <f t="shared" ca="1" si="133"/>
        <v>0</v>
      </c>
      <c r="BA372" s="147">
        <f t="shared" ca="1" si="120"/>
        <v>3.372232222160864E-8</v>
      </c>
      <c r="BB372" s="147">
        <f t="shared" ca="1" si="121"/>
        <v>5.2014951466336862E-7</v>
      </c>
      <c r="BC372" s="147">
        <f t="shared" ca="1" si="122"/>
        <v>2.3344031923673794E-9</v>
      </c>
      <c r="BD372" s="147">
        <f t="shared" ca="1" si="123"/>
        <v>3.302385473906161E-10</v>
      </c>
    </row>
    <row r="373" spans="8:56" s="147" customFormat="1" ht="0.25" customHeight="1" x14ac:dyDescent="0.2">
      <c r="H373" s="147">
        <f t="shared" si="124"/>
        <v>732</v>
      </c>
      <c r="I373" s="147">
        <f>IF($H373&gt;$H372,INDEX(Spectra!373:373,1,MATCH($I$20,Spectra!$20:$20,0)),I372)</f>
        <v>8.5991720357631095E-4</v>
      </c>
      <c r="J373" s="147">
        <f>((Physics!$C$9*Physics!$C$10)/(Physics!$C$11*Physics!$C$12*$H373))^($J$17-$J$18)</f>
        <v>3.686005119972948E+18</v>
      </c>
      <c r="K373" s="147">
        <f t="shared" si="125"/>
        <v>1</v>
      </c>
      <c r="L373" s="147">
        <f>INDEX(Photobiology!$21:$421,1+$H373-380,10)</f>
        <v>4.500528E-4</v>
      </c>
      <c r="M373" s="147">
        <f t="shared" si="126"/>
        <v>8.5991720357631095E-4</v>
      </c>
      <c r="N373" s="147">
        <f ca="1">INDEX(Photobiology!$21:$421,1+$H373-380,N$14)</f>
        <v>0</v>
      </c>
      <c r="O373" s="147">
        <f ca="1">INDEX(Photobiology!$21:$421,1+$H373-380,O$14)</f>
        <v>3.2258799999999997E-5</v>
      </c>
      <c r="P373" s="147">
        <f ca="1">INDEX(Photobiology!$21:$421,1+$H373-380,P$14)</f>
        <v>4.9623400000000002E-4</v>
      </c>
      <c r="Q373" s="147">
        <f ca="1">INDEX(Photobiology!$21:$421,1+$H373-380,Q$14)</f>
        <v>2.2500000000000001E-6</v>
      </c>
      <c r="R373" s="147">
        <f ca="1">INDEX(Photobiology!$21:$421,1+$H373-380,R$14)</f>
        <v>3.1848999999999999E-7</v>
      </c>
      <c r="S373" s="147">
        <f t="shared" si="127"/>
        <v>3169659215135102</v>
      </c>
      <c r="T373" s="147" t="str">
        <f ca="1">INDEX(Photobiology!$21:$421,1+$H373-380,T$14)</f>
        <v/>
      </c>
      <c r="U373" s="147">
        <f ca="1">INDEX(Photobiology!$21:$421,1+$H373-380,U$14)</f>
        <v>2.3822942134978356E-5</v>
      </c>
      <c r="V373" s="147">
        <f ca="1">INDEX(Photobiology!$21:$421,1+$H373-380,V$14)</f>
        <v>3.8418276092951124E-4</v>
      </c>
      <c r="W373" s="147">
        <f ca="1">INDEX(Photobiology!$21:$421,1+$H373-380,W$14)</f>
        <v>1.5538418534291399E-6</v>
      </c>
      <c r="X373" s="147">
        <f ca="1">INDEX(Photobiology!$21:$421,1+$H373-380,X$14)</f>
        <v>2.1275046559413013E-7</v>
      </c>
      <c r="Y373" s="147">
        <f t="shared" si="114"/>
        <v>8.5991720357631095E-4</v>
      </c>
      <c r="Z373" s="147">
        <f t="shared" ca="1" si="128"/>
        <v>0</v>
      </c>
      <c r="AA373" s="147">
        <f t="shared" ca="1" si="115"/>
        <v>2.7739897086727498E-8</v>
      </c>
      <c r="AB373" s="147">
        <f t="shared" ca="1" si="116"/>
        <v>4.2672015359948712E-7</v>
      </c>
      <c r="AC373" s="147">
        <f t="shared" ca="1" si="117"/>
        <v>1.9348137080466999E-9</v>
      </c>
      <c r="AD373" s="147">
        <f t="shared" ca="1" si="118"/>
        <v>2.7387503016701927E-10</v>
      </c>
      <c r="AH373" s="147">
        <f t="shared" si="129"/>
        <v>732</v>
      </c>
      <c r="AI373" s="147">
        <f>IF($AH373&gt;$AH372,INDEX(Spectra!373:373,1,MATCH($AI$20,Spectra!$20:$20,0)),AI372)</f>
        <v>70.925899999999999</v>
      </c>
      <c r="AJ373" s="147">
        <f>((Physics!$C$9*Physics!$C$10)/(Physics!$C$11*Physics!$C$12*$AH373))^($AJ$17-$AJ$18)</f>
        <v>3.686005119972948E+18</v>
      </c>
      <c r="AK373" s="147">
        <f t="shared" si="130"/>
        <v>1</v>
      </c>
      <c r="AL373" s="147">
        <f>INDEX(Photobiology!$21:$421,1+$AH373-380,10)</f>
        <v>4.500528E-4</v>
      </c>
      <c r="AM373" s="147">
        <f t="shared" si="131"/>
        <v>9.8272092709923253E-4</v>
      </c>
      <c r="AN373" s="147">
        <f ca="1">INDEX(Photobiology!$21:$421,1+$AH373-380,AN$14)</f>
        <v>0</v>
      </c>
      <c r="AO373" s="147">
        <f ca="1">INDEX(Photobiology!$21:$421,1+$AH373-380,AO$14)</f>
        <v>3.2258799999999997E-5</v>
      </c>
      <c r="AP373" s="147">
        <f ca="1">INDEX(Photobiology!$21:$421,1+$AH373-380,AP$14)</f>
        <v>4.9623400000000002E-4</v>
      </c>
      <c r="AQ373" s="147">
        <f ca="1">INDEX(Photobiology!$21:$421,1+$AH373-380,AQ$14)</f>
        <v>2.2500000000000001E-6</v>
      </c>
      <c r="AR373" s="147">
        <f ca="1">INDEX(Photobiology!$21:$421,1+$AH373-380,AR$14)</f>
        <v>3.1848999999999999E-7</v>
      </c>
      <c r="AS373" s="147">
        <f t="shared" si="132"/>
        <v>3622314368792333.5</v>
      </c>
      <c r="AT373" s="147" t="str">
        <f ca="1">INDEX(Photobiology!$21:$421,1+$AH373-380,AT$14)</f>
        <v/>
      </c>
      <c r="AU373" s="147">
        <f ca="1">INDEX(Photobiology!$21:$421,1+$AH373-380,AU$14)</f>
        <v>2.3822942134978356E-5</v>
      </c>
      <c r="AV373" s="147">
        <f ca="1">INDEX(Photobiology!$21:$421,1+$AH373-380,AV$14)</f>
        <v>3.8418276092951124E-4</v>
      </c>
      <c r="AW373" s="147">
        <f ca="1">INDEX(Photobiology!$21:$421,1+$AH373-380,AW$14)</f>
        <v>1.5538418534291399E-6</v>
      </c>
      <c r="AX373" s="147">
        <f ca="1">INDEX(Photobiology!$21:$421,1+$AH373-380,AX$14)</f>
        <v>2.1275046559413013E-7</v>
      </c>
      <c r="AY373" s="147">
        <f t="shared" si="119"/>
        <v>9.8272092709923253E-4</v>
      </c>
      <c r="AZ373" s="147">
        <f t="shared" ca="1" si="133"/>
        <v>0</v>
      </c>
      <c r="BA373" s="147">
        <f t="shared" ca="1" si="120"/>
        <v>3.1701397843108721E-8</v>
      </c>
      <c r="BB373" s="147">
        <f t="shared" ca="1" si="121"/>
        <v>4.8765953653816055E-7</v>
      </c>
      <c r="BC373" s="147">
        <f t="shared" ca="1" si="122"/>
        <v>2.2111220859732733E-9</v>
      </c>
      <c r="BD373" s="147">
        <f t="shared" ca="1" si="123"/>
        <v>3.1298678807183454E-10</v>
      </c>
    </row>
    <row r="374" spans="8:56" s="147" customFormat="1" ht="0.25" customHeight="1" x14ac:dyDescent="0.2">
      <c r="H374" s="147">
        <f t="shared" si="124"/>
        <v>733</v>
      </c>
      <c r="I374" s="147">
        <f>IF($H374&gt;$H373,INDEX(Spectra!374:374,1,MATCH($I$20,Spectra!$20:$20,0)),I373)</f>
        <v>8.8491479670352899E-4</v>
      </c>
      <c r="J374" s="147">
        <f>((Physics!$C$9*Physics!$C$10)/(Physics!$C$11*Physics!$C$12*$H374))^($J$17-$J$18)</f>
        <v>3.6910406460931297E+18</v>
      </c>
      <c r="K374" s="147">
        <f t="shared" si="125"/>
        <v>1</v>
      </c>
      <c r="L374" s="147">
        <f>INDEX(Photobiology!$21:$421,1+$H374-380,10)</f>
        <v>4.1834519999999999E-4</v>
      </c>
      <c r="M374" s="147">
        <f t="shared" si="126"/>
        <v>8.8491479670352899E-4</v>
      </c>
      <c r="N374" s="147">
        <f ca="1">INDEX(Photobiology!$21:$421,1+$H374-380,N$14)</f>
        <v>0</v>
      </c>
      <c r="O374" s="147">
        <f ca="1">INDEX(Photobiology!$21:$421,1+$H374-380,O$14)</f>
        <v>3.0102599999999999E-5</v>
      </c>
      <c r="P374" s="147">
        <f ca="1">INDEX(Photobiology!$21:$421,1+$H374-380,P$14)</f>
        <v>4.6178199999999999E-4</v>
      </c>
      <c r="Q374" s="147">
        <f ca="1">INDEX(Photobiology!$21:$421,1+$H374-380,Q$14)</f>
        <v>2.1150000000000001E-6</v>
      </c>
      <c r="R374" s="147">
        <f ca="1">INDEX(Photobiology!$21:$421,1+$H374-380,R$14)</f>
        <v>2.9964400000000001E-7</v>
      </c>
      <c r="S374" s="147">
        <f t="shared" si="127"/>
        <v>3266256482961964</v>
      </c>
      <c r="T374" s="147" t="str">
        <f ca="1">INDEX(Photobiology!$21:$421,1+$H374-380,T$14)</f>
        <v/>
      </c>
      <c r="U374" s="147">
        <f ca="1">INDEX(Photobiology!$21:$421,1+$H374-380,U$14)</f>
        <v>2.220027233669409E-5</v>
      </c>
      <c r="V374" s="147">
        <f ca="1">INDEX(Photobiology!$21:$421,1+$H374-380,V$14)</f>
        <v>3.5702239822574938E-4</v>
      </c>
      <c r="W374" s="147">
        <f ca="1">INDEX(Photobiology!$21:$421,1+$H374-380,W$14)</f>
        <v>1.458618693734683E-6</v>
      </c>
      <c r="X374" s="147">
        <f ca="1">INDEX(Photobiology!$21:$421,1+$H374-380,X$14)</f>
        <v>1.9988831668098951E-7</v>
      </c>
      <c r="Y374" s="147">
        <f t="shared" si="114"/>
        <v>8.8491479670352899E-4</v>
      </c>
      <c r="Z374" s="147">
        <f t="shared" ca="1" si="128"/>
        <v>0</v>
      </c>
      <c r="AA374" s="147">
        <f t="shared" ca="1" si="115"/>
        <v>2.6638236159247649E-8</v>
      </c>
      <c r="AB374" s="147">
        <f t="shared" ca="1" si="116"/>
        <v>4.08637724651349E-7</v>
      </c>
      <c r="AC374" s="147">
        <f t="shared" ca="1" si="117"/>
        <v>1.8715947950279638E-9</v>
      </c>
      <c r="AD374" s="147">
        <f t="shared" ca="1" si="118"/>
        <v>2.6515940934343227E-10</v>
      </c>
      <c r="AH374" s="147">
        <f t="shared" si="129"/>
        <v>733</v>
      </c>
      <c r="AI374" s="147">
        <f>IF($AH374&gt;$AH373,INDEX(Spectra!374:374,1,MATCH($AI$20,Spectra!$20:$20,0)),AI373)</f>
        <v>71.445999999999998</v>
      </c>
      <c r="AJ374" s="147">
        <f>((Physics!$C$9*Physics!$C$10)/(Physics!$C$11*Physics!$C$12*$AH374))^($AJ$17-$AJ$18)</f>
        <v>3.6910406460931297E+18</v>
      </c>
      <c r="AK374" s="147">
        <f t="shared" si="130"/>
        <v>1</v>
      </c>
      <c r="AL374" s="147">
        <f>INDEX(Photobiology!$21:$421,1+$AH374-380,10)</f>
        <v>4.1834519999999999E-4</v>
      </c>
      <c r="AM374" s="147">
        <f t="shared" si="131"/>
        <v>9.8992722485765792E-4</v>
      </c>
      <c r="AN374" s="147">
        <f ca="1">INDEX(Photobiology!$21:$421,1+$AH374-380,AN$14)</f>
        <v>0</v>
      </c>
      <c r="AO374" s="147">
        <f ca="1">INDEX(Photobiology!$21:$421,1+$AH374-380,AO$14)</f>
        <v>3.0102599999999999E-5</v>
      </c>
      <c r="AP374" s="147">
        <f ca="1">INDEX(Photobiology!$21:$421,1+$AH374-380,AP$14)</f>
        <v>4.6178199999999999E-4</v>
      </c>
      <c r="AQ374" s="147">
        <f ca="1">INDEX(Photobiology!$21:$421,1+$AH374-380,AQ$14)</f>
        <v>2.1150000000000001E-6</v>
      </c>
      <c r="AR374" s="147">
        <f ca="1">INDEX(Photobiology!$21:$421,1+$AH374-380,AR$14)</f>
        <v>2.9964400000000001E-7</v>
      </c>
      <c r="AS374" s="147">
        <f t="shared" si="132"/>
        <v>3653861623623788.5</v>
      </c>
      <c r="AT374" s="147" t="str">
        <f ca="1">INDEX(Photobiology!$21:$421,1+$AH374-380,AT$14)</f>
        <v/>
      </c>
      <c r="AU374" s="147">
        <f ca="1">INDEX(Photobiology!$21:$421,1+$AH374-380,AU$14)</f>
        <v>2.220027233669409E-5</v>
      </c>
      <c r="AV374" s="147">
        <f ca="1">INDEX(Photobiology!$21:$421,1+$AH374-380,AV$14)</f>
        <v>3.5702239822574938E-4</v>
      </c>
      <c r="AW374" s="147">
        <f ca="1">INDEX(Photobiology!$21:$421,1+$AH374-380,AW$14)</f>
        <v>1.458618693734683E-6</v>
      </c>
      <c r="AX374" s="147">
        <f ca="1">INDEX(Photobiology!$21:$421,1+$AH374-380,AX$14)</f>
        <v>1.9988831668098951E-7</v>
      </c>
      <c r="AY374" s="147">
        <f t="shared" si="119"/>
        <v>9.8992722485765792E-4</v>
      </c>
      <c r="AZ374" s="147">
        <f t="shared" ca="1" si="133"/>
        <v>0</v>
      </c>
      <c r="BA374" s="147">
        <f t="shared" ca="1" si="120"/>
        <v>2.9799383279000133E-8</v>
      </c>
      <c r="BB374" s="147">
        <f t="shared" ca="1" si="121"/>
        <v>4.5713057374921899E-7</v>
      </c>
      <c r="BC374" s="147">
        <f t="shared" ca="1" si="122"/>
        <v>2.0936960805739465E-9</v>
      </c>
      <c r="BD374" s="147">
        <f t="shared" ca="1" si="123"/>
        <v>2.9662575336524807E-10</v>
      </c>
    </row>
    <row r="375" spans="8:56" s="147" customFormat="1" ht="0.25" customHeight="1" x14ac:dyDescent="0.2">
      <c r="H375" s="147">
        <f t="shared" si="124"/>
        <v>734</v>
      </c>
      <c r="I375" s="147">
        <f>IF($H375&gt;$H374,INDEX(Spectra!375:375,1,MATCH($I$20,Spectra!$20:$20,0)),I374)</f>
        <v>8.9991335257985996E-4</v>
      </c>
      <c r="J375" s="147">
        <f>((Physics!$C$9*Physics!$C$10)/(Physics!$C$11*Physics!$C$12*$H375))^($J$17-$J$18)</f>
        <v>3.696076172213311E+18</v>
      </c>
      <c r="K375" s="147">
        <f t="shared" si="125"/>
        <v>1</v>
      </c>
      <c r="L375" s="147">
        <f>INDEX(Photobiology!$21:$421,1+$H375-380,10)</f>
        <v>3.887184E-4</v>
      </c>
      <c r="M375" s="147">
        <f t="shared" si="126"/>
        <v>8.9991335257985996E-4</v>
      </c>
      <c r="N375" s="147">
        <f ca="1">INDEX(Photobiology!$21:$421,1+$H375-380,N$14)</f>
        <v>0</v>
      </c>
      <c r="O375" s="147">
        <f ca="1">INDEX(Photobiology!$21:$421,1+$H375-380,O$14)</f>
        <v>2.8089299999999999E-5</v>
      </c>
      <c r="P375" s="147">
        <f ca="1">INDEX(Photobiology!$21:$421,1+$H375-380,P$14)</f>
        <v>4.2965400000000002E-4</v>
      </c>
      <c r="Q375" s="147">
        <f ca="1">INDEX(Photobiology!$21:$421,1+$H375-380,Q$14)</f>
        <v>1.9889999999999999E-6</v>
      </c>
      <c r="R375" s="147">
        <f ca="1">INDEX(Photobiology!$21:$421,1+$H375-380,R$14)</f>
        <v>2.8198100000000002E-7</v>
      </c>
      <c r="S375" s="147">
        <f t="shared" si="127"/>
        <v>3326148299527016.5</v>
      </c>
      <c r="T375" s="147" t="str">
        <f ca="1">INDEX(Photobiology!$21:$421,1+$H375-380,T$14)</f>
        <v/>
      </c>
      <c r="U375" s="147">
        <f ca="1">INDEX(Photobiology!$21:$421,1+$H375-380,U$14)</f>
        <v>2.0687267277275264E-5</v>
      </c>
      <c r="V375" s="147">
        <f ca="1">INDEX(Photobiology!$21:$421,1+$H375-380,V$14)</f>
        <v>3.3173037271482712E-4</v>
      </c>
      <c r="W375" s="147">
        <f ca="1">INDEX(Photobiology!$21:$421,1+$H375-380,W$14)</f>
        <v>1.3698534294983041E-6</v>
      </c>
      <c r="X375" s="147">
        <f ca="1">INDEX(Photobiology!$21:$421,1+$H375-380,X$14)</f>
        <v>1.878493020767669E-7</v>
      </c>
      <c r="Y375" s="147">
        <f t="shared" si="114"/>
        <v>8.9991335257985996E-4</v>
      </c>
      <c r="Z375" s="147">
        <f t="shared" ca="1" si="128"/>
        <v>0</v>
      </c>
      <c r="AA375" s="147">
        <f t="shared" ca="1" si="115"/>
        <v>2.527793613462146E-8</v>
      </c>
      <c r="AB375" s="147">
        <f t="shared" ca="1" si="116"/>
        <v>3.8665137158934719E-7</v>
      </c>
      <c r="AC375" s="147">
        <f t="shared" ca="1" si="117"/>
        <v>1.7899276582813414E-9</v>
      </c>
      <c r="AD375" s="147">
        <f t="shared" ca="1" si="118"/>
        <v>2.5375846707382151E-10</v>
      </c>
      <c r="AH375" s="147">
        <f t="shared" si="129"/>
        <v>734</v>
      </c>
      <c r="AI375" s="147">
        <f>IF($AH375&gt;$AH374,INDEX(Spectra!375:375,1,MATCH($AI$20,Spectra!$20:$20,0)),AI374)</f>
        <v>71.966200000000001</v>
      </c>
      <c r="AJ375" s="147">
        <f>((Physics!$C$9*Physics!$C$10)/(Physics!$C$11*Physics!$C$12*$AH375))^($AJ$17-$AJ$18)</f>
        <v>3.696076172213311E+18</v>
      </c>
      <c r="AK375" s="147">
        <f t="shared" si="130"/>
        <v>1</v>
      </c>
      <c r="AL375" s="147">
        <f>INDEX(Photobiology!$21:$421,1+$AH375-380,10)</f>
        <v>3.887184E-4</v>
      </c>
      <c r="AM375" s="147">
        <f t="shared" si="131"/>
        <v>9.9713490817612154E-4</v>
      </c>
      <c r="AN375" s="147">
        <f ca="1">INDEX(Photobiology!$21:$421,1+$AH375-380,AN$14)</f>
        <v>0</v>
      </c>
      <c r="AO375" s="147">
        <f ca="1">INDEX(Photobiology!$21:$421,1+$AH375-380,AO$14)</f>
        <v>2.8089299999999999E-5</v>
      </c>
      <c r="AP375" s="147">
        <f ca="1">INDEX(Photobiology!$21:$421,1+$AH375-380,AP$14)</f>
        <v>4.2965400000000002E-4</v>
      </c>
      <c r="AQ375" s="147">
        <f ca="1">INDEX(Photobiology!$21:$421,1+$AH375-380,AQ$14)</f>
        <v>1.9889999999999999E-6</v>
      </c>
      <c r="AR375" s="147">
        <f ca="1">INDEX(Photobiology!$21:$421,1+$AH375-380,AR$14)</f>
        <v>2.8198100000000002E-7</v>
      </c>
      <c r="AS375" s="147">
        <f t="shared" si="132"/>
        <v>3685486574591870.5</v>
      </c>
      <c r="AT375" s="147" t="str">
        <f ca="1">INDEX(Photobiology!$21:$421,1+$AH375-380,AT$14)</f>
        <v/>
      </c>
      <c r="AU375" s="147">
        <f ca="1">INDEX(Photobiology!$21:$421,1+$AH375-380,AU$14)</f>
        <v>2.0687267277275264E-5</v>
      </c>
      <c r="AV375" s="147">
        <f ca="1">INDEX(Photobiology!$21:$421,1+$AH375-380,AV$14)</f>
        <v>3.3173037271482712E-4</v>
      </c>
      <c r="AW375" s="147">
        <f ca="1">INDEX(Photobiology!$21:$421,1+$AH375-380,AW$14)</f>
        <v>1.3698534294983041E-6</v>
      </c>
      <c r="AX375" s="147">
        <f ca="1">INDEX(Photobiology!$21:$421,1+$AH375-380,AX$14)</f>
        <v>1.878493020767669E-7</v>
      </c>
      <c r="AY375" s="147">
        <f t="shared" si="119"/>
        <v>9.9713490817612154E-4</v>
      </c>
      <c r="AZ375" s="147">
        <f t="shared" ca="1" si="133"/>
        <v>0</v>
      </c>
      <c r="BA375" s="147">
        <f t="shared" ca="1" si="120"/>
        <v>2.800882157623153E-8</v>
      </c>
      <c r="BB375" s="147">
        <f t="shared" ca="1" si="121"/>
        <v>4.2842300183750335E-7</v>
      </c>
      <c r="BC375" s="147">
        <f t="shared" ca="1" si="122"/>
        <v>1.9833013323623057E-9</v>
      </c>
      <c r="BD375" s="147">
        <f t="shared" ca="1" si="123"/>
        <v>2.8117309854241096E-10</v>
      </c>
    </row>
    <row r="376" spans="8:56" s="147" customFormat="1" ht="0.25" customHeight="1" x14ac:dyDescent="0.2">
      <c r="H376" s="147">
        <f t="shared" si="124"/>
        <v>735</v>
      </c>
      <c r="I376" s="147">
        <f>IF($H376&gt;$H375,INDEX(Spectra!376:376,1,MATCH($I$20,Spectra!$20:$20,0)),I375)</f>
        <v>9.0991238983074703E-4</v>
      </c>
      <c r="J376" s="147">
        <f>((Physics!$C$9*Physics!$C$10)/(Physics!$C$11*Physics!$C$12*$H376))^($J$17-$J$18)</f>
        <v>3.7011116983334927E+18</v>
      </c>
      <c r="K376" s="147">
        <f t="shared" si="125"/>
        <v>1</v>
      </c>
      <c r="L376" s="147">
        <f>INDEX(Photobiology!$21:$421,1+$H376-380,10)</f>
        <v>3.611E-4</v>
      </c>
      <c r="M376" s="147">
        <f t="shared" si="126"/>
        <v>9.0991238983074703E-4</v>
      </c>
      <c r="N376" s="147">
        <f ca="1">INDEX(Photobiology!$21:$421,1+$H376-380,N$14)</f>
        <v>0</v>
      </c>
      <c r="O376" s="147">
        <f ca="1">INDEX(Photobiology!$21:$421,1+$H376-380,O$14)</f>
        <v>2.6208799999999999E-5</v>
      </c>
      <c r="P376" s="147">
        <f ca="1">INDEX(Photobiology!$21:$421,1+$H376-380,P$14)</f>
        <v>3.9966999999999997E-4</v>
      </c>
      <c r="Q376" s="147">
        <f ca="1">INDEX(Photobiology!$21:$421,1+$H376-380,Q$14)</f>
        <v>1.8700000000000001E-6</v>
      </c>
      <c r="R376" s="147">
        <f ca="1">INDEX(Photobiology!$21:$421,1+$H376-380,R$14)</f>
        <v>2.6549300000000001E-7</v>
      </c>
      <c r="S376" s="147">
        <f t="shared" si="127"/>
        <v>3367687390461163</v>
      </c>
      <c r="T376" s="147" t="str">
        <f ca="1">INDEX(Photobiology!$21:$421,1+$H376-380,T$14)</f>
        <v/>
      </c>
      <c r="U376" s="147">
        <f ca="1">INDEX(Photobiology!$21:$421,1+$H376-380,U$14)</f>
        <v>1.9276050996474414E-5</v>
      </c>
      <c r="V376" s="147">
        <f ca="1">INDEX(Photobiology!$21:$421,1+$H376-380,V$14)</f>
        <v>3.0816027190932923E-4</v>
      </c>
      <c r="W376" s="147">
        <f ca="1">INDEX(Photobiology!$21:$421,1+$H376-380,W$14)</f>
        <v>1.2861441467258919E-6</v>
      </c>
      <c r="X376" s="147">
        <f ca="1">INDEX(Photobiology!$21:$421,1+$H376-380,X$14)</f>
        <v>1.7662473988320789E-7</v>
      </c>
      <c r="Y376" s="147">
        <f t="shared" si="114"/>
        <v>9.0991238983074703E-4</v>
      </c>
      <c r="Z376" s="147">
        <f t="shared" ca="1" si="128"/>
        <v>0</v>
      </c>
      <c r="AA376" s="147">
        <f t="shared" ca="1" si="115"/>
        <v>2.3847711842596083E-8</v>
      </c>
      <c r="AB376" s="147">
        <f t="shared" ca="1" si="116"/>
        <v>3.6366468484365462E-7</v>
      </c>
      <c r="AC376" s="147">
        <f t="shared" ca="1" si="117"/>
        <v>1.701536168983497E-9</v>
      </c>
      <c r="AD376" s="147">
        <f t="shared" ca="1" si="118"/>
        <v>2.4157537011333451E-10</v>
      </c>
      <c r="AH376" s="147">
        <f t="shared" si="129"/>
        <v>735</v>
      </c>
      <c r="AI376" s="147">
        <f>IF($AH376&gt;$AH375,INDEX(Spectra!376:376,1,MATCH($AI$20,Spectra!$20:$20,0)),AI375)</f>
        <v>72.4863</v>
      </c>
      <c r="AJ376" s="147">
        <f>((Physics!$C$9*Physics!$C$10)/(Physics!$C$11*Physics!$C$12*$AH376))^($AJ$17-$AJ$18)</f>
        <v>3.7011116983334927E+18</v>
      </c>
      <c r="AK376" s="147">
        <f t="shared" si="130"/>
        <v>1</v>
      </c>
      <c r="AL376" s="147">
        <f>INDEX(Photobiology!$21:$421,1+$AH376-380,10)</f>
        <v>3.611E-4</v>
      </c>
      <c r="AM376" s="147">
        <f t="shared" si="131"/>
        <v>1.0043412059345472E-3</v>
      </c>
      <c r="AN376" s="147">
        <f ca="1">INDEX(Photobiology!$21:$421,1+$AH376-380,AN$14)</f>
        <v>0</v>
      </c>
      <c r="AO376" s="147">
        <f ca="1">INDEX(Photobiology!$21:$421,1+$AH376-380,AO$14)</f>
        <v>2.6208799999999999E-5</v>
      </c>
      <c r="AP376" s="147">
        <f ca="1">INDEX(Photobiology!$21:$421,1+$AH376-380,AP$14)</f>
        <v>3.9966999999999997E-4</v>
      </c>
      <c r="AQ376" s="147">
        <f ca="1">INDEX(Photobiology!$21:$421,1+$AH376-380,AQ$14)</f>
        <v>1.8700000000000001E-6</v>
      </c>
      <c r="AR376" s="147">
        <f ca="1">INDEX(Photobiology!$21:$421,1+$AH376-380,AR$14)</f>
        <v>2.6549300000000001E-7</v>
      </c>
      <c r="AS376" s="147">
        <f t="shared" si="132"/>
        <v>3717178986402720</v>
      </c>
      <c r="AT376" s="147" t="str">
        <f ca="1">INDEX(Photobiology!$21:$421,1+$AH376-380,AT$14)</f>
        <v/>
      </c>
      <c r="AU376" s="147">
        <f ca="1">INDEX(Photobiology!$21:$421,1+$AH376-380,AU$14)</f>
        <v>1.9276050996474414E-5</v>
      </c>
      <c r="AV376" s="147">
        <f ca="1">INDEX(Photobiology!$21:$421,1+$AH376-380,AV$14)</f>
        <v>3.0816027190932923E-4</v>
      </c>
      <c r="AW376" s="147">
        <f ca="1">INDEX(Photobiology!$21:$421,1+$AH376-380,AW$14)</f>
        <v>1.2861441467258919E-6</v>
      </c>
      <c r="AX376" s="147">
        <f ca="1">INDEX(Photobiology!$21:$421,1+$AH376-380,AX$14)</f>
        <v>1.7662473988320789E-7</v>
      </c>
      <c r="AY376" s="147">
        <f t="shared" si="119"/>
        <v>1.0043412059345472E-3</v>
      </c>
      <c r="AZ376" s="147">
        <f t="shared" ca="1" si="133"/>
        <v>0</v>
      </c>
      <c r="BA376" s="147">
        <f t="shared" ca="1" si="120"/>
        <v>2.6322577798097357E-8</v>
      </c>
      <c r="BB376" s="147">
        <f t="shared" ca="1" si="121"/>
        <v>4.0140504977586045E-7</v>
      </c>
      <c r="BC376" s="147">
        <f t="shared" ca="1" si="122"/>
        <v>1.8781180550976034E-9</v>
      </c>
      <c r="BD376" s="147">
        <f t="shared" ca="1" si="123"/>
        <v>2.6664555978718072E-10</v>
      </c>
    </row>
    <row r="377" spans="8:56" s="147" customFormat="1" ht="0.25" customHeight="1" x14ac:dyDescent="0.2">
      <c r="H377" s="147">
        <f t="shared" si="124"/>
        <v>736</v>
      </c>
      <c r="I377" s="147">
        <f>IF($H377&gt;$H376,INDEX(Spectra!377:377,1,MATCH($I$20,Spectra!$20:$20,0)),I376)</f>
        <v>9.0991238983074703E-4</v>
      </c>
      <c r="J377" s="147">
        <f>((Physics!$C$9*Physics!$C$10)/(Physics!$C$11*Physics!$C$12*$H377))^($J$17-$J$18)</f>
        <v>3.7061472244536745E+18</v>
      </c>
      <c r="K377" s="147">
        <f t="shared" si="125"/>
        <v>1</v>
      </c>
      <c r="L377" s="147">
        <f>INDEX(Photobiology!$21:$421,1+$H377-380,10)</f>
        <v>3.3538349999999998E-4</v>
      </c>
      <c r="M377" s="147">
        <f t="shared" si="126"/>
        <v>9.0991238983074703E-4</v>
      </c>
      <c r="N377" s="147">
        <f ca="1">INDEX(Photobiology!$21:$421,1+$H377-380,N$14)</f>
        <v>0</v>
      </c>
      <c r="O377" s="147">
        <f ca="1">INDEX(Photobiology!$21:$421,1+$H377-380,O$14)</f>
        <v>2.4452900000000001E-5</v>
      </c>
      <c r="P377" s="147">
        <f ca="1">INDEX(Photobiology!$21:$421,1+$H377-380,P$14)</f>
        <v>3.7168999999999999E-4</v>
      </c>
      <c r="Q377" s="147">
        <f ca="1">INDEX(Photobiology!$21:$421,1+$H377-380,Q$14)</f>
        <v>1.759E-6</v>
      </c>
      <c r="R377" s="147">
        <f ca="1">INDEX(Photobiology!$21:$421,1+$H377-380,R$14)</f>
        <v>2.5002600000000002E-7</v>
      </c>
      <c r="S377" s="147">
        <f t="shared" si="127"/>
        <v>3372269278067233</v>
      </c>
      <c r="T377" s="147" t="str">
        <f ca="1">INDEX(Photobiology!$21:$421,1+$H377-380,T$14)</f>
        <v/>
      </c>
      <c r="U377" s="147">
        <f ca="1">INDEX(Photobiology!$21:$421,1+$H377-380,U$14)</f>
        <v>1.7960185851718968E-5</v>
      </c>
      <c r="V377" s="147">
        <f ca="1">INDEX(Photobiology!$21:$421,1+$H377-380,V$14)</f>
        <v>2.8619727860911291E-4</v>
      </c>
      <c r="W377" s="147">
        <f ca="1">INDEX(Photobiology!$21:$421,1+$H377-380,W$14)</f>
        <v>1.2081570799354585E-6</v>
      </c>
      <c r="X377" s="147">
        <f ca="1">INDEX(Photobiology!$21:$421,1+$H377-380,X$14)</f>
        <v>1.6610899781930822E-7</v>
      </c>
      <c r="Y377" s="147">
        <f t="shared" si="114"/>
        <v>9.0991238983074703E-4</v>
      </c>
      <c r="Z377" s="147">
        <f t="shared" ca="1" si="128"/>
        <v>0</v>
      </c>
      <c r="AA377" s="147">
        <f t="shared" ca="1" si="115"/>
        <v>2.2249996677292276E-8</v>
      </c>
      <c r="AB377" s="147">
        <f t="shared" ca="1" si="116"/>
        <v>3.3820533617619035E-7</v>
      </c>
      <c r="AC377" s="147">
        <f t="shared" ca="1" si="117"/>
        <v>1.600535893712284E-9</v>
      </c>
      <c r="AD377" s="147">
        <f t="shared" ca="1" si="118"/>
        <v>2.2750175517982237E-10</v>
      </c>
      <c r="AH377" s="147">
        <f t="shared" si="129"/>
        <v>736</v>
      </c>
      <c r="AI377" s="147">
        <f>IF($AH377&gt;$AH376,INDEX(Spectra!377:377,1,MATCH($AI$20,Spectra!$20:$20,0)),AI376)</f>
        <v>73.006399999999999</v>
      </c>
      <c r="AJ377" s="147">
        <f>((Physics!$C$9*Physics!$C$10)/(Physics!$C$11*Physics!$C$12*$AH377))^($AJ$17-$AJ$18)</f>
        <v>3.7061472244536745E+18</v>
      </c>
      <c r="AK377" s="147">
        <f t="shared" si="130"/>
        <v>1</v>
      </c>
      <c r="AL377" s="147">
        <f>INDEX(Photobiology!$21:$421,1+$AH377-380,10)</f>
        <v>3.3538349999999998E-4</v>
      </c>
      <c r="AM377" s="147">
        <f t="shared" si="131"/>
        <v>1.0115475036929725E-3</v>
      </c>
      <c r="AN377" s="147">
        <f ca="1">INDEX(Photobiology!$21:$421,1+$AH377-380,AN$14)</f>
        <v>0</v>
      </c>
      <c r="AO377" s="147">
        <f ca="1">INDEX(Photobiology!$21:$421,1+$AH377-380,AO$14)</f>
        <v>2.4452900000000001E-5</v>
      </c>
      <c r="AP377" s="147">
        <f ca="1">INDEX(Photobiology!$21:$421,1+$AH377-380,AP$14)</f>
        <v>3.7168999999999999E-4</v>
      </c>
      <c r="AQ377" s="147">
        <f ca="1">INDEX(Photobiology!$21:$421,1+$AH377-380,AQ$14)</f>
        <v>1.759E-6</v>
      </c>
      <c r="AR377" s="147">
        <f ca="1">INDEX(Photobiology!$21:$421,1+$AH377-380,AR$14)</f>
        <v>2.5002600000000002E-7</v>
      </c>
      <c r="AS377" s="147">
        <f t="shared" si="132"/>
        <v>3748943973214753</v>
      </c>
      <c r="AT377" s="147" t="str">
        <f ca="1">INDEX(Photobiology!$21:$421,1+$AH377-380,AT$14)</f>
        <v/>
      </c>
      <c r="AU377" s="147">
        <f ca="1">INDEX(Photobiology!$21:$421,1+$AH377-380,AU$14)</f>
        <v>1.7960185851718968E-5</v>
      </c>
      <c r="AV377" s="147">
        <f ca="1">INDEX(Photobiology!$21:$421,1+$AH377-380,AV$14)</f>
        <v>2.8619727860911291E-4</v>
      </c>
      <c r="AW377" s="147">
        <f ca="1">INDEX(Photobiology!$21:$421,1+$AH377-380,AW$14)</f>
        <v>1.2081570799354585E-6</v>
      </c>
      <c r="AX377" s="147">
        <f ca="1">INDEX(Photobiology!$21:$421,1+$AH377-380,AX$14)</f>
        <v>1.6610899781930822E-7</v>
      </c>
      <c r="AY377" s="147">
        <f t="shared" si="119"/>
        <v>1.0115475036929725E-3</v>
      </c>
      <c r="AZ377" s="147">
        <f t="shared" ca="1" si="133"/>
        <v>0</v>
      </c>
      <c r="BA377" s="147">
        <f t="shared" ca="1" si="120"/>
        <v>2.473526995305389E-8</v>
      </c>
      <c r="BB377" s="147">
        <f t="shared" ca="1" si="121"/>
        <v>3.7598209164764094E-7</v>
      </c>
      <c r="BC377" s="147">
        <f t="shared" ca="1" si="122"/>
        <v>1.7793120589959388E-9</v>
      </c>
      <c r="BD377" s="147">
        <f t="shared" ca="1" si="123"/>
        <v>2.5291317615833915E-10</v>
      </c>
    </row>
    <row r="378" spans="8:56" s="147" customFormat="1" ht="0.25" customHeight="1" x14ac:dyDescent="0.2">
      <c r="H378" s="147">
        <f t="shared" si="124"/>
        <v>737</v>
      </c>
      <c r="I378" s="147">
        <f>IF($H378&gt;$H377,INDEX(Spectra!378:378,1,MATCH($I$20,Spectra!$20:$20,0)),I377)</f>
        <v>9.1491190845619105E-4</v>
      </c>
      <c r="J378" s="147">
        <f>((Physics!$C$9*Physics!$C$10)/(Physics!$C$11*Physics!$C$12*$H378))^($J$17-$J$18)</f>
        <v>3.7111827505738552E+18</v>
      </c>
      <c r="K378" s="147">
        <f t="shared" si="125"/>
        <v>1</v>
      </c>
      <c r="L378" s="147">
        <f>INDEX(Photobiology!$21:$421,1+$H378-380,10)</f>
        <v>3.1144039999999999E-4</v>
      </c>
      <c r="M378" s="147">
        <f t="shared" si="126"/>
        <v>9.1491190845619105E-4</v>
      </c>
      <c r="N378" s="147">
        <f ca="1">INDEX(Photobiology!$21:$421,1+$H378-380,N$14)</f>
        <v>0</v>
      </c>
      <c r="O378" s="147">
        <f ca="1">INDEX(Photobiology!$21:$421,1+$H378-380,O$14)</f>
        <v>2.28177E-5</v>
      </c>
      <c r="P378" s="147">
        <f ca="1">INDEX(Photobiology!$21:$421,1+$H378-380,P$14)</f>
        <v>3.4565000000000003E-4</v>
      </c>
      <c r="Q378" s="147">
        <f ca="1">INDEX(Photobiology!$21:$421,1+$H378-380,Q$14)</f>
        <v>1.655E-6</v>
      </c>
      <c r="R378" s="147">
        <f ca="1">INDEX(Photobiology!$21:$421,1+$H378-380,R$14)</f>
        <v>2.35424E-7</v>
      </c>
      <c r="S378" s="147">
        <f t="shared" si="127"/>
        <v>3395405292957222.5</v>
      </c>
      <c r="T378" s="147" t="str">
        <f ca="1">INDEX(Photobiology!$21:$421,1+$H378-380,T$14)</f>
        <v/>
      </c>
      <c r="U378" s="147">
        <f ca="1">INDEX(Photobiology!$21:$421,1+$H378-380,U$14)</f>
        <v>1.6736423122342207E-5</v>
      </c>
      <c r="V378" s="147">
        <f ca="1">INDEX(Photobiology!$21:$421,1+$H378-380,V$14)</f>
        <v>2.65785638549744E-4</v>
      </c>
      <c r="W378" s="147">
        <f ca="1">INDEX(Photobiology!$21:$421,1+$H378-380,W$14)</f>
        <v>1.1351830253310813E-6</v>
      </c>
      <c r="X378" s="147">
        <f ca="1">INDEX(Photobiology!$21:$421,1+$H378-380,X$14)</f>
        <v>1.5619568998269519E-7</v>
      </c>
      <c r="Y378" s="147">
        <f t="shared" si="114"/>
        <v>9.1491190845619105E-4</v>
      </c>
      <c r="Z378" s="147">
        <f t="shared" ca="1" si="128"/>
        <v>0</v>
      </c>
      <c r="AA378" s="147">
        <f t="shared" ca="1" si="115"/>
        <v>2.087618545358083E-8</v>
      </c>
      <c r="AB378" s="147">
        <f t="shared" ca="1" si="116"/>
        <v>3.1623930115788248E-7</v>
      </c>
      <c r="AC378" s="147">
        <f t="shared" ca="1" si="117"/>
        <v>1.5141792084949962E-9</v>
      </c>
      <c r="AD378" s="147">
        <f t="shared" ca="1" si="118"/>
        <v>2.1539222113639032E-10</v>
      </c>
      <c r="AH378" s="147">
        <f t="shared" si="129"/>
        <v>737</v>
      </c>
      <c r="AI378" s="147">
        <f>IF($AH378&gt;$AH377,INDEX(Spectra!378:378,1,MATCH($AI$20,Spectra!$20:$20,0)),AI377)</f>
        <v>73.526600000000002</v>
      </c>
      <c r="AJ378" s="147">
        <f>((Physics!$C$9*Physics!$C$10)/(Physics!$C$11*Physics!$C$12*$AH378))^($AJ$17-$AJ$18)</f>
        <v>3.7111827505738552E+18</v>
      </c>
      <c r="AK378" s="147">
        <f t="shared" si="130"/>
        <v>1</v>
      </c>
      <c r="AL378" s="147">
        <f>INDEX(Photobiology!$21:$421,1+$AH378-380,10)</f>
        <v>3.1144039999999999E-4</v>
      </c>
      <c r="AM378" s="147">
        <f t="shared" si="131"/>
        <v>1.0187551870114364E-3</v>
      </c>
      <c r="AN378" s="147">
        <f ca="1">INDEX(Photobiology!$21:$421,1+$AH378-380,AN$14)</f>
        <v>0</v>
      </c>
      <c r="AO378" s="147">
        <f ca="1">INDEX(Photobiology!$21:$421,1+$AH378-380,AO$14)</f>
        <v>2.28177E-5</v>
      </c>
      <c r="AP378" s="147">
        <f ca="1">INDEX(Photobiology!$21:$421,1+$AH378-380,AP$14)</f>
        <v>3.4565000000000003E-4</v>
      </c>
      <c r="AQ378" s="147">
        <f ca="1">INDEX(Photobiology!$21:$421,1+$AH378-380,AQ$14)</f>
        <v>1.655E-6</v>
      </c>
      <c r="AR378" s="147">
        <f ca="1">INDEX(Photobiology!$21:$421,1+$AH378-380,AR$14)</f>
        <v>2.35424E-7</v>
      </c>
      <c r="AS378" s="147">
        <f t="shared" si="132"/>
        <v>3780786677094484.5</v>
      </c>
      <c r="AT378" s="147" t="str">
        <f ca="1">INDEX(Photobiology!$21:$421,1+$AH378-380,AT$14)</f>
        <v/>
      </c>
      <c r="AU378" s="147">
        <f ca="1">INDEX(Photobiology!$21:$421,1+$AH378-380,AU$14)</f>
        <v>1.6736423122342207E-5</v>
      </c>
      <c r="AV378" s="147">
        <f ca="1">INDEX(Photobiology!$21:$421,1+$AH378-380,AV$14)</f>
        <v>2.65785638549744E-4</v>
      </c>
      <c r="AW378" s="147">
        <f ca="1">INDEX(Photobiology!$21:$421,1+$AH378-380,AW$14)</f>
        <v>1.1351830253310813E-6</v>
      </c>
      <c r="AX378" s="147">
        <f ca="1">INDEX(Photobiology!$21:$421,1+$AH378-380,AX$14)</f>
        <v>1.5619568998269519E-7</v>
      </c>
      <c r="AY378" s="147">
        <f t="shared" si="119"/>
        <v>1.0187551870114364E-3</v>
      </c>
      <c r="AZ378" s="147">
        <f t="shared" ca="1" si="133"/>
        <v>0</v>
      </c>
      <c r="BA378" s="147">
        <f t="shared" ca="1" si="120"/>
        <v>2.3245650230670851E-8</v>
      </c>
      <c r="BB378" s="147">
        <f t="shared" ca="1" si="121"/>
        <v>3.5213273039050301E-7</v>
      </c>
      <c r="BC378" s="147">
        <f t="shared" ca="1" si="122"/>
        <v>1.6860398345039273E-9</v>
      </c>
      <c r="BD378" s="147">
        <f t="shared" ca="1" si="123"/>
        <v>2.398394211469804E-10</v>
      </c>
    </row>
    <row r="379" spans="8:56" s="147" customFormat="1" ht="0.25" customHeight="1" x14ac:dyDescent="0.2">
      <c r="H379" s="147">
        <f t="shared" si="124"/>
        <v>738</v>
      </c>
      <c r="I379" s="147">
        <f>IF($H379&gt;$H378,INDEX(Spectra!379:379,1,MATCH($I$20,Spectra!$20:$20,0)),I378)</f>
        <v>9.1491190845619105E-4</v>
      </c>
      <c r="J379" s="147">
        <f>((Physics!$C$9*Physics!$C$10)/(Physics!$C$11*Physics!$C$12*$H379))^($J$17-$J$18)</f>
        <v>3.7162182766940375E+18</v>
      </c>
      <c r="K379" s="147">
        <f t="shared" si="125"/>
        <v>1</v>
      </c>
      <c r="L379" s="147">
        <f>INDEX(Photobiology!$21:$421,1+$H379-380,10)</f>
        <v>2.8916560000000002E-4</v>
      </c>
      <c r="M379" s="147">
        <f t="shared" si="126"/>
        <v>9.1491190845619105E-4</v>
      </c>
      <c r="N379" s="147">
        <f ca="1">INDEX(Photobiology!$21:$421,1+$H379-380,N$14)</f>
        <v>0</v>
      </c>
      <c r="O379" s="147">
        <f ca="1">INDEX(Photobiology!$21:$421,1+$H379-380,O$14)</f>
        <v>2.1299500000000002E-5</v>
      </c>
      <c r="P379" s="147">
        <f ca="1">INDEX(Photobiology!$21:$421,1+$H379-380,P$14)</f>
        <v>3.2149400000000002E-4</v>
      </c>
      <c r="Q379" s="147">
        <f ca="1">INDEX(Photobiology!$21:$421,1+$H379-380,Q$14)</f>
        <v>1.5570000000000001E-6</v>
      </c>
      <c r="R379" s="147">
        <f ca="1">INDEX(Photobiology!$21:$421,1+$H379-380,R$14)</f>
        <v>2.2168100000000001E-7</v>
      </c>
      <c r="S379" s="147">
        <f t="shared" si="127"/>
        <v>3400012355769919.5</v>
      </c>
      <c r="T379" s="147" t="str">
        <f ca="1">INDEX(Photobiology!$21:$421,1+$H379-380,T$14)</f>
        <v/>
      </c>
      <c r="U379" s="147">
        <f ca="1">INDEX(Photobiology!$21:$421,1+$H379-380,U$14)</f>
        <v>1.5601678193989376E-5</v>
      </c>
      <c r="V379" s="147">
        <f ca="1">INDEX(Photobiology!$21:$421,1+$H379-380,V$14)</f>
        <v>2.468760428778375E-4</v>
      </c>
      <c r="W379" s="147">
        <f ca="1">INDEX(Photobiology!$21:$421,1+$H379-380,W$14)</f>
        <v>1.0665166230398513E-6</v>
      </c>
      <c r="X379" s="147">
        <f ca="1">INDEX(Photobiology!$21:$421,1+$H379-380,X$14)</f>
        <v>1.468783920550767E-7</v>
      </c>
      <c r="Y379" s="147">
        <f t="shared" si="114"/>
        <v>9.1491190845619105E-4</v>
      </c>
      <c r="Z379" s="147">
        <f t="shared" ca="1" si="128"/>
        <v>0</v>
      </c>
      <c r="AA379" s="147">
        <f t="shared" ca="1" si="115"/>
        <v>1.9487166194162644E-8</v>
      </c>
      <c r="AB379" s="147">
        <f t="shared" ca="1" si="116"/>
        <v>2.9413868909721468E-7</v>
      </c>
      <c r="AC379" s="147">
        <f t="shared" ca="1" si="117"/>
        <v>1.4245178414662896E-9</v>
      </c>
      <c r="AD379" s="147">
        <f t="shared" ca="1" si="118"/>
        <v>2.0281858677847689E-10</v>
      </c>
      <c r="AH379" s="147">
        <f t="shared" si="129"/>
        <v>738</v>
      </c>
      <c r="AI379" s="147">
        <f>IF($AH379&gt;$AH378,INDEX(Spectra!379:379,1,MATCH($AI$20,Spectra!$20:$20,0)),AI378)</f>
        <v>74.046700000000001</v>
      </c>
      <c r="AJ379" s="147">
        <f>((Physics!$C$9*Physics!$C$10)/(Physics!$C$11*Physics!$C$12*$AH379))^($AJ$17-$AJ$18)</f>
        <v>3.7162182766940375E+18</v>
      </c>
      <c r="AK379" s="147">
        <f t="shared" si="130"/>
        <v>1</v>
      </c>
      <c r="AL379" s="147">
        <f>INDEX(Photobiology!$21:$421,1+$AH379-380,10)</f>
        <v>2.8916560000000002E-4</v>
      </c>
      <c r="AM379" s="147">
        <f t="shared" si="131"/>
        <v>1.0259614847698618E-3</v>
      </c>
      <c r="AN379" s="147">
        <f ca="1">INDEX(Photobiology!$21:$421,1+$AH379-380,AN$14)</f>
        <v>0</v>
      </c>
      <c r="AO379" s="147">
        <f ca="1">INDEX(Photobiology!$21:$421,1+$AH379-380,AO$14)</f>
        <v>2.1299500000000002E-5</v>
      </c>
      <c r="AP379" s="147">
        <f ca="1">INDEX(Photobiology!$21:$421,1+$AH379-380,AP$14)</f>
        <v>3.2149400000000002E-4</v>
      </c>
      <c r="AQ379" s="147">
        <f ca="1">INDEX(Photobiology!$21:$421,1+$AH379-380,AQ$14)</f>
        <v>1.5570000000000001E-6</v>
      </c>
      <c r="AR379" s="147">
        <f ca="1">INDEX(Photobiology!$21:$421,1+$AH379-380,AR$14)</f>
        <v>2.2168100000000001E-7</v>
      </c>
      <c r="AS379" s="147">
        <f t="shared" si="132"/>
        <v>3812696820885911.5</v>
      </c>
      <c r="AT379" s="147" t="str">
        <f ca="1">INDEX(Photobiology!$21:$421,1+$AH379-380,AT$14)</f>
        <v/>
      </c>
      <c r="AU379" s="147">
        <f ca="1">INDEX(Photobiology!$21:$421,1+$AH379-380,AU$14)</f>
        <v>1.5601678193989376E-5</v>
      </c>
      <c r="AV379" s="147">
        <f ca="1">INDEX(Photobiology!$21:$421,1+$AH379-380,AV$14)</f>
        <v>2.468760428778375E-4</v>
      </c>
      <c r="AW379" s="147">
        <f ca="1">INDEX(Photobiology!$21:$421,1+$AH379-380,AW$14)</f>
        <v>1.0665166230398513E-6</v>
      </c>
      <c r="AX379" s="147">
        <f ca="1">INDEX(Photobiology!$21:$421,1+$AH379-380,AX$14)</f>
        <v>1.468783920550767E-7</v>
      </c>
      <c r="AY379" s="147">
        <f t="shared" si="119"/>
        <v>1.0259614847698618E-3</v>
      </c>
      <c r="AZ379" s="147">
        <f t="shared" ca="1" si="133"/>
        <v>0</v>
      </c>
      <c r="BA379" s="147">
        <f t="shared" ca="1" si="120"/>
        <v>2.1852466644855671E-8</v>
      </c>
      <c r="BB379" s="147">
        <f t="shared" ca="1" si="121"/>
        <v>3.2984046158460194E-7</v>
      </c>
      <c r="BC379" s="147">
        <f t="shared" ca="1" si="122"/>
        <v>1.597422031786675E-9</v>
      </c>
      <c r="BD379" s="147">
        <f t="shared" ca="1" si="123"/>
        <v>2.2743616790526774E-10</v>
      </c>
    </row>
    <row r="380" spans="8:56" s="147" customFormat="1" ht="0.25" customHeight="1" x14ac:dyDescent="0.2">
      <c r="H380" s="147">
        <f t="shared" si="124"/>
        <v>739</v>
      </c>
      <c r="I380" s="147">
        <f>IF($H380&gt;$H379,INDEX(Spectra!380:380,1,MATCH($I$20,Spectra!$20:$20,0)),I379)</f>
        <v>9.1991142708163496E-4</v>
      </c>
      <c r="J380" s="147">
        <f>((Physics!$C$9*Physics!$C$10)/(Physics!$C$11*Physics!$C$12*$H380))^($J$17-$J$18)</f>
        <v>3.7212538028142193E+18</v>
      </c>
      <c r="K380" s="147">
        <f t="shared" si="125"/>
        <v>1</v>
      </c>
      <c r="L380" s="147">
        <f>INDEX(Photobiology!$21:$421,1+$H380-380,10)</f>
        <v>2.6845390000000002E-4</v>
      </c>
      <c r="M380" s="147">
        <f t="shared" si="126"/>
        <v>9.1991142708163496E-4</v>
      </c>
      <c r="N380" s="147">
        <f ca="1">INDEX(Photobiology!$21:$421,1+$H380-380,N$14)</f>
        <v>0</v>
      </c>
      <c r="O380" s="147">
        <f ca="1">INDEX(Photobiology!$21:$421,1+$H380-380,O$14)</f>
        <v>1.98941E-5</v>
      </c>
      <c r="P380" s="147">
        <f ca="1">INDEX(Photobiology!$21:$421,1+$H380-380,P$14)</f>
        <v>2.99155E-4</v>
      </c>
      <c r="Q380" s="147">
        <f ca="1">INDEX(Photobiology!$21:$421,1+$H380-380,Q$14)</f>
        <v>1.466E-6</v>
      </c>
      <c r="R380" s="147">
        <f ca="1">INDEX(Photobiology!$21:$421,1+$H380-380,R$14)</f>
        <v>2.08789E-7</v>
      </c>
      <c r="S380" s="147">
        <f t="shared" si="127"/>
        <v>3423223896279789.5</v>
      </c>
      <c r="T380" s="147" t="str">
        <f ca="1">INDEX(Photobiology!$21:$421,1+$H380-380,T$14)</f>
        <v/>
      </c>
      <c r="U380" s="147">
        <f ca="1">INDEX(Photobiology!$21:$421,1+$H380-380,U$14)</f>
        <v>1.4552517398880188E-5</v>
      </c>
      <c r="V380" s="147">
        <f ca="1">INDEX(Photobiology!$21:$421,1+$H380-380,V$14)</f>
        <v>2.2941101413785121E-4</v>
      </c>
      <c r="W380" s="147">
        <f ca="1">INDEX(Photobiology!$21:$421,1+$H380-380,W$14)</f>
        <v>1.0028244408462193E-6</v>
      </c>
      <c r="X380" s="147">
        <f ca="1">INDEX(Photobiology!$21:$421,1+$H380-380,X$14)</f>
        <v>1.3814939115144975E-7</v>
      </c>
      <c r="Y380" s="147">
        <f t="shared" si="114"/>
        <v>9.1991142708163496E-4</v>
      </c>
      <c r="Z380" s="147">
        <f t="shared" ca="1" si="128"/>
        <v>0</v>
      </c>
      <c r="AA380" s="147">
        <f t="shared" ca="1" si="115"/>
        <v>1.8300809921504754E-8</v>
      </c>
      <c r="AB380" s="147">
        <f t="shared" ca="1" si="116"/>
        <v>2.751961029686065E-7</v>
      </c>
      <c r="AC380" s="147">
        <f t="shared" ca="1" si="117"/>
        <v>1.348590152101677E-9</v>
      </c>
      <c r="AD380" s="147">
        <f t="shared" ca="1" si="118"/>
        <v>1.9206738694894748E-10</v>
      </c>
      <c r="AH380" s="147">
        <f t="shared" si="129"/>
        <v>739</v>
      </c>
      <c r="AI380" s="147">
        <f>IF($AH380&gt;$AH379,INDEX(Spectra!380:380,1,MATCH($AI$20,Spectra!$20:$20,0)),AI379)</f>
        <v>74.566900000000004</v>
      </c>
      <c r="AJ380" s="147">
        <f>((Physics!$C$9*Physics!$C$10)/(Physics!$C$11*Physics!$C$12*$AH380))^($AJ$17-$AJ$18)</f>
        <v>3.7212538028142193E+18</v>
      </c>
      <c r="AK380" s="147">
        <f t="shared" si="130"/>
        <v>1</v>
      </c>
      <c r="AL380" s="147">
        <f>INDEX(Photobiology!$21:$421,1+$AH380-380,10)</f>
        <v>2.6845390000000002E-4</v>
      </c>
      <c r="AM380" s="147">
        <f t="shared" si="131"/>
        <v>1.0331691680883254E-3</v>
      </c>
      <c r="AN380" s="147">
        <f ca="1">INDEX(Photobiology!$21:$421,1+$AH380-380,AN$14)</f>
        <v>0</v>
      </c>
      <c r="AO380" s="147">
        <f ca="1">INDEX(Photobiology!$21:$421,1+$AH380-380,AO$14)</f>
        <v>1.98941E-5</v>
      </c>
      <c r="AP380" s="147">
        <f ca="1">INDEX(Photobiology!$21:$421,1+$AH380-380,AP$14)</f>
        <v>2.99155E-4</v>
      </c>
      <c r="AQ380" s="147">
        <f ca="1">INDEX(Photobiology!$21:$421,1+$AH380-380,AQ$14)</f>
        <v>1.466E-6</v>
      </c>
      <c r="AR380" s="147">
        <f ca="1">INDEX(Photobiology!$21:$421,1+$AH380-380,AR$14)</f>
        <v>2.08789E-7</v>
      </c>
      <c r="AS380" s="147">
        <f t="shared" si="132"/>
        <v>3844684695699084</v>
      </c>
      <c r="AT380" s="147" t="str">
        <f ca="1">INDEX(Photobiology!$21:$421,1+$AH380-380,AT$14)</f>
        <v/>
      </c>
      <c r="AU380" s="147">
        <f ca="1">INDEX(Photobiology!$21:$421,1+$AH380-380,AU$14)</f>
        <v>1.4552517398880188E-5</v>
      </c>
      <c r="AV380" s="147">
        <f ca="1">INDEX(Photobiology!$21:$421,1+$AH380-380,AV$14)</f>
        <v>2.2941101413785121E-4</v>
      </c>
      <c r="AW380" s="147">
        <f ca="1">INDEX(Photobiology!$21:$421,1+$AH380-380,AW$14)</f>
        <v>1.0028244408462193E-6</v>
      </c>
      <c r="AX380" s="147">
        <f ca="1">INDEX(Photobiology!$21:$421,1+$AH380-380,AX$14)</f>
        <v>1.3814939115144975E-7</v>
      </c>
      <c r="AY380" s="147">
        <f t="shared" si="119"/>
        <v>1.0331691680883254E-3</v>
      </c>
      <c r="AZ380" s="147">
        <f t="shared" ca="1" si="133"/>
        <v>0</v>
      </c>
      <c r="BA380" s="147">
        <f t="shared" ca="1" si="120"/>
        <v>2.0553970746865955E-8</v>
      </c>
      <c r="BB380" s="147">
        <f t="shared" ca="1" si="121"/>
        <v>3.0907772247946301E-7</v>
      </c>
      <c r="BC380" s="147">
        <f t="shared" ca="1" si="122"/>
        <v>1.514626000417485E-9</v>
      </c>
      <c r="BD380" s="147">
        <f t="shared" ca="1" si="123"/>
        <v>2.1571435743599338E-10</v>
      </c>
    </row>
    <row r="381" spans="8:56" s="147" customFormat="1" ht="0.25" customHeight="1" x14ac:dyDescent="0.2">
      <c r="H381" s="147">
        <f t="shared" si="124"/>
        <v>740</v>
      </c>
      <c r="I381" s="147">
        <f>IF($H381&gt;$H380,INDEX(Spectra!381:381,1,MATCH($I$20,Spectra!$20:$20,0)),I380)</f>
        <v>9.24910945707078E-4</v>
      </c>
      <c r="J381" s="147">
        <f>((Physics!$C$9*Physics!$C$10)/(Physics!$C$11*Physics!$C$12*$H381))^($J$17-$J$18)</f>
        <v>3.7262893289344E+18</v>
      </c>
      <c r="K381" s="147">
        <f t="shared" si="125"/>
        <v>1</v>
      </c>
      <c r="L381" s="147">
        <f>INDEX(Photobiology!$21:$421,1+$H381-380,10)</f>
        <v>2.4919999999999999E-4</v>
      </c>
      <c r="M381" s="147">
        <f t="shared" si="126"/>
        <v>9.24910945707078E-4</v>
      </c>
      <c r="N381" s="147">
        <f ca="1">INDEX(Photobiology!$21:$421,1+$H381-380,N$14)</f>
        <v>0</v>
      </c>
      <c r="O381" s="147">
        <f ca="1">INDEX(Photobiology!$21:$421,1+$H381-380,O$14)</f>
        <v>1.8596500000000001E-5</v>
      </c>
      <c r="P381" s="147">
        <f ca="1">INDEX(Photobiology!$21:$421,1+$H381-380,P$14)</f>
        <v>2.7855300000000001E-4</v>
      </c>
      <c r="Q381" s="147">
        <f ca="1">INDEX(Photobiology!$21:$421,1+$H381-380,Q$14)</f>
        <v>1.3790000000000001E-6</v>
      </c>
      <c r="R381" s="147">
        <f ca="1">INDEX(Photobiology!$21:$421,1+$H381-380,R$14)</f>
        <v>1.9674E-7</v>
      </c>
      <c r="S381" s="147">
        <f t="shared" si="127"/>
        <v>3446485787202909</v>
      </c>
      <c r="T381" s="147" t="str">
        <f ca="1">INDEX(Photobiology!$21:$421,1+$H381-380,T$14)</f>
        <v/>
      </c>
      <c r="U381" s="147">
        <f ca="1">INDEX(Photobiology!$21:$421,1+$H381-380,U$14)</f>
        <v>1.3584941221084259E-5</v>
      </c>
      <c r="V381" s="147">
        <f ca="1">INDEX(Photobiology!$21:$421,1+$H381-380,V$14)</f>
        <v>2.1332342981118937E-4</v>
      </c>
      <c r="W381" s="147">
        <f ca="1">INDEX(Photobiology!$21:$421,1+$H381-380,W$14)</f>
        <v>9.4203692157553754E-7</v>
      </c>
      <c r="X381" s="147">
        <f ca="1">INDEX(Photobiology!$21:$421,1+$H381-380,X$14)</f>
        <v>1.3000101607808157E-7</v>
      </c>
      <c r="Y381" s="147">
        <f t="shared" si="114"/>
        <v>9.24910945707078E-4</v>
      </c>
      <c r="Z381" s="147">
        <f t="shared" ca="1" si="128"/>
        <v>0</v>
      </c>
      <c r="AA381" s="147">
        <f t="shared" ca="1" si="115"/>
        <v>1.7200106401841677E-8</v>
      </c>
      <c r="AB381" s="147">
        <f t="shared" ca="1" si="116"/>
        <v>2.5763671865954372E-7</v>
      </c>
      <c r="AC381" s="147">
        <f t="shared" ca="1" si="117"/>
        <v>1.2754521941300607E-9</v>
      </c>
      <c r="AD381" s="147">
        <f t="shared" ca="1" si="118"/>
        <v>1.8196697945841053E-10</v>
      </c>
      <c r="AH381" s="147">
        <f t="shared" si="129"/>
        <v>740</v>
      </c>
      <c r="AI381" s="147">
        <f>IF($AH381&gt;$AH380,INDEX(Spectra!381:381,1,MATCH($AI$20,Spectra!$20:$20,0)),AI380)</f>
        <v>75.087000000000003</v>
      </c>
      <c r="AJ381" s="147">
        <f>((Physics!$C$9*Physics!$C$10)/(Physics!$C$11*Physics!$C$12*$AH381))^($AJ$17-$AJ$18)</f>
        <v>3.7262893289344E+18</v>
      </c>
      <c r="AK381" s="147">
        <f t="shared" si="130"/>
        <v>1</v>
      </c>
      <c r="AL381" s="147">
        <f>INDEX(Photobiology!$21:$421,1+$AH381-380,10)</f>
        <v>2.4919999999999999E-4</v>
      </c>
      <c r="AM381" s="147">
        <f t="shared" si="131"/>
        <v>1.040375465846751E-3</v>
      </c>
      <c r="AN381" s="147">
        <f ca="1">INDEX(Photobiology!$21:$421,1+$AH381-380,AN$14)</f>
        <v>0</v>
      </c>
      <c r="AO381" s="147">
        <f ca="1">INDEX(Photobiology!$21:$421,1+$AH381-380,AO$14)</f>
        <v>1.8596500000000001E-5</v>
      </c>
      <c r="AP381" s="147">
        <f ca="1">INDEX(Photobiology!$21:$421,1+$AH381-380,AP$14)</f>
        <v>2.7855300000000001E-4</v>
      </c>
      <c r="AQ381" s="147">
        <f ca="1">INDEX(Photobiology!$21:$421,1+$AH381-380,AQ$14)</f>
        <v>1.3790000000000001E-6</v>
      </c>
      <c r="AR381" s="147">
        <f ca="1">INDEX(Photobiology!$21:$421,1+$AH381-380,AR$14)</f>
        <v>1.9674E-7</v>
      </c>
      <c r="AS381" s="147">
        <f t="shared" si="132"/>
        <v>3876739996469903.5</v>
      </c>
      <c r="AT381" s="147" t="str">
        <f ca="1">INDEX(Photobiology!$21:$421,1+$AH381-380,AT$14)</f>
        <v/>
      </c>
      <c r="AU381" s="147">
        <f ca="1">INDEX(Photobiology!$21:$421,1+$AH381-380,AU$14)</f>
        <v>1.3584941221084259E-5</v>
      </c>
      <c r="AV381" s="147">
        <f ca="1">INDEX(Photobiology!$21:$421,1+$AH381-380,AV$14)</f>
        <v>2.1332342981118937E-4</v>
      </c>
      <c r="AW381" s="147">
        <f ca="1">INDEX(Photobiology!$21:$421,1+$AH381-380,AW$14)</f>
        <v>9.4203692157553754E-7</v>
      </c>
      <c r="AX381" s="147">
        <f ca="1">INDEX(Photobiology!$21:$421,1+$AH381-380,AX$14)</f>
        <v>1.3000101607808157E-7</v>
      </c>
      <c r="AY381" s="147">
        <f t="shared" si="119"/>
        <v>1.040375465846751E-3</v>
      </c>
      <c r="AZ381" s="147">
        <f t="shared" ca="1" si="133"/>
        <v>0</v>
      </c>
      <c r="BA381" s="147">
        <f t="shared" ca="1" si="120"/>
        <v>1.9347342350619105E-8</v>
      </c>
      <c r="BB381" s="147">
        <f t="shared" ca="1" si="121"/>
        <v>2.8979970713801005E-7</v>
      </c>
      <c r="BC381" s="147">
        <f t="shared" ca="1" si="122"/>
        <v>1.4346777674026697E-9</v>
      </c>
      <c r="BD381" s="147">
        <f t="shared" ca="1" si="123"/>
        <v>2.0468346915068978E-10</v>
      </c>
    </row>
    <row r="382" spans="8:56" s="147" customFormat="1" ht="0.25" customHeight="1" x14ac:dyDescent="0.2">
      <c r="H382" s="147">
        <f t="shared" si="124"/>
        <v>741</v>
      </c>
      <c r="I382" s="147">
        <f>IF($H382&gt;$H381,INDEX(Spectra!382:382,1,MATCH($I$20,Spectra!$20:$20,0)),I381)</f>
        <v>9.24910945707078E-4</v>
      </c>
      <c r="J382" s="147">
        <f>((Physics!$C$9*Physics!$C$10)/(Physics!$C$11*Physics!$C$12*$H382))^($J$17-$J$18)</f>
        <v>3.7313248550545823E+18</v>
      </c>
      <c r="K382" s="147">
        <f t="shared" si="125"/>
        <v>1</v>
      </c>
      <c r="L382" s="147">
        <f>INDEX(Photobiology!$21:$421,1+$H382-380,10)</f>
        <v>2.3130190000000001E-4</v>
      </c>
      <c r="M382" s="147">
        <f t="shared" si="126"/>
        <v>9.24910945707078E-4</v>
      </c>
      <c r="N382" s="147">
        <f ca="1">INDEX(Photobiology!$21:$421,1+$H382-380,N$14)</f>
        <v>0</v>
      </c>
      <c r="O382" s="147">
        <f ca="1">INDEX(Photobiology!$21:$421,1+$H382-380,O$14)</f>
        <v>1.74003E-5</v>
      </c>
      <c r="P382" s="147">
        <f ca="1">INDEX(Photobiology!$21:$421,1+$H382-380,P$14)</f>
        <v>2.5958300000000003E-4</v>
      </c>
      <c r="Q382" s="147">
        <f ca="1">INDEX(Photobiology!$21:$421,1+$H382-380,Q$14)</f>
        <v>1.299E-6</v>
      </c>
      <c r="R382" s="147">
        <f ca="1">INDEX(Photobiology!$21:$421,1+$H382-380,R$14)</f>
        <v>1.8542600000000001E-7</v>
      </c>
      <c r="S382" s="147">
        <f t="shared" si="127"/>
        <v>3451143200428859.5</v>
      </c>
      <c r="T382" s="147" t="str">
        <f ca="1">INDEX(Photobiology!$21:$421,1+$H382-380,T$14)</f>
        <v/>
      </c>
      <c r="U382" s="147">
        <f ca="1">INDEX(Photobiology!$21:$421,1+$H382-380,U$14)</f>
        <v>1.2693950399778982E-5</v>
      </c>
      <c r="V382" s="147">
        <f ca="1">INDEX(Photobiology!$21:$421,1+$H382-380,V$14)</f>
        <v>1.9852740987473229E-4</v>
      </c>
      <c r="W382" s="147">
        <f ca="1">INDEX(Photobiology!$21:$421,1+$H382-380,W$14)</f>
        <v>8.8618893116596749E-7</v>
      </c>
      <c r="X382" s="147">
        <f ca="1">INDEX(Photobiology!$21:$421,1+$H382-380,X$14)</f>
        <v>1.2235964865223399E-7</v>
      </c>
      <c r="Y382" s="147">
        <f t="shared" si="114"/>
        <v>9.24910945707078E-4</v>
      </c>
      <c r="Z382" s="147">
        <f t="shared" ca="1" si="128"/>
        <v>0</v>
      </c>
      <c r="AA382" s="147">
        <f t="shared" ca="1" si="115"/>
        <v>1.6093727928586868E-8</v>
      </c>
      <c r="AB382" s="147">
        <f t="shared" ca="1" si="116"/>
        <v>2.4009115801948043E-7</v>
      </c>
      <c r="AC382" s="147">
        <f t="shared" ca="1" si="117"/>
        <v>1.2014593184734944E-9</v>
      </c>
      <c r="AD382" s="147">
        <f t="shared" ca="1" si="118"/>
        <v>1.7150253701868065E-10</v>
      </c>
      <c r="AH382" s="147">
        <f t="shared" si="129"/>
        <v>741</v>
      </c>
      <c r="AI382" s="147">
        <f>IF($AH382&gt;$AH381,INDEX(Spectra!382:382,1,MATCH($AI$20,Spectra!$20:$20,0)),AI381)</f>
        <v>73.937600000000003</v>
      </c>
      <c r="AJ382" s="147">
        <f>((Physics!$C$9*Physics!$C$10)/(Physics!$C$11*Physics!$C$12*$AH382))^($AJ$17-$AJ$18)</f>
        <v>3.7313248550545823E+18</v>
      </c>
      <c r="AK382" s="147">
        <f t="shared" si="130"/>
        <v>1</v>
      </c>
      <c r="AL382" s="147">
        <f>INDEX(Photobiology!$21:$421,1+$AH382-380,10)</f>
        <v>2.3130190000000001E-4</v>
      </c>
      <c r="AM382" s="147">
        <f t="shared" si="131"/>
        <v>1.0244498387682387E-3</v>
      </c>
      <c r="AN382" s="147">
        <f ca="1">INDEX(Photobiology!$21:$421,1+$AH382-380,AN$14)</f>
        <v>0</v>
      </c>
      <c r="AO382" s="147">
        <f ca="1">INDEX(Photobiology!$21:$421,1+$AH382-380,AO$14)</f>
        <v>1.74003E-5</v>
      </c>
      <c r="AP382" s="147">
        <f ca="1">INDEX(Photobiology!$21:$421,1+$AH382-380,AP$14)</f>
        <v>2.5958300000000003E-4</v>
      </c>
      <c r="AQ382" s="147">
        <f ca="1">INDEX(Photobiology!$21:$421,1+$AH382-380,AQ$14)</f>
        <v>1.299E-6</v>
      </c>
      <c r="AR382" s="147">
        <f ca="1">INDEX(Photobiology!$21:$421,1+$AH382-380,AR$14)</f>
        <v>1.8542600000000001E-7</v>
      </c>
      <c r="AS382" s="147">
        <f t="shared" si="132"/>
        <v>3822555146152588.5</v>
      </c>
      <c r="AT382" s="147" t="str">
        <f ca="1">INDEX(Photobiology!$21:$421,1+$AH382-380,AT$14)</f>
        <v/>
      </c>
      <c r="AU382" s="147">
        <f ca="1">INDEX(Photobiology!$21:$421,1+$AH382-380,AU$14)</f>
        <v>1.2693950399778982E-5</v>
      </c>
      <c r="AV382" s="147">
        <f ca="1">INDEX(Photobiology!$21:$421,1+$AH382-380,AV$14)</f>
        <v>1.9852740987473229E-4</v>
      </c>
      <c r="AW382" s="147">
        <f ca="1">INDEX(Photobiology!$21:$421,1+$AH382-380,AW$14)</f>
        <v>8.8618893116596749E-7</v>
      </c>
      <c r="AX382" s="147">
        <f ca="1">INDEX(Photobiology!$21:$421,1+$AH382-380,AX$14)</f>
        <v>1.2235964865223399E-7</v>
      </c>
      <c r="AY382" s="147">
        <f t="shared" si="119"/>
        <v>1.0244498387682387E-3</v>
      </c>
      <c r="AZ382" s="147">
        <f t="shared" ca="1" si="133"/>
        <v>0</v>
      </c>
      <c r="BA382" s="147">
        <f t="shared" ca="1" si="120"/>
        <v>1.7825734529518982E-8</v>
      </c>
      <c r="BB382" s="147">
        <f t="shared" ca="1" si="121"/>
        <v>2.6592976249697571E-7</v>
      </c>
      <c r="BC382" s="147">
        <f t="shared" ca="1" si="122"/>
        <v>1.3307603405599421E-9</v>
      </c>
      <c r="BD382" s="147">
        <f t="shared" ca="1" si="123"/>
        <v>1.8995963580343943E-10</v>
      </c>
    </row>
    <row r="383" spans="8:56" s="147" customFormat="1" ht="0.25" customHeight="1" x14ac:dyDescent="0.2">
      <c r="H383" s="147">
        <f t="shared" si="124"/>
        <v>742</v>
      </c>
      <c r="I383" s="147">
        <f>IF($H383&gt;$H382,INDEX(Spectra!383:383,1,MATCH($I$20,Spectra!$20:$20,0)),I382)</f>
        <v>9.2991046433252202E-4</v>
      </c>
      <c r="J383" s="147">
        <f>((Physics!$C$9*Physics!$C$10)/(Physics!$C$11*Physics!$C$12*$H383))^($J$17-$J$18)</f>
        <v>3.736360381174764E+18</v>
      </c>
      <c r="K383" s="147">
        <f t="shared" si="125"/>
        <v>1</v>
      </c>
      <c r="L383" s="147">
        <f>INDEX(Photobiology!$21:$421,1+$H383-380,10)</f>
        <v>2.1468560000000001E-4</v>
      </c>
      <c r="M383" s="147">
        <f t="shared" si="126"/>
        <v>9.2991046433252202E-4</v>
      </c>
      <c r="N383" s="147">
        <f ca="1">INDEX(Photobiology!$21:$421,1+$H383-380,N$14)</f>
        <v>0</v>
      </c>
      <c r="O383" s="147">
        <f ca="1">INDEX(Photobiology!$21:$421,1+$H383-380,O$14)</f>
        <v>1.6293100000000002E-5</v>
      </c>
      <c r="P383" s="147">
        <f ca="1">INDEX(Photobiology!$21:$421,1+$H383-380,P$14)</f>
        <v>2.4206100000000001E-4</v>
      </c>
      <c r="Q383" s="147">
        <f ca="1">INDEX(Photobiology!$21:$421,1+$H383-380,Q$14)</f>
        <v>1.223E-6</v>
      </c>
      <c r="R383" s="147">
        <f ca="1">INDEX(Photobiology!$21:$421,1+$H383-380,R$14)</f>
        <v>1.7473600000000001E-7</v>
      </c>
      <c r="S383" s="147">
        <f t="shared" si="127"/>
        <v>3474480616971864</v>
      </c>
      <c r="T383" s="147" t="str">
        <f ca="1">INDEX(Photobiology!$21:$421,1+$H383-380,T$14)</f>
        <v/>
      </c>
      <c r="U383" s="147">
        <f ca="1">INDEX(Photobiology!$21:$421,1+$H383-380,U$14)</f>
        <v>1.1870201374649555E-5</v>
      </c>
      <c r="V383" s="147">
        <f ca="1">INDEX(Photobiology!$21:$421,1+$H383-380,V$14)</f>
        <v>1.8487720000504276E-4</v>
      </c>
      <c r="W383" s="147">
        <f ca="1">INDEX(Photobiology!$21:$421,1+$H383-380,W$14)</f>
        <v>8.3321663102515084E-7</v>
      </c>
      <c r="X383" s="147">
        <f ca="1">INDEX(Photobiology!$21:$421,1+$H383-380,X$14)</f>
        <v>1.1515009057071336E-7</v>
      </c>
      <c r="Y383" s="147">
        <f t="shared" si="114"/>
        <v>9.2991046433252202E-4</v>
      </c>
      <c r="Z383" s="147">
        <f t="shared" ca="1" si="128"/>
        <v>0</v>
      </c>
      <c r="AA383" s="147">
        <f t="shared" ca="1" si="115"/>
        <v>1.5151124186416216E-8</v>
      </c>
      <c r="AB383" s="147">
        <f t="shared" ca="1" si="116"/>
        <v>2.2509505690679463E-7</v>
      </c>
      <c r="AC383" s="147">
        <f t="shared" ca="1" si="117"/>
        <v>1.1372804978786744E-9</v>
      </c>
      <c r="AD383" s="147">
        <f t="shared" ca="1" si="118"/>
        <v>1.6248883489560759E-10</v>
      </c>
      <c r="AH383" s="147">
        <f t="shared" si="129"/>
        <v>742</v>
      </c>
      <c r="AI383" s="147">
        <f>IF($AH383&gt;$AH382,INDEX(Spectra!383:383,1,MATCH($AI$20,Spectra!$20:$20,0)),AI382)</f>
        <v>72.7881</v>
      </c>
      <c r="AJ383" s="147">
        <f>((Physics!$C$9*Physics!$C$10)/(Physics!$C$11*Physics!$C$12*$AH383))^($AJ$17-$AJ$18)</f>
        <v>3.736360381174764E+18</v>
      </c>
      <c r="AK383" s="147">
        <f t="shared" si="130"/>
        <v>1</v>
      </c>
      <c r="AL383" s="147">
        <f>INDEX(Photobiology!$21:$421,1+$AH383-380,10)</f>
        <v>2.1468560000000001E-4</v>
      </c>
      <c r="AM383" s="147">
        <f t="shared" si="131"/>
        <v>1.0085228261296881E-3</v>
      </c>
      <c r="AN383" s="147">
        <f ca="1">INDEX(Photobiology!$21:$421,1+$AH383-380,AN$14)</f>
        <v>0</v>
      </c>
      <c r="AO383" s="147">
        <f ca="1">INDEX(Photobiology!$21:$421,1+$AH383-380,AO$14)</f>
        <v>1.6293100000000002E-5</v>
      </c>
      <c r="AP383" s="147">
        <f ca="1">INDEX(Photobiology!$21:$421,1+$AH383-380,AP$14)</f>
        <v>2.4206100000000001E-4</v>
      </c>
      <c r="AQ383" s="147">
        <f ca="1">INDEX(Photobiology!$21:$421,1+$AH383-380,AQ$14)</f>
        <v>1.223E-6</v>
      </c>
      <c r="AR383" s="147">
        <f ca="1">INDEX(Photobiology!$21:$421,1+$AH383-380,AR$14)</f>
        <v>1.7473600000000001E-7</v>
      </c>
      <c r="AS383" s="147">
        <f t="shared" si="132"/>
        <v>3768204731061371.5</v>
      </c>
      <c r="AT383" s="147" t="str">
        <f ca="1">INDEX(Photobiology!$21:$421,1+$AH383-380,AT$14)</f>
        <v/>
      </c>
      <c r="AU383" s="147">
        <f ca="1">INDEX(Photobiology!$21:$421,1+$AH383-380,AU$14)</f>
        <v>1.1870201374649555E-5</v>
      </c>
      <c r="AV383" s="147">
        <f ca="1">INDEX(Photobiology!$21:$421,1+$AH383-380,AV$14)</f>
        <v>1.8487720000504276E-4</v>
      </c>
      <c r="AW383" s="147">
        <f ca="1">INDEX(Photobiology!$21:$421,1+$AH383-380,AW$14)</f>
        <v>8.3321663102515084E-7</v>
      </c>
      <c r="AX383" s="147">
        <f ca="1">INDEX(Photobiology!$21:$421,1+$AH383-380,AX$14)</f>
        <v>1.1515009057071336E-7</v>
      </c>
      <c r="AY383" s="147">
        <f t="shared" si="119"/>
        <v>1.0085228261296881E-3</v>
      </c>
      <c r="AZ383" s="147">
        <f t="shared" ca="1" si="133"/>
        <v>0</v>
      </c>
      <c r="BA383" s="147">
        <f t="shared" ca="1" si="120"/>
        <v>1.6431963258413621E-8</v>
      </c>
      <c r="BB383" s="147">
        <f t="shared" ca="1" si="121"/>
        <v>2.4412404381577843E-7</v>
      </c>
      <c r="BC383" s="147">
        <f t="shared" ca="1" si="122"/>
        <v>1.2334234163566085E-9</v>
      </c>
      <c r="BD383" s="147">
        <f t="shared" ca="1" si="123"/>
        <v>1.7622524454659719E-10</v>
      </c>
    </row>
    <row r="384" spans="8:56" s="147" customFormat="1" ht="0.25" customHeight="1" x14ac:dyDescent="0.2">
      <c r="H384" s="147">
        <f t="shared" si="124"/>
        <v>743</v>
      </c>
      <c r="I384" s="147">
        <f>IF($H384&gt;$H383,INDEX(Spectra!384:384,1,MATCH($I$20,Spectra!$20:$20,0)),I383)</f>
        <v>9.3490998295796496E-4</v>
      </c>
      <c r="J384" s="147">
        <f>((Physics!$C$9*Physics!$C$10)/(Physics!$C$11*Physics!$C$12*$H384))^($J$17-$J$18)</f>
        <v>3.7413959072949458E+18</v>
      </c>
      <c r="K384" s="147">
        <f t="shared" si="125"/>
        <v>1</v>
      </c>
      <c r="L384" s="147">
        <f>INDEX(Photobiology!$21:$421,1+$H384-380,10)</f>
        <v>1.9928839999999999E-4</v>
      </c>
      <c r="M384" s="147">
        <f t="shared" si="126"/>
        <v>9.3490998295796496E-4</v>
      </c>
      <c r="N384" s="147">
        <f ca="1">INDEX(Photobiology!$21:$421,1+$H384-380,N$14)</f>
        <v>0</v>
      </c>
      <c r="O384" s="147">
        <f ca="1">INDEX(Photobiology!$21:$421,1+$H384-380,O$14)</f>
        <v>1.52632E-5</v>
      </c>
      <c r="P384" s="147">
        <f ca="1">INDEX(Photobiology!$21:$421,1+$H384-380,P$14)</f>
        <v>2.2580899999999999E-4</v>
      </c>
      <c r="Q384" s="147">
        <f ca="1">INDEX(Photobiology!$21:$421,1+$H384-380,Q$14)</f>
        <v>1.1510000000000001E-6</v>
      </c>
      <c r="R384" s="147">
        <f ca="1">INDEX(Photobiology!$21:$421,1+$H384-380,R$14)</f>
        <v>1.64666E-7</v>
      </c>
      <c r="S384" s="147">
        <f t="shared" si="127"/>
        <v>3497868383928117.5</v>
      </c>
      <c r="T384" s="147" t="str">
        <f ca="1">INDEX(Photobiology!$21:$421,1+$H384-380,T$14)</f>
        <v/>
      </c>
      <c r="U384" s="147">
        <f ca="1">INDEX(Photobiology!$21:$421,1+$H384-380,U$14)</f>
        <v>1.110491017993794E-5</v>
      </c>
      <c r="V384" s="147">
        <f ca="1">INDEX(Photobiology!$21:$421,1+$H384-380,V$14)</f>
        <v>1.7223240696820734E-4</v>
      </c>
      <c r="W384" s="147">
        <f ca="1">INDEX(Photobiology!$21:$421,1+$H384-380,W$14)</f>
        <v>7.8310841002145066E-7</v>
      </c>
      <c r="X384" s="147">
        <f ca="1">INDEX(Photobiology!$21:$421,1+$H384-380,X$14)</f>
        <v>1.0836796589249931E-7</v>
      </c>
      <c r="Y384" s="147">
        <f t="shared" si="114"/>
        <v>9.3490998295796496E-4</v>
      </c>
      <c r="Z384" s="147">
        <f t="shared" ca="1" si="128"/>
        <v>0</v>
      </c>
      <c r="AA384" s="147">
        <f t="shared" ca="1" si="115"/>
        <v>1.4269718051884011E-8</v>
      </c>
      <c r="AB384" s="147">
        <f t="shared" ca="1" si="116"/>
        <v>2.111110883417551E-7</v>
      </c>
      <c r="AC384" s="147">
        <f t="shared" ca="1" si="117"/>
        <v>1.0760813903846177E-9</v>
      </c>
      <c r="AD384" s="147">
        <f t="shared" ca="1" si="118"/>
        <v>1.5394788725375626E-10</v>
      </c>
      <c r="AH384" s="147">
        <f t="shared" si="129"/>
        <v>743</v>
      </c>
      <c r="AI384" s="147">
        <f>IF($AH384&gt;$AH383,INDEX(Spectra!384:384,1,MATCH($AI$20,Spectra!$20:$20,0)),AI383)</f>
        <v>71.6387</v>
      </c>
      <c r="AJ384" s="147">
        <f>((Physics!$C$9*Physics!$C$10)/(Physics!$C$11*Physics!$C$12*$AH384))^($AJ$17-$AJ$18)</f>
        <v>3.7413959072949458E+18</v>
      </c>
      <c r="AK384" s="147">
        <f t="shared" si="130"/>
        <v>1</v>
      </c>
      <c r="AL384" s="147">
        <f>INDEX(Photobiology!$21:$421,1+$AH384-380,10)</f>
        <v>1.9928839999999999E-4</v>
      </c>
      <c r="AM384" s="147">
        <f t="shared" si="131"/>
        <v>9.9259719905117573E-4</v>
      </c>
      <c r="AN384" s="147">
        <f ca="1">INDEX(Photobiology!$21:$421,1+$AH384-380,AN$14)</f>
        <v>0</v>
      </c>
      <c r="AO384" s="147">
        <f ca="1">INDEX(Photobiology!$21:$421,1+$AH384-380,AO$14)</f>
        <v>1.52632E-5</v>
      </c>
      <c r="AP384" s="147">
        <f ca="1">INDEX(Photobiology!$21:$421,1+$AH384-380,AP$14)</f>
        <v>2.2580899999999999E-4</v>
      </c>
      <c r="AQ384" s="147">
        <f ca="1">INDEX(Photobiology!$21:$421,1+$AH384-380,AQ$14)</f>
        <v>1.1510000000000001E-6</v>
      </c>
      <c r="AR384" s="147">
        <f ca="1">INDEX(Photobiology!$21:$421,1+$AH384-380,AR$14)</f>
        <v>1.64666E-7</v>
      </c>
      <c r="AS384" s="147">
        <f t="shared" si="132"/>
        <v>3713699098122495.5</v>
      </c>
      <c r="AT384" s="147" t="str">
        <f ca="1">INDEX(Photobiology!$21:$421,1+$AH384-380,AT$14)</f>
        <v/>
      </c>
      <c r="AU384" s="147">
        <f ca="1">INDEX(Photobiology!$21:$421,1+$AH384-380,AU$14)</f>
        <v>1.110491017993794E-5</v>
      </c>
      <c r="AV384" s="147">
        <f ca="1">INDEX(Photobiology!$21:$421,1+$AH384-380,AV$14)</f>
        <v>1.7223240696820734E-4</v>
      </c>
      <c r="AW384" s="147">
        <f ca="1">INDEX(Photobiology!$21:$421,1+$AH384-380,AW$14)</f>
        <v>7.8310841002145066E-7</v>
      </c>
      <c r="AX384" s="147">
        <f ca="1">INDEX(Photobiology!$21:$421,1+$AH384-380,AX$14)</f>
        <v>1.0836796589249931E-7</v>
      </c>
      <c r="AY384" s="147">
        <f t="shared" si="119"/>
        <v>9.9259719905117573E-4</v>
      </c>
      <c r="AZ384" s="147">
        <f t="shared" ca="1" si="133"/>
        <v>0</v>
      </c>
      <c r="BA384" s="147">
        <f t="shared" ca="1" si="120"/>
        <v>1.5150209568557906E-8</v>
      </c>
      <c r="BB384" s="147">
        <f t="shared" ca="1" si="121"/>
        <v>2.2413738092054693E-7</v>
      </c>
      <c r="BC384" s="147">
        <f t="shared" ca="1" si="122"/>
        <v>1.1424793761079034E-9</v>
      </c>
      <c r="BD384" s="147">
        <f t="shared" ca="1" si="123"/>
        <v>1.6344701037896091E-10</v>
      </c>
    </row>
    <row r="385" spans="8:56" s="147" customFormat="1" ht="0.25" customHeight="1" x14ac:dyDescent="0.2">
      <c r="H385" s="147">
        <f t="shared" si="124"/>
        <v>744</v>
      </c>
      <c r="I385" s="147">
        <f>IF($H385&gt;$H384,INDEX(Spectra!385:385,1,MATCH($I$20,Spectra!$20:$20,0)),I384)</f>
        <v>9.3990950158340898E-4</v>
      </c>
      <c r="J385" s="147">
        <f>((Physics!$C$9*Physics!$C$10)/(Physics!$C$11*Physics!$C$12*$H385))^($J$17-$J$18)</f>
        <v>3.746431433415127E+18</v>
      </c>
      <c r="K385" s="147">
        <f t="shared" si="125"/>
        <v>1</v>
      </c>
      <c r="L385" s="147">
        <f>INDEX(Photobiology!$21:$421,1+$H385-380,10)</f>
        <v>1.8504750000000001E-4</v>
      </c>
      <c r="M385" s="147">
        <f t="shared" si="126"/>
        <v>9.3990950158340898E-4</v>
      </c>
      <c r="N385" s="147">
        <f ca="1">INDEX(Photobiology!$21:$421,1+$H385-380,N$14)</f>
        <v>0</v>
      </c>
      <c r="O385" s="147">
        <f ca="1">INDEX(Photobiology!$21:$421,1+$H385-380,O$14)</f>
        <v>1.43005E-5</v>
      </c>
      <c r="P385" s="147">
        <f ca="1">INDEX(Photobiology!$21:$421,1+$H385-380,P$14)</f>
        <v>2.10674E-4</v>
      </c>
      <c r="Q385" s="147">
        <f ca="1">INDEX(Photobiology!$21:$421,1+$H385-380,Q$14)</f>
        <v>1.0839999999999999E-6</v>
      </c>
      <c r="R385" s="147">
        <f ca="1">INDEX(Photobiology!$21:$421,1+$H385-380,R$14)</f>
        <v>1.55212E-7</v>
      </c>
      <c r="S385" s="147">
        <f t="shared" si="127"/>
        <v>3521306501297628.5</v>
      </c>
      <c r="T385" s="147" t="str">
        <f ca="1">INDEX(Photobiology!$21:$421,1+$H385-380,T$14)</f>
        <v/>
      </c>
      <c r="U385" s="147">
        <f ca="1">INDEX(Photobiology!$21:$421,1+$H385-380,U$14)</f>
        <v>1.0390502608578894E-5</v>
      </c>
      <c r="V385" s="147">
        <f ca="1">INDEX(Photobiology!$21:$421,1+$H385-380,V$14)</f>
        <v>1.6047243507582646E-4</v>
      </c>
      <c r="W385" s="147">
        <f ca="1">INDEX(Photobiology!$21:$421,1+$H385-380,W$14)</f>
        <v>7.3653217717669129E-7</v>
      </c>
      <c r="X385" s="147">
        <f ca="1">INDEX(Photobiology!$21:$421,1+$H385-380,X$14)</f>
        <v>1.0200892220313616E-7</v>
      </c>
      <c r="Y385" s="147">
        <f t="shared" si="114"/>
        <v>9.3990950158340898E-4</v>
      </c>
      <c r="Z385" s="147">
        <f t="shared" ca="1" si="128"/>
        <v>0</v>
      </c>
      <c r="AA385" s="147">
        <f t="shared" ca="1" si="115"/>
        <v>1.3441175827393539E-8</v>
      </c>
      <c r="AB385" s="147">
        <f t="shared" ca="1" si="116"/>
        <v>1.9801449433658311E-7</v>
      </c>
      <c r="AC385" s="147">
        <f t="shared" ca="1" si="117"/>
        <v>1.0188618997164153E-9</v>
      </c>
      <c r="AD385" s="147">
        <f t="shared" ca="1" si="118"/>
        <v>1.4588523355976406E-10</v>
      </c>
      <c r="AH385" s="147">
        <f t="shared" si="129"/>
        <v>744</v>
      </c>
      <c r="AI385" s="147">
        <f>IF($AH385&gt;$AH384,INDEX(Spectra!385:385,1,MATCH($AI$20,Spectra!$20:$20,0)),AI384)</f>
        <v>70.4893</v>
      </c>
      <c r="AJ385" s="147">
        <f>((Physics!$C$9*Physics!$C$10)/(Physics!$C$11*Physics!$C$12*$AH385))^($AJ$17-$AJ$18)</f>
        <v>3.746431433415127E+18</v>
      </c>
      <c r="AK385" s="147">
        <f t="shared" si="130"/>
        <v>1</v>
      </c>
      <c r="AL385" s="147">
        <f>INDEX(Photobiology!$21:$421,1+$AH385-380,10)</f>
        <v>1.8504750000000001E-4</v>
      </c>
      <c r="AM385" s="147">
        <f t="shared" si="131"/>
        <v>9.7667157197266338E-4</v>
      </c>
      <c r="AN385" s="147">
        <f ca="1">INDEX(Photobiology!$21:$421,1+$AH385-380,AN$14)</f>
        <v>0</v>
      </c>
      <c r="AO385" s="147">
        <f ca="1">INDEX(Photobiology!$21:$421,1+$AH385-380,AO$14)</f>
        <v>1.43005E-5</v>
      </c>
      <c r="AP385" s="147">
        <f ca="1">INDEX(Photobiology!$21:$421,1+$AH385-380,AP$14)</f>
        <v>2.10674E-4</v>
      </c>
      <c r="AQ385" s="147">
        <f ca="1">INDEX(Photobiology!$21:$421,1+$AH385-380,AQ$14)</f>
        <v>1.0839999999999999E-6</v>
      </c>
      <c r="AR385" s="147">
        <f ca="1">INDEX(Photobiology!$21:$421,1+$AH385-380,AR$14)</f>
        <v>1.55212E-7</v>
      </c>
      <c r="AS385" s="147">
        <f t="shared" si="132"/>
        <v>3659033077361350.5</v>
      </c>
      <c r="AT385" s="147" t="str">
        <f ca="1">INDEX(Photobiology!$21:$421,1+$AH385-380,AT$14)</f>
        <v/>
      </c>
      <c r="AU385" s="147">
        <f ca="1">INDEX(Photobiology!$21:$421,1+$AH385-380,AU$14)</f>
        <v>1.0390502608578894E-5</v>
      </c>
      <c r="AV385" s="147">
        <f ca="1">INDEX(Photobiology!$21:$421,1+$AH385-380,AV$14)</f>
        <v>1.6047243507582646E-4</v>
      </c>
      <c r="AW385" s="147">
        <f ca="1">INDEX(Photobiology!$21:$421,1+$AH385-380,AW$14)</f>
        <v>7.3653217717669129E-7</v>
      </c>
      <c r="AX385" s="147">
        <f ca="1">INDEX(Photobiology!$21:$421,1+$AH385-380,AX$14)</f>
        <v>1.0200892220313616E-7</v>
      </c>
      <c r="AY385" s="147">
        <f t="shared" si="119"/>
        <v>9.7667157197266338E-4</v>
      </c>
      <c r="AZ385" s="147">
        <f t="shared" ca="1" si="133"/>
        <v>0</v>
      </c>
      <c r="BA385" s="147">
        <f t="shared" ca="1" si="120"/>
        <v>1.3966891814995073E-8</v>
      </c>
      <c r="BB385" s="147">
        <f t="shared" ca="1" si="121"/>
        <v>2.0575930675376888E-7</v>
      </c>
      <c r="BC385" s="147">
        <f t="shared" ca="1" si="122"/>
        <v>1.058711984018367E-9</v>
      </c>
      <c r="BD385" s="147">
        <f t="shared" ca="1" si="123"/>
        <v>1.5159114802902102E-10</v>
      </c>
    </row>
    <row r="386" spans="8:56" s="147" customFormat="1" ht="0.25" customHeight="1" x14ac:dyDescent="0.2">
      <c r="H386" s="147">
        <f t="shared" si="124"/>
        <v>745</v>
      </c>
      <c r="I386" s="147">
        <f>IF($H386&gt;$H385,INDEX(Spectra!386:386,1,MATCH($I$20,Spectra!$20:$20,0)),I385)</f>
        <v>9.3990950158340898E-4</v>
      </c>
      <c r="J386" s="147">
        <f>((Physics!$C$9*Physics!$C$10)/(Physics!$C$11*Physics!$C$12*$H386))^($J$17-$J$18)</f>
        <v>3.7514669595353088E+18</v>
      </c>
      <c r="K386" s="147">
        <f t="shared" si="125"/>
        <v>1</v>
      </c>
      <c r="L386" s="147">
        <f>INDEX(Photobiology!$21:$421,1+$H386-380,10)</f>
        <v>1.719E-4</v>
      </c>
      <c r="M386" s="147">
        <f t="shared" si="126"/>
        <v>9.3990950158340898E-4</v>
      </c>
      <c r="N386" s="147">
        <f ca="1">INDEX(Photobiology!$21:$421,1+$H386-380,N$14)</f>
        <v>0</v>
      </c>
      <c r="O386" s="147">
        <f ca="1">INDEX(Photobiology!$21:$421,1+$H386-380,O$14)</f>
        <v>1.33965E-5</v>
      </c>
      <c r="P386" s="147">
        <f ca="1">INDEX(Photobiology!$21:$421,1+$H386-380,P$14)</f>
        <v>1.9652800000000001E-4</v>
      </c>
      <c r="Q386" s="147">
        <f ca="1">INDEX(Photobiology!$21:$421,1+$H386-380,Q$14)</f>
        <v>1.0219999999999999E-6</v>
      </c>
      <c r="R386" s="147">
        <f ca="1">INDEX(Photobiology!$21:$421,1+$H386-380,R$14)</f>
        <v>1.4637000000000001E-7</v>
      </c>
      <c r="S386" s="147">
        <f t="shared" si="127"/>
        <v>3526039440143459</v>
      </c>
      <c r="T386" s="147" t="str">
        <f ca="1">INDEX(Photobiology!$21:$421,1+$H386-380,T$14)</f>
        <v/>
      </c>
      <c r="U386" s="147">
        <f ca="1">INDEX(Photobiology!$21:$421,1+$H386-380,U$14)</f>
        <v>9.7206060930141037E-6</v>
      </c>
      <c r="V386" s="147">
        <f ca="1">INDEX(Photobiology!$21:$421,1+$H386-380,V$14)</f>
        <v>1.4949635331558113E-4</v>
      </c>
      <c r="W386" s="147">
        <f ca="1">INDEX(Photobiology!$21:$421,1+$H386-380,W$14)</f>
        <v>6.9347370971976321E-7</v>
      </c>
      <c r="X386" s="147">
        <f ca="1">INDEX(Photobiology!$21:$421,1+$H386-380,X$14)</f>
        <v>9.6068630456836453E-8</v>
      </c>
      <c r="Y386" s="147">
        <f t="shared" si="114"/>
        <v>9.3990950158340898E-4</v>
      </c>
      <c r="Z386" s="147">
        <f t="shared" ca="1" si="128"/>
        <v>0</v>
      </c>
      <c r="AA386" s="147">
        <f t="shared" ca="1" si="115"/>
        <v>1.2591497637962137E-8</v>
      </c>
      <c r="AB386" s="147">
        <f t="shared" ca="1" si="116"/>
        <v>1.8471853452718421E-7</v>
      </c>
      <c r="AC386" s="147">
        <f t="shared" ca="1" si="117"/>
        <v>9.6058751061824385E-10</v>
      </c>
      <c r="AD386" s="147">
        <f t="shared" ca="1" si="118"/>
        <v>1.3757455374676357E-10</v>
      </c>
      <c r="AH386" s="147">
        <f t="shared" si="129"/>
        <v>745</v>
      </c>
      <c r="AI386" s="147">
        <f>IF($AH386&gt;$AH385,INDEX(Spectra!386:386,1,MATCH($AI$20,Spectra!$20:$20,0)),AI385)</f>
        <v>69.339799999999997</v>
      </c>
      <c r="AJ386" s="147">
        <f>((Physics!$C$9*Physics!$C$10)/(Physics!$C$11*Physics!$C$12*$AH386))^($AJ$17-$AJ$18)</f>
        <v>3.7514669595353088E+18</v>
      </c>
      <c r="AK386" s="147">
        <f t="shared" si="130"/>
        <v>1</v>
      </c>
      <c r="AL386" s="147">
        <f>INDEX(Photobiology!$21:$421,1+$AH386-380,10)</f>
        <v>1.719E-4</v>
      </c>
      <c r="AM386" s="147">
        <f t="shared" si="131"/>
        <v>9.6074455933411291E-4</v>
      </c>
      <c r="AN386" s="147">
        <f ca="1">INDEX(Photobiology!$21:$421,1+$AH386-380,AN$14)</f>
        <v>0</v>
      </c>
      <c r="AO386" s="147">
        <f ca="1">INDEX(Photobiology!$21:$421,1+$AH386-380,AO$14)</f>
        <v>1.33965E-5</v>
      </c>
      <c r="AP386" s="147">
        <f ca="1">INDEX(Photobiology!$21:$421,1+$AH386-380,AP$14)</f>
        <v>1.9652800000000001E-4</v>
      </c>
      <c r="AQ386" s="147">
        <f ca="1">INDEX(Photobiology!$21:$421,1+$AH386-380,AQ$14)</f>
        <v>1.0219999999999999E-6</v>
      </c>
      <c r="AR386" s="147">
        <f ca="1">INDEX(Photobiology!$21:$421,1+$AH386-380,AR$14)</f>
        <v>1.4637000000000001E-7</v>
      </c>
      <c r="AS386" s="147">
        <f t="shared" si="132"/>
        <v>3604201470895234.5</v>
      </c>
      <c r="AT386" s="147" t="str">
        <f ca="1">INDEX(Photobiology!$21:$421,1+$AH386-380,AT$14)</f>
        <v/>
      </c>
      <c r="AU386" s="147">
        <f ca="1">INDEX(Photobiology!$21:$421,1+$AH386-380,AU$14)</f>
        <v>9.7206060930141037E-6</v>
      </c>
      <c r="AV386" s="147">
        <f ca="1">INDEX(Photobiology!$21:$421,1+$AH386-380,AV$14)</f>
        <v>1.4949635331558113E-4</v>
      </c>
      <c r="AW386" s="147">
        <f ca="1">INDEX(Photobiology!$21:$421,1+$AH386-380,AW$14)</f>
        <v>6.9347370971976321E-7</v>
      </c>
      <c r="AX386" s="147">
        <f ca="1">INDEX(Photobiology!$21:$421,1+$AH386-380,AX$14)</f>
        <v>9.6068630456836453E-8</v>
      </c>
      <c r="AY386" s="147">
        <f t="shared" si="119"/>
        <v>9.6074455933411291E-4</v>
      </c>
      <c r="AZ386" s="147">
        <f t="shared" ca="1" si="133"/>
        <v>0</v>
      </c>
      <c r="BA386" s="147">
        <f t="shared" ca="1" si="120"/>
        <v>1.2870614489119443E-8</v>
      </c>
      <c r="BB386" s="147">
        <f t="shared" ca="1" si="121"/>
        <v>1.8881320675681456E-7</v>
      </c>
      <c r="BC386" s="147">
        <f t="shared" ca="1" si="122"/>
        <v>9.8188093963946338E-10</v>
      </c>
      <c r="BD386" s="147">
        <f t="shared" ca="1" si="123"/>
        <v>1.4062418114973412E-10</v>
      </c>
    </row>
    <row r="387" spans="8:56" s="147" customFormat="1" ht="0.25" customHeight="1" x14ac:dyDescent="0.2">
      <c r="H387" s="147">
        <f t="shared" si="124"/>
        <v>746</v>
      </c>
      <c r="I387" s="147">
        <f>IF($H387&gt;$H386,INDEX(Spectra!387:387,1,MATCH($I$20,Spectra!$20:$20,0)),I386)</f>
        <v>9.3490998295796496E-4</v>
      </c>
      <c r="J387" s="147">
        <f>((Physics!$C$9*Physics!$C$10)/(Physics!$C$11*Physics!$C$12*$H387))^($J$17-$J$18)</f>
        <v>3.7565024856554906E+18</v>
      </c>
      <c r="K387" s="147">
        <f t="shared" si="125"/>
        <v>1</v>
      </c>
      <c r="L387" s="147">
        <f>INDEX(Photobiology!$21:$421,1+$H387-380,10)</f>
        <v>1.5977809999999999E-4</v>
      </c>
      <c r="M387" s="147">
        <f t="shared" si="126"/>
        <v>9.3490998295796496E-4</v>
      </c>
      <c r="N387" s="147">
        <f ca="1">INDEX(Photobiology!$21:$421,1+$H387-380,N$14)</f>
        <v>0</v>
      </c>
      <c r="O387" s="147">
        <f ca="1">INDEX(Photobiology!$21:$421,1+$H387-380,O$14)</f>
        <v>1.2544900000000001E-5</v>
      </c>
      <c r="P387" s="147">
        <f ca="1">INDEX(Photobiology!$21:$421,1+$H387-380,P$14)</f>
        <v>1.8327099999999999E-4</v>
      </c>
      <c r="Q387" s="147">
        <f ca="1">INDEX(Photobiology!$21:$421,1+$H387-380,Q$14)</f>
        <v>9.6200000000000006E-7</v>
      </c>
      <c r="R387" s="147">
        <f ca="1">INDEX(Photobiology!$21:$421,1+$H387-380,R$14)</f>
        <v>1.3806200000000001E-7</v>
      </c>
      <c r="S387" s="147">
        <f t="shared" si="127"/>
        <v>3511991674845727.5</v>
      </c>
      <c r="T387" s="147" t="str">
        <f ca="1">INDEX(Photobiology!$21:$421,1+$H387-380,T$14)</f>
        <v/>
      </c>
      <c r="U387" s="147">
        <f ca="1">INDEX(Photobiology!$21:$421,1+$H387-380,U$14)</f>
        <v>9.0904764324430115E-6</v>
      </c>
      <c r="V387" s="147">
        <f ca="1">INDEX(Photobiology!$21:$421,1+$H387-380,V$14)</f>
        <v>1.3922504255328537E-4</v>
      </c>
      <c r="W387" s="147">
        <f ca="1">INDEX(Photobiology!$21:$421,1+$H387-380,W$14)</f>
        <v>6.5188595276445965E-7</v>
      </c>
      <c r="X387" s="147">
        <f ca="1">INDEX(Photobiology!$21:$421,1+$H387-380,X$14)</f>
        <v>9.0494280692931197E-8</v>
      </c>
      <c r="Y387" s="147">
        <f t="shared" si="114"/>
        <v>9.3490998295796496E-4</v>
      </c>
      <c r="Z387" s="147">
        <f t="shared" ca="1" si="128"/>
        <v>0</v>
      </c>
      <c r="AA387" s="147">
        <f t="shared" ca="1" si="115"/>
        <v>1.1728352245209375E-8</v>
      </c>
      <c r="AB387" s="147">
        <f t="shared" ca="1" si="116"/>
        <v>1.7134188748668918E-7</v>
      </c>
      <c r="AC387" s="147">
        <f t="shared" ca="1" si="117"/>
        <v>8.9938340360556231E-10</v>
      </c>
      <c r="AD387" s="147">
        <f t="shared" ca="1" si="118"/>
        <v>1.2907554206714257E-10</v>
      </c>
      <c r="AH387" s="147">
        <f t="shared" si="129"/>
        <v>746</v>
      </c>
      <c r="AI387" s="147">
        <f>IF($AH387&gt;$AH386,INDEX(Spectra!387:387,1,MATCH($AI$20,Spectra!$20:$20,0)),AI386)</f>
        <v>68.190399999999997</v>
      </c>
      <c r="AJ387" s="147">
        <f>((Physics!$C$9*Physics!$C$10)/(Physics!$C$11*Physics!$C$12*$AH387))^($AJ$17-$AJ$18)</f>
        <v>3.7565024856554906E+18</v>
      </c>
      <c r="AK387" s="147">
        <f t="shared" si="130"/>
        <v>1</v>
      </c>
      <c r="AL387" s="147">
        <f>INDEX(Photobiology!$21:$421,1+$AH387-380,10)</f>
        <v>1.5977809999999999E-4</v>
      </c>
      <c r="AM387" s="147">
        <f t="shared" si="131"/>
        <v>9.4481893225560056E-4</v>
      </c>
      <c r="AN387" s="147">
        <f ca="1">INDEX(Photobiology!$21:$421,1+$AH387-380,AN$14)</f>
        <v>0</v>
      </c>
      <c r="AO387" s="147">
        <f ca="1">INDEX(Photobiology!$21:$421,1+$AH387-380,AO$14)</f>
        <v>1.2544900000000001E-5</v>
      </c>
      <c r="AP387" s="147">
        <f ca="1">INDEX(Photobiology!$21:$421,1+$AH387-380,AP$14)</f>
        <v>1.8327099999999999E-4</v>
      </c>
      <c r="AQ387" s="147">
        <f ca="1">INDEX(Photobiology!$21:$421,1+$AH387-380,AQ$14)</f>
        <v>9.6200000000000006E-7</v>
      </c>
      <c r="AR387" s="147">
        <f ca="1">INDEX(Photobiology!$21:$421,1+$AH387-380,AR$14)</f>
        <v>1.3806200000000001E-7</v>
      </c>
      <c r="AS387" s="147">
        <f t="shared" si="132"/>
        <v>3549214667512530</v>
      </c>
      <c r="AT387" s="147" t="str">
        <f ca="1">INDEX(Photobiology!$21:$421,1+$AH387-380,AT$14)</f>
        <v/>
      </c>
      <c r="AU387" s="147">
        <f ca="1">INDEX(Photobiology!$21:$421,1+$AH387-380,AU$14)</f>
        <v>9.0904764324430115E-6</v>
      </c>
      <c r="AV387" s="147">
        <f ca="1">INDEX(Photobiology!$21:$421,1+$AH387-380,AV$14)</f>
        <v>1.3922504255328537E-4</v>
      </c>
      <c r="AW387" s="147">
        <f ca="1">INDEX(Photobiology!$21:$421,1+$AH387-380,AW$14)</f>
        <v>6.5188595276445965E-7</v>
      </c>
      <c r="AX387" s="147">
        <f ca="1">INDEX(Photobiology!$21:$421,1+$AH387-380,AX$14)</f>
        <v>9.0494280692931197E-8</v>
      </c>
      <c r="AY387" s="147">
        <f t="shared" si="119"/>
        <v>9.4481893225560056E-4</v>
      </c>
      <c r="AZ387" s="147">
        <f t="shared" ca="1" si="133"/>
        <v>0</v>
      </c>
      <c r="BA387" s="147">
        <f t="shared" ca="1" si="120"/>
        <v>1.1852659023253284E-8</v>
      </c>
      <c r="BB387" s="147">
        <f t="shared" ca="1" si="121"/>
        <v>1.7315791053341615E-7</v>
      </c>
      <c r="BC387" s="147">
        <f t="shared" ca="1" si="122"/>
        <v>9.0891581282988781E-10</v>
      </c>
      <c r="BD387" s="147">
        <f t="shared" ca="1" si="123"/>
        <v>1.3044359142507274E-10</v>
      </c>
    </row>
    <row r="388" spans="8:56" s="147" customFormat="1" ht="0.25" customHeight="1" x14ac:dyDescent="0.2">
      <c r="H388" s="147">
        <f t="shared" si="124"/>
        <v>747</v>
      </c>
      <c r="I388" s="147">
        <f>IF($H388&gt;$H387,INDEX(Spectra!388:388,1,MATCH($I$20,Spectra!$20:$20,0)),I387)</f>
        <v>9.3490998295796496E-4</v>
      </c>
      <c r="J388" s="147">
        <f>((Physics!$C$9*Physics!$C$10)/(Physics!$C$11*Physics!$C$12*$H388))^($J$17-$J$18)</f>
        <v>3.7615380117756718E+18</v>
      </c>
      <c r="K388" s="147">
        <f t="shared" si="125"/>
        <v>1</v>
      </c>
      <c r="L388" s="147">
        <f>INDEX(Photobiology!$21:$421,1+$H388-380,10)</f>
        <v>1.4860439999999999E-4</v>
      </c>
      <c r="M388" s="147">
        <f t="shared" si="126"/>
        <v>9.3490998295796496E-4</v>
      </c>
      <c r="N388" s="147">
        <f ca="1">INDEX(Photobiology!$21:$421,1+$H388-380,N$14)</f>
        <v>0</v>
      </c>
      <c r="O388" s="147">
        <f ca="1">INDEX(Photobiology!$21:$421,1+$H388-380,O$14)</f>
        <v>1.17441E-5</v>
      </c>
      <c r="P388" s="147">
        <f ca="1">INDEX(Photobiology!$21:$421,1+$H388-380,P$14)</f>
        <v>1.7086799999999999E-4</v>
      </c>
      <c r="Q388" s="147">
        <f ca="1">INDEX(Photobiology!$21:$421,1+$H388-380,Q$14)</f>
        <v>9.0699999999999996E-7</v>
      </c>
      <c r="R388" s="147">
        <f ca="1">INDEX(Photobiology!$21:$421,1+$H388-380,R$14)</f>
        <v>1.30208E-7</v>
      </c>
      <c r="S388" s="147">
        <f t="shared" si="127"/>
        <v>3516699438484930.5</v>
      </c>
      <c r="T388" s="147" t="str">
        <f ca="1">INDEX(Photobiology!$21:$421,1+$H388-380,T$14)</f>
        <v/>
      </c>
      <c r="U388" s="147">
        <f ca="1">INDEX(Photobiology!$21:$421,1+$H388-380,U$14)</f>
        <v>8.4987960563577418E-6</v>
      </c>
      <c r="V388" s="147">
        <f ca="1">INDEX(Photobiology!$21:$421,1+$H388-380,V$14)</f>
        <v>1.2962911961050398E-4</v>
      </c>
      <c r="W388" s="147">
        <f ca="1">INDEX(Photobiology!$21:$421,1+$H388-380,W$14)</f>
        <v>6.1379318678928352E-7</v>
      </c>
      <c r="X388" s="147">
        <f ca="1">INDEX(Photobiology!$21:$421,1+$H388-380,X$14)</f>
        <v>8.5232036567578888E-8</v>
      </c>
      <c r="Y388" s="147">
        <f t="shared" si="114"/>
        <v>9.3490998295796496E-4</v>
      </c>
      <c r="Z388" s="147">
        <f t="shared" ca="1" si="128"/>
        <v>0</v>
      </c>
      <c r="AA388" s="147">
        <f t="shared" ca="1" si="115"/>
        <v>1.0979676330856637E-8</v>
      </c>
      <c r="AB388" s="147">
        <f t="shared" ca="1" si="116"/>
        <v>1.5974619896806155E-7</v>
      </c>
      <c r="AC388" s="147">
        <f t="shared" ca="1" si="117"/>
        <v>8.4796335454287413E-10</v>
      </c>
      <c r="AD388" s="147">
        <f t="shared" ca="1" si="118"/>
        <v>1.2173275906099069E-10</v>
      </c>
      <c r="AH388" s="147">
        <f t="shared" si="129"/>
        <v>747</v>
      </c>
      <c r="AI388" s="147">
        <f>IF($AH388&gt;$AH387,INDEX(Spectra!388:388,1,MATCH($AI$20,Spectra!$20:$20,0)),AI387)</f>
        <v>67.040999999999997</v>
      </c>
      <c r="AJ388" s="147">
        <f>((Physics!$C$9*Physics!$C$10)/(Physics!$C$11*Physics!$C$12*$AH388))^($AJ$17-$AJ$18)</f>
        <v>3.7615380117756718E+18</v>
      </c>
      <c r="AK388" s="147">
        <f t="shared" si="130"/>
        <v>1</v>
      </c>
      <c r="AL388" s="147">
        <f>INDEX(Photobiology!$21:$421,1+$AH388-380,10)</f>
        <v>1.4860439999999999E-4</v>
      </c>
      <c r="AM388" s="147">
        <f t="shared" si="131"/>
        <v>9.2889330517708822E-4</v>
      </c>
      <c r="AN388" s="147">
        <f ca="1">INDEX(Photobiology!$21:$421,1+$AH388-380,AN$14)</f>
        <v>0</v>
      </c>
      <c r="AO388" s="147">
        <f ca="1">INDEX(Photobiology!$21:$421,1+$AH388-380,AO$14)</f>
        <v>1.17441E-5</v>
      </c>
      <c r="AP388" s="147">
        <f ca="1">INDEX(Photobiology!$21:$421,1+$AH388-380,AP$14)</f>
        <v>1.7086799999999999E-4</v>
      </c>
      <c r="AQ388" s="147">
        <f ca="1">INDEX(Photobiology!$21:$421,1+$AH388-380,AQ$14)</f>
        <v>9.0699999999999996E-7</v>
      </c>
      <c r="AR388" s="147">
        <f ca="1">INDEX(Photobiology!$21:$421,1+$AH388-380,AR$14)</f>
        <v>1.30208E-7</v>
      </c>
      <c r="AS388" s="147">
        <f t="shared" si="132"/>
        <v>3494067476307557</v>
      </c>
      <c r="AT388" s="147" t="str">
        <f ca="1">INDEX(Photobiology!$21:$421,1+$AH388-380,AT$14)</f>
        <v/>
      </c>
      <c r="AU388" s="147">
        <f ca="1">INDEX(Photobiology!$21:$421,1+$AH388-380,AU$14)</f>
        <v>8.4987960563577418E-6</v>
      </c>
      <c r="AV388" s="147">
        <f ca="1">INDEX(Photobiology!$21:$421,1+$AH388-380,AV$14)</f>
        <v>1.2962911961050398E-4</v>
      </c>
      <c r="AW388" s="147">
        <f ca="1">INDEX(Photobiology!$21:$421,1+$AH388-380,AW$14)</f>
        <v>6.1379318678928352E-7</v>
      </c>
      <c r="AX388" s="147">
        <f ca="1">INDEX(Photobiology!$21:$421,1+$AH388-380,AX$14)</f>
        <v>8.5232036567578888E-8</v>
      </c>
      <c r="AY388" s="147">
        <f t="shared" si="119"/>
        <v>9.2889330517708822E-4</v>
      </c>
      <c r="AZ388" s="147">
        <f t="shared" ca="1" si="133"/>
        <v>0</v>
      </c>
      <c r="BA388" s="147">
        <f t="shared" ca="1" si="120"/>
        <v>1.0909015865330242E-8</v>
      </c>
      <c r="BB388" s="147">
        <f t="shared" ca="1" si="121"/>
        <v>1.587181412689987E-7</v>
      </c>
      <c r="BC388" s="147">
        <f t="shared" ca="1" si="122"/>
        <v>8.4250622779561896E-10</v>
      </c>
      <c r="BD388" s="147">
        <f t="shared" ca="1" si="123"/>
        <v>1.209493394804983E-10</v>
      </c>
    </row>
    <row r="389" spans="8:56" s="147" customFormat="1" ht="0.25" customHeight="1" x14ac:dyDescent="0.2">
      <c r="H389" s="147">
        <f t="shared" si="124"/>
        <v>748</v>
      </c>
      <c r="I389" s="147">
        <f>IF($H389&gt;$H388,INDEX(Spectra!389:389,1,MATCH($I$20,Spectra!$20:$20,0)),I388)</f>
        <v>9.2991046433252202E-4</v>
      </c>
      <c r="J389" s="147">
        <f>((Physics!$C$9*Physics!$C$10)/(Physics!$C$11*Physics!$C$12*$H389))^($J$17-$J$18)</f>
        <v>3.7665735378958536E+18</v>
      </c>
      <c r="K389" s="147">
        <f t="shared" si="125"/>
        <v>1</v>
      </c>
      <c r="L389" s="147">
        <f>INDEX(Photobiology!$21:$421,1+$H389-380,10)</f>
        <v>1.383016E-4</v>
      </c>
      <c r="M389" s="147">
        <f t="shared" si="126"/>
        <v>9.2991046433252202E-4</v>
      </c>
      <c r="N389" s="147">
        <f ca="1">INDEX(Photobiology!$21:$421,1+$H389-380,N$14)</f>
        <v>0</v>
      </c>
      <c r="O389" s="147">
        <f ca="1">INDEX(Photobiology!$21:$421,1+$H389-380,O$14)</f>
        <v>1.0992899999999999E-5</v>
      </c>
      <c r="P389" s="147">
        <f ca="1">INDEX(Photobiology!$21:$421,1+$H389-380,P$14)</f>
        <v>1.5929E-4</v>
      </c>
      <c r="Q389" s="147">
        <f ca="1">INDEX(Photobiology!$21:$421,1+$H389-380,Q$14)</f>
        <v>8.5499999999999997E-7</v>
      </c>
      <c r="R389" s="147">
        <f ca="1">INDEX(Photobiology!$21:$421,1+$H389-380,R$14)</f>
        <v>1.2280499999999999E-7</v>
      </c>
      <c r="S389" s="147">
        <f t="shared" si="127"/>
        <v>3502576147567323.5</v>
      </c>
      <c r="T389" s="147" t="str">
        <f ca="1">INDEX(Photobiology!$21:$421,1+$H389-380,T$14)</f>
        <v/>
      </c>
      <c r="U389" s="147">
        <f ca="1">INDEX(Photobiology!$21:$421,1+$H389-380,U$14)</f>
        <v>7.9445435191610209E-6</v>
      </c>
      <c r="V389" s="147">
        <f ca="1">INDEX(Photobiology!$21:$421,1+$H389-380,V$14)</f>
        <v>1.2068390425657731E-4</v>
      </c>
      <c r="W389" s="147">
        <f ca="1">INDEX(Photobiology!$21:$421,1+$H389-380,W$14)</f>
        <v>5.7782974592225869E-7</v>
      </c>
      <c r="X389" s="147">
        <f ca="1">INDEX(Photobiology!$21:$421,1+$H389-380,X$14)</f>
        <v>8.0278685194383139E-8</v>
      </c>
      <c r="Y389" s="147">
        <f t="shared" si="114"/>
        <v>9.2991046433252202E-4</v>
      </c>
      <c r="Z389" s="147">
        <f t="shared" ca="1" si="128"/>
        <v>0</v>
      </c>
      <c r="AA389" s="147">
        <f t="shared" ca="1" si="115"/>
        <v>1.0222412743360981E-8</v>
      </c>
      <c r="AB389" s="147">
        <f t="shared" ca="1" si="116"/>
        <v>1.4812543786352744E-7</v>
      </c>
      <c r="AC389" s="147">
        <f t="shared" ca="1" si="117"/>
        <v>7.9507344700430626E-10</v>
      </c>
      <c r="AD389" s="147">
        <f t="shared" ca="1" si="118"/>
        <v>1.1419765457235537E-10</v>
      </c>
      <c r="AH389" s="147">
        <f t="shared" si="129"/>
        <v>748</v>
      </c>
      <c r="AI389" s="147">
        <f>IF($AH389&gt;$AH388,INDEX(Spectra!389:389,1,MATCH($AI$20,Spectra!$20:$20,0)),AI388)</f>
        <v>65.891599999999997</v>
      </c>
      <c r="AJ389" s="147">
        <f>((Physics!$C$9*Physics!$C$10)/(Physics!$C$11*Physics!$C$12*$AH389))^($AJ$17-$AJ$18)</f>
        <v>3.7665735378958536E+18</v>
      </c>
      <c r="AK389" s="147">
        <f t="shared" si="130"/>
        <v>1</v>
      </c>
      <c r="AL389" s="147">
        <f>INDEX(Photobiology!$21:$421,1+$AH389-380,10)</f>
        <v>1.383016E-4</v>
      </c>
      <c r="AM389" s="147">
        <f t="shared" si="131"/>
        <v>9.1296767809857587E-4</v>
      </c>
      <c r="AN389" s="147">
        <f ca="1">INDEX(Photobiology!$21:$421,1+$AH389-380,AN$14)</f>
        <v>0</v>
      </c>
      <c r="AO389" s="147">
        <f ca="1">INDEX(Photobiology!$21:$421,1+$AH389-380,AO$14)</f>
        <v>1.0992899999999999E-5</v>
      </c>
      <c r="AP389" s="147">
        <f ca="1">INDEX(Photobiology!$21:$421,1+$AH389-380,AP$14)</f>
        <v>1.5929E-4</v>
      </c>
      <c r="AQ389" s="147">
        <f ca="1">INDEX(Photobiology!$21:$421,1+$AH389-380,AQ$14)</f>
        <v>8.5499999999999997E-7</v>
      </c>
      <c r="AR389" s="147">
        <f ca="1">INDEX(Photobiology!$21:$421,1+$AH389-380,AR$14)</f>
        <v>1.2280499999999999E-7</v>
      </c>
      <c r="AS389" s="147">
        <f t="shared" si="132"/>
        <v>3438759897280315.5</v>
      </c>
      <c r="AT389" s="147" t="str">
        <f ca="1">INDEX(Photobiology!$21:$421,1+$AH389-380,AT$14)</f>
        <v/>
      </c>
      <c r="AU389" s="147">
        <f ca="1">INDEX(Photobiology!$21:$421,1+$AH389-380,AU$14)</f>
        <v>7.9445435191610209E-6</v>
      </c>
      <c r="AV389" s="147">
        <f ca="1">INDEX(Photobiology!$21:$421,1+$AH389-380,AV$14)</f>
        <v>1.2068390425657731E-4</v>
      </c>
      <c r="AW389" s="147">
        <f ca="1">INDEX(Photobiology!$21:$421,1+$AH389-380,AW$14)</f>
        <v>5.7782974592225869E-7</v>
      </c>
      <c r="AX389" s="147">
        <f ca="1">INDEX(Photobiology!$21:$421,1+$AH389-380,AX$14)</f>
        <v>8.0278685194383139E-8</v>
      </c>
      <c r="AY389" s="147">
        <f t="shared" si="119"/>
        <v>9.1296767809857587E-4</v>
      </c>
      <c r="AZ389" s="147">
        <f t="shared" ca="1" si="133"/>
        <v>0</v>
      </c>
      <c r="BA389" s="147">
        <f t="shared" ca="1" si="120"/>
        <v>1.0036162388569835E-8</v>
      </c>
      <c r="BB389" s="147">
        <f t="shared" ca="1" si="121"/>
        <v>1.4542662144432214E-7</v>
      </c>
      <c r="BC389" s="147">
        <f t="shared" ca="1" si="122"/>
        <v>7.805873647742823E-10</v>
      </c>
      <c r="BD389" s="147">
        <f t="shared" ca="1" si="123"/>
        <v>1.1211699570889561E-10</v>
      </c>
    </row>
    <row r="390" spans="8:56" s="147" customFormat="1" ht="0.25" customHeight="1" x14ac:dyDescent="0.2">
      <c r="H390" s="147">
        <f t="shared" si="124"/>
        <v>749</v>
      </c>
      <c r="I390" s="147">
        <f>IF($H390&gt;$H389,INDEX(Spectra!390:390,1,MATCH($I$20,Spectra!$20:$20,0)),I389)</f>
        <v>9.24910945707078E-4</v>
      </c>
      <c r="J390" s="147">
        <f>((Physics!$C$9*Physics!$C$10)/(Physics!$C$11*Physics!$C$12*$H390))^($J$17-$J$18)</f>
        <v>3.7716090640160353E+18</v>
      </c>
      <c r="K390" s="147">
        <f t="shared" si="125"/>
        <v>1</v>
      </c>
      <c r="L390" s="147">
        <f>INDEX(Photobiology!$21:$421,1+$H390-380,10)</f>
        <v>1.287925E-4</v>
      </c>
      <c r="M390" s="147">
        <f t="shared" si="126"/>
        <v>9.24910945707078E-4</v>
      </c>
      <c r="N390" s="147">
        <f ca="1">INDEX(Photobiology!$21:$421,1+$H390-380,N$14)</f>
        <v>0</v>
      </c>
      <c r="O390" s="147">
        <f ca="1">INDEX(Photobiology!$21:$421,1+$H390-380,O$14)</f>
        <v>1.029E-5</v>
      </c>
      <c r="P390" s="147">
        <f ca="1">INDEX(Photobiology!$21:$421,1+$H390-380,P$14)</f>
        <v>1.4850599999999999E-4</v>
      </c>
      <c r="Q390" s="147">
        <f ca="1">INDEX(Photobiology!$21:$421,1+$H390-380,Q$14)</f>
        <v>8.0599999999999999E-7</v>
      </c>
      <c r="R390" s="147">
        <f ca="1">INDEX(Photobiology!$21:$421,1+$H390-380,R$14)</f>
        <v>1.1584800000000001E-7</v>
      </c>
      <c r="S390" s="147">
        <f t="shared" si="127"/>
        <v>3488402506236458.5</v>
      </c>
      <c r="T390" s="147" t="str">
        <f ca="1">INDEX(Photobiology!$21:$421,1+$H390-380,T$14)</f>
        <v/>
      </c>
      <c r="U390" s="147">
        <f ca="1">INDEX(Photobiology!$21:$421,1+$H390-380,U$14)</f>
        <v>7.426630656957334E-6</v>
      </c>
      <c r="V390" s="147">
        <f ca="1">INDEX(Photobiology!$21:$421,1+$H390-380,V$14)</f>
        <v>1.1236333481471557E-4</v>
      </c>
      <c r="W390" s="147">
        <f ca="1">INDEX(Photobiology!$21:$421,1+$H390-380,W$14)</f>
        <v>5.4398710149139008E-7</v>
      </c>
      <c r="X390" s="147">
        <f ca="1">INDEX(Photobiology!$21:$421,1+$H390-380,X$14)</f>
        <v>7.5629725173560417E-8</v>
      </c>
      <c r="Y390" s="147">
        <f t="shared" si="114"/>
        <v>9.24910945707078E-4</v>
      </c>
      <c r="Z390" s="147">
        <f t="shared" ca="1" si="128"/>
        <v>0</v>
      </c>
      <c r="AA390" s="147">
        <f t="shared" ca="1" si="115"/>
        <v>9.5173336313258317E-9</v>
      </c>
      <c r="AB390" s="147">
        <f t="shared" ca="1" si="116"/>
        <v>1.3735482490317532E-7</v>
      </c>
      <c r="AC390" s="147">
        <f t="shared" ca="1" si="117"/>
        <v>7.4547822223990483E-10</v>
      </c>
      <c r="AD390" s="147">
        <f t="shared" ca="1" si="118"/>
        <v>1.0714908323827358E-10</v>
      </c>
      <c r="AH390" s="147">
        <f t="shared" si="129"/>
        <v>749</v>
      </c>
      <c r="AI390" s="147">
        <f>IF($AH390&gt;$AH389,INDEX(Spectra!390:390,1,MATCH($AI$20,Spectra!$20:$20,0)),AI389)</f>
        <v>64.742099999999994</v>
      </c>
      <c r="AJ390" s="147">
        <f>((Physics!$C$9*Physics!$C$10)/(Physics!$C$11*Physics!$C$12*$AH390))^($AJ$17-$AJ$18)</f>
        <v>3.7716090640160353E+18</v>
      </c>
      <c r="AK390" s="147">
        <f t="shared" si="130"/>
        <v>1</v>
      </c>
      <c r="AL390" s="147">
        <f>INDEX(Photobiology!$21:$421,1+$AH390-380,10)</f>
        <v>1.287925E-4</v>
      </c>
      <c r="AM390" s="147">
        <f t="shared" si="131"/>
        <v>8.970406654600254E-4</v>
      </c>
      <c r="AN390" s="147">
        <f ca="1">INDEX(Photobiology!$21:$421,1+$AH390-380,AN$14)</f>
        <v>0</v>
      </c>
      <c r="AO390" s="147">
        <f ca="1">INDEX(Photobiology!$21:$421,1+$AH390-380,AO$14)</f>
        <v>1.029E-5</v>
      </c>
      <c r="AP390" s="147">
        <f ca="1">INDEX(Photobiology!$21:$421,1+$AH390-380,AP$14)</f>
        <v>1.4850599999999999E-4</v>
      </c>
      <c r="AQ390" s="147">
        <f ca="1">INDEX(Photobiology!$21:$421,1+$AH390-380,AQ$14)</f>
        <v>8.0599999999999999E-7</v>
      </c>
      <c r="AR390" s="147">
        <f ca="1">INDEX(Photobiology!$21:$421,1+$AH390-380,AR$14)</f>
        <v>1.1584800000000001E-7</v>
      </c>
      <c r="AS390" s="147">
        <f t="shared" si="132"/>
        <v>3383286704640008</v>
      </c>
      <c r="AT390" s="147" t="str">
        <f ca="1">INDEX(Photobiology!$21:$421,1+$AH390-380,AT$14)</f>
        <v/>
      </c>
      <c r="AU390" s="147">
        <f ca="1">INDEX(Photobiology!$21:$421,1+$AH390-380,AU$14)</f>
        <v>7.426630656957334E-6</v>
      </c>
      <c r="AV390" s="147">
        <f ca="1">INDEX(Photobiology!$21:$421,1+$AH390-380,AV$14)</f>
        <v>1.1236333481471557E-4</v>
      </c>
      <c r="AW390" s="147">
        <f ca="1">INDEX(Photobiology!$21:$421,1+$AH390-380,AW$14)</f>
        <v>5.4398710149139008E-7</v>
      </c>
      <c r="AX390" s="147">
        <f ca="1">INDEX(Photobiology!$21:$421,1+$AH390-380,AX$14)</f>
        <v>7.5629725173560417E-8</v>
      </c>
      <c r="AY390" s="147">
        <f t="shared" si="119"/>
        <v>8.970406654600254E-4</v>
      </c>
      <c r="AZ390" s="147">
        <f t="shared" ca="1" si="133"/>
        <v>0</v>
      </c>
      <c r="BA390" s="147">
        <f t="shared" ca="1" si="120"/>
        <v>9.2305484475836607E-9</v>
      </c>
      <c r="BB390" s="147">
        <f t="shared" ca="1" si="121"/>
        <v>1.3321592106480652E-7</v>
      </c>
      <c r="BC390" s="147">
        <f t="shared" ca="1" si="122"/>
        <v>7.230147763607805E-10</v>
      </c>
      <c r="BD390" s="147">
        <f t="shared" ca="1" si="123"/>
        <v>1.0392036701221302E-10</v>
      </c>
    </row>
    <row r="391" spans="8:56" s="147" customFormat="1" ht="0.25" customHeight="1" x14ac:dyDescent="0.2">
      <c r="H391" s="147">
        <f t="shared" si="124"/>
        <v>750</v>
      </c>
      <c r="I391" s="147">
        <f>IF($H391&gt;$H390,INDEX(Spectra!391:391,1,MATCH($I$20,Spectra!$20:$20,0)),I390)</f>
        <v>9.24910945707078E-4</v>
      </c>
      <c r="J391" s="147">
        <f>((Physics!$C$9*Physics!$C$10)/(Physics!$C$11*Physics!$C$12*$H391))^($J$17-$J$18)</f>
        <v>3.7766445901362166E+18</v>
      </c>
      <c r="K391" s="147">
        <f t="shared" si="125"/>
        <v>1</v>
      </c>
      <c r="L391" s="147">
        <f>INDEX(Photobiology!$21:$421,1+$H391-380,10)</f>
        <v>1.2E-4</v>
      </c>
      <c r="M391" s="147">
        <f t="shared" si="126"/>
        <v>9.24910945707078E-4</v>
      </c>
      <c r="N391" s="147">
        <f ca="1">INDEX(Photobiology!$21:$421,1+$H391-380,N$14)</f>
        <v>0</v>
      </c>
      <c r="O391" s="147">
        <f ca="1">INDEX(Photobiology!$21:$421,1+$H391-380,O$14)</f>
        <v>9.6339699999999992E-6</v>
      </c>
      <c r="P391" s="147">
        <f ca="1">INDEX(Photobiology!$21:$421,1+$H391-380,P$14)</f>
        <v>1.3848199999999999E-4</v>
      </c>
      <c r="Q391" s="147">
        <f ca="1">INDEX(Photobiology!$21:$421,1+$H391-380,Q$14)</f>
        <v>7.6000000000000003E-7</v>
      </c>
      <c r="R391" s="147">
        <f ca="1">INDEX(Photobiology!$21:$421,1+$H391-380,R$14)</f>
        <v>1.09332E-7</v>
      </c>
      <c r="S391" s="147">
        <f t="shared" si="127"/>
        <v>3493059919462408</v>
      </c>
      <c r="T391" s="147" t="str">
        <f ca="1">INDEX(Photobiology!$21:$421,1+$H391-380,T$14)</f>
        <v/>
      </c>
      <c r="U391" s="147">
        <f ca="1">INDEX(Photobiology!$21:$421,1+$H391-380,U$14)</f>
        <v>6.9438814092264622E-6</v>
      </c>
      <c r="V391" s="147">
        <f ca="1">INDEX(Photobiology!$21:$421,1+$H391-380,V$14)</f>
        <v>1.046392217555903E-4</v>
      </c>
      <c r="W391" s="147">
        <f ca="1">INDEX(Photobiology!$21:$421,1+$H391-380,W$14)</f>
        <v>5.1225677031093282E-7</v>
      </c>
      <c r="X391" s="147">
        <f ca="1">INDEX(Photobiology!$21:$421,1+$H391-380,X$14)</f>
        <v>7.1280679112792682E-8</v>
      </c>
      <c r="Y391" s="147">
        <f t="shared" si="114"/>
        <v>9.24910945707078E-4</v>
      </c>
      <c r="Z391" s="147">
        <f t="shared" ca="1" si="128"/>
        <v>0</v>
      </c>
      <c r="AA391" s="147">
        <f t="shared" ca="1" si="115"/>
        <v>8.9105643036136175E-9</v>
      </c>
      <c r="AB391" s="147">
        <f t="shared" ca="1" si="116"/>
        <v>1.2808351758340757E-7</v>
      </c>
      <c r="AC391" s="147">
        <f t="shared" ca="1" si="117"/>
        <v>7.0293231873737928E-10</v>
      </c>
      <c r="AD391" s="147">
        <f t="shared" ca="1" si="118"/>
        <v>1.0112236351604625E-10</v>
      </c>
      <c r="AH391" s="147">
        <f t="shared" si="129"/>
        <v>750</v>
      </c>
      <c r="AI391" s="147">
        <f>IF($AH391&gt;$AH390,INDEX(Spectra!391:391,1,MATCH($AI$20,Spectra!$20:$20,0)),AI390)</f>
        <v>63.592700000000001</v>
      </c>
      <c r="AJ391" s="147">
        <f>((Physics!$C$9*Physics!$C$10)/(Physics!$C$11*Physics!$C$12*$AH391))^($AJ$17-$AJ$18)</f>
        <v>3.7766445901362166E+18</v>
      </c>
      <c r="AK391" s="147">
        <f t="shared" si="130"/>
        <v>1</v>
      </c>
      <c r="AL391" s="147">
        <f>INDEX(Photobiology!$21:$421,1+$AH391-380,10)</f>
        <v>1.2E-4</v>
      </c>
      <c r="AM391" s="147">
        <f t="shared" si="131"/>
        <v>8.8111503838151316E-4</v>
      </c>
      <c r="AN391" s="147">
        <f ca="1">INDEX(Photobiology!$21:$421,1+$AH391-380,AN$14)</f>
        <v>0</v>
      </c>
      <c r="AO391" s="147">
        <f ca="1">INDEX(Photobiology!$21:$421,1+$AH391-380,AO$14)</f>
        <v>9.6339699999999992E-6</v>
      </c>
      <c r="AP391" s="147">
        <f ca="1">INDEX(Photobiology!$21:$421,1+$AH391-380,AP$14)</f>
        <v>1.3848199999999999E-4</v>
      </c>
      <c r="AQ391" s="147">
        <f ca="1">INDEX(Photobiology!$21:$421,1+$AH391-380,AQ$14)</f>
        <v>7.6000000000000003E-7</v>
      </c>
      <c r="AR391" s="147">
        <f ca="1">INDEX(Photobiology!$21:$421,1+$AH391-380,AR$14)</f>
        <v>1.09332E-7</v>
      </c>
      <c r="AS391" s="147">
        <f t="shared" si="132"/>
        <v>3327658342991206.5</v>
      </c>
      <c r="AT391" s="147" t="str">
        <f ca="1">INDEX(Photobiology!$21:$421,1+$AH391-380,AT$14)</f>
        <v/>
      </c>
      <c r="AU391" s="147">
        <f ca="1">INDEX(Photobiology!$21:$421,1+$AH391-380,AU$14)</f>
        <v>6.9438814092264622E-6</v>
      </c>
      <c r="AV391" s="147">
        <f ca="1">INDEX(Photobiology!$21:$421,1+$AH391-380,AV$14)</f>
        <v>1.046392217555903E-4</v>
      </c>
      <c r="AW391" s="147">
        <f ca="1">INDEX(Photobiology!$21:$421,1+$AH391-380,AW$14)</f>
        <v>5.1225677031093282E-7</v>
      </c>
      <c r="AX391" s="147">
        <f ca="1">INDEX(Photobiology!$21:$421,1+$AH391-380,AX$14)</f>
        <v>7.1280679112792682E-8</v>
      </c>
      <c r="AY391" s="147">
        <f t="shared" si="119"/>
        <v>8.8111503838151316E-4</v>
      </c>
      <c r="AZ391" s="147">
        <f t="shared" ca="1" si="133"/>
        <v>0</v>
      </c>
      <c r="BA391" s="147">
        <f t="shared" ca="1" si="120"/>
        <v>8.488635846316346E-9</v>
      </c>
      <c r="BB391" s="147">
        <f t="shared" ca="1" si="121"/>
        <v>1.2201857274514871E-7</v>
      </c>
      <c r="BC391" s="147">
        <f t="shared" ca="1" si="122"/>
        <v>6.6964742916994999E-10</v>
      </c>
      <c r="BD391" s="147">
        <f t="shared" ca="1" si="123"/>
        <v>9.6334069376327598E-11</v>
      </c>
    </row>
    <row r="392" spans="8:56" s="147" customFormat="1" ht="0.25" customHeight="1" x14ac:dyDescent="0.2">
      <c r="H392" s="147">
        <f t="shared" si="124"/>
        <v>751</v>
      </c>
      <c r="I392" s="147">
        <f>IF($H392&gt;$H391,INDEX(Spectra!392:392,1,MATCH($I$20,Spectra!$20:$20,0)),I391)</f>
        <v>9.24910945707078E-4</v>
      </c>
      <c r="J392" s="147">
        <f>((Physics!$C$9*Physics!$C$10)/(Physics!$C$11*Physics!$C$12*$H392))^($J$17-$J$18)</f>
        <v>3.7816801162563983E+18</v>
      </c>
      <c r="K392" s="147">
        <f t="shared" si="125"/>
        <v>1</v>
      </c>
      <c r="L392" s="147">
        <f>INDEX(Photobiology!$21:$421,1+$H392-380,10)</f>
        <v>1.118595E-4</v>
      </c>
      <c r="M392" s="147">
        <f t="shared" si="126"/>
        <v>9.24910945707078E-4</v>
      </c>
      <c r="N392" s="147">
        <f ca="1">INDEX(Photobiology!$21:$421,1+$H392-380,N$14)</f>
        <v>0</v>
      </c>
      <c r="O392" s="147">
        <f ca="1">INDEX(Photobiology!$21:$421,1+$H392-380,O$14)</f>
        <v>9.0226299999999994E-6</v>
      </c>
      <c r="P392" s="147">
        <f ca="1">INDEX(Photobiology!$21:$421,1+$H392-380,P$14)</f>
        <v>1.2917899999999999E-4</v>
      </c>
      <c r="Q392" s="147">
        <f ca="1">INDEX(Photobiology!$21:$421,1+$H392-380,Q$14)</f>
        <v>7.1600000000000001E-7</v>
      </c>
      <c r="R392" s="147">
        <f ca="1">INDEX(Photobiology!$21:$421,1+$H392-380,R$14)</f>
        <v>1.03202E-7</v>
      </c>
      <c r="S392" s="147">
        <f t="shared" si="127"/>
        <v>3497717332688358</v>
      </c>
      <c r="T392" s="147" t="str">
        <f ca="1">INDEX(Photobiology!$21:$421,1+$H392-380,T$14)</f>
        <v/>
      </c>
      <c r="U392" s="147">
        <f ca="1">INDEX(Photobiology!$21:$421,1+$H392-380,U$14)</f>
        <v>6.4945861213520078E-6</v>
      </c>
      <c r="V392" s="147">
        <f ca="1">INDEX(Photobiology!$21:$421,1+$H392-380,V$14)</f>
        <v>9.7479752644323065E-5</v>
      </c>
      <c r="W392" s="147">
        <f ca="1">INDEX(Photobiology!$21:$421,1+$H392-380,W$14)</f>
        <v>4.8195718981177883E-7</v>
      </c>
      <c r="X392" s="147">
        <f ca="1">INDEX(Photobiology!$21:$421,1+$H392-380,X$14)</f>
        <v>6.7194538604788888E-8</v>
      </c>
      <c r="Y392" s="147">
        <f t="shared" si="114"/>
        <v>9.24910945707078E-4</v>
      </c>
      <c r="Z392" s="147">
        <f t="shared" ca="1" si="128"/>
        <v>0</v>
      </c>
      <c r="AA392" s="147">
        <f t="shared" ca="1" si="115"/>
        <v>8.3451292460650525E-9</v>
      </c>
      <c r="AB392" s="147">
        <f t="shared" ca="1" si="116"/>
        <v>1.1947907105549461E-7</v>
      </c>
      <c r="AC392" s="147">
        <f t="shared" ca="1" si="117"/>
        <v>6.6223623712626783E-10</v>
      </c>
      <c r="AD392" s="147">
        <f t="shared" ca="1" si="118"/>
        <v>9.5452659418861858E-11</v>
      </c>
      <c r="AH392" s="147">
        <f t="shared" si="129"/>
        <v>751</v>
      </c>
      <c r="AI392" s="147">
        <f>IF($AH392&gt;$AH391,INDEX(Spectra!392:392,1,MATCH($AI$20,Spectra!$20:$20,0)),AI391)</f>
        <v>61.8752</v>
      </c>
      <c r="AJ392" s="147">
        <f>((Physics!$C$9*Physics!$C$10)/(Physics!$C$11*Physics!$C$12*$AH392))^($AJ$17-$AJ$18)</f>
        <v>3.7816801162563983E+18</v>
      </c>
      <c r="AK392" s="147">
        <f t="shared" si="130"/>
        <v>1</v>
      </c>
      <c r="AL392" s="147">
        <f>INDEX(Photobiology!$21:$421,1+$AH392-380,10)</f>
        <v>1.118595E-4</v>
      </c>
      <c r="AM392" s="147">
        <f t="shared" si="131"/>
        <v>8.5731804472626266E-4</v>
      </c>
      <c r="AN392" s="147">
        <f ca="1">INDEX(Photobiology!$21:$421,1+$AH392-380,AN$14)</f>
        <v>0</v>
      </c>
      <c r="AO392" s="147">
        <f ca="1">INDEX(Photobiology!$21:$421,1+$AH392-380,AO$14)</f>
        <v>9.0226299999999994E-6</v>
      </c>
      <c r="AP392" s="147">
        <f ca="1">INDEX(Photobiology!$21:$421,1+$AH392-380,AP$14)</f>
        <v>1.2917899999999999E-4</v>
      </c>
      <c r="AQ392" s="147">
        <f ca="1">INDEX(Photobiology!$21:$421,1+$AH392-380,AQ$14)</f>
        <v>7.1600000000000001E-7</v>
      </c>
      <c r="AR392" s="147">
        <f ca="1">INDEX(Photobiology!$21:$421,1+$AH392-380,AR$14)</f>
        <v>1.03202E-7</v>
      </c>
      <c r="AS392" s="147">
        <f t="shared" si="132"/>
        <v>3242102603049121</v>
      </c>
      <c r="AT392" s="147" t="str">
        <f ca="1">INDEX(Photobiology!$21:$421,1+$AH392-380,AT$14)</f>
        <v/>
      </c>
      <c r="AU392" s="147">
        <f ca="1">INDEX(Photobiology!$21:$421,1+$AH392-380,AU$14)</f>
        <v>6.4945861213520078E-6</v>
      </c>
      <c r="AV392" s="147">
        <f ca="1">INDEX(Photobiology!$21:$421,1+$AH392-380,AV$14)</f>
        <v>9.7479752644323065E-5</v>
      </c>
      <c r="AW392" s="147">
        <f ca="1">INDEX(Photobiology!$21:$421,1+$AH392-380,AW$14)</f>
        <v>4.8195718981177883E-7</v>
      </c>
      <c r="AX392" s="147">
        <f ca="1">INDEX(Photobiology!$21:$421,1+$AH392-380,AX$14)</f>
        <v>6.7194538604788888E-8</v>
      </c>
      <c r="AY392" s="147">
        <f t="shared" si="119"/>
        <v>8.5731804472626266E-4</v>
      </c>
      <c r="AZ392" s="147">
        <f t="shared" ca="1" si="133"/>
        <v>0</v>
      </c>
      <c r="BA392" s="147">
        <f t="shared" ca="1" si="120"/>
        <v>7.7352635098885181E-9</v>
      </c>
      <c r="BB392" s="147">
        <f t="shared" ca="1" si="121"/>
        <v>1.1074748769969388E-7</v>
      </c>
      <c r="BC392" s="147">
        <f t="shared" ca="1" si="122"/>
        <v>6.1383972002400407E-10</v>
      </c>
      <c r="BD392" s="147">
        <f t="shared" ca="1" si="123"/>
        <v>8.8476936851839761E-11</v>
      </c>
    </row>
    <row r="393" spans="8:56" s="147" customFormat="1" ht="0.25" customHeight="1" x14ac:dyDescent="0.2">
      <c r="H393" s="147">
        <f t="shared" si="124"/>
        <v>752</v>
      </c>
      <c r="I393" s="147">
        <f>IF($H393&gt;$H392,INDEX(Spectra!393:393,1,MATCH($I$20,Spectra!$20:$20,0)),I392)</f>
        <v>9.24910945707078E-4</v>
      </c>
      <c r="J393" s="147">
        <f>((Physics!$C$9*Physics!$C$10)/(Physics!$C$11*Physics!$C$12*$H393))^($J$17-$J$18)</f>
        <v>3.7867156423765801E+18</v>
      </c>
      <c r="K393" s="147">
        <f t="shared" si="125"/>
        <v>1</v>
      </c>
      <c r="L393" s="147">
        <f>INDEX(Photobiology!$21:$421,1+$H393-380,10)</f>
        <v>1.043224E-4</v>
      </c>
      <c r="M393" s="147">
        <f t="shared" si="126"/>
        <v>9.24910945707078E-4</v>
      </c>
      <c r="N393" s="147">
        <f ca="1">INDEX(Photobiology!$21:$421,1+$H393-380,N$14)</f>
        <v>0</v>
      </c>
      <c r="O393" s="147">
        <f ca="1">INDEX(Photobiology!$21:$421,1+$H393-380,O$14)</f>
        <v>8.4530099999999992E-6</v>
      </c>
      <c r="P393" s="147">
        <f ca="1">INDEX(Photobiology!$21:$421,1+$H393-380,P$14)</f>
        <v>1.20542E-4</v>
      </c>
      <c r="Q393" s="147">
        <f ca="1">INDEX(Photobiology!$21:$421,1+$H393-380,Q$14)</f>
        <v>6.75E-7</v>
      </c>
      <c r="R393" s="147">
        <f ca="1">INDEX(Photobiology!$21:$421,1+$H393-380,R$14)</f>
        <v>9.7400499999999999E-8</v>
      </c>
      <c r="S393" s="147">
        <f t="shared" si="127"/>
        <v>3502374745914308</v>
      </c>
      <c r="T393" s="147" t="str">
        <f ca="1">INDEX(Photobiology!$21:$421,1+$H393-380,T$14)</f>
        <v/>
      </c>
      <c r="U393" s="147">
        <f ca="1">INDEX(Photobiology!$21:$421,1+$H393-380,U$14)</f>
        <v>6.0764763383120382E-6</v>
      </c>
      <c r="V393" s="147">
        <f ca="1">INDEX(Photobiology!$21:$421,1+$H393-380,V$14)</f>
        <v>9.0841226558198275E-5</v>
      </c>
      <c r="W393" s="147">
        <f ca="1">INDEX(Photobiology!$21:$421,1+$H393-380,W$14)</f>
        <v>4.537548816662754E-7</v>
      </c>
      <c r="X393" s="147">
        <f ca="1">INDEX(Photobiology!$21:$421,1+$H393-380,X$14)</f>
        <v>6.3332866516910186E-8</v>
      </c>
      <c r="Y393" s="147">
        <f t="shared" si="114"/>
        <v>9.24910945707078E-4</v>
      </c>
      <c r="Z393" s="147">
        <f t="shared" ca="1" si="128"/>
        <v>0</v>
      </c>
      <c r="AA393" s="147">
        <f t="shared" ca="1" si="115"/>
        <v>7.8182814731713875E-9</v>
      </c>
      <c r="AB393" s="147">
        <f t="shared" ca="1" si="116"/>
        <v>1.1149061521742259E-7</v>
      </c>
      <c r="AC393" s="147">
        <f t="shared" ca="1" si="117"/>
        <v>6.2431488835227768E-10</v>
      </c>
      <c r="AD393" s="147">
        <f t="shared" ca="1" si="118"/>
        <v>9.0086788567342247E-11</v>
      </c>
      <c r="AH393" s="147">
        <f t="shared" si="129"/>
        <v>752</v>
      </c>
      <c r="AI393" s="147">
        <f>IF($AH393&gt;$AH392,INDEX(Spectra!393:393,1,MATCH($AI$20,Spectra!$20:$20,0)),AI392)</f>
        <v>60.157800000000002</v>
      </c>
      <c r="AJ393" s="147">
        <f>((Physics!$C$9*Physics!$C$10)/(Physics!$C$11*Physics!$C$12*$AH393))^($AJ$17-$AJ$18)</f>
        <v>3.7867156423765801E+18</v>
      </c>
      <c r="AK393" s="147">
        <f t="shared" si="130"/>
        <v>1</v>
      </c>
      <c r="AL393" s="147">
        <f>INDEX(Photobiology!$21:$421,1+$AH393-380,10)</f>
        <v>1.043224E-4</v>
      </c>
      <c r="AM393" s="147">
        <f t="shared" si="131"/>
        <v>8.3352243663105028E-4</v>
      </c>
      <c r="AN393" s="147">
        <f ca="1">INDEX(Photobiology!$21:$421,1+$AH393-380,AN$14)</f>
        <v>0</v>
      </c>
      <c r="AO393" s="147">
        <f ca="1">INDEX(Photobiology!$21:$421,1+$AH393-380,AO$14)</f>
        <v>8.4530099999999992E-6</v>
      </c>
      <c r="AP393" s="147">
        <f ca="1">INDEX(Photobiology!$21:$421,1+$AH393-380,AP$14)</f>
        <v>1.20542E-4</v>
      </c>
      <c r="AQ393" s="147">
        <f ca="1">INDEX(Photobiology!$21:$421,1+$AH393-380,AQ$14)</f>
        <v>6.75E-7</v>
      </c>
      <c r="AR393" s="147">
        <f ca="1">INDEX(Photobiology!$21:$421,1+$AH393-380,AR$14)</f>
        <v>9.7400499999999999E-8</v>
      </c>
      <c r="AS393" s="147">
        <f t="shared" si="132"/>
        <v>3156312449062640</v>
      </c>
      <c r="AT393" s="147" t="str">
        <f ca="1">INDEX(Photobiology!$21:$421,1+$AH393-380,AT$14)</f>
        <v/>
      </c>
      <c r="AU393" s="147">
        <f ca="1">INDEX(Photobiology!$21:$421,1+$AH393-380,AU$14)</f>
        <v>6.0764763383120382E-6</v>
      </c>
      <c r="AV393" s="147">
        <f ca="1">INDEX(Photobiology!$21:$421,1+$AH393-380,AV$14)</f>
        <v>9.0841226558198275E-5</v>
      </c>
      <c r="AW393" s="147">
        <f ca="1">INDEX(Photobiology!$21:$421,1+$AH393-380,AW$14)</f>
        <v>4.537548816662754E-7</v>
      </c>
      <c r="AX393" s="147">
        <f ca="1">INDEX(Photobiology!$21:$421,1+$AH393-380,AX$14)</f>
        <v>6.3332866516910186E-8</v>
      </c>
      <c r="AY393" s="147">
        <f t="shared" si="119"/>
        <v>8.3352243663105028E-4</v>
      </c>
      <c r="AZ393" s="147">
        <f t="shared" ca="1" si="133"/>
        <v>0</v>
      </c>
      <c r="BA393" s="147">
        <f t="shared" ca="1" si="120"/>
        <v>7.0457734920666336E-9</v>
      </c>
      <c r="BB393" s="147">
        <f t="shared" ca="1" si="121"/>
        <v>1.0047446155638006E-7</v>
      </c>
      <c r="BC393" s="147">
        <f t="shared" ca="1" si="122"/>
        <v>5.6262764472595889E-10</v>
      </c>
      <c r="BD393" s="147">
        <f t="shared" ca="1" si="123"/>
        <v>8.1185502089082616E-11</v>
      </c>
    </row>
    <row r="394" spans="8:56" s="147" customFormat="1" ht="0.25" customHeight="1" x14ac:dyDescent="0.2">
      <c r="H394" s="147">
        <f t="shared" si="124"/>
        <v>753</v>
      </c>
      <c r="I394" s="147">
        <f>IF($H394&gt;$H393,INDEX(Spectra!394:394,1,MATCH($I$20,Spectra!$20:$20,0)),I393)</f>
        <v>9.2991046433252202E-4</v>
      </c>
      <c r="J394" s="147">
        <f>((Physics!$C$9*Physics!$C$10)/(Physics!$C$11*Physics!$C$12*$H394))^($J$17-$J$18)</f>
        <v>3.7917511684967619E+18</v>
      </c>
      <c r="K394" s="147">
        <f t="shared" si="125"/>
        <v>1</v>
      </c>
      <c r="L394" s="147">
        <f>INDEX(Photobiology!$21:$421,1+$H394-380,10)</f>
        <v>9.7335600000000004E-5</v>
      </c>
      <c r="M394" s="147">
        <f t="shared" si="126"/>
        <v>9.2991046433252202E-4</v>
      </c>
      <c r="N394" s="147">
        <f ca="1">INDEX(Photobiology!$21:$421,1+$H394-380,N$14)</f>
        <v>0</v>
      </c>
      <c r="O394" s="147">
        <f ca="1">INDEX(Photobiology!$21:$421,1+$H394-380,O$14)</f>
        <v>7.9220699999999995E-6</v>
      </c>
      <c r="P394" s="147">
        <f ca="1">INDEX(Photobiology!$21:$421,1+$H394-380,P$14)</f>
        <v>1.12519E-4</v>
      </c>
      <c r="Q394" s="147">
        <f ca="1">INDEX(Photobiology!$21:$421,1+$H394-380,Q$14)</f>
        <v>6.37E-7</v>
      </c>
      <c r="R394" s="147">
        <f ca="1">INDEX(Photobiology!$21:$421,1+$H394-380,R$14)</f>
        <v>9.1927399999999995E-8</v>
      </c>
      <c r="S394" s="147">
        <f t="shared" si="127"/>
        <v>3525989089730207</v>
      </c>
      <c r="T394" s="147" t="str">
        <f ca="1">INDEX(Photobiology!$21:$421,1+$H394-380,T$14)</f>
        <v/>
      </c>
      <c r="U394" s="147">
        <f ca="1">INDEX(Photobiology!$21:$421,1+$H394-380,U$14)</f>
        <v>5.6872454023869438E-6</v>
      </c>
      <c r="V394" s="147">
        <f ca="1">INDEX(Photobiology!$21:$421,1+$H394-380,V$14)</f>
        <v>8.4682432534396917E-5</v>
      </c>
      <c r="W394" s="147">
        <f ca="1">INDEX(Photobiology!$21:$421,1+$H394-380,W$14)</f>
        <v>4.2764149020767479E-7</v>
      </c>
      <c r="X394" s="147">
        <f ca="1">INDEX(Photobiology!$21:$421,1+$H394-380,X$14)</f>
        <v>5.9694703615871066E-8</v>
      </c>
      <c r="Y394" s="147">
        <f t="shared" si="114"/>
        <v>9.2991046433252202E-4</v>
      </c>
      <c r="Z394" s="147">
        <f t="shared" ca="1" si="128"/>
        <v>0</v>
      </c>
      <c r="AA394" s="147">
        <f t="shared" ca="1" si="115"/>
        <v>7.3668157921747423E-9</v>
      </c>
      <c r="AB394" s="147">
        <f t="shared" ca="1" si="116"/>
        <v>1.0463259553623105E-7</v>
      </c>
      <c r="AC394" s="147">
        <f t="shared" ca="1" si="117"/>
        <v>5.9235296577981656E-10</v>
      </c>
      <c r="AD394" s="147">
        <f t="shared" ca="1" si="118"/>
        <v>8.548425121888148E-11</v>
      </c>
      <c r="AH394" s="147">
        <f t="shared" si="129"/>
        <v>753</v>
      </c>
      <c r="AI394" s="147">
        <f>IF($AH394&gt;$AH393,INDEX(Spectra!394:394,1,MATCH($AI$20,Spectra!$20:$20,0)),AI393)</f>
        <v>58.440300000000001</v>
      </c>
      <c r="AJ394" s="147">
        <f>((Physics!$C$9*Physics!$C$10)/(Physics!$C$11*Physics!$C$12*$AH394))^($AJ$17-$AJ$18)</f>
        <v>3.7917511684967619E+18</v>
      </c>
      <c r="AK394" s="147">
        <f t="shared" si="130"/>
        <v>1</v>
      </c>
      <c r="AL394" s="147">
        <f>INDEX(Photobiology!$21:$421,1+$AH394-380,10)</f>
        <v>9.7335600000000004E-5</v>
      </c>
      <c r="AM394" s="147">
        <f t="shared" si="131"/>
        <v>8.0972544297579978E-4</v>
      </c>
      <c r="AN394" s="147">
        <f ca="1">INDEX(Photobiology!$21:$421,1+$AH394-380,AN$14)</f>
        <v>0</v>
      </c>
      <c r="AO394" s="147">
        <f ca="1">INDEX(Photobiology!$21:$421,1+$AH394-380,AO$14)</f>
        <v>7.9220699999999995E-6</v>
      </c>
      <c r="AP394" s="147">
        <f ca="1">INDEX(Photobiology!$21:$421,1+$AH394-380,AP$14)</f>
        <v>1.12519E-4</v>
      </c>
      <c r="AQ394" s="147">
        <f ca="1">INDEX(Photobiology!$21:$421,1+$AH394-380,AQ$14)</f>
        <v>6.37E-7</v>
      </c>
      <c r="AR394" s="147">
        <f ca="1">INDEX(Photobiology!$21:$421,1+$AH394-380,AR$14)</f>
        <v>9.1927399999999995E-8</v>
      </c>
      <c r="AS394" s="147">
        <f t="shared" si="132"/>
        <v>3070277394565047</v>
      </c>
      <c r="AT394" s="147" t="str">
        <f ca="1">INDEX(Photobiology!$21:$421,1+$AH394-380,AT$14)</f>
        <v/>
      </c>
      <c r="AU394" s="147">
        <f ca="1">INDEX(Photobiology!$21:$421,1+$AH394-380,AU$14)</f>
        <v>5.6872454023869438E-6</v>
      </c>
      <c r="AV394" s="147">
        <f ca="1">INDEX(Photobiology!$21:$421,1+$AH394-380,AV$14)</f>
        <v>8.4682432534396917E-5</v>
      </c>
      <c r="AW394" s="147">
        <f ca="1">INDEX(Photobiology!$21:$421,1+$AH394-380,AW$14)</f>
        <v>4.2764149020767479E-7</v>
      </c>
      <c r="AX394" s="147">
        <f ca="1">INDEX(Photobiology!$21:$421,1+$AH394-380,AX$14)</f>
        <v>5.9694703615871066E-8</v>
      </c>
      <c r="AY394" s="147">
        <f t="shared" si="119"/>
        <v>8.0972544297579978E-4</v>
      </c>
      <c r="AZ394" s="147">
        <f t="shared" ca="1" si="133"/>
        <v>0</v>
      </c>
      <c r="BA394" s="147">
        <f t="shared" ca="1" si="120"/>
        <v>6.4147016400352934E-9</v>
      </c>
      <c r="BB394" s="147">
        <f t="shared" ca="1" si="121"/>
        <v>9.1109497118194013E-8</v>
      </c>
      <c r="BC394" s="147">
        <f t="shared" ca="1" si="122"/>
        <v>5.1579510717558451E-10</v>
      </c>
      <c r="BD394" s="147">
        <f t="shared" ca="1" si="123"/>
        <v>7.4435954686613527E-11</v>
      </c>
    </row>
    <row r="395" spans="8:56" s="147" customFormat="1" ht="0.25" customHeight="1" x14ac:dyDescent="0.2">
      <c r="H395" s="147">
        <f t="shared" si="124"/>
        <v>754</v>
      </c>
      <c r="I395" s="147">
        <f>IF($H395&gt;$H394,INDEX(Spectra!395:395,1,MATCH($I$20,Spectra!$20:$20,0)),I394)</f>
        <v>9.2991046433252202E-4</v>
      </c>
      <c r="J395" s="147">
        <f>((Physics!$C$9*Physics!$C$10)/(Physics!$C$11*Physics!$C$12*$H395))^($J$17-$J$18)</f>
        <v>3.7967866946169431E+18</v>
      </c>
      <c r="K395" s="147">
        <f t="shared" si="125"/>
        <v>1</v>
      </c>
      <c r="L395" s="147">
        <f>INDEX(Photobiology!$21:$421,1+$H395-380,10)</f>
        <v>9.0845869999999995E-5</v>
      </c>
      <c r="M395" s="147">
        <f t="shared" si="126"/>
        <v>9.2991046433252202E-4</v>
      </c>
      <c r="N395" s="147">
        <f ca="1">INDEX(Photobiology!$21:$421,1+$H395-380,N$14)</f>
        <v>0</v>
      </c>
      <c r="O395" s="147">
        <f ca="1">INDEX(Photobiology!$21:$421,1+$H395-380,O$14)</f>
        <v>7.4270000000000002E-6</v>
      </c>
      <c r="P395" s="147">
        <f ca="1">INDEX(Photobiology!$21:$421,1+$H395-380,P$14)</f>
        <v>1.05061E-4</v>
      </c>
      <c r="Q395" s="147">
        <f ca="1">INDEX(Photobiology!$21:$421,1+$H395-380,Q$14)</f>
        <v>6.0100000000000005E-7</v>
      </c>
      <c r="R395" s="147">
        <f ca="1">INDEX(Photobiology!$21:$421,1+$H395-380,R$14)</f>
        <v>8.6780699999999998E-8</v>
      </c>
      <c r="S395" s="147">
        <f t="shared" si="127"/>
        <v>3530671678162783</v>
      </c>
      <c r="T395" s="147" t="str">
        <f ca="1">INDEX(Photobiology!$21:$421,1+$H395-380,T$14)</f>
        <v/>
      </c>
      <c r="U395" s="147">
        <f ca="1">INDEX(Photobiology!$21:$421,1+$H395-380,U$14)</f>
        <v>5.3247637905292113E-6</v>
      </c>
      <c r="V395" s="147">
        <f ca="1">INDEX(Photobiology!$21:$421,1+$H395-380,V$14)</f>
        <v>7.8964633058325974E-5</v>
      </c>
      <c r="W395" s="147">
        <f ca="1">INDEX(Photobiology!$21:$421,1+$H395-380,W$14)</f>
        <v>4.029382577440545E-7</v>
      </c>
      <c r="X395" s="147">
        <f ca="1">INDEX(Photobiology!$21:$421,1+$H395-380,X$14)</f>
        <v>5.6277863594465843E-8</v>
      </c>
      <c r="Y395" s="147">
        <f t="shared" si="114"/>
        <v>9.2991046433252202E-4</v>
      </c>
      <c r="Z395" s="147">
        <f t="shared" ca="1" si="128"/>
        <v>0</v>
      </c>
      <c r="AA395" s="147">
        <f t="shared" ca="1" si="115"/>
        <v>6.906445018597641E-9</v>
      </c>
      <c r="AB395" s="147">
        <f t="shared" ca="1" si="116"/>
        <v>9.7697323293239099E-8</v>
      </c>
      <c r="AC395" s="147">
        <f t="shared" ca="1" si="117"/>
        <v>5.5887618906384581E-10</v>
      </c>
      <c r="AD395" s="147">
        <f t="shared" ca="1" si="118"/>
        <v>8.0698281032101289E-11</v>
      </c>
      <c r="AH395" s="147">
        <f t="shared" si="129"/>
        <v>754</v>
      </c>
      <c r="AI395" s="147">
        <f>IF($AH395&gt;$AH394,INDEX(Spectra!395:395,1,MATCH($AI$20,Spectra!$20:$20,0)),AI394)</f>
        <v>56.722900000000003</v>
      </c>
      <c r="AJ395" s="147">
        <f>((Physics!$C$9*Physics!$C$10)/(Physics!$C$11*Physics!$C$12*$AH395))^($AJ$17-$AJ$18)</f>
        <v>3.7967866946169431E+18</v>
      </c>
      <c r="AK395" s="147">
        <f t="shared" si="130"/>
        <v>1</v>
      </c>
      <c r="AL395" s="147">
        <f>INDEX(Photobiology!$21:$421,1+$AH395-380,10)</f>
        <v>9.0845869999999995E-5</v>
      </c>
      <c r="AM395" s="147">
        <f t="shared" si="131"/>
        <v>7.859298348805874E-4</v>
      </c>
      <c r="AN395" s="147">
        <f ca="1">INDEX(Photobiology!$21:$421,1+$AH395-380,AN$14)</f>
        <v>0</v>
      </c>
      <c r="AO395" s="147">
        <f ca="1">INDEX(Photobiology!$21:$421,1+$AH395-380,AO$14)</f>
        <v>7.4270000000000002E-6</v>
      </c>
      <c r="AP395" s="147">
        <f ca="1">INDEX(Photobiology!$21:$421,1+$AH395-380,AP$14)</f>
        <v>1.05061E-4</v>
      </c>
      <c r="AQ395" s="147">
        <f ca="1">INDEX(Photobiology!$21:$421,1+$AH395-380,AQ$14)</f>
        <v>6.0100000000000005E-7</v>
      </c>
      <c r="AR395" s="147">
        <f ca="1">INDEX(Photobiology!$21:$421,1+$AH395-380,AR$14)</f>
        <v>8.6780699999999998E-8</v>
      </c>
      <c r="AS395" s="147">
        <f t="shared" si="132"/>
        <v>2984007939977105.5</v>
      </c>
      <c r="AT395" s="147" t="str">
        <f ca="1">INDEX(Photobiology!$21:$421,1+$AH395-380,AT$14)</f>
        <v/>
      </c>
      <c r="AU395" s="147">
        <f ca="1">INDEX(Photobiology!$21:$421,1+$AH395-380,AU$14)</f>
        <v>5.3247637905292113E-6</v>
      </c>
      <c r="AV395" s="147">
        <f ca="1">INDEX(Photobiology!$21:$421,1+$AH395-380,AV$14)</f>
        <v>7.8964633058325974E-5</v>
      </c>
      <c r="AW395" s="147">
        <f ca="1">INDEX(Photobiology!$21:$421,1+$AH395-380,AW$14)</f>
        <v>4.029382577440545E-7</v>
      </c>
      <c r="AX395" s="147">
        <f ca="1">INDEX(Photobiology!$21:$421,1+$AH395-380,AX$14)</f>
        <v>5.6277863594465843E-8</v>
      </c>
      <c r="AY395" s="147">
        <f t="shared" si="119"/>
        <v>7.859298348805874E-4</v>
      </c>
      <c r="AZ395" s="147">
        <f t="shared" ca="1" si="133"/>
        <v>0</v>
      </c>
      <c r="BA395" s="147">
        <f t="shared" ca="1" si="120"/>
        <v>5.8371008836581225E-9</v>
      </c>
      <c r="BB395" s="147">
        <f t="shared" ca="1" si="121"/>
        <v>8.2570574382389393E-8</v>
      </c>
      <c r="BC395" s="147">
        <f t="shared" ca="1" si="122"/>
        <v>4.7234383076323308E-10</v>
      </c>
      <c r="BD395" s="147">
        <f t="shared" ca="1" si="123"/>
        <v>6.8203541221821784E-11</v>
      </c>
    </row>
    <row r="396" spans="8:56" s="147" customFormat="1" ht="0.25" customHeight="1" x14ac:dyDescent="0.2">
      <c r="H396" s="147">
        <f t="shared" si="124"/>
        <v>755</v>
      </c>
      <c r="I396" s="147">
        <f>IF($H396&gt;$H395,INDEX(Spectra!396:396,1,MATCH($I$20,Spectra!$20:$20,0)),I395)</f>
        <v>9.3490998295796496E-4</v>
      </c>
      <c r="J396" s="147">
        <f>((Physics!$C$9*Physics!$C$10)/(Physics!$C$11*Physics!$C$12*$H396))^($J$17-$J$18)</f>
        <v>3.8018222207371249E+18</v>
      </c>
      <c r="K396" s="147">
        <f t="shared" si="125"/>
        <v>1</v>
      </c>
      <c r="L396" s="147">
        <f>INDEX(Photobiology!$21:$421,1+$H396-380,10)</f>
        <v>8.4800000000000001E-5</v>
      </c>
      <c r="M396" s="147">
        <f t="shared" si="126"/>
        <v>9.3490998295796496E-4</v>
      </c>
      <c r="N396" s="147">
        <f ca="1">INDEX(Photobiology!$21:$421,1+$H396-380,N$14)</f>
        <v>0</v>
      </c>
      <c r="O396" s="147">
        <f ca="1">INDEX(Photobiology!$21:$421,1+$H396-380,O$14)</f>
        <v>6.9652200000000004E-6</v>
      </c>
      <c r="P396" s="147">
        <f ca="1">INDEX(Photobiology!$21:$421,1+$H396-380,P$14)</f>
        <v>9.8122599999999995E-5</v>
      </c>
      <c r="Q396" s="147">
        <f ca="1">INDEX(Photobiology!$21:$421,1+$H396-380,Q$14)</f>
        <v>5.6700000000000003E-7</v>
      </c>
      <c r="R396" s="147">
        <f ca="1">INDEX(Photobiology!$21:$421,1+$H396-380,R$14)</f>
        <v>8.1958699999999997E-8</v>
      </c>
      <c r="S396" s="147">
        <f t="shared" si="127"/>
        <v>3554361547598558</v>
      </c>
      <c r="T396" s="147" t="str">
        <f ca="1">INDEX(Photobiology!$21:$421,1+$H396-380,T$14)</f>
        <v/>
      </c>
      <c r="U396" s="147">
        <f ca="1">INDEX(Photobiology!$21:$421,1+$H396-380,U$14)</f>
        <v>4.9870779412861231E-6</v>
      </c>
      <c r="V396" s="147">
        <f ca="1">INDEX(Photobiology!$21:$421,1+$H396-380,V$14)</f>
        <v>7.3651998050348519E-5</v>
      </c>
      <c r="W396" s="147">
        <f ca="1">INDEX(Photobiology!$21:$421,1+$H396-380,W$14)</f>
        <v>3.796395809946396E-7</v>
      </c>
      <c r="X396" s="147">
        <f ca="1">INDEX(Photobiology!$21:$421,1+$H396-380,X$14)</f>
        <v>5.3080366022892429E-8</v>
      </c>
      <c r="Y396" s="147">
        <f t="shared" si="114"/>
        <v>9.3490998295796496E-4</v>
      </c>
      <c r="Z396" s="147">
        <f t="shared" ca="1" si="128"/>
        <v>0</v>
      </c>
      <c r="AA396" s="147">
        <f t="shared" ca="1" si="115"/>
        <v>6.5118537114984768E-9</v>
      </c>
      <c r="AB396" s="147">
        <f t="shared" ca="1" si="116"/>
        <v>9.1735798293791211E-8</v>
      </c>
      <c r="AC396" s="147">
        <f t="shared" ca="1" si="117"/>
        <v>5.300939603371662E-10</v>
      </c>
      <c r="AD396" s="147">
        <f t="shared" ca="1" si="118"/>
        <v>7.6624006820256957E-11</v>
      </c>
      <c r="AH396" s="147">
        <f t="shared" si="129"/>
        <v>755</v>
      </c>
      <c r="AI396" s="147">
        <f>IF($AH396&gt;$AH395,INDEX(Spectra!396:396,1,MATCH($AI$20,Spectra!$20:$20,0)),AI395)</f>
        <v>55.005400000000002</v>
      </c>
      <c r="AJ396" s="147">
        <f>((Physics!$C$9*Physics!$C$10)/(Physics!$C$11*Physics!$C$12*$AH396))^($AJ$17-$AJ$18)</f>
        <v>3.8018222207371249E+18</v>
      </c>
      <c r="AK396" s="147">
        <f t="shared" si="130"/>
        <v>1</v>
      </c>
      <c r="AL396" s="147">
        <f>INDEX(Photobiology!$21:$421,1+$AH396-380,10)</f>
        <v>8.4800000000000001E-5</v>
      </c>
      <c r="AM396" s="147">
        <f t="shared" si="131"/>
        <v>7.6213284122533689E-4</v>
      </c>
      <c r="AN396" s="147">
        <f ca="1">INDEX(Photobiology!$21:$421,1+$AH396-380,AN$14)</f>
        <v>0</v>
      </c>
      <c r="AO396" s="147">
        <f ca="1">INDEX(Photobiology!$21:$421,1+$AH396-380,AO$14)</f>
        <v>6.9652200000000004E-6</v>
      </c>
      <c r="AP396" s="147">
        <f ca="1">INDEX(Photobiology!$21:$421,1+$AH396-380,AP$14)</f>
        <v>9.8122599999999995E-5</v>
      </c>
      <c r="AQ396" s="147">
        <f ca="1">INDEX(Photobiology!$21:$421,1+$AH396-380,AQ$14)</f>
        <v>5.6700000000000003E-7</v>
      </c>
      <c r="AR396" s="147">
        <f ca="1">INDEX(Photobiology!$21:$421,1+$AH396-380,AR$14)</f>
        <v>8.1958699999999997E-8</v>
      </c>
      <c r="AS396" s="147">
        <f t="shared" si="132"/>
        <v>2897493570924005</v>
      </c>
      <c r="AT396" s="147" t="str">
        <f ca="1">INDEX(Photobiology!$21:$421,1+$AH396-380,AT$14)</f>
        <v/>
      </c>
      <c r="AU396" s="147">
        <f ca="1">INDEX(Photobiology!$21:$421,1+$AH396-380,AU$14)</f>
        <v>4.9870779412861231E-6</v>
      </c>
      <c r="AV396" s="147">
        <f ca="1">INDEX(Photobiology!$21:$421,1+$AH396-380,AV$14)</f>
        <v>7.3651998050348519E-5</v>
      </c>
      <c r="AW396" s="147">
        <f ca="1">INDEX(Photobiology!$21:$421,1+$AH396-380,AW$14)</f>
        <v>3.796395809946396E-7</v>
      </c>
      <c r="AX396" s="147">
        <f ca="1">INDEX(Photobiology!$21:$421,1+$AH396-380,AX$14)</f>
        <v>5.3080366022892429E-8</v>
      </c>
      <c r="AY396" s="147">
        <f t="shared" si="119"/>
        <v>7.6213284122533689E-4</v>
      </c>
      <c r="AZ396" s="147">
        <f t="shared" ca="1" si="133"/>
        <v>0</v>
      </c>
      <c r="BA396" s="147">
        <f t="shared" ca="1" si="120"/>
        <v>5.3084229083595413E-9</v>
      </c>
      <c r="BB396" s="147">
        <f t="shared" ca="1" si="121"/>
        <v>7.4782455926417243E-8</v>
      </c>
      <c r="BC396" s="147">
        <f t="shared" ca="1" si="122"/>
        <v>4.3212932097476603E-10</v>
      </c>
      <c r="BD396" s="147">
        <f t="shared" ca="1" si="123"/>
        <v>6.246341689413502E-11</v>
      </c>
    </row>
    <row r="397" spans="8:56" s="147" customFormat="1" ht="0.25" customHeight="1" x14ac:dyDescent="0.2">
      <c r="H397" s="147">
        <f t="shared" si="124"/>
        <v>756</v>
      </c>
      <c r="I397" s="147">
        <f>IF($H397&gt;$H396,INDEX(Spectra!397:397,1,MATCH($I$20,Spectra!$20:$20,0)),I396)</f>
        <v>9.24910945707078E-4</v>
      </c>
      <c r="J397" s="147">
        <f>((Physics!$C$9*Physics!$C$10)/(Physics!$C$11*Physics!$C$12*$H397))^($J$17-$J$18)</f>
        <v>3.8068577468573066E+18</v>
      </c>
      <c r="K397" s="147">
        <f t="shared" si="125"/>
        <v>1</v>
      </c>
      <c r="L397" s="147">
        <f>INDEX(Photobiology!$21:$421,1+$H397-380,10)</f>
        <v>7.9146669999999997E-5</v>
      </c>
      <c r="M397" s="147">
        <f t="shared" si="126"/>
        <v>9.24910945707078E-4</v>
      </c>
      <c r="N397" s="147">
        <f ca="1">INDEX(Photobiology!$21:$421,1+$H397-380,N$14)</f>
        <v>0</v>
      </c>
      <c r="O397" s="147">
        <f ca="1">INDEX(Photobiology!$21:$421,1+$H397-380,O$14)</f>
        <v>6.5342199999999998E-6</v>
      </c>
      <c r="P397" s="147">
        <f ca="1">INDEX(Photobiology!$21:$421,1+$H397-380,P$14)</f>
        <v>9.1664100000000002E-5</v>
      </c>
      <c r="Q397" s="147">
        <f ca="1">INDEX(Photobiology!$21:$421,1+$H397-380,Q$14)</f>
        <v>5.3499999999999996E-7</v>
      </c>
      <c r="R397" s="147">
        <f ca="1">INDEX(Photobiology!$21:$421,1+$H397-380,R$14)</f>
        <v>7.7420199999999999E-8</v>
      </c>
      <c r="S397" s="147">
        <f t="shared" si="127"/>
        <v>3521004398818107.5</v>
      </c>
      <c r="T397" s="147" t="str">
        <f ca="1">INDEX(Photobiology!$21:$421,1+$H397-380,T$14)</f>
        <v/>
      </c>
      <c r="U397" s="147">
        <f ca="1">INDEX(Photobiology!$21:$421,1+$H397-380,U$14)</f>
        <v>4.672294683016144E-6</v>
      </c>
      <c r="V397" s="147">
        <f ca="1">INDEX(Photobiology!$21:$421,1+$H397-380,V$14)</f>
        <v>6.8713159836819416E-5</v>
      </c>
      <c r="W397" s="147">
        <f ca="1">INDEX(Photobiology!$21:$421,1+$H397-380,W$14)</f>
        <v>3.5773988632564355E-7</v>
      </c>
      <c r="X397" s="147">
        <f ca="1">INDEX(Photobiology!$21:$421,1+$H397-380,X$14)</f>
        <v>5.0074692703208703E-8</v>
      </c>
      <c r="Y397" s="147">
        <f t="shared" si="114"/>
        <v>9.24910945707078E-4</v>
      </c>
      <c r="Z397" s="147">
        <f t="shared" ca="1" si="128"/>
        <v>0</v>
      </c>
      <c r="AA397" s="147">
        <f t="shared" ca="1" si="115"/>
        <v>6.0435715996581032E-9</v>
      </c>
      <c r="AB397" s="147">
        <f t="shared" ca="1" si="116"/>
        <v>8.4781129418388167E-8</v>
      </c>
      <c r="AC397" s="147">
        <f t="shared" ca="1" si="117"/>
        <v>4.9482735595328672E-10</v>
      </c>
      <c r="AD397" s="147">
        <f t="shared" ca="1" si="118"/>
        <v>7.1606790398831123E-11</v>
      </c>
      <c r="AH397" s="147">
        <f t="shared" si="129"/>
        <v>756</v>
      </c>
      <c r="AI397" s="147">
        <f>IF($AH397&gt;$AH396,INDEX(Spectra!397:397,1,MATCH($AI$20,Spectra!$20:$20,0)),AI396)</f>
        <v>53.287999999999997</v>
      </c>
      <c r="AJ397" s="147">
        <f>((Physics!$C$9*Physics!$C$10)/(Physics!$C$11*Physics!$C$12*$AH397))^($AJ$17-$AJ$18)</f>
        <v>3.8068577468573066E+18</v>
      </c>
      <c r="AK397" s="147">
        <f t="shared" si="130"/>
        <v>1</v>
      </c>
      <c r="AL397" s="147">
        <f>INDEX(Photobiology!$21:$421,1+$AH397-380,10)</f>
        <v>7.9146669999999997E-5</v>
      </c>
      <c r="AM397" s="147">
        <f t="shared" si="131"/>
        <v>7.3833723313012451E-4</v>
      </c>
      <c r="AN397" s="147">
        <f ca="1">INDEX(Photobiology!$21:$421,1+$AH397-380,AN$14)</f>
        <v>0</v>
      </c>
      <c r="AO397" s="147">
        <f ca="1">INDEX(Photobiology!$21:$421,1+$AH397-380,AO$14)</f>
        <v>6.5342199999999998E-6</v>
      </c>
      <c r="AP397" s="147">
        <f ca="1">INDEX(Photobiology!$21:$421,1+$AH397-380,AP$14)</f>
        <v>9.1664100000000002E-5</v>
      </c>
      <c r="AQ397" s="147">
        <f ca="1">INDEX(Photobiology!$21:$421,1+$AH397-380,AQ$14)</f>
        <v>5.3499999999999996E-7</v>
      </c>
      <c r="AR397" s="147">
        <f ca="1">INDEX(Photobiology!$21:$421,1+$AH397-380,AR$14)</f>
        <v>7.7420199999999999E-8</v>
      </c>
      <c r="AS397" s="147">
        <f t="shared" si="132"/>
        <v>2810744815734603.5</v>
      </c>
      <c r="AT397" s="147" t="str">
        <f ca="1">INDEX(Photobiology!$21:$421,1+$AH397-380,AT$14)</f>
        <v/>
      </c>
      <c r="AU397" s="147">
        <f ca="1">INDEX(Photobiology!$21:$421,1+$AH397-380,AU$14)</f>
        <v>4.672294683016144E-6</v>
      </c>
      <c r="AV397" s="147">
        <f ca="1">INDEX(Photobiology!$21:$421,1+$AH397-380,AV$14)</f>
        <v>6.8713159836819416E-5</v>
      </c>
      <c r="AW397" s="147">
        <f ca="1">INDEX(Photobiology!$21:$421,1+$AH397-380,AW$14)</f>
        <v>3.5773988632564355E-7</v>
      </c>
      <c r="AX397" s="147">
        <f ca="1">INDEX(Photobiology!$21:$421,1+$AH397-380,AX$14)</f>
        <v>5.0074692703208703E-8</v>
      </c>
      <c r="AY397" s="147">
        <f t="shared" si="119"/>
        <v>7.3833723313012451E-4</v>
      </c>
      <c r="AZ397" s="147">
        <f t="shared" ca="1" si="133"/>
        <v>0</v>
      </c>
      <c r="BA397" s="147">
        <f t="shared" ca="1" si="120"/>
        <v>4.8244579154635223E-9</v>
      </c>
      <c r="BB397" s="147">
        <f t="shared" ca="1" si="121"/>
        <v>6.7679017971363053E-8</v>
      </c>
      <c r="BC397" s="147">
        <f t="shared" ca="1" si="122"/>
        <v>3.9501041972461661E-10</v>
      </c>
      <c r="BD397" s="147">
        <f t="shared" ca="1" si="123"/>
        <v>5.7162216256380863E-11</v>
      </c>
    </row>
    <row r="398" spans="8:56" s="147" customFormat="1" ht="0.25" customHeight="1" x14ac:dyDescent="0.2">
      <c r="H398" s="147">
        <f t="shared" si="124"/>
        <v>757</v>
      </c>
      <c r="I398" s="147">
        <f>IF($H398&gt;$H397,INDEX(Spectra!398:398,1,MATCH($I$20,Spectra!$20:$20,0)),I397)</f>
        <v>8.6491672220175399E-4</v>
      </c>
      <c r="J398" s="147">
        <f>((Physics!$C$9*Physics!$C$10)/(Physics!$C$11*Physics!$C$12*$H398))^($J$17-$J$18)</f>
        <v>3.8118932729774879E+18</v>
      </c>
      <c r="K398" s="147">
        <f t="shared" si="125"/>
        <v>1</v>
      </c>
      <c r="L398" s="147">
        <f>INDEX(Photobiology!$21:$421,1+$H398-380,10)</f>
        <v>7.3857999999999997E-5</v>
      </c>
      <c r="M398" s="147">
        <f t="shared" si="126"/>
        <v>8.6491672220175399E-4</v>
      </c>
      <c r="N398" s="147">
        <f ca="1">INDEX(Photobiology!$21:$421,1+$H398-380,N$14)</f>
        <v>0</v>
      </c>
      <c r="O398" s="147">
        <f ca="1">INDEX(Photobiology!$21:$421,1+$H398-380,O$14)</f>
        <v>6.1312900000000002E-6</v>
      </c>
      <c r="P398" s="147">
        <f ca="1">INDEX(Photobiology!$21:$421,1+$H398-380,P$14)</f>
        <v>8.5645500000000005E-5</v>
      </c>
      <c r="Q398" s="147">
        <f ca="1">INDEX(Photobiology!$21:$421,1+$H398-380,Q$14)</f>
        <v>5.0500000000000004E-7</v>
      </c>
      <c r="R398" s="147">
        <f ca="1">INDEX(Photobiology!$21:$421,1+$H398-380,R$14)</f>
        <v>7.3124300000000003E-8</v>
      </c>
      <c r="S398" s="147">
        <f t="shared" si="127"/>
        <v>3296970235046604.5</v>
      </c>
      <c r="T398" s="147" t="str">
        <f ca="1">INDEX(Photobiology!$21:$421,1+$H398-380,T$14)</f>
        <v/>
      </c>
      <c r="U398" s="147">
        <f ca="1">INDEX(Photobiology!$21:$421,1+$H398-380,U$14)</f>
        <v>4.3783880265229419E-6</v>
      </c>
      <c r="V398" s="147">
        <f ca="1">INDEX(Photobiology!$21:$421,1+$H398-380,V$14)</f>
        <v>6.4116691902724263E-5</v>
      </c>
      <c r="W398" s="147">
        <f ca="1">INDEX(Photobiology!$21:$421,1+$H398-380,W$14)</f>
        <v>3.3723362955444934E-7</v>
      </c>
      <c r="X398" s="147">
        <f ca="1">INDEX(Photobiology!$21:$421,1+$H398-380,X$14)</f>
        <v>4.723366462505861E-8</v>
      </c>
      <c r="Y398" s="147">
        <f t="shared" si="114"/>
        <v>8.6491672220175399E-4</v>
      </c>
      <c r="Z398" s="147">
        <f t="shared" ca="1" si="128"/>
        <v>0</v>
      </c>
      <c r="AA398" s="147">
        <f t="shared" ca="1" si="115"/>
        <v>5.3030552496683922E-9</v>
      </c>
      <c r="AB398" s="147">
        <f t="shared" ca="1" si="116"/>
        <v>7.4076225131330331E-8</v>
      </c>
      <c r="AC398" s="147">
        <f t="shared" ca="1" si="117"/>
        <v>4.3678294471188581E-10</v>
      </c>
      <c r="AD398" s="147">
        <f t="shared" ca="1" si="118"/>
        <v>6.3246429869297717E-11</v>
      </c>
      <c r="AH398" s="147">
        <f t="shared" si="129"/>
        <v>757</v>
      </c>
      <c r="AI398" s="147">
        <f>IF($AH398&gt;$AH397,INDEX(Spectra!398:398,1,MATCH($AI$20,Spectra!$20:$20,0)),AI397)</f>
        <v>51.570500000000003</v>
      </c>
      <c r="AJ398" s="147">
        <f>((Physics!$C$9*Physics!$C$10)/(Physics!$C$11*Physics!$C$12*$AH398))^($AJ$17-$AJ$18)</f>
        <v>3.8118932729774879E+18</v>
      </c>
      <c r="AK398" s="147">
        <f t="shared" si="130"/>
        <v>1</v>
      </c>
      <c r="AL398" s="147">
        <f>INDEX(Photobiology!$21:$421,1+$AH398-380,10)</f>
        <v>7.3857999999999997E-5</v>
      </c>
      <c r="AM398" s="147">
        <f t="shared" si="131"/>
        <v>7.1454023947487412E-4</v>
      </c>
      <c r="AN398" s="147">
        <f ca="1">INDEX(Photobiology!$21:$421,1+$AH398-380,AN$14)</f>
        <v>0</v>
      </c>
      <c r="AO398" s="147">
        <f ca="1">INDEX(Photobiology!$21:$421,1+$AH398-380,AO$14)</f>
        <v>6.1312900000000002E-6</v>
      </c>
      <c r="AP398" s="147">
        <f ca="1">INDEX(Photobiology!$21:$421,1+$AH398-380,AP$14)</f>
        <v>8.5645500000000005E-5</v>
      </c>
      <c r="AQ398" s="147">
        <f ca="1">INDEX(Photobiology!$21:$421,1+$AH398-380,AQ$14)</f>
        <v>5.0500000000000004E-7</v>
      </c>
      <c r="AR398" s="147">
        <f ca="1">INDEX(Photobiology!$21:$421,1+$AH398-380,AR$14)</f>
        <v>7.3124300000000003E-8</v>
      </c>
      <c r="AS398" s="147">
        <f t="shared" si="132"/>
        <v>2723751132125996</v>
      </c>
      <c r="AT398" s="147" t="str">
        <f ca="1">INDEX(Photobiology!$21:$421,1+$AH398-380,AT$14)</f>
        <v/>
      </c>
      <c r="AU398" s="147">
        <f ca="1">INDEX(Photobiology!$21:$421,1+$AH398-380,AU$14)</f>
        <v>4.3783880265229419E-6</v>
      </c>
      <c r="AV398" s="147">
        <f ca="1">INDEX(Photobiology!$21:$421,1+$AH398-380,AV$14)</f>
        <v>6.4116691902724263E-5</v>
      </c>
      <c r="AW398" s="147">
        <f ca="1">INDEX(Photobiology!$21:$421,1+$AH398-380,AW$14)</f>
        <v>3.3723362955444934E-7</v>
      </c>
      <c r="AX398" s="147">
        <f ca="1">INDEX(Photobiology!$21:$421,1+$AH398-380,AX$14)</f>
        <v>4.723366462505861E-8</v>
      </c>
      <c r="AY398" s="147">
        <f t="shared" si="119"/>
        <v>7.1454023947487412E-4</v>
      </c>
      <c r="AZ398" s="147">
        <f t="shared" ca="1" si="133"/>
        <v>0</v>
      </c>
      <c r="BA398" s="147">
        <f t="shared" ca="1" si="120"/>
        <v>4.3810534248899012E-9</v>
      </c>
      <c r="BB398" s="147">
        <f t="shared" ca="1" si="121"/>
        <v>6.1197156079945337E-8</v>
      </c>
      <c r="BC398" s="147">
        <f t="shared" ca="1" si="122"/>
        <v>3.6084282093481146E-10</v>
      </c>
      <c r="BD398" s="147">
        <f t="shared" ca="1" si="123"/>
        <v>5.2250254833432539E-11</v>
      </c>
    </row>
    <row r="399" spans="8:56" s="147" customFormat="1" ht="0.25" customHeight="1" x14ac:dyDescent="0.2">
      <c r="H399" s="147">
        <f t="shared" si="124"/>
        <v>758</v>
      </c>
      <c r="I399" s="147">
        <f>IF($H399&gt;$H398,INDEX(Spectra!399:399,1,MATCH($I$20,Spectra!$20:$20,0)),I398)</f>
        <v>7.4492827519110597E-4</v>
      </c>
      <c r="J399" s="147">
        <f>((Physics!$C$9*Physics!$C$10)/(Physics!$C$11*Physics!$C$12*$H399))^($J$17-$J$18)</f>
        <v>3.8169287990976696E+18</v>
      </c>
      <c r="K399" s="147">
        <f t="shared" si="125"/>
        <v>1</v>
      </c>
      <c r="L399" s="147">
        <f>INDEX(Photobiology!$21:$421,1+$H399-380,10)</f>
        <v>6.8916000000000002E-5</v>
      </c>
      <c r="M399" s="147">
        <f t="shared" si="126"/>
        <v>7.4492827519110597E-4</v>
      </c>
      <c r="N399" s="147">
        <f ca="1">INDEX(Photobiology!$21:$421,1+$H399-380,N$14)</f>
        <v>0</v>
      </c>
      <c r="O399" s="147">
        <f ca="1">INDEX(Photobiology!$21:$421,1+$H399-380,O$14)</f>
        <v>5.7539099999999999E-6</v>
      </c>
      <c r="P399" s="147">
        <f ca="1">INDEX(Photobiology!$21:$421,1+$H399-380,P$14)</f>
        <v>8.0030200000000005E-5</v>
      </c>
      <c r="Q399" s="147">
        <f ca="1">INDEX(Photobiology!$21:$421,1+$H399-380,Q$14)</f>
        <v>4.7700000000000005E-7</v>
      </c>
      <c r="R399" s="147">
        <f ca="1">INDEX(Photobiology!$21:$421,1+$H399-380,R$14)</f>
        <v>6.9069299999999998E-8</v>
      </c>
      <c r="S399" s="147">
        <f t="shared" si="127"/>
        <v>2843338186839086.5</v>
      </c>
      <c r="T399" s="147" t="str">
        <f ca="1">INDEX(Photobiology!$21:$421,1+$H399-380,T$14)</f>
        <v/>
      </c>
      <c r="U399" s="147">
        <f ca="1">INDEX(Photobiology!$21:$421,1+$H399-380,U$14)</f>
        <v>4.1034781748971972E-6</v>
      </c>
      <c r="V399" s="147">
        <f ca="1">INDEX(Photobiology!$21:$421,1+$H399-380,V$14)</f>
        <v>5.9833875552291504E-5</v>
      </c>
      <c r="W399" s="147">
        <f ca="1">INDEX(Photobiology!$21:$421,1+$H399-380,W$14)</f>
        <v>3.1811529575533996E-7</v>
      </c>
      <c r="X399" s="147">
        <f ca="1">INDEX(Photobiology!$21:$421,1+$H399-380,X$14)</f>
        <v>4.4555533514581626E-8</v>
      </c>
      <c r="Y399" s="147">
        <f t="shared" si="114"/>
        <v>7.4492827519110597E-4</v>
      </c>
      <c r="Z399" s="147">
        <f t="shared" ca="1" si="128"/>
        <v>0</v>
      </c>
      <c r="AA399" s="147">
        <f t="shared" ca="1" si="115"/>
        <v>4.2862502519048562E-9</v>
      </c>
      <c r="AB399" s="147">
        <f t="shared" ca="1" si="116"/>
        <v>5.9616758849199253E-8</v>
      </c>
      <c r="AC399" s="147">
        <f t="shared" ca="1" si="117"/>
        <v>3.5533078726615759E-10</v>
      </c>
      <c r="AD399" s="147">
        <f t="shared" ca="1" si="118"/>
        <v>5.1451674517657057E-11</v>
      </c>
      <c r="AH399" s="147">
        <f t="shared" si="129"/>
        <v>758</v>
      </c>
      <c r="AI399" s="147">
        <f>IF($AH399&gt;$AH398,INDEX(Spectra!399:399,1,MATCH($AI$20,Spectra!$20:$20,0)),AI398)</f>
        <v>49.853099999999998</v>
      </c>
      <c r="AJ399" s="147">
        <f>((Physics!$C$9*Physics!$C$10)/(Physics!$C$11*Physics!$C$12*$AH399))^($AJ$17-$AJ$18)</f>
        <v>3.8169287990976696E+18</v>
      </c>
      <c r="AK399" s="147">
        <f t="shared" si="130"/>
        <v>1</v>
      </c>
      <c r="AL399" s="147">
        <f>INDEX(Photobiology!$21:$421,1+$AH399-380,10)</f>
        <v>6.8916000000000002E-5</v>
      </c>
      <c r="AM399" s="147">
        <f t="shared" si="131"/>
        <v>6.9074463137966163E-4</v>
      </c>
      <c r="AN399" s="147">
        <f ca="1">INDEX(Photobiology!$21:$421,1+$AH399-380,AN$14)</f>
        <v>0</v>
      </c>
      <c r="AO399" s="147">
        <f ca="1">INDEX(Photobiology!$21:$421,1+$AH399-380,AO$14)</f>
        <v>5.7539099999999999E-6</v>
      </c>
      <c r="AP399" s="147">
        <f ca="1">INDEX(Photobiology!$21:$421,1+$AH399-380,AP$14)</f>
        <v>8.0030200000000005E-5</v>
      </c>
      <c r="AQ399" s="147">
        <f ca="1">INDEX(Photobiology!$21:$421,1+$AH399-380,AQ$14)</f>
        <v>4.7700000000000005E-7</v>
      </c>
      <c r="AR399" s="147">
        <f ca="1">INDEX(Photobiology!$21:$421,1+$AH399-380,AR$14)</f>
        <v>6.9069299999999998E-8</v>
      </c>
      <c r="AS399" s="147">
        <f t="shared" si="132"/>
        <v>2636523076335134.5</v>
      </c>
      <c r="AT399" s="147" t="str">
        <f ca="1">INDEX(Photobiology!$21:$421,1+$AH399-380,AT$14)</f>
        <v/>
      </c>
      <c r="AU399" s="147">
        <f ca="1">INDEX(Photobiology!$21:$421,1+$AH399-380,AU$14)</f>
        <v>4.1034781748971972E-6</v>
      </c>
      <c r="AV399" s="147">
        <f ca="1">INDEX(Photobiology!$21:$421,1+$AH399-380,AV$14)</f>
        <v>5.9833875552291504E-5</v>
      </c>
      <c r="AW399" s="147">
        <f ca="1">INDEX(Photobiology!$21:$421,1+$AH399-380,AW$14)</f>
        <v>3.1811529575533996E-7</v>
      </c>
      <c r="AX399" s="147">
        <f ca="1">INDEX(Photobiology!$21:$421,1+$AH399-380,AX$14)</f>
        <v>4.4555533514581626E-8</v>
      </c>
      <c r="AY399" s="147">
        <f t="shared" si="119"/>
        <v>6.9074463137966163E-4</v>
      </c>
      <c r="AZ399" s="147">
        <f t="shared" ca="1" si="133"/>
        <v>0</v>
      </c>
      <c r="BA399" s="147">
        <f t="shared" ca="1" si="120"/>
        <v>3.9744824419417492E-9</v>
      </c>
      <c r="BB399" s="147">
        <f t="shared" ca="1" si="121"/>
        <v>5.5280430998240598E-8</v>
      </c>
      <c r="BC399" s="147">
        <f t="shared" ca="1" si="122"/>
        <v>3.2948518916809861E-10</v>
      </c>
      <c r="BD399" s="147">
        <f t="shared" ca="1" si="123"/>
        <v>4.770924816815126E-11</v>
      </c>
    </row>
    <row r="400" spans="8:56" s="147" customFormat="1" ht="0.25" customHeight="1" x14ac:dyDescent="0.2">
      <c r="H400" s="147">
        <f t="shared" si="124"/>
        <v>759</v>
      </c>
      <c r="I400" s="147">
        <f>IF($H400&gt;$H399,INDEX(Spectra!400:400,1,MATCH($I$20,Spectra!$20:$20,0)),I399)</f>
        <v>5.74944641926021E-4</v>
      </c>
      <c r="J400" s="147">
        <f>((Physics!$C$9*Physics!$C$10)/(Physics!$C$11*Physics!$C$12*$H400))^($J$17-$J$18)</f>
        <v>3.8219643252178519E+18</v>
      </c>
      <c r="K400" s="147">
        <f t="shared" si="125"/>
        <v>1</v>
      </c>
      <c r="L400" s="147">
        <f>INDEX(Photobiology!$21:$421,1+$H400-380,10)</f>
        <v>6.4302670000000001E-5</v>
      </c>
      <c r="M400" s="147">
        <f t="shared" si="126"/>
        <v>5.74944641926021E-4</v>
      </c>
      <c r="N400" s="147">
        <f ca="1">INDEX(Photobiology!$21:$421,1+$H400-380,N$14)</f>
        <v>0</v>
      </c>
      <c r="O400" s="147">
        <f ca="1">INDEX(Photobiology!$21:$421,1+$H400-380,O$14)</f>
        <v>5.3998399999999998E-6</v>
      </c>
      <c r="P400" s="147">
        <f ca="1">INDEX(Photobiology!$21:$421,1+$H400-380,P$14)</f>
        <v>7.4785799999999998E-5</v>
      </c>
      <c r="Q400" s="147">
        <f ca="1">INDEX(Photobiology!$21:$421,1+$H400-380,Q$14)</f>
        <v>4.4999999999999998E-7</v>
      </c>
      <c r="R400" s="147">
        <f ca="1">INDEX(Photobiology!$21:$421,1+$H400-380,R$14)</f>
        <v>6.5253400000000004E-8</v>
      </c>
      <c r="S400" s="147">
        <f t="shared" si="127"/>
        <v>2197417910416404.2</v>
      </c>
      <c r="T400" s="147" t="str">
        <f ca="1">INDEX(Photobiology!$21:$421,1+$H400-380,T$14)</f>
        <v/>
      </c>
      <c r="U400" s="147">
        <f ca="1">INDEX(Photobiology!$21:$421,1+$H400-380,U$14)</f>
        <v>3.8458946606016691E-6</v>
      </c>
      <c r="V400" s="147">
        <f ca="1">INDEX(Photobiology!$21:$421,1+$H400-380,V$14)</f>
        <v>5.5839279395861222E-5</v>
      </c>
      <c r="W400" s="147">
        <f ca="1">INDEX(Photobiology!$21:$421,1+$H400-380,W$14)</f>
        <v>2.9971336935708312E-7</v>
      </c>
      <c r="X400" s="147">
        <f ca="1">INDEX(Photobiology!$21:$421,1+$H400-380,X$14)</f>
        <v>4.2038495888025019E-8</v>
      </c>
      <c r="Y400" s="147">
        <f t="shared" si="114"/>
        <v>5.74944641926021E-4</v>
      </c>
      <c r="Z400" s="147">
        <f t="shared" ca="1" si="128"/>
        <v>0</v>
      </c>
      <c r="AA400" s="147">
        <f t="shared" ca="1" si="115"/>
        <v>3.1046090752578051E-9</v>
      </c>
      <c r="AB400" s="147">
        <f t="shared" ca="1" si="116"/>
        <v>4.2997695002151018E-8</v>
      </c>
      <c r="AC400" s="147">
        <f t="shared" ca="1" si="117"/>
        <v>2.5872508886670946E-10</v>
      </c>
      <c r="AD400" s="147">
        <f t="shared" ca="1" si="118"/>
        <v>3.751709269745542E-11</v>
      </c>
      <c r="AH400" s="147">
        <f t="shared" si="129"/>
        <v>759</v>
      </c>
      <c r="AI400" s="147">
        <f>IF($AH400&gt;$AH399,INDEX(Spectra!400:400,1,MATCH($AI$20,Spectra!$20:$20,0)),AI399)</f>
        <v>48.135599999999997</v>
      </c>
      <c r="AJ400" s="147">
        <f>((Physics!$C$9*Physics!$C$10)/(Physics!$C$11*Physics!$C$12*$AH400))^($AJ$17-$AJ$18)</f>
        <v>3.8219643252178519E+18</v>
      </c>
      <c r="AK400" s="147">
        <f t="shared" si="130"/>
        <v>1</v>
      </c>
      <c r="AL400" s="147">
        <f>INDEX(Photobiology!$21:$421,1+$AH400-380,10)</f>
        <v>6.4302670000000001E-5</v>
      </c>
      <c r="AM400" s="147">
        <f t="shared" si="131"/>
        <v>6.6694763772441113E-4</v>
      </c>
      <c r="AN400" s="147">
        <f ca="1">INDEX(Photobiology!$21:$421,1+$AH400-380,AN$14)</f>
        <v>0</v>
      </c>
      <c r="AO400" s="147">
        <f ca="1">INDEX(Photobiology!$21:$421,1+$AH400-380,AO$14)</f>
        <v>5.3998399999999998E-6</v>
      </c>
      <c r="AP400" s="147">
        <f ca="1">INDEX(Photobiology!$21:$421,1+$AH400-380,AP$14)</f>
        <v>7.4785799999999998E-5</v>
      </c>
      <c r="AQ400" s="147">
        <f ca="1">INDEX(Photobiology!$21:$421,1+$AH400-380,AQ$14)</f>
        <v>4.4999999999999998E-7</v>
      </c>
      <c r="AR400" s="147">
        <f ca="1">INDEX(Photobiology!$21:$421,1+$AH400-380,AR$14)</f>
        <v>6.5253400000000004E-8</v>
      </c>
      <c r="AS400" s="147">
        <f t="shared" si="132"/>
        <v>2549050078171019.5</v>
      </c>
      <c r="AT400" s="147" t="str">
        <f ca="1">INDEX(Photobiology!$21:$421,1+$AH400-380,AT$14)</f>
        <v/>
      </c>
      <c r="AU400" s="147">
        <f ca="1">INDEX(Photobiology!$21:$421,1+$AH400-380,AU$14)</f>
        <v>3.8458946606016691E-6</v>
      </c>
      <c r="AV400" s="147">
        <f ca="1">INDEX(Photobiology!$21:$421,1+$AH400-380,AV$14)</f>
        <v>5.5839279395861222E-5</v>
      </c>
      <c r="AW400" s="147">
        <f ca="1">INDEX(Photobiology!$21:$421,1+$AH400-380,AW$14)</f>
        <v>2.9971336935708312E-7</v>
      </c>
      <c r="AX400" s="147">
        <f ca="1">INDEX(Photobiology!$21:$421,1+$AH400-380,AX$14)</f>
        <v>4.2038495888025019E-8</v>
      </c>
      <c r="AY400" s="147">
        <f t="shared" si="119"/>
        <v>6.6694763772441113E-4</v>
      </c>
      <c r="AZ400" s="147">
        <f t="shared" ca="1" si="133"/>
        <v>0</v>
      </c>
      <c r="BA400" s="147">
        <f t="shared" ca="1" si="120"/>
        <v>3.6014105320897841E-9</v>
      </c>
      <c r="BB400" s="147">
        <f t="shared" ca="1" si="121"/>
        <v>4.9878212645330262E-8</v>
      </c>
      <c r="BC400" s="147">
        <f t="shared" ca="1" si="122"/>
        <v>3.0012643697598499E-10</v>
      </c>
      <c r="BD400" s="147">
        <f t="shared" ca="1" si="123"/>
        <v>4.3520600983486089E-11</v>
      </c>
    </row>
    <row r="401" spans="8:56" s="147" customFormat="1" ht="0.25" customHeight="1" x14ac:dyDescent="0.2">
      <c r="H401" s="147">
        <f t="shared" si="124"/>
        <v>760</v>
      </c>
      <c r="I401" s="147">
        <f>IF($H401&gt;$H400,INDEX(Spectra!401:401,1,MATCH($I$20,Spectra!$20:$20,0)),I400)</f>
        <v>4.0696081611111401E-4</v>
      </c>
      <c r="J401" s="147">
        <f>((Physics!$C$9*Physics!$C$10)/(Physics!$C$11*Physics!$C$12*$H401))^($J$17-$J$18)</f>
        <v>3.8269998513380326E+18</v>
      </c>
      <c r="K401" s="147">
        <f t="shared" si="125"/>
        <v>1</v>
      </c>
      <c r="L401" s="147">
        <f>INDEX(Photobiology!$21:$421,1+$H401-380,10)</f>
        <v>6.0000000000000002E-5</v>
      </c>
      <c r="M401" s="147">
        <f t="shared" si="126"/>
        <v>4.0696081611111401E-4</v>
      </c>
      <c r="N401" s="147">
        <f ca="1">INDEX(Photobiology!$21:$421,1+$H401-380,N$14)</f>
        <v>0</v>
      </c>
      <c r="O401" s="147">
        <f ca="1">INDEX(Photobiology!$21:$421,1+$H401-380,O$14)</f>
        <v>5.06711E-6</v>
      </c>
      <c r="P401" s="147">
        <f ca="1">INDEX(Photobiology!$21:$421,1+$H401-380,P$14)</f>
        <v>6.9882700000000001E-5</v>
      </c>
      <c r="Q401" s="147">
        <f ca="1">INDEX(Photobiology!$21:$421,1+$H401-380,Q$14)</f>
        <v>4.2500000000000001E-7</v>
      </c>
      <c r="R401" s="147">
        <f ca="1">INDEX(Photobiology!$21:$421,1+$H401-380,R$14)</f>
        <v>6.1674899999999996E-8</v>
      </c>
      <c r="S401" s="147">
        <f t="shared" si="127"/>
        <v>1557438982757637.8</v>
      </c>
      <c r="T401" s="147" t="str">
        <f ca="1">INDEX(Photobiology!$21:$421,1+$H401-380,T$14)</f>
        <v/>
      </c>
      <c r="U401" s="147">
        <f ca="1">INDEX(Photobiology!$21:$421,1+$H401-380,U$14)</f>
        <v>3.6041678554374626E-6</v>
      </c>
      <c r="V401" s="147">
        <f ca="1">INDEX(Photobiology!$21:$421,1+$H401-380,V$14)</f>
        <v>5.2109693779645148E-5</v>
      </c>
      <c r="W401" s="147">
        <f ca="1">INDEX(Photobiology!$21:$421,1+$H401-380,W$14)</f>
        <v>2.826901757905295E-7</v>
      </c>
      <c r="X401" s="147">
        <f ca="1">INDEX(Photobiology!$21:$421,1+$H401-380,X$14)</f>
        <v>3.9680822092344788E-8</v>
      </c>
      <c r="Y401" s="147">
        <f t="shared" si="114"/>
        <v>4.0696081611111401E-4</v>
      </c>
      <c r="Z401" s="147">
        <f t="shared" ca="1" si="128"/>
        <v>0</v>
      </c>
      <c r="AA401" s="147">
        <f t="shared" ca="1" si="115"/>
        <v>2.0621152209247868E-9</v>
      </c>
      <c r="AB401" s="147">
        <f t="shared" ca="1" si="116"/>
        <v>2.8439520624048147E-8</v>
      </c>
      <c r="AC401" s="147">
        <f t="shared" ca="1" si="117"/>
        <v>1.7295834684722346E-10</v>
      </c>
      <c r="AD401" s="147">
        <f t="shared" ca="1" si="118"/>
        <v>2.5099267637571345E-11</v>
      </c>
      <c r="AH401" s="147">
        <f t="shared" si="129"/>
        <v>760</v>
      </c>
      <c r="AI401" s="147">
        <f>IF($AH401&gt;$AH400,INDEX(Spectra!401:401,1,MATCH($AI$20,Spectra!$20:$20,0)),AI400)</f>
        <v>46.418199999999999</v>
      </c>
      <c r="AJ401" s="147">
        <f>((Physics!$C$9*Physics!$C$10)/(Physics!$C$11*Physics!$C$12*$AH401))^($AJ$17-$AJ$18)</f>
        <v>3.8269998513380326E+18</v>
      </c>
      <c r="AK401" s="147">
        <f t="shared" si="130"/>
        <v>1</v>
      </c>
      <c r="AL401" s="147">
        <f>INDEX(Photobiology!$21:$421,1+$AH401-380,10)</f>
        <v>6.0000000000000002E-5</v>
      </c>
      <c r="AM401" s="147">
        <f t="shared" si="131"/>
        <v>6.4315202962919886E-4</v>
      </c>
      <c r="AN401" s="147">
        <f ca="1">INDEX(Photobiology!$21:$421,1+$AH401-380,AN$14)</f>
        <v>0</v>
      </c>
      <c r="AO401" s="147">
        <f ca="1">INDEX(Photobiology!$21:$421,1+$AH401-380,AO$14)</f>
        <v>5.06711E-6</v>
      </c>
      <c r="AP401" s="147">
        <f ca="1">INDEX(Photobiology!$21:$421,1+$AH401-380,AP$14)</f>
        <v>6.9882700000000001E-5</v>
      </c>
      <c r="AQ401" s="147">
        <f ca="1">INDEX(Photobiology!$21:$421,1+$AH401-380,AQ$14)</f>
        <v>4.2500000000000001E-7</v>
      </c>
      <c r="AR401" s="147">
        <f ca="1">INDEX(Photobiology!$21:$421,1+$AH401-380,AR$14)</f>
        <v>6.1674899999999996E-8</v>
      </c>
      <c r="AS401" s="147">
        <f t="shared" si="132"/>
        <v>2461342721778698</v>
      </c>
      <c r="AT401" s="147" t="str">
        <f ca="1">INDEX(Photobiology!$21:$421,1+$AH401-380,AT$14)</f>
        <v/>
      </c>
      <c r="AU401" s="147">
        <f ca="1">INDEX(Photobiology!$21:$421,1+$AH401-380,AU$14)</f>
        <v>3.6041678554374626E-6</v>
      </c>
      <c r="AV401" s="147">
        <f ca="1">INDEX(Photobiology!$21:$421,1+$AH401-380,AV$14)</f>
        <v>5.2109693779645148E-5</v>
      </c>
      <c r="AW401" s="147">
        <f ca="1">INDEX(Photobiology!$21:$421,1+$AH401-380,AW$14)</f>
        <v>2.826901757905295E-7</v>
      </c>
      <c r="AX401" s="147">
        <f ca="1">INDEX(Photobiology!$21:$421,1+$AH401-380,AX$14)</f>
        <v>3.9680822092344788E-8</v>
      </c>
      <c r="AY401" s="147">
        <f t="shared" si="119"/>
        <v>6.4315202962919886E-4</v>
      </c>
      <c r="AZ401" s="147">
        <f t="shared" ca="1" si="133"/>
        <v>0</v>
      </c>
      <c r="BA401" s="147">
        <f t="shared" ca="1" si="120"/>
        <v>3.2589220808544097E-9</v>
      </c>
      <c r="BB401" s="147">
        <f t="shared" ca="1" si="121"/>
        <v>4.4945200340968415E-8</v>
      </c>
      <c r="BC401" s="147">
        <f t="shared" ca="1" si="122"/>
        <v>2.7333961259240951E-10</v>
      </c>
      <c r="BD401" s="147">
        <f t="shared" ca="1" si="123"/>
        <v>3.9666337112177875E-11</v>
      </c>
    </row>
    <row r="402" spans="8:56" s="147" customFormat="1" ht="0.25" customHeight="1" x14ac:dyDescent="0.2">
      <c r="H402" s="147">
        <f t="shared" si="124"/>
        <v>761</v>
      </c>
      <c r="I402" s="147">
        <f>IF($H402&gt;$H401,INDEX(Spectra!402:402,1,MATCH($I$20,Spectra!$20:$20,0)),I401)</f>
        <v>3.00971021251708E-4</v>
      </c>
      <c r="J402" s="147">
        <f>((Physics!$C$9*Physics!$C$10)/(Physics!$C$11*Physics!$C$12*$H402))^($J$17-$J$18)</f>
        <v>3.8320353774582149E+18</v>
      </c>
      <c r="K402" s="147">
        <f t="shared" si="125"/>
        <v>1</v>
      </c>
      <c r="L402" s="147">
        <f>INDEX(Photobiology!$21:$421,1+$H402-380,10)</f>
        <v>5.5981869999999998E-5</v>
      </c>
      <c r="M402" s="147">
        <f t="shared" si="126"/>
        <v>3.00971021251708E-4</v>
      </c>
      <c r="N402" s="147">
        <f ca="1">INDEX(Photobiology!$21:$421,1+$H402-380,N$14)</f>
        <v>0</v>
      </c>
      <c r="O402" s="147">
        <f ca="1">INDEX(Photobiology!$21:$421,1+$H402-380,O$14)</f>
        <v>4.7541300000000003E-6</v>
      </c>
      <c r="P402" s="147">
        <f ca="1">INDEX(Photobiology!$21:$421,1+$H402-380,P$14)</f>
        <v>6.5296599999999994E-5</v>
      </c>
      <c r="Q402" s="147">
        <f ca="1">INDEX(Photobiology!$21:$421,1+$H402-380,Q$14)</f>
        <v>4.01E-7</v>
      </c>
      <c r="R402" s="147">
        <f ca="1">INDEX(Photobiology!$21:$421,1+$H402-380,R$14)</f>
        <v>5.8304399999999999E-8</v>
      </c>
      <c r="S402" s="147">
        <f t="shared" si="127"/>
        <v>1153331601026273.2</v>
      </c>
      <c r="T402" s="147" t="str">
        <f ca="1">INDEX(Photobiology!$21:$421,1+$H402-380,T$14)</f>
        <v/>
      </c>
      <c r="U402" s="147">
        <f ca="1">INDEX(Photobiology!$21:$421,1+$H402-380,U$14)</f>
        <v>3.3771057896897046E-6</v>
      </c>
      <c r="V402" s="147">
        <f ca="1">INDEX(Photobiology!$21:$421,1+$H402-380,V$14)</f>
        <v>4.8625977922931987E-5</v>
      </c>
      <c r="W402" s="147">
        <f ca="1">INDEX(Photobiology!$21:$421,1+$H402-380,W$14)</f>
        <v>2.6637600053774991E-7</v>
      </c>
      <c r="X402" s="147">
        <f ca="1">INDEX(Photobiology!$21:$421,1+$H402-380,X$14)</f>
        <v>3.7462993168067527E-8</v>
      </c>
      <c r="Y402" s="147">
        <f t="shared" si="114"/>
        <v>3.00971021251708E-4</v>
      </c>
      <c r="Z402" s="147">
        <f t="shared" ca="1" si="128"/>
        <v>0</v>
      </c>
      <c r="AA402" s="147">
        <f t="shared" ca="1" si="115"/>
        <v>1.4308553612633827E-9</v>
      </c>
      <c r="AB402" s="147">
        <f t="shared" ca="1" si="116"/>
        <v>1.9652384386264275E-8</v>
      </c>
      <c r="AC402" s="147">
        <f t="shared" ca="1" si="117"/>
        <v>1.206893795219349E-10</v>
      </c>
      <c r="AD402" s="147">
        <f t="shared" ca="1" si="118"/>
        <v>1.7547934811468084E-11</v>
      </c>
      <c r="AH402" s="147">
        <f t="shared" si="129"/>
        <v>761</v>
      </c>
      <c r="AI402" s="147">
        <f>IF($AH402&gt;$AH401,INDEX(Spectra!402:402,1,MATCH($AI$20,Spectra!$20:$20,0)),AI401)</f>
        <v>48.456899999999997</v>
      </c>
      <c r="AJ402" s="147">
        <f>((Physics!$C$9*Physics!$C$10)/(Physics!$C$11*Physics!$C$12*$AH402))^($AJ$17-$AJ$18)</f>
        <v>3.8320353774582149E+18</v>
      </c>
      <c r="AK402" s="147">
        <f t="shared" si="130"/>
        <v>1</v>
      </c>
      <c r="AL402" s="147">
        <f>INDEX(Photobiology!$21:$421,1+$AH402-380,10)</f>
        <v>5.5981869999999998E-5</v>
      </c>
      <c r="AM402" s="147">
        <f t="shared" si="131"/>
        <v>6.7139944212699163E-4</v>
      </c>
      <c r="AN402" s="147">
        <f ca="1">INDEX(Photobiology!$21:$421,1+$AH402-380,AN$14)</f>
        <v>0</v>
      </c>
      <c r="AO402" s="147">
        <f ca="1">INDEX(Photobiology!$21:$421,1+$AH402-380,AO$14)</f>
        <v>4.7541300000000003E-6</v>
      </c>
      <c r="AP402" s="147">
        <f ca="1">INDEX(Photobiology!$21:$421,1+$AH402-380,AP$14)</f>
        <v>6.5296599999999994E-5</v>
      </c>
      <c r="AQ402" s="147">
        <f ca="1">INDEX(Photobiology!$21:$421,1+$AH402-380,AQ$14)</f>
        <v>4.01E-7</v>
      </c>
      <c r="AR402" s="147">
        <f ca="1">INDEX(Photobiology!$21:$421,1+$AH402-380,AR$14)</f>
        <v>5.8304399999999999E-8</v>
      </c>
      <c r="AS402" s="147">
        <f t="shared" si="132"/>
        <v>2572826414636341.5</v>
      </c>
      <c r="AT402" s="147" t="str">
        <f ca="1">INDEX(Photobiology!$21:$421,1+$AH402-380,AT$14)</f>
        <v/>
      </c>
      <c r="AU402" s="147">
        <f ca="1">INDEX(Photobiology!$21:$421,1+$AH402-380,AU$14)</f>
        <v>3.3771057896897046E-6</v>
      </c>
      <c r="AV402" s="147">
        <f ca="1">INDEX(Photobiology!$21:$421,1+$AH402-380,AV$14)</f>
        <v>4.8625977922931987E-5</v>
      </c>
      <c r="AW402" s="147">
        <f ca="1">INDEX(Photobiology!$21:$421,1+$AH402-380,AW$14)</f>
        <v>2.6637600053774991E-7</v>
      </c>
      <c r="AX402" s="147">
        <f ca="1">INDEX(Photobiology!$21:$421,1+$AH402-380,AX$14)</f>
        <v>3.7462993168067527E-8</v>
      </c>
      <c r="AY402" s="147">
        <f t="shared" si="119"/>
        <v>6.7139944212699163E-4</v>
      </c>
      <c r="AZ402" s="147">
        <f t="shared" ca="1" si="133"/>
        <v>0</v>
      </c>
      <c r="BA402" s="147">
        <f t="shared" ca="1" si="120"/>
        <v>3.1919202297991952E-9</v>
      </c>
      <c r="BB402" s="147">
        <f t="shared" ca="1" si="121"/>
        <v>4.3840100812789317E-8</v>
      </c>
      <c r="BC402" s="147">
        <f t="shared" ca="1" si="122"/>
        <v>2.6923117629292365E-10</v>
      </c>
      <c r="BD402" s="147">
        <f t="shared" ca="1" si="123"/>
        <v>3.9145541633548972E-11</v>
      </c>
    </row>
    <row r="403" spans="8:56" s="147" customFormat="1" ht="0.25" customHeight="1" x14ac:dyDescent="0.2">
      <c r="H403" s="147">
        <f t="shared" si="124"/>
        <v>762</v>
      </c>
      <c r="I403" s="147">
        <f>IF($H403&gt;$H402,INDEX(Spectra!403:403,1,MATCH($I$20,Spectra!$20:$20,0)),I402)</f>
        <v>2.6897410204886898E-4</v>
      </c>
      <c r="J403" s="147">
        <f>((Physics!$C$9*Physics!$C$10)/(Physics!$C$11*Physics!$C$12*$H403))^($J$17-$J$18)</f>
        <v>3.8370709035783967E+18</v>
      </c>
      <c r="K403" s="147">
        <f t="shared" si="125"/>
        <v>1</v>
      </c>
      <c r="L403" s="147">
        <f>INDEX(Photobiology!$21:$421,1+$H403-380,10)</f>
        <v>5.2225599999999997E-5</v>
      </c>
      <c r="M403" s="147">
        <f t="shared" si="126"/>
        <v>2.6897410204886898E-4</v>
      </c>
      <c r="N403" s="147">
        <f ca="1">INDEX(Photobiology!$21:$421,1+$H403-380,N$14)</f>
        <v>0</v>
      </c>
      <c r="O403" s="147">
        <f ca="1">INDEX(Photobiology!$21:$421,1+$H403-380,O$14)</f>
        <v>4.4601900000000002E-6</v>
      </c>
      <c r="P403" s="147">
        <f ca="1">INDEX(Photobiology!$21:$421,1+$H403-380,P$14)</f>
        <v>6.10128E-5</v>
      </c>
      <c r="Q403" s="147">
        <f ca="1">INDEX(Photobiology!$21:$421,1+$H403-380,Q$14)</f>
        <v>3.7899999999999999E-7</v>
      </c>
      <c r="R403" s="147">
        <f ca="1">INDEX(Photobiology!$21:$421,1+$H403-380,R$14)</f>
        <v>5.5112399999999999E-8</v>
      </c>
      <c r="S403" s="147">
        <f t="shared" si="127"/>
        <v>1032072700787841.6</v>
      </c>
      <c r="T403" s="147" t="str">
        <f ca="1">INDEX(Photobiology!$21:$421,1+$H403-380,T$14)</f>
        <v/>
      </c>
      <c r="U403" s="147">
        <f ca="1">INDEX(Photobiology!$21:$421,1+$H403-380,U$14)</f>
        <v>3.1641470401150172E-6</v>
      </c>
      <c r="V403" s="147">
        <f ca="1">INDEX(Photobiology!$21:$421,1+$H403-380,V$14)</f>
        <v>4.5376231200756701E-5</v>
      </c>
      <c r="W403" s="147">
        <f ca="1">INDEX(Photobiology!$21:$421,1+$H403-380,W$14)</f>
        <v>2.5143145973353129E-7</v>
      </c>
      <c r="X403" s="147">
        <f ca="1">INDEX(Photobiology!$21:$421,1+$H403-380,X$14)</f>
        <v>3.5365528447628301E-8</v>
      </c>
      <c r="Y403" s="147">
        <f t="shared" si="114"/>
        <v>2.6897410204886898E-4</v>
      </c>
      <c r="Z403" s="147">
        <f t="shared" ca="1" si="128"/>
        <v>0</v>
      </c>
      <c r="AA403" s="147">
        <f t="shared" ca="1" si="115"/>
        <v>1.199675600217345E-9</v>
      </c>
      <c r="AB403" s="147">
        <f t="shared" ca="1" si="116"/>
        <v>1.6410863093487235E-8</v>
      </c>
      <c r="AC403" s="147">
        <f t="shared" ca="1" si="117"/>
        <v>1.0194118467652135E-10</v>
      </c>
      <c r="AD403" s="147">
        <f t="shared" ca="1" si="118"/>
        <v>1.4823808301758087E-11</v>
      </c>
      <c r="AH403" s="147">
        <f t="shared" si="129"/>
        <v>762</v>
      </c>
      <c r="AI403" s="147">
        <f>IF($AH403&gt;$AH402,INDEX(Spectra!403:403,1,MATCH($AI$20,Spectra!$20:$20,0)),AI402)</f>
        <v>50.495600000000003</v>
      </c>
      <c r="AJ403" s="147">
        <f>((Physics!$C$9*Physics!$C$10)/(Physics!$C$11*Physics!$C$12*$AH403))^($AJ$17-$AJ$18)</f>
        <v>3.8370709035783967E+18</v>
      </c>
      <c r="AK403" s="147">
        <f t="shared" si="130"/>
        <v>1</v>
      </c>
      <c r="AL403" s="147">
        <f>INDEX(Photobiology!$21:$421,1+$AH403-380,10)</f>
        <v>5.2225599999999997E-5</v>
      </c>
      <c r="AM403" s="147">
        <f t="shared" si="131"/>
        <v>6.9964685462478452E-4</v>
      </c>
      <c r="AN403" s="147">
        <f ca="1">INDEX(Photobiology!$21:$421,1+$AH403-380,AN$14)</f>
        <v>0</v>
      </c>
      <c r="AO403" s="147">
        <f ca="1">INDEX(Photobiology!$21:$421,1+$AH403-380,AO$14)</f>
        <v>4.4601900000000002E-6</v>
      </c>
      <c r="AP403" s="147">
        <f ca="1">INDEX(Photobiology!$21:$421,1+$AH403-380,AP$14)</f>
        <v>6.10128E-5</v>
      </c>
      <c r="AQ403" s="147">
        <f ca="1">INDEX(Photobiology!$21:$421,1+$AH403-380,AQ$14)</f>
        <v>3.7899999999999999E-7</v>
      </c>
      <c r="AR403" s="147">
        <f ca="1">INDEX(Photobiology!$21:$421,1+$AH403-380,AR$14)</f>
        <v>5.5112399999999999E-8</v>
      </c>
      <c r="AS403" s="147">
        <f t="shared" si="132"/>
        <v>2684594588660905</v>
      </c>
      <c r="AT403" s="147" t="str">
        <f ca="1">INDEX(Photobiology!$21:$421,1+$AH403-380,AT$14)</f>
        <v/>
      </c>
      <c r="AU403" s="147">
        <f ca="1">INDEX(Photobiology!$21:$421,1+$AH403-380,AU$14)</f>
        <v>3.1641470401150172E-6</v>
      </c>
      <c r="AV403" s="147">
        <f ca="1">INDEX(Photobiology!$21:$421,1+$AH403-380,AV$14)</f>
        <v>4.5376231200756701E-5</v>
      </c>
      <c r="AW403" s="147">
        <f ca="1">INDEX(Photobiology!$21:$421,1+$AH403-380,AW$14)</f>
        <v>2.5143145973353129E-7</v>
      </c>
      <c r="AX403" s="147">
        <f ca="1">INDEX(Photobiology!$21:$421,1+$AH403-380,AX$14)</f>
        <v>3.5365528447628301E-8</v>
      </c>
      <c r="AY403" s="147">
        <f t="shared" si="119"/>
        <v>6.9964685462478452E-4</v>
      </c>
      <c r="AZ403" s="147">
        <f t="shared" ca="1" si="133"/>
        <v>0</v>
      </c>
      <c r="BA403" s="147">
        <f t="shared" ca="1" si="120"/>
        <v>3.1205579045289176E-9</v>
      </c>
      <c r="BB403" s="147">
        <f t="shared" ca="1" si="121"/>
        <v>4.2687413611851053E-8</v>
      </c>
      <c r="BC403" s="147">
        <f t="shared" ca="1" si="122"/>
        <v>2.6516615790279335E-10</v>
      </c>
      <c r="BD403" s="147">
        <f t="shared" ca="1" si="123"/>
        <v>3.8559217310822971E-11</v>
      </c>
    </row>
    <row r="404" spans="8:56" s="147" customFormat="1" ht="0.25" customHeight="1" x14ac:dyDescent="0.2">
      <c r="H404" s="147">
        <f t="shared" si="124"/>
        <v>763</v>
      </c>
      <c r="I404" s="147">
        <f>IF($H404&gt;$H403,INDEX(Spectra!404:404,1,MATCH($I$20,Spectra!$20:$20,0)),I403)</f>
        <v>3.0247087683934099E-4</v>
      </c>
      <c r="J404" s="147">
        <f>((Physics!$C$9*Physics!$C$10)/(Physics!$C$11*Physics!$C$12*$H404))^($J$17-$J$18)</f>
        <v>3.8421064296985779E+18</v>
      </c>
      <c r="K404" s="147">
        <f t="shared" si="125"/>
        <v>1</v>
      </c>
      <c r="L404" s="147">
        <f>INDEX(Photobiology!$21:$421,1+$H404-380,10)</f>
        <v>4.8718399999999998E-5</v>
      </c>
      <c r="M404" s="147">
        <f t="shared" si="126"/>
        <v>3.0247087683934099E-4</v>
      </c>
      <c r="N404" s="147">
        <f ca="1">INDEX(Photobiology!$21:$421,1+$H404-380,N$14)</f>
        <v>0</v>
      </c>
      <c r="O404" s="147">
        <f ca="1">INDEX(Photobiology!$21:$421,1+$H404-380,O$14)</f>
        <v>4.1846599999999997E-6</v>
      </c>
      <c r="P404" s="147">
        <f ca="1">INDEX(Photobiology!$21:$421,1+$H404-380,P$14)</f>
        <v>5.7018300000000003E-5</v>
      </c>
      <c r="Q404" s="147">
        <f ca="1">INDEX(Photobiology!$21:$421,1+$H404-380,Q$14)</f>
        <v>3.58E-7</v>
      </c>
      <c r="R404" s="147">
        <f ca="1">INDEX(Photobiology!$21:$421,1+$H404-380,R$14)</f>
        <v>5.2097199999999997E-8</v>
      </c>
      <c r="S404" s="147">
        <f t="shared" si="127"/>
        <v>1162125300700998.8</v>
      </c>
      <c r="T404" s="147" t="str">
        <f ca="1">INDEX(Photobiology!$21:$421,1+$H404-380,T$14)</f>
        <v/>
      </c>
      <c r="U404" s="147">
        <f ca="1">INDEX(Photobiology!$21:$421,1+$H404-380,U$14)</f>
        <v>2.9647898059119561E-6</v>
      </c>
      <c r="V404" s="147">
        <f ca="1">INDEX(Photobiology!$21:$421,1+$H404-380,V$14)</f>
        <v>4.2349878037909013E-5</v>
      </c>
      <c r="W404" s="147">
        <f ca="1">INDEX(Photobiology!$21:$421,1+$H404-380,W$14)</f>
        <v>2.3718863011051504E-7</v>
      </c>
      <c r="X404" s="147">
        <f ca="1">INDEX(Photobiology!$21:$421,1+$H404-380,X$14)</f>
        <v>3.3386865220053071E-8</v>
      </c>
      <c r="Y404" s="147">
        <f t="shared" si="114"/>
        <v>3.0247087683934099E-4</v>
      </c>
      <c r="Z404" s="147">
        <f t="shared" ca="1" si="128"/>
        <v>0</v>
      </c>
      <c r="AA404" s="147">
        <f t="shared" ca="1" si="115"/>
        <v>1.2657377794745166E-9</v>
      </c>
      <c r="AB404" s="147">
        <f t="shared" ca="1" si="116"/>
        <v>1.7246375196888598E-8</v>
      </c>
      <c r="AC404" s="147">
        <f t="shared" ca="1" si="117"/>
        <v>1.0828457390848408E-10</v>
      </c>
      <c r="AD404" s="147">
        <f t="shared" ca="1" si="118"/>
        <v>1.5757885764874515E-11</v>
      </c>
      <c r="AH404" s="147">
        <f t="shared" si="129"/>
        <v>763</v>
      </c>
      <c r="AI404" s="147">
        <f>IF($AH404&gt;$AH403,INDEX(Spectra!404:404,1,MATCH($AI$20,Spectra!$20:$20,0)),AI403)</f>
        <v>52.534399999999998</v>
      </c>
      <c r="AJ404" s="147">
        <f>((Physics!$C$9*Physics!$C$10)/(Physics!$C$11*Physics!$C$12*$AH404))^($AJ$17-$AJ$18)</f>
        <v>3.8421064296985779E+18</v>
      </c>
      <c r="AK404" s="147">
        <f t="shared" si="130"/>
        <v>1</v>
      </c>
      <c r="AL404" s="147">
        <f>INDEX(Photobiology!$21:$421,1+$AH404-380,10)</f>
        <v>4.8718399999999998E-5</v>
      </c>
      <c r="AM404" s="147">
        <f t="shared" si="131"/>
        <v>7.2789565268261552E-4</v>
      </c>
      <c r="AN404" s="147">
        <f ca="1">INDEX(Photobiology!$21:$421,1+$AH404-380,AN$14)</f>
        <v>0</v>
      </c>
      <c r="AO404" s="147">
        <f ca="1">INDEX(Photobiology!$21:$421,1+$AH404-380,AO$14)</f>
        <v>4.1846599999999997E-6</v>
      </c>
      <c r="AP404" s="147">
        <f ca="1">INDEX(Photobiology!$21:$421,1+$AH404-380,AP$14)</f>
        <v>5.7018300000000003E-5</v>
      </c>
      <c r="AQ404" s="147">
        <f ca="1">INDEX(Photobiology!$21:$421,1+$AH404-380,AQ$14)</f>
        <v>3.58E-7</v>
      </c>
      <c r="AR404" s="147">
        <f ca="1">INDEX(Photobiology!$21:$421,1+$AH404-380,AR$14)</f>
        <v>5.2097199999999997E-8</v>
      </c>
      <c r="AS404" s="147">
        <f t="shared" si="132"/>
        <v>2796652567321520</v>
      </c>
      <c r="AT404" s="147" t="str">
        <f ca="1">INDEX(Photobiology!$21:$421,1+$AH404-380,AT$14)</f>
        <v/>
      </c>
      <c r="AU404" s="147">
        <f ca="1">INDEX(Photobiology!$21:$421,1+$AH404-380,AU$14)</f>
        <v>2.9647898059119561E-6</v>
      </c>
      <c r="AV404" s="147">
        <f ca="1">INDEX(Photobiology!$21:$421,1+$AH404-380,AV$14)</f>
        <v>4.2349878037909013E-5</v>
      </c>
      <c r="AW404" s="147">
        <f ca="1">INDEX(Photobiology!$21:$421,1+$AH404-380,AW$14)</f>
        <v>2.3718863011051504E-7</v>
      </c>
      <c r="AX404" s="147">
        <f ca="1">INDEX(Photobiology!$21:$421,1+$AH404-380,AX$14)</f>
        <v>3.3386865220053071E-8</v>
      </c>
      <c r="AY404" s="147">
        <f t="shared" si="119"/>
        <v>7.2789565268261552E-4</v>
      </c>
      <c r="AZ404" s="147">
        <f t="shared" ca="1" si="133"/>
        <v>0</v>
      </c>
      <c r="BA404" s="147">
        <f t="shared" ca="1" si="120"/>
        <v>3.0459958219548338E-9</v>
      </c>
      <c r="BB404" s="147">
        <f t="shared" ca="1" si="121"/>
        <v>4.1503372693353176E-8</v>
      </c>
      <c r="BC404" s="147">
        <f t="shared" ca="1" si="122"/>
        <v>2.6058664366037637E-10</v>
      </c>
      <c r="BD404" s="147">
        <f t="shared" ca="1" si="123"/>
        <v>3.7921325396936756E-11</v>
      </c>
    </row>
    <row r="405" spans="8:56" s="147" customFormat="1" ht="0.25" customHeight="1" x14ac:dyDescent="0.2">
      <c r="H405" s="147">
        <f t="shared" si="124"/>
        <v>764</v>
      </c>
      <c r="I405" s="147">
        <f>IF($H405&gt;$H404,INDEX(Spectra!405:405,1,MATCH($I$20,Spectra!$20:$20,0)),I404)</f>
        <v>3.7496389690827499E-4</v>
      </c>
      <c r="J405" s="147">
        <f>((Physics!$C$9*Physics!$C$10)/(Physics!$C$11*Physics!$C$12*$H405))^($J$17-$J$18)</f>
        <v>3.8471419558187597E+18</v>
      </c>
      <c r="K405" s="147">
        <f t="shared" si="125"/>
        <v>1</v>
      </c>
      <c r="L405" s="147">
        <f>INDEX(Photobiology!$21:$421,1+$H405-380,10)</f>
        <v>4.5447469999999999E-5</v>
      </c>
      <c r="M405" s="147">
        <f t="shared" si="126"/>
        <v>3.7496389690827499E-4</v>
      </c>
      <c r="N405" s="147">
        <f ca="1">INDEX(Photobiology!$21:$421,1+$H405-380,N$14)</f>
        <v>0</v>
      </c>
      <c r="O405" s="147">
        <f ca="1">INDEX(Photobiology!$21:$421,1+$H405-380,O$14)</f>
        <v>3.9268999999999996E-6</v>
      </c>
      <c r="P405" s="147">
        <f ca="1">INDEX(Photobiology!$21:$421,1+$H405-380,P$14)</f>
        <v>5.32996E-5</v>
      </c>
      <c r="Q405" s="147">
        <f ca="1">INDEX(Photobiology!$21:$421,1+$H405-380,Q$14)</f>
        <v>3.382E-7</v>
      </c>
      <c r="R405" s="147">
        <f ca="1">INDEX(Photobiology!$21:$421,1+$H405-380,R$14)</f>
        <v>4.9257500000000003E-8</v>
      </c>
      <c r="S405" s="147">
        <f t="shared" si="127"/>
        <v>1442539339713124.8</v>
      </c>
      <c r="T405" s="147" t="str">
        <f ca="1">INDEX(Photobiology!$21:$421,1+$H405-380,T$14)</f>
        <v/>
      </c>
      <c r="U405" s="147">
        <f ca="1">INDEX(Photobiology!$21:$421,1+$H405-380,U$14)</f>
        <v>2.7785278378817319E-6</v>
      </c>
      <c r="V405" s="147">
        <f ca="1">INDEX(Photobiology!$21:$421,1+$H405-380,V$14)</f>
        <v>3.9536027343841345E-5</v>
      </c>
      <c r="W405" s="147">
        <f ca="1">INDEX(Photobiology!$21:$421,1+$H405-380,W$14)</f>
        <v>2.2377709043360449E-7</v>
      </c>
      <c r="X405" s="147">
        <f ca="1">INDEX(Photobiology!$21:$421,1+$H405-380,X$14)</f>
        <v>3.1525704963449492E-8</v>
      </c>
      <c r="Y405" s="147">
        <f t="shared" ref="Y405:Y421" si="134">IF(TRUE,M405,S405)</f>
        <v>3.7496389690827499E-4</v>
      </c>
      <c r="Z405" s="147">
        <f t="shared" ca="1" si="128"/>
        <v>0</v>
      </c>
      <c r="AA405" s="147">
        <f t="shared" ref="AA405:AA421" ca="1" si="135">$Y405*O405</f>
        <v>1.4724457267691049E-9</v>
      </c>
      <c r="AB405" s="147">
        <f t="shared" ref="AB405:AB421" ca="1" si="136">$Y405*P405</f>
        <v>1.9985425719652294E-8</v>
      </c>
      <c r="AC405" s="147">
        <f t="shared" ref="AC405:AC421" ca="1" si="137">$Y405*Q405</f>
        <v>1.2681278993437859E-10</v>
      </c>
      <c r="AD405" s="147">
        <f t="shared" ref="AD405:AD421" ca="1" si="138">$Y405*R405</f>
        <v>1.8469784151959357E-11</v>
      </c>
      <c r="AH405" s="147">
        <f t="shared" si="129"/>
        <v>764</v>
      </c>
      <c r="AI405" s="147">
        <f>IF($AH405&gt;$AH404,INDEX(Spectra!405:405,1,MATCH($AI$20,Spectra!$20:$20,0)),AI404)</f>
        <v>54.573099999999997</v>
      </c>
      <c r="AJ405" s="147">
        <f>((Physics!$C$9*Physics!$C$10)/(Physics!$C$11*Physics!$C$12*$AH405))^($AJ$17-$AJ$18)</f>
        <v>3.8471419558187597E+18</v>
      </c>
      <c r="AK405" s="147">
        <f t="shared" si="130"/>
        <v>1</v>
      </c>
      <c r="AL405" s="147">
        <f>INDEX(Photobiology!$21:$421,1+$AH405-380,10)</f>
        <v>4.5447469999999999E-5</v>
      </c>
      <c r="AM405" s="147">
        <f t="shared" si="131"/>
        <v>7.561430651804083E-4</v>
      </c>
      <c r="AN405" s="147">
        <f ca="1">INDEX(Photobiology!$21:$421,1+$AH405-380,AN$14)</f>
        <v>0</v>
      </c>
      <c r="AO405" s="147">
        <f ca="1">INDEX(Photobiology!$21:$421,1+$AH405-380,AO$14)</f>
        <v>3.9268999999999996E-6</v>
      </c>
      <c r="AP405" s="147">
        <f ca="1">INDEX(Photobiology!$21:$421,1+$AH405-380,AP$14)</f>
        <v>5.32996E-5</v>
      </c>
      <c r="AQ405" s="147">
        <f ca="1">INDEX(Photobiology!$21:$421,1+$AH405-380,AQ$14)</f>
        <v>3.382E-7</v>
      </c>
      <c r="AR405" s="147">
        <f ca="1">INDEX(Photobiology!$21:$421,1+$AH405-380,AR$14)</f>
        <v>4.9257500000000003E-8</v>
      </c>
      <c r="AS405" s="147">
        <f t="shared" si="132"/>
        <v>2908989710656948</v>
      </c>
      <c r="AT405" s="147" t="str">
        <f ca="1">INDEX(Photobiology!$21:$421,1+$AH405-380,AT$14)</f>
        <v/>
      </c>
      <c r="AU405" s="147">
        <f ca="1">INDEX(Photobiology!$21:$421,1+$AH405-380,AU$14)</f>
        <v>2.7785278378817319E-6</v>
      </c>
      <c r="AV405" s="147">
        <f ca="1">INDEX(Photobiology!$21:$421,1+$AH405-380,AV$14)</f>
        <v>3.9536027343841345E-5</v>
      </c>
      <c r="AW405" s="147">
        <f ca="1">INDEX(Photobiology!$21:$421,1+$AH405-380,AW$14)</f>
        <v>2.2377709043360449E-7</v>
      </c>
      <c r="AX405" s="147">
        <f ca="1">INDEX(Photobiology!$21:$421,1+$AH405-380,AX$14)</f>
        <v>3.1525704963449492E-8</v>
      </c>
      <c r="AY405" s="147">
        <f t="shared" ref="AY405:AY421" si="139">IF(TRUE,AM405,AS405)</f>
        <v>7.561430651804083E-4</v>
      </c>
      <c r="AZ405" s="147">
        <f t="shared" ca="1" si="133"/>
        <v>0</v>
      </c>
      <c r="BA405" s="147">
        <f t="shared" ref="BA405:BA421" ca="1" si="140">$AY405*AO405</f>
        <v>2.969298202656945E-9</v>
      </c>
      <c r="BB405" s="147">
        <f t="shared" ref="BB405:BB421" ca="1" si="141">$AY405*AP405</f>
        <v>4.0302122916889692E-8</v>
      </c>
      <c r="BC405" s="147">
        <f t="shared" ref="BC405:BC421" ca="1" si="142">$AY405*AQ405</f>
        <v>2.5572758464401409E-10</v>
      </c>
      <c r="BD405" s="147">
        <f t="shared" ref="BD405:BD421" ca="1" si="143">$AY405*AR405</f>
        <v>3.7245717033123966E-11</v>
      </c>
    </row>
    <row r="406" spans="8:56" s="147" customFormat="1" ht="0.25" customHeight="1" x14ac:dyDescent="0.2">
      <c r="H406" s="147">
        <f t="shared" ref="H406:H421" si="144">MIN(780,H405+$J$14)</f>
        <v>765</v>
      </c>
      <c r="I406" s="147">
        <f>IF($H406&gt;$H405,INDEX(Spectra!406:406,1,MATCH($I$20,Spectra!$20:$20,0)),I405)</f>
        <v>4.70454702654249E-4</v>
      </c>
      <c r="J406" s="147">
        <f>((Physics!$C$9*Physics!$C$10)/(Physics!$C$11*Physics!$C$12*$H406))^($J$17-$J$18)</f>
        <v>3.8521774819389409E+18</v>
      </c>
      <c r="K406" s="147">
        <f t="shared" ref="K406:K421" si="145">(H406&lt;&gt;H405)*1</f>
        <v>1</v>
      </c>
      <c r="L406" s="147">
        <f>INDEX(Photobiology!$21:$421,1+$H406-380,10)</f>
        <v>4.2400000000000001E-5</v>
      </c>
      <c r="M406" s="147">
        <f t="shared" ref="M406:M421" si="146">$I406*$J$15*IF($J$18,1,$J406)</f>
        <v>4.70454702654249E-4</v>
      </c>
      <c r="N406" s="147">
        <f ca="1">INDEX(Photobiology!$21:$421,1+$H406-380,N$14)</f>
        <v>0</v>
      </c>
      <c r="O406" s="147">
        <f ca="1">INDEX(Photobiology!$21:$421,1+$H406-380,O$14)</f>
        <v>3.68617E-6</v>
      </c>
      <c r="P406" s="147">
        <f ca="1">INDEX(Photobiology!$21:$421,1+$H406-380,P$14)</f>
        <v>4.9842999999999997E-5</v>
      </c>
      <c r="Q406" s="147">
        <f ca="1">INDEX(Photobiology!$21:$421,1+$H406-380,Q$14)</f>
        <v>3.1959999999999998E-7</v>
      </c>
      <c r="R406" s="147">
        <f ca="1">INDEX(Photobiology!$21:$421,1+$H406-380,R$14)</f>
        <v>4.6591600000000003E-8</v>
      </c>
      <c r="S406" s="147">
        <f t="shared" ref="S406:S421" si="147">$I406*$J$15*IF($J$17,1,$J406)</f>
        <v>1812275011836978</v>
      </c>
      <c r="T406" s="147" t="str">
        <f ca="1">INDEX(Photobiology!$21:$421,1+$H406-380,T$14)</f>
        <v/>
      </c>
      <c r="U406" s="147">
        <f ca="1">INDEX(Photobiology!$21:$421,1+$H406-380,U$14)</f>
        <v>2.6047868701053193E-6</v>
      </c>
      <c r="V406" s="147">
        <f ca="1">INDEX(Photobiology!$21:$421,1+$H406-380,V$14)</f>
        <v>3.692369681487512E-5</v>
      </c>
      <c r="W406" s="147">
        <f ca="1">INDEX(Photobiology!$21:$421,1+$H406-380,W$14)</f>
        <v>2.1119358074222667E-7</v>
      </c>
      <c r="X406" s="147">
        <f ca="1">INDEX(Photobiology!$21:$421,1+$H406-380,X$14)</f>
        <v>2.978050027288345E-8</v>
      </c>
      <c r="Y406" s="147">
        <f t="shared" si="134"/>
        <v>4.70454702654249E-4</v>
      </c>
      <c r="Z406" s="147">
        <f t="shared" ref="Z406:Z421" ca="1" si="148">$Y406*N406</f>
        <v>0</v>
      </c>
      <c r="AA406" s="147">
        <f t="shared" ca="1" si="135"/>
        <v>1.7341760112830131E-9</v>
      </c>
      <c r="AB406" s="147">
        <f t="shared" ca="1" si="136"/>
        <v>2.3448873744395731E-8</v>
      </c>
      <c r="AC406" s="147">
        <f t="shared" ca="1" si="137"/>
        <v>1.5035732296829796E-10</v>
      </c>
      <c r="AD406" s="147">
        <f t="shared" ca="1" si="138"/>
        <v>2.191923732418571E-11</v>
      </c>
      <c r="AH406" s="147">
        <f t="shared" ref="AH406:AH421" si="149">MIN(780,AH405+$AJ$14)</f>
        <v>765</v>
      </c>
      <c r="AI406" s="147">
        <f>IF($AH406&gt;$AH405,INDEX(Spectra!406:406,1,MATCH($AI$20,Spectra!$20:$20,0)),AI405)</f>
        <v>56.611800000000002</v>
      </c>
      <c r="AJ406" s="147">
        <f>((Physics!$C$9*Physics!$C$10)/(Physics!$C$11*Physics!$C$12*$AH406))^($AJ$17-$AJ$18)</f>
        <v>3.8521774819389409E+18</v>
      </c>
      <c r="AK406" s="147">
        <f t="shared" ref="AK406:AK421" si="150">(AH406&lt;&gt;AH405)*1</f>
        <v>1</v>
      </c>
      <c r="AL406" s="147">
        <f>INDEX(Photobiology!$21:$421,1+$AH406-380,10)</f>
        <v>4.2400000000000001E-5</v>
      </c>
      <c r="AM406" s="147">
        <f t="shared" ref="AM406:AM421" si="151">$AI406*$AJ$15*IF($AJ$18,1,$AJ406)</f>
        <v>7.8439047767820118E-4</v>
      </c>
      <c r="AN406" s="147">
        <f ca="1">INDEX(Photobiology!$21:$421,1+$AH406-380,AN$14)</f>
        <v>0</v>
      </c>
      <c r="AO406" s="147">
        <f ca="1">INDEX(Photobiology!$21:$421,1+$AH406-380,AO$14)</f>
        <v>3.68617E-6</v>
      </c>
      <c r="AP406" s="147">
        <f ca="1">INDEX(Photobiology!$21:$421,1+$AH406-380,AP$14)</f>
        <v>4.9842999999999997E-5</v>
      </c>
      <c r="AQ406" s="147">
        <f ca="1">INDEX(Photobiology!$21:$421,1+$AH406-380,AQ$14)</f>
        <v>3.1959999999999998E-7</v>
      </c>
      <c r="AR406" s="147">
        <f ca="1">INDEX(Photobiology!$21:$421,1+$AH406-380,AR$14)</f>
        <v>4.6591600000000003E-8</v>
      </c>
      <c r="AS406" s="147">
        <f t="shared" ref="AS406:AS421" si="152">$AI406*$AJ$15*IF($AJ$17,1,$AJ406)</f>
        <v>3021611335159296</v>
      </c>
      <c r="AT406" s="147" t="str">
        <f ca="1">INDEX(Photobiology!$21:$421,1+$AH406-380,AT$14)</f>
        <v/>
      </c>
      <c r="AU406" s="147">
        <f ca="1">INDEX(Photobiology!$21:$421,1+$AH406-380,AU$14)</f>
        <v>2.6047868701053193E-6</v>
      </c>
      <c r="AV406" s="147">
        <f ca="1">INDEX(Photobiology!$21:$421,1+$AH406-380,AV$14)</f>
        <v>3.692369681487512E-5</v>
      </c>
      <c r="AW406" s="147">
        <f ca="1">INDEX(Photobiology!$21:$421,1+$AH406-380,AW$14)</f>
        <v>2.1119358074222667E-7</v>
      </c>
      <c r="AX406" s="147">
        <f ca="1">INDEX(Photobiology!$21:$421,1+$AH406-380,AX$14)</f>
        <v>2.978050027288345E-8</v>
      </c>
      <c r="AY406" s="147">
        <f t="shared" si="139"/>
        <v>7.8439047767820118E-4</v>
      </c>
      <c r="AZ406" s="147">
        <f t="shared" ref="AZ406:AZ421" ca="1" si="153">$AY406*AN406</f>
        <v>0</v>
      </c>
      <c r="BA406" s="147">
        <f t="shared" ca="1" si="140"/>
        <v>2.891396647103055E-9</v>
      </c>
      <c r="BB406" s="147">
        <f t="shared" ca="1" si="141"/>
        <v>3.9096374578914582E-8</v>
      </c>
      <c r="BC406" s="147">
        <f t="shared" ca="1" si="142"/>
        <v>2.5069119666595306E-10</v>
      </c>
      <c r="BD406" s="147">
        <f t="shared" ca="1" si="143"/>
        <v>3.6546007379791682E-11</v>
      </c>
    </row>
    <row r="407" spans="8:56" s="147" customFormat="1" ht="0.25" customHeight="1" x14ac:dyDescent="0.2">
      <c r="H407" s="147">
        <f t="shared" si="144"/>
        <v>766</v>
      </c>
      <c r="I407" s="147">
        <f>IF($H407&gt;$H406,INDEX(Spectra!407:407,1,MATCH($I$20,Spectra!$20:$20,0)),I406)</f>
        <v>5.8494367917690904E-4</v>
      </c>
      <c r="J407" s="147">
        <f>((Physics!$C$9*Physics!$C$10)/(Physics!$C$11*Physics!$C$12*$H407))^($J$17-$J$18)</f>
        <v>3.8572130080591232E+18</v>
      </c>
      <c r="K407" s="147">
        <f t="shared" si="145"/>
        <v>1</v>
      </c>
      <c r="L407" s="147">
        <f>INDEX(Photobiology!$21:$421,1+$H407-380,10)</f>
        <v>3.9561039999999999E-5</v>
      </c>
      <c r="M407" s="147">
        <f t="shared" si="146"/>
        <v>5.8494367917690904E-4</v>
      </c>
      <c r="N407" s="147">
        <f ca="1">INDEX(Photobiology!$21:$421,1+$H407-380,N$14)</f>
        <v>0</v>
      </c>
      <c r="O407" s="147">
        <f ca="1">INDEX(Photobiology!$21:$421,1+$H407-380,O$14)</f>
        <v>3.46157E-6</v>
      </c>
      <c r="P407" s="147">
        <f ca="1">INDEX(Photobiology!$21:$421,1+$H407-380,P$14)</f>
        <v>4.6632199999999997E-5</v>
      </c>
      <c r="Q407" s="147">
        <f ca="1">INDEX(Photobiology!$21:$421,1+$H407-380,Q$14)</f>
        <v>3.0209999999999999E-7</v>
      </c>
      <c r="R407" s="147">
        <f ca="1">INDEX(Photobiology!$21:$421,1+$H407-380,R$14)</f>
        <v>4.4078199999999997E-8</v>
      </c>
      <c r="S407" s="147">
        <f t="shared" si="147"/>
        <v>2256252368303136</v>
      </c>
      <c r="T407" s="147" t="str">
        <f ca="1">INDEX(Photobiology!$21:$421,1+$H407-380,T$14)</f>
        <v/>
      </c>
      <c r="U407" s="147">
        <f ca="1">INDEX(Photobiology!$21:$421,1+$H407-380,U$14)</f>
        <v>2.4428827210021195E-6</v>
      </c>
      <c r="V407" s="147">
        <f ca="1">INDEX(Photobiology!$21:$421,1+$H407-380,V$14)</f>
        <v>3.4500037930514976E-5</v>
      </c>
      <c r="W407" s="147">
        <f ca="1">INDEX(Photobiology!$21:$421,1+$H407-380,W$14)</f>
        <v>1.9936886377147104E-7</v>
      </c>
      <c r="X407" s="147">
        <f ca="1">INDEX(Photobiology!$21:$421,1+$H407-380,X$14)</f>
        <v>2.8137200216669721E-8</v>
      </c>
      <c r="Y407" s="147">
        <f t="shared" si="134"/>
        <v>5.8494367917690904E-4</v>
      </c>
      <c r="Z407" s="147">
        <f t="shared" ca="1" si="148"/>
        <v>0</v>
      </c>
      <c r="AA407" s="147">
        <f t="shared" ca="1" si="135"/>
        <v>2.0248234915284131E-9</v>
      </c>
      <c r="AB407" s="147">
        <f t="shared" ca="1" si="136"/>
        <v>2.7277210636113456E-8</v>
      </c>
      <c r="AC407" s="147">
        <f t="shared" ca="1" si="137"/>
        <v>1.7671148547934421E-10</v>
      </c>
      <c r="AD407" s="147">
        <f t="shared" ca="1" si="138"/>
        <v>2.5783264479495632E-11</v>
      </c>
      <c r="AH407" s="147">
        <f t="shared" si="149"/>
        <v>766</v>
      </c>
      <c r="AI407" s="147">
        <f>IF($AH407&gt;$AH406,INDEX(Spectra!407:407,1,MATCH($AI$20,Spectra!$20:$20,0)),AI406)</f>
        <v>58.650500000000001</v>
      </c>
      <c r="AJ407" s="147">
        <f>((Physics!$C$9*Physics!$C$10)/(Physics!$C$11*Physics!$C$12*$AH407))^($AJ$17-$AJ$18)</f>
        <v>3.8572130080591232E+18</v>
      </c>
      <c r="AK407" s="147">
        <f t="shared" si="150"/>
        <v>1</v>
      </c>
      <c r="AL407" s="147">
        <f>INDEX(Photobiology!$21:$421,1+$AH407-380,10)</f>
        <v>3.9561039999999999E-5</v>
      </c>
      <c r="AM407" s="147">
        <f t="shared" si="151"/>
        <v>8.1263789017599407E-4</v>
      </c>
      <c r="AN407" s="147">
        <f ca="1">INDEX(Photobiology!$21:$421,1+$AH407-380,AN$14)</f>
        <v>0</v>
      </c>
      <c r="AO407" s="147">
        <f ca="1">INDEX(Photobiology!$21:$421,1+$AH407-380,AO$14)</f>
        <v>3.46157E-6</v>
      </c>
      <c r="AP407" s="147">
        <f ca="1">INDEX(Photobiology!$21:$421,1+$AH407-380,AP$14)</f>
        <v>4.6632199999999997E-5</v>
      </c>
      <c r="AQ407" s="147">
        <f ca="1">INDEX(Photobiology!$21:$421,1+$AH407-380,AQ$14)</f>
        <v>3.0209999999999999E-7</v>
      </c>
      <c r="AR407" s="147">
        <f ca="1">INDEX(Photobiology!$21:$421,1+$AH407-380,AR$14)</f>
        <v>4.4078199999999997E-8</v>
      </c>
      <c r="AS407" s="147">
        <f t="shared" si="152"/>
        <v>3134517440828565.5</v>
      </c>
      <c r="AT407" s="147" t="str">
        <f ca="1">INDEX(Photobiology!$21:$421,1+$AH407-380,AT$14)</f>
        <v/>
      </c>
      <c r="AU407" s="147">
        <f ca="1">INDEX(Photobiology!$21:$421,1+$AH407-380,AU$14)</f>
        <v>2.4428827210021195E-6</v>
      </c>
      <c r="AV407" s="147">
        <f ca="1">INDEX(Photobiology!$21:$421,1+$AH407-380,AV$14)</f>
        <v>3.4500037930514976E-5</v>
      </c>
      <c r="AW407" s="147">
        <f ca="1">INDEX(Photobiology!$21:$421,1+$AH407-380,AW$14)</f>
        <v>1.9936886377147104E-7</v>
      </c>
      <c r="AX407" s="147">
        <f ca="1">INDEX(Photobiology!$21:$421,1+$AH407-380,AX$14)</f>
        <v>2.8137200216669721E-8</v>
      </c>
      <c r="AY407" s="147">
        <f t="shared" si="139"/>
        <v>8.1263789017599407E-4</v>
      </c>
      <c r="AZ407" s="147">
        <f t="shared" ca="1" si="153"/>
        <v>0</v>
      </c>
      <c r="BA407" s="147">
        <f t="shared" ca="1" si="140"/>
        <v>2.8130029414965157E-9</v>
      </c>
      <c r="BB407" s="147">
        <f t="shared" ca="1" si="141"/>
        <v>3.7895092622264985E-8</v>
      </c>
      <c r="BC407" s="147">
        <f t="shared" ca="1" si="142"/>
        <v>2.4549790662216777E-10</v>
      </c>
      <c r="BD407" s="147">
        <f t="shared" ca="1" si="143"/>
        <v>3.5819615450755502E-11</v>
      </c>
    </row>
    <row r="408" spans="8:56" s="147" customFormat="1" ht="0.25" customHeight="1" x14ac:dyDescent="0.2">
      <c r="H408" s="147">
        <f t="shared" si="144"/>
        <v>767</v>
      </c>
      <c r="I408" s="147">
        <f>IF($H408&gt;$H407,INDEX(Spectra!408:408,1,MATCH($I$20,Spectra!$20:$20,0)),I407)</f>
        <v>6.9493308893667E-4</v>
      </c>
      <c r="J408" s="147">
        <f>((Physics!$C$9*Physics!$C$10)/(Physics!$C$11*Physics!$C$12*$H408))^($J$17-$J$18)</f>
        <v>3.8622485341793044E+18</v>
      </c>
      <c r="K408" s="147">
        <f t="shared" si="145"/>
        <v>1</v>
      </c>
      <c r="L408" s="147">
        <f>INDEX(Photobiology!$21:$421,1+$H408-380,10)</f>
        <v>3.6915120000000003E-5</v>
      </c>
      <c r="M408" s="147">
        <f t="shared" si="146"/>
        <v>6.9493308893667E-4</v>
      </c>
      <c r="N408" s="147">
        <f ca="1">INDEX(Photobiology!$21:$421,1+$H408-380,N$14)</f>
        <v>0</v>
      </c>
      <c r="O408" s="147">
        <f ca="1">INDEX(Photobiology!$21:$421,1+$H408-380,O$14)</f>
        <v>3.2515499999999998E-6</v>
      </c>
      <c r="P408" s="147">
        <f ca="1">INDEX(Photobiology!$21:$421,1+$H408-380,P$14)</f>
        <v>4.3642400000000001E-5</v>
      </c>
      <c r="Q408" s="147">
        <f ca="1">INDEX(Photobiology!$21:$421,1+$H408-380,Q$14)</f>
        <v>2.8550000000000001E-7</v>
      </c>
      <c r="R408" s="147">
        <f ca="1">INDEX(Photobiology!$21:$421,1+$H408-380,R$14)</f>
        <v>4.1696200000000002E-8</v>
      </c>
      <c r="S408" s="147">
        <f t="shared" si="147"/>
        <v>2684004304098350</v>
      </c>
      <c r="T408" s="147" t="str">
        <f ca="1">INDEX(Photobiology!$21:$421,1+$H408-380,T$14)</f>
        <v/>
      </c>
      <c r="U408" s="147">
        <f ca="1">INDEX(Photobiology!$21:$421,1+$H408-380,U$14)</f>
        <v>2.2916766602376686E-6</v>
      </c>
      <c r="V408" s="147">
        <f ca="1">INDEX(Photobiology!$21:$421,1+$H408-380,V$14)</f>
        <v>3.2245988795776554E-5</v>
      </c>
      <c r="W408" s="147">
        <f ca="1">INDEX(Photobiology!$21:$421,1+$H408-380,W$14)</f>
        <v>1.88168155051857E-7</v>
      </c>
      <c r="X408" s="147">
        <f ca="1">INDEX(Photobiology!$21:$421,1+$H408-380,X$14)</f>
        <v>2.658195464348032E-8</v>
      </c>
      <c r="Y408" s="147">
        <f t="shared" si="134"/>
        <v>6.9493308893667E-4</v>
      </c>
      <c r="Z408" s="147">
        <f t="shared" ca="1" si="148"/>
        <v>0</v>
      </c>
      <c r="AA408" s="147">
        <f t="shared" ca="1" si="135"/>
        <v>2.259609685332029E-9</v>
      </c>
      <c r="AB408" s="147">
        <f t="shared" ca="1" si="136"/>
        <v>3.0328547840609729E-8</v>
      </c>
      <c r="AC408" s="147">
        <f t="shared" ca="1" si="137"/>
        <v>1.9840339689141928E-10</v>
      </c>
      <c r="AD408" s="147">
        <f t="shared" ca="1" si="138"/>
        <v>2.8976069062921182E-11</v>
      </c>
      <c r="AH408" s="147">
        <f t="shared" si="149"/>
        <v>767</v>
      </c>
      <c r="AI408" s="147">
        <f>IF($AH408&gt;$AH407,INDEX(Spectra!408:408,1,MATCH($AI$20,Spectra!$20:$20,0)),AI407)</f>
        <v>60.6892</v>
      </c>
      <c r="AJ408" s="147">
        <f>((Physics!$C$9*Physics!$C$10)/(Physics!$C$11*Physics!$C$12*$AH408))^($AJ$17-$AJ$18)</f>
        <v>3.8622485341793044E+18</v>
      </c>
      <c r="AK408" s="147">
        <f t="shared" si="150"/>
        <v>1</v>
      </c>
      <c r="AL408" s="147">
        <f>INDEX(Photobiology!$21:$421,1+$AH408-380,10)</f>
        <v>3.6915120000000003E-5</v>
      </c>
      <c r="AM408" s="147">
        <f t="shared" si="151"/>
        <v>8.4088530267378684E-4</v>
      </c>
      <c r="AN408" s="147">
        <f ca="1">INDEX(Photobiology!$21:$421,1+$AH408-380,AN$14)</f>
        <v>0</v>
      </c>
      <c r="AO408" s="147">
        <f ca="1">INDEX(Photobiology!$21:$421,1+$AH408-380,AO$14)</f>
        <v>3.2515499999999998E-6</v>
      </c>
      <c r="AP408" s="147">
        <f ca="1">INDEX(Photobiology!$21:$421,1+$AH408-380,AP$14)</f>
        <v>4.3642400000000001E-5</v>
      </c>
      <c r="AQ408" s="147">
        <f ca="1">INDEX(Photobiology!$21:$421,1+$AH408-380,AQ$14)</f>
        <v>2.8550000000000001E-7</v>
      </c>
      <c r="AR408" s="147">
        <f ca="1">INDEX(Photobiology!$21:$421,1+$AH408-380,AR$14)</f>
        <v>4.1696200000000002E-8</v>
      </c>
      <c r="AS408" s="147">
        <f t="shared" si="152"/>
        <v>3247708027664754</v>
      </c>
      <c r="AT408" s="147" t="str">
        <f ca="1">INDEX(Photobiology!$21:$421,1+$AH408-380,AT$14)</f>
        <v/>
      </c>
      <c r="AU408" s="147">
        <f ca="1">INDEX(Photobiology!$21:$421,1+$AH408-380,AU$14)</f>
        <v>2.2916766602376686E-6</v>
      </c>
      <c r="AV408" s="147">
        <f ca="1">INDEX(Photobiology!$21:$421,1+$AH408-380,AV$14)</f>
        <v>3.2245988795776554E-5</v>
      </c>
      <c r="AW408" s="147">
        <f ca="1">INDEX(Photobiology!$21:$421,1+$AH408-380,AW$14)</f>
        <v>1.88168155051857E-7</v>
      </c>
      <c r="AX408" s="147">
        <f ca="1">INDEX(Photobiology!$21:$421,1+$AH408-380,AX$14)</f>
        <v>2.658195464348032E-8</v>
      </c>
      <c r="AY408" s="147">
        <f t="shared" si="139"/>
        <v>8.4088530267378684E-4</v>
      </c>
      <c r="AZ408" s="147">
        <f t="shared" ca="1" si="153"/>
        <v>0</v>
      </c>
      <c r="BA408" s="147">
        <f t="shared" ca="1" si="140"/>
        <v>2.7341806059089514E-9</v>
      </c>
      <c r="BB408" s="147">
        <f t="shared" ca="1" si="141"/>
        <v>3.6698252733410475E-8</v>
      </c>
      <c r="BC408" s="147">
        <f t="shared" ca="1" si="142"/>
        <v>2.4007275391336617E-10</v>
      </c>
      <c r="BD408" s="147">
        <f t="shared" ca="1" si="143"/>
        <v>3.5061721757346753E-11</v>
      </c>
    </row>
    <row r="409" spans="8:56" s="147" customFormat="1" ht="0.25" customHeight="1" x14ac:dyDescent="0.2">
      <c r="H409" s="147">
        <f t="shared" si="144"/>
        <v>768</v>
      </c>
      <c r="I409" s="147">
        <f>IF($H409&gt;$H408,INDEX(Spectra!409:409,1,MATCH($I$20,Spectra!$20:$20,0)),I408)</f>
        <v>7.7492538694376803E-4</v>
      </c>
      <c r="J409" s="147">
        <f>((Physics!$C$9*Physics!$C$10)/(Physics!$C$11*Physics!$C$12*$H409))^($J$17-$J$18)</f>
        <v>3.8672840602994857E+18</v>
      </c>
      <c r="K409" s="147">
        <f t="shared" si="145"/>
        <v>1</v>
      </c>
      <c r="L409" s="147">
        <f>INDEX(Photobiology!$21:$421,1+$H409-380,10)</f>
        <v>3.444868E-5</v>
      </c>
      <c r="M409" s="147">
        <f t="shared" si="146"/>
        <v>7.7492538694376803E-4</v>
      </c>
      <c r="N409" s="147">
        <f ca="1">INDEX(Photobiology!$21:$421,1+$H409-380,N$14)</f>
        <v>0</v>
      </c>
      <c r="O409" s="147">
        <f ca="1">INDEX(Photobiology!$21:$421,1+$H409-380,O$14)</f>
        <v>3.0546400000000002E-6</v>
      </c>
      <c r="P409" s="147">
        <f ca="1">INDEX(Photobiology!$21:$421,1+$H409-380,P$14)</f>
        <v>4.0850099999999997E-5</v>
      </c>
      <c r="Q409" s="147">
        <f ca="1">INDEX(Photobiology!$21:$421,1+$H409-380,Q$14)</f>
        <v>2.699E-7</v>
      </c>
      <c r="R409" s="147">
        <f ca="1">INDEX(Photobiology!$21:$421,1+$H409-380,R$14)</f>
        <v>3.9444400000000001E-8</v>
      </c>
      <c r="S409" s="147">
        <f t="shared" si="147"/>
        <v>2996856596849045.5</v>
      </c>
      <c r="T409" s="147" t="str">
        <f ca="1">INDEX(Photobiology!$21:$421,1+$H409-380,T$14)</f>
        <v/>
      </c>
      <c r="U409" s="147">
        <f ca="1">INDEX(Photobiology!$21:$421,1+$H409-380,U$14)</f>
        <v>2.1500921985602609E-6</v>
      </c>
      <c r="V409" s="147">
        <f ca="1">INDEX(Photobiology!$21:$421,1+$H409-380,V$14)</f>
        <v>3.0143546074566265E-5</v>
      </c>
      <c r="W409" s="147">
        <f ca="1">INDEX(Photobiology!$21:$421,1+$H409-380,W$14)</f>
        <v>1.7765483951855567E-7</v>
      </c>
      <c r="X409" s="147">
        <f ca="1">INDEX(Photobiology!$21:$421,1+$H409-380,X$14)</f>
        <v>2.5113655568559234E-8</v>
      </c>
      <c r="Y409" s="147">
        <f t="shared" si="134"/>
        <v>7.7492538694376803E-4</v>
      </c>
      <c r="Z409" s="147">
        <f t="shared" ca="1" si="148"/>
        <v>0</v>
      </c>
      <c r="AA409" s="147">
        <f t="shared" ca="1" si="135"/>
        <v>2.3671180839739119E-9</v>
      </c>
      <c r="AB409" s="147">
        <f t="shared" ca="1" si="136"/>
        <v>3.1655779549191614E-8</v>
      </c>
      <c r="AC409" s="147">
        <f t="shared" ca="1" si="137"/>
        <v>2.09152361936123E-10</v>
      </c>
      <c r="AD409" s="147">
        <f t="shared" ca="1" si="138"/>
        <v>3.0566466932764763E-11</v>
      </c>
      <c r="AH409" s="147">
        <f t="shared" si="149"/>
        <v>768</v>
      </c>
      <c r="AI409" s="147">
        <f>IF($AH409&gt;$AH408,INDEX(Spectra!409:409,1,MATCH($AI$20,Spectra!$20:$20,0)),AI408)</f>
        <v>62.728000000000002</v>
      </c>
      <c r="AJ409" s="147">
        <f>((Physics!$C$9*Physics!$C$10)/(Physics!$C$11*Physics!$C$12*$AH409))^($AJ$17-$AJ$18)</f>
        <v>3.8672840602994857E+18</v>
      </c>
      <c r="AK409" s="147">
        <f t="shared" si="150"/>
        <v>1</v>
      </c>
      <c r="AL409" s="147">
        <f>INDEX(Photobiology!$21:$421,1+$AH409-380,10)</f>
        <v>3.444868E-5</v>
      </c>
      <c r="AM409" s="147">
        <f t="shared" si="151"/>
        <v>8.6913410073161785E-4</v>
      </c>
      <c r="AN409" s="147">
        <f ca="1">INDEX(Photobiology!$21:$421,1+$AH409-380,AN$14)</f>
        <v>0</v>
      </c>
      <c r="AO409" s="147">
        <f ca="1">INDEX(Photobiology!$21:$421,1+$AH409-380,AO$14)</f>
        <v>3.0546400000000002E-6</v>
      </c>
      <c r="AP409" s="147">
        <f ca="1">INDEX(Photobiology!$21:$421,1+$AH409-380,AP$14)</f>
        <v>4.0850099999999997E-5</v>
      </c>
      <c r="AQ409" s="147">
        <f ca="1">INDEX(Photobiology!$21:$421,1+$AH409-380,AQ$14)</f>
        <v>2.699E-7</v>
      </c>
      <c r="AR409" s="147">
        <f ca="1">INDEX(Photobiology!$21:$421,1+$AH409-380,AR$14)</f>
        <v>3.9444400000000001E-8</v>
      </c>
      <c r="AS409" s="147">
        <f t="shared" si="152"/>
        <v>3361188454022113.5</v>
      </c>
      <c r="AT409" s="147" t="str">
        <f ca="1">INDEX(Photobiology!$21:$421,1+$AH409-380,AT$14)</f>
        <v/>
      </c>
      <c r="AU409" s="147">
        <f ca="1">INDEX(Photobiology!$21:$421,1+$AH409-380,AU$14)</f>
        <v>2.1500921985602609E-6</v>
      </c>
      <c r="AV409" s="147">
        <f ca="1">INDEX(Photobiology!$21:$421,1+$AH409-380,AV$14)</f>
        <v>3.0143546074566265E-5</v>
      </c>
      <c r="AW409" s="147">
        <f ca="1">INDEX(Photobiology!$21:$421,1+$AH409-380,AW$14)</f>
        <v>1.7765483951855567E-7</v>
      </c>
      <c r="AX409" s="147">
        <f ca="1">INDEX(Photobiology!$21:$421,1+$AH409-380,AX$14)</f>
        <v>2.5113655568559234E-8</v>
      </c>
      <c r="AY409" s="147">
        <f t="shared" si="139"/>
        <v>8.6913410073161785E-4</v>
      </c>
      <c r="AZ409" s="147">
        <f t="shared" ca="1" si="153"/>
        <v>0</v>
      </c>
      <c r="BA409" s="147">
        <f t="shared" ca="1" si="140"/>
        <v>2.6548917894588291E-9</v>
      </c>
      <c r="BB409" s="147">
        <f t="shared" ca="1" si="141"/>
        <v>3.550421492829666E-8</v>
      </c>
      <c r="BC409" s="147">
        <f t="shared" ca="1" si="142"/>
        <v>2.3457929378746364E-10</v>
      </c>
      <c r="BD409" s="147">
        <f t="shared" ca="1" si="143"/>
        <v>3.4282473122898227E-11</v>
      </c>
    </row>
    <row r="410" spans="8:56" s="147" customFormat="1" ht="0.25" customHeight="1" x14ac:dyDescent="0.2">
      <c r="H410" s="147">
        <f t="shared" si="144"/>
        <v>769</v>
      </c>
      <c r="I410" s="147">
        <f>IF($H410&gt;$H409,INDEX(Spectra!410:410,1,MATCH($I$20,Spectra!$20:$20,0)),I409)</f>
        <v>8.2992009182364899E-4</v>
      </c>
      <c r="J410" s="147">
        <f>((Physics!$C$9*Physics!$C$10)/(Physics!$C$11*Physics!$C$12*$H410))^($J$17-$J$18)</f>
        <v>3.8723195864196675E+18</v>
      </c>
      <c r="K410" s="147">
        <f t="shared" si="145"/>
        <v>1</v>
      </c>
      <c r="L410" s="147">
        <f>INDEX(Photobiology!$21:$421,1+$H410-380,10)</f>
        <v>3.2148160000000002E-5</v>
      </c>
      <c r="M410" s="147">
        <f t="shared" si="146"/>
        <v>8.2992009182364899E-4</v>
      </c>
      <c r="N410" s="147">
        <f ca="1">INDEX(Photobiology!$21:$421,1+$H410-380,N$14)</f>
        <v>0</v>
      </c>
      <c r="O410" s="147">
        <f ca="1">INDEX(Photobiology!$21:$421,1+$H410-380,O$14)</f>
        <v>2.8695100000000001E-6</v>
      </c>
      <c r="P410" s="147">
        <f ca="1">INDEX(Photobiology!$21:$421,1+$H410-380,P$14)</f>
        <v>3.8234600000000002E-5</v>
      </c>
      <c r="Q410" s="147">
        <f ca="1">INDEX(Photobiology!$21:$421,1+$H410-380,Q$14)</f>
        <v>2.5520000000000001E-7</v>
      </c>
      <c r="R410" s="147">
        <f ca="1">INDEX(Photobiology!$21:$421,1+$H410-380,R$14)</f>
        <v>3.7321799999999997E-8</v>
      </c>
      <c r="S410" s="147">
        <f t="shared" si="147"/>
        <v>3213715826731925</v>
      </c>
      <c r="T410" s="147" t="str">
        <f ca="1">INDEX(Photobiology!$21:$421,1+$H410-380,T$14)</f>
        <v/>
      </c>
      <c r="U410" s="147">
        <f ca="1">INDEX(Photobiology!$21:$421,1+$H410-380,U$14)</f>
        <v>2.0171568608402852E-6</v>
      </c>
      <c r="V410" s="147">
        <f ca="1">INDEX(Photobiology!$21:$421,1+$H410-380,V$14)</f>
        <v>2.8176863527082027E-5</v>
      </c>
      <c r="W410" s="147">
        <f ca="1">INDEX(Photobiology!$21:$421,1+$H410-380,W$14)</f>
        <v>1.6776049866113295E-7</v>
      </c>
      <c r="X410" s="147">
        <f ca="1">INDEX(Photobiology!$21:$421,1+$H410-380,X$14)</f>
        <v>2.3731327941801026E-8</v>
      </c>
      <c r="Y410" s="147">
        <f t="shared" si="134"/>
        <v>8.2992009182364899E-4</v>
      </c>
      <c r="Z410" s="147">
        <f t="shared" ca="1" si="148"/>
        <v>0</v>
      </c>
      <c r="AA410" s="147">
        <f t="shared" ca="1" si="135"/>
        <v>2.381464002688879E-9</v>
      </c>
      <c r="AB410" s="147">
        <f t="shared" ca="1" si="136"/>
        <v>3.173166274284049E-8</v>
      </c>
      <c r="AC410" s="147">
        <f t="shared" ca="1" si="137"/>
        <v>2.1179560743339522E-10</v>
      </c>
      <c r="AD410" s="147">
        <f t="shared" ca="1" si="138"/>
        <v>3.0974111683023859E-11</v>
      </c>
      <c r="AH410" s="147">
        <f t="shared" si="149"/>
        <v>769</v>
      </c>
      <c r="AI410" s="147">
        <f>IF($AH410&gt;$AH409,INDEX(Spectra!410:410,1,MATCH($AI$20,Spectra!$20:$20,0)),AI409)</f>
        <v>64.7667</v>
      </c>
      <c r="AJ410" s="147">
        <f>((Physics!$C$9*Physics!$C$10)/(Physics!$C$11*Physics!$C$12*$AH410))^($AJ$17-$AJ$18)</f>
        <v>3.8723195864196675E+18</v>
      </c>
      <c r="AK410" s="147">
        <f t="shared" si="150"/>
        <v>1</v>
      </c>
      <c r="AL410" s="147">
        <f>INDEX(Photobiology!$21:$421,1+$AH410-380,10)</f>
        <v>3.2148160000000002E-5</v>
      </c>
      <c r="AM410" s="147">
        <f t="shared" si="151"/>
        <v>8.9738151322941073E-4</v>
      </c>
      <c r="AN410" s="147">
        <f ca="1">INDEX(Photobiology!$21:$421,1+$AH410-380,AN$14)</f>
        <v>0</v>
      </c>
      <c r="AO410" s="147">
        <f ca="1">INDEX(Photobiology!$21:$421,1+$AH410-380,AO$14)</f>
        <v>2.8695100000000001E-6</v>
      </c>
      <c r="AP410" s="147">
        <f ca="1">INDEX(Photobiology!$21:$421,1+$AH410-380,AP$14)</f>
        <v>3.8234600000000002E-5</v>
      </c>
      <c r="AQ410" s="147">
        <f ca="1">INDEX(Photobiology!$21:$421,1+$AH410-380,AQ$14)</f>
        <v>2.5520000000000001E-7</v>
      </c>
      <c r="AR410" s="147">
        <f ca="1">INDEX(Photobiology!$21:$421,1+$AH410-380,AR$14)</f>
        <v>3.7321799999999997E-8</v>
      </c>
      <c r="AS410" s="147">
        <f t="shared" si="152"/>
        <v>3474948010169167</v>
      </c>
      <c r="AT410" s="147" t="str">
        <f ca="1">INDEX(Photobiology!$21:$421,1+$AH410-380,AT$14)</f>
        <v/>
      </c>
      <c r="AU410" s="147">
        <f ca="1">INDEX(Photobiology!$21:$421,1+$AH410-380,AU$14)</f>
        <v>2.0171568608402852E-6</v>
      </c>
      <c r="AV410" s="147">
        <f ca="1">INDEX(Photobiology!$21:$421,1+$AH410-380,AV$14)</f>
        <v>2.8176863527082027E-5</v>
      </c>
      <c r="AW410" s="147">
        <f ca="1">INDEX(Photobiology!$21:$421,1+$AH410-380,AW$14)</f>
        <v>1.6776049866113295E-7</v>
      </c>
      <c r="AX410" s="147">
        <f ca="1">INDEX(Photobiology!$21:$421,1+$AH410-380,AX$14)</f>
        <v>2.3731327941801026E-8</v>
      </c>
      <c r="AY410" s="147">
        <f t="shared" si="139"/>
        <v>8.9738151322941073E-4</v>
      </c>
      <c r="AZ410" s="147">
        <f t="shared" ca="1" si="153"/>
        <v>0</v>
      </c>
      <c r="BA410" s="147">
        <f t="shared" ca="1" si="140"/>
        <v>2.5750452260269264E-9</v>
      </c>
      <c r="BB410" s="147">
        <f t="shared" ca="1" si="141"/>
        <v>3.4311023205721227E-8</v>
      </c>
      <c r="BC410" s="147">
        <f t="shared" ca="1" si="142"/>
        <v>2.2901176217614562E-10</v>
      </c>
      <c r="BD410" s="147">
        <f t="shared" ca="1" si="143"/>
        <v>3.3491893360445418E-11</v>
      </c>
    </row>
    <row r="411" spans="8:56" s="147" customFormat="1" ht="0.25" customHeight="1" x14ac:dyDescent="0.2">
      <c r="H411" s="147">
        <f t="shared" si="144"/>
        <v>770</v>
      </c>
      <c r="I411" s="147">
        <f>IF($H411&gt;$H410,INDEX(Spectra!411:411,1,MATCH($I$20,Spectra!$20:$20,0)),I410)</f>
        <v>8.6491672220175399E-4</v>
      </c>
      <c r="J411" s="147">
        <f>((Physics!$C$9*Physics!$C$10)/(Physics!$C$11*Physics!$C$12*$H411))^($J$17-$J$18)</f>
        <v>3.8773551125398492E+18</v>
      </c>
      <c r="K411" s="147">
        <f t="shared" si="145"/>
        <v>1</v>
      </c>
      <c r="L411" s="147">
        <f>INDEX(Photobiology!$21:$421,1+$H411-380,10)</f>
        <v>3.0000000000000001E-5</v>
      </c>
      <c r="M411" s="147">
        <f t="shared" si="146"/>
        <v>8.6491672220175399E-4</v>
      </c>
      <c r="N411" s="147">
        <f ca="1">INDEX(Photobiology!$21:$421,1+$H411-380,N$14)</f>
        <v>0</v>
      </c>
      <c r="O411" s="147">
        <f ca="1">INDEX(Photobiology!$21:$421,1+$H411-380,O$14)</f>
        <v>2.6950399999999999E-6</v>
      </c>
      <c r="P411" s="147">
        <f ca="1">INDEX(Photobiology!$21:$421,1+$H411-380,P$14)</f>
        <v>3.5778100000000002E-5</v>
      </c>
      <c r="Q411" s="147">
        <f ca="1">INDEX(Photobiology!$21:$421,1+$H411-380,Q$14)</f>
        <v>2.4130000000000002E-7</v>
      </c>
      <c r="R411" s="147">
        <f ca="1">INDEX(Photobiology!$21:$421,1+$H411-380,R$14)</f>
        <v>3.53272E-8</v>
      </c>
      <c r="S411" s="147">
        <f t="shared" si="147"/>
        <v>3353589274750179.5</v>
      </c>
      <c r="T411" s="147" t="str">
        <f ca="1">INDEX(Photobiology!$21:$421,1+$H411-380,T$14)</f>
        <v/>
      </c>
      <c r="U411" s="147">
        <f ca="1">INDEX(Photobiology!$21:$421,1+$H411-380,U$14)</f>
        <v>1.8920506540972819E-6</v>
      </c>
      <c r="V411" s="147">
        <f ca="1">INDEX(Photobiology!$21:$421,1+$H411-380,V$14)</f>
        <v>2.6332311601660305E-5</v>
      </c>
      <c r="W411" s="147">
        <f ca="1">INDEX(Photobiology!$21:$421,1+$H411-380,W$14)</f>
        <v>1.5841706938998818E-7</v>
      </c>
      <c r="X411" s="147">
        <f ca="1">INDEX(Photobiology!$21:$421,1+$H411-380,X$14)</f>
        <v>2.243387477205242E-8</v>
      </c>
      <c r="Y411" s="147">
        <f t="shared" si="134"/>
        <v>8.6491672220175399E-4</v>
      </c>
      <c r="Z411" s="147">
        <f t="shared" ca="1" si="148"/>
        <v>0</v>
      </c>
      <c r="AA411" s="147">
        <f t="shared" ca="1" si="135"/>
        <v>2.3309851630026151E-9</v>
      </c>
      <c r="AB411" s="147">
        <f t="shared" ca="1" si="136"/>
        <v>3.0945076978606573E-8</v>
      </c>
      <c r="AC411" s="147">
        <f t="shared" ca="1" si="137"/>
        <v>2.0870440506728325E-10</v>
      </c>
      <c r="AD411" s="147">
        <f t="shared" ca="1" si="138"/>
        <v>3.0555086028565806E-11</v>
      </c>
      <c r="AH411" s="147">
        <f t="shared" si="149"/>
        <v>770</v>
      </c>
      <c r="AI411" s="147">
        <f>IF($AH411&gt;$AH410,INDEX(Spectra!411:411,1,MATCH($AI$20,Spectra!$20:$20,0)),AI410)</f>
        <v>66.805400000000006</v>
      </c>
      <c r="AJ411" s="147">
        <f>((Physics!$C$9*Physics!$C$10)/(Physics!$C$11*Physics!$C$12*$AH411))^($AJ$17-$AJ$18)</f>
        <v>3.8773551125398492E+18</v>
      </c>
      <c r="AK411" s="147">
        <f t="shared" si="150"/>
        <v>1</v>
      </c>
      <c r="AL411" s="147">
        <f>INDEX(Photobiology!$21:$421,1+$AH411-380,10)</f>
        <v>3.0000000000000001E-5</v>
      </c>
      <c r="AM411" s="147">
        <f t="shared" si="151"/>
        <v>9.2562892572720362E-4</v>
      </c>
      <c r="AN411" s="147">
        <f ca="1">INDEX(Photobiology!$21:$421,1+$AH411-380,AN$14)</f>
        <v>0</v>
      </c>
      <c r="AO411" s="147">
        <f ca="1">INDEX(Photobiology!$21:$421,1+$AH411-380,AO$14)</f>
        <v>2.6950399999999999E-6</v>
      </c>
      <c r="AP411" s="147">
        <f ca="1">INDEX(Photobiology!$21:$421,1+$AH411-380,AP$14)</f>
        <v>3.5778100000000002E-5</v>
      </c>
      <c r="AQ411" s="147">
        <f ca="1">INDEX(Photobiology!$21:$421,1+$AH411-380,AQ$14)</f>
        <v>2.4130000000000002E-7</v>
      </c>
      <c r="AR411" s="147">
        <f ca="1">INDEX(Photobiology!$21:$421,1+$AH411-380,AR$14)</f>
        <v>3.53272E-8</v>
      </c>
      <c r="AS411" s="147">
        <f t="shared" si="152"/>
        <v>3588992047483141.5</v>
      </c>
      <c r="AT411" s="147" t="str">
        <f ca="1">INDEX(Photobiology!$21:$421,1+$AH411-380,AT$14)</f>
        <v/>
      </c>
      <c r="AU411" s="147">
        <f ca="1">INDEX(Photobiology!$21:$421,1+$AH411-380,AU$14)</f>
        <v>1.8920506540972819E-6</v>
      </c>
      <c r="AV411" s="147">
        <f ca="1">INDEX(Photobiology!$21:$421,1+$AH411-380,AV$14)</f>
        <v>2.6332311601660305E-5</v>
      </c>
      <c r="AW411" s="147">
        <f ca="1">INDEX(Photobiology!$21:$421,1+$AH411-380,AW$14)</f>
        <v>1.5841706938998818E-7</v>
      </c>
      <c r="AX411" s="147">
        <f ca="1">INDEX(Photobiology!$21:$421,1+$AH411-380,AX$14)</f>
        <v>2.243387477205242E-8</v>
      </c>
      <c r="AY411" s="147">
        <f t="shared" si="139"/>
        <v>9.2562892572720362E-4</v>
      </c>
      <c r="AZ411" s="147">
        <f t="shared" ca="1" si="153"/>
        <v>0</v>
      </c>
      <c r="BA411" s="147">
        <f t="shared" ca="1" si="140"/>
        <v>2.4946069799918429E-9</v>
      </c>
      <c r="BB411" s="147">
        <f t="shared" ca="1" si="141"/>
        <v>3.3117244267560466E-8</v>
      </c>
      <c r="BC411" s="147">
        <f t="shared" ca="1" si="142"/>
        <v>2.2335425977797424E-10</v>
      </c>
      <c r="BD411" s="147">
        <f t="shared" ca="1" si="143"/>
        <v>3.2699878184950071E-11</v>
      </c>
    </row>
    <row r="412" spans="8:56" s="147" customFormat="1" ht="0.25" customHeight="1" x14ac:dyDescent="0.2">
      <c r="H412" s="147">
        <f t="shared" si="144"/>
        <v>771</v>
      </c>
      <c r="I412" s="147">
        <f>IF($H412&gt;$H411,INDEX(Spectra!412:412,1,MATCH($I$20,Spectra!$20:$20,0)),I411)</f>
        <v>8.8491479670352899E-4</v>
      </c>
      <c r="J412" s="147">
        <f>((Physics!$C$9*Physics!$C$10)/(Physics!$C$11*Physics!$C$12*$H412))^($J$17-$J$18)</f>
        <v>3.8823906386600305E+18</v>
      </c>
      <c r="K412" s="147">
        <f t="shared" si="145"/>
        <v>1</v>
      </c>
      <c r="L412" s="147">
        <f>INDEX(Photobiology!$21:$421,1+$H412-380,10)</f>
        <v>2.7991250000000001E-5</v>
      </c>
      <c r="M412" s="147">
        <f t="shared" si="146"/>
        <v>8.8491479670352899E-4</v>
      </c>
      <c r="N412" s="147">
        <f ca="1">INDEX(Photobiology!$21:$421,1+$H412-380,N$14)</f>
        <v>0</v>
      </c>
      <c r="O412" s="147">
        <f ca="1">INDEX(Photobiology!$21:$421,1+$H412-380,O$14)</f>
        <v>2.5303999999999999E-6</v>
      </c>
      <c r="P412" s="147">
        <f ca="1">INDEX(Photobiology!$21:$421,1+$H412-380,P$14)</f>
        <v>3.3467599999999998E-5</v>
      </c>
      <c r="Q412" s="147">
        <f ca="1">INDEX(Photobiology!$21:$421,1+$H412-380,Q$14)</f>
        <v>2.2819999999999999E-7</v>
      </c>
      <c r="R412" s="147">
        <f ca="1">INDEX(Photobiology!$21:$421,1+$H412-380,R$14)</f>
        <v>3.3445099999999998E-8</v>
      </c>
      <c r="S412" s="147">
        <f t="shared" si="147"/>
        <v>3435584922733525</v>
      </c>
      <c r="T412" s="147" t="str">
        <f ca="1">INDEX(Photobiology!$21:$421,1+$H412-380,T$14)</f>
        <v/>
      </c>
      <c r="U412" s="147">
        <f ca="1">INDEX(Photobiology!$21:$421,1+$H412-380,U$14)</f>
        <v>1.7741611697301303E-6</v>
      </c>
      <c r="V412" s="147">
        <f ca="1">INDEX(Photobiology!$21:$421,1+$H412-380,V$14)</f>
        <v>2.4599859625994979E-5</v>
      </c>
      <c r="W412" s="147">
        <f ca="1">INDEX(Photobiology!$21:$421,1+$H412-380,W$14)</f>
        <v>1.4962240808027195E-7</v>
      </c>
      <c r="X412" s="147">
        <f ca="1">INDEX(Photobiology!$21:$421,1+$H412-380,X$14)</f>
        <v>2.121113559117674E-8</v>
      </c>
      <c r="Y412" s="147">
        <f t="shared" si="134"/>
        <v>8.8491479670352899E-4</v>
      </c>
      <c r="Z412" s="147">
        <f t="shared" ca="1" si="148"/>
        <v>0</v>
      </c>
      <c r="AA412" s="147">
        <f t="shared" ca="1" si="135"/>
        <v>2.2391884015786096E-9</v>
      </c>
      <c r="AB412" s="147">
        <f t="shared" ca="1" si="136"/>
        <v>2.9615974450155025E-8</v>
      </c>
      <c r="AC412" s="147">
        <f t="shared" ca="1" si="137"/>
        <v>2.019375566077453E-10</v>
      </c>
      <c r="AD412" s="147">
        <f t="shared" ca="1" si="138"/>
        <v>2.9596063867229197E-11</v>
      </c>
      <c r="AH412" s="147">
        <f t="shared" si="149"/>
        <v>771</v>
      </c>
      <c r="AI412" s="147">
        <f>IF($AH412&gt;$AH411,INDEX(Spectra!412:412,1,MATCH($AI$20,Spectra!$20:$20,0)),AI411)</f>
        <v>66.463099999999997</v>
      </c>
      <c r="AJ412" s="147">
        <f>((Physics!$C$9*Physics!$C$10)/(Physics!$C$11*Physics!$C$12*$AH412))^($AJ$17-$AJ$18)</f>
        <v>3.8823906386600305E+18</v>
      </c>
      <c r="AK412" s="147">
        <f t="shared" si="150"/>
        <v>1</v>
      </c>
      <c r="AL412" s="147">
        <f>INDEX(Photobiology!$21:$421,1+$AH412-380,10)</f>
        <v>2.7991250000000001E-5</v>
      </c>
      <c r="AM412" s="147">
        <f t="shared" si="151"/>
        <v>9.2088615371661126E-4</v>
      </c>
      <c r="AN412" s="147">
        <f ca="1">INDEX(Photobiology!$21:$421,1+$AH412-380,AN$14)</f>
        <v>0</v>
      </c>
      <c r="AO412" s="147">
        <f ca="1">INDEX(Photobiology!$21:$421,1+$AH412-380,AO$14)</f>
        <v>2.5303999999999999E-6</v>
      </c>
      <c r="AP412" s="147">
        <f ca="1">INDEX(Photobiology!$21:$421,1+$AH412-380,AP$14)</f>
        <v>3.3467599999999998E-5</v>
      </c>
      <c r="AQ412" s="147">
        <f ca="1">INDEX(Photobiology!$21:$421,1+$AH412-380,AQ$14)</f>
        <v>2.2819999999999999E-7</v>
      </c>
      <c r="AR412" s="147">
        <f ca="1">INDEX(Photobiology!$21:$421,1+$AH412-380,AR$14)</f>
        <v>3.3445099999999998E-8</v>
      </c>
      <c r="AS412" s="147">
        <f t="shared" si="152"/>
        <v>3575239782461013.5</v>
      </c>
      <c r="AT412" s="147" t="str">
        <f ca="1">INDEX(Photobiology!$21:$421,1+$AH412-380,AT$14)</f>
        <v/>
      </c>
      <c r="AU412" s="147">
        <f ca="1">INDEX(Photobiology!$21:$421,1+$AH412-380,AU$14)</f>
        <v>1.7741611697301303E-6</v>
      </c>
      <c r="AV412" s="147">
        <f ca="1">INDEX(Photobiology!$21:$421,1+$AH412-380,AV$14)</f>
        <v>2.4599859625994979E-5</v>
      </c>
      <c r="AW412" s="147">
        <f ca="1">INDEX(Photobiology!$21:$421,1+$AH412-380,AW$14)</f>
        <v>1.4962240808027195E-7</v>
      </c>
      <c r="AX412" s="147">
        <f ca="1">INDEX(Photobiology!$21:$421,1+$AH412-380,AX$14)</f>
        <v>2.121113559117674E-8</v>
      </c>
      <c r="AY412" s="147">
        <f t="shared" si="139"/>
        <v>9.2088615371661126E-4</v>
      </c>
      <c r="AZ412" s="147">
        <f t="shared" ca="1" si="153"/>
        <v>0</v>
      </c>
      <c r="BA412" s="147">
        <f t="shared" ca="1" si="140"/>
        <v>2.330210323364513E-9</v>
      </c>
      <c r="BB412" s="147">
        <f t="shared" ca="1" si="141"/>
        <v>3.081984943812606E-8</v>
      </c>
      <c r="BC412" s="147">
        <f t="shared" ca="1" si="142"/>
        <v>2.1014622027813067E-10</v>
      </c>
      <c r="BD412" s="147">
        <f t="shared" ca="1" si="143"/>
        <v>3.0799129499667433E-11</v>
      </c>
    </row>
    <row r="413" spans="8:56" s="147" customFormat="1" ht="0.25" customHeight="1" x14ac:dyDescent="0.2">
      <c r="H413" s="147">
        <f t="shared" si="144"/>
        <v>772</v>
      </c>
      <c r="I413" s="147">
        <f>IF($H413&gt;$H412,INDEX(Spectra!413:413,1,MATCH($I$20,Spectra!$20:$20,0)),I412)</f>
        <v>8.8491479670352899E-4</v>
      </c>
      <c r="J413" s="147">
        <f>((Physics!$C$9*Physics!$C$10)/(Physics!$C$11*Physics!$C$12*$H413))^($J$17-$J$18)</f>
        <v>3.8874261647802127E+18</v>
      </c>
      <c r="K413" s="147">
        <f t="shared" si="145"/>
        <v>1</v>
      </c>
      <c r="L413" s="147">
        <f>INDEX(Photobiology!$21:$421,1+$H413-380,10)</f>
        <v>2.6113560000000001E-5</v>
      </c>
      <c r="M413" s="147">
        <f t="shared" si="146"/>
        <v>8.8491479670352899E-4</v>
      </c>
      <c r="N413" s="147">
        <f ca="1">INDEX(Photobiology!$21:$421,1+$H413-380,N$14)</f>
        <v>0</v>
      </c>
      <c r="O413" s="147">
        <f ca="1">INDEX(Photobiology!$21:$421,1+$H413-380,O$14)</f>
        <v>2.3755E-6</v>
      </c>
      <c r="P413" s="147">
        <f ca="1">INDEX(Photobiology!$21:$421,1+$H413-380,P$14)</f>
        <v>3.1300699999999997E-5</v>
      </c>
      <c r="Q413" s="147">
        <f ca="1">INDEX(Photobiology!$21:$421,1+$H413-380,Q$14)</f>
        <v>2.1589999999999999E-7</v>
      </c>
      <c r="R413" s="147">
        <f ca="1">INDEX(Photobiology!$21:$421,1+$H413-380,R$14)</f>
        <v>3.166E-8</v>
      </c>
      <c r="S413" s="147">
        <f t="shared" si="147"/>
        <v>3440040934306461.5</v>
      </c>
      <c r="T413" s="147" t="str">
        <f ca="1">INDEX(Photobiology!$21:$421,1+$H413-380,T$14)</f>
        <v/>
      </c>
      <c r="U413" s="147">
        <f ca="1">INDEX(Photobiology!$21:$421,1+$H413-380,U$14)</f>
        <v>1.663397342743849E-6</v>
      </c>
      <c r="V413" s="147">
        <f ca="1">INDEX(Photobiology!$21:$421,1+$H413-380,V$14)</f>
        <v>2.2977310179440689E-5</v>
      </c>
      <c r="W413" s="147">
        <f ca="1">INDEX(Photobiology!$21:$421,1+$H413-380,W$14)</f>
        <v>1.413743822139995E-7</v>
      </c>
      <c r="X413" s="147">
        <f ca="1">INDEX(Photobiology!$21:$421,1+$H413-380,X$14)</f>
        <v>2.0053002575949944E-8</v>
      </c>
      <c r="Y413" s="147">
        <f t="shared" si="134"/>
        <v>8.8491479670352899E-4</v>
      </c>
      <c r="Z413" s="147">
        <f t="shared" ca="1" si="148"/>
        <v>0</v>
      </c>
      <c r="AA413" s="147">
        <f t="shared" ca="1" si="135"/>
        <v>2.1021150995692331E-9</v>
      </c>
      <c r="AB413" s="147">
        <f t="shared" ca="1" si="136"/>
        <v>2.7698452577178146E-8</v>
      </c>
      <c r="AC413" s="147">
        <f t="shared" ca="1" si="137"/>
        <v>1.9105310460829191E-10</v>
      </c>
      <c r="AD413" s="147">
        <f t="shared" ca="1" si="138"/>
        <v>2.8016402463633726E-11</v>
      </c>
      <c r="AH413" s="147">
        <f t="shared" si="149"/>
        <v>772</v>
      </c>
      <c r="AI413" s="147">
        <f>IF($AH413&gt;$AH412,INDEX(Spectra!413:413,1,MATCH($AI$20,Spectra!$20:$20,0)),AI412)</f>
        <v>66.120900000000006</v>
      </c>
      <c r="AJ413" s="147">
        <f>((Physics!$C$9*Physics!$C$10)/(Physics!$C$11*Physics!$C$12*$AH413))^($AJ$17-$AJ$18)</f>
        <v>3.8874261647802127E+18</v>
      </c>
      <c r="AK413" s="147">
        <f t="shared" si="150"/>
        <v>1</v>
      </c>
      <c r="AL413" s="147">
        <f>INDEX(Photobiology!$21:$421,1+$AH413-380,10)</f>
        <v>2.6113560000000001E-5</v>
      </c>
      <c r="AM413" s="147">
        <f t="shared" si="151"/>
        <v>9.1614476726605725E-4</v>
      </c>
      <c r="AN413" s="147">
        <f ca="1">INDEX(Photobiology!$21:$421,1+$AH413-380,AN$14)</f>
        <v>0</v>
      </c>
      <c r="AO413" s="147">
        <f ca="1">INDEX(Photobiology!$21:$421,1+$AH413-380,AO$14)</f>
        <v>2.3755E-6</v>
      </c>
      <c r="AP413" s="147">
        <f ca="1">INDEX(Photobiology!$21:$421,1+$AH413-380,AP$14)</f>
        <v>3.1300699999999997E-5</v>
      </c>
      <c r="AQ413" s="147">
        <f ca="1">INDEX(Photobiology!$21:$421,1+$AH413-380,AQ$14)</f>
        <v>2.1589999999999999E-7</v>
      </c>
      <c r="AR413" s="147">
        <f ca="1">INDEX(Photobiology!$21:$421,1+$AH413-380,AR$14)</f>
        <v>3.166E-8</v>
      </c>
      <c r="AS413" s="147">
        <f t="shared" si="152"/>
        <v>3561445138996549.5</v>
      </c>
      <c r="AT413" s="147" t="str">
        <f ca="1">INDEX(Photobiology!$21:$421,1+$AH413-380,AT$14)</f>
        <v/>
      </c>
      <c r="AU413" s="147">
        <f ca="1">INDEX(Photobiology!$21:$421,1+$AH413-380,AU$14)</f>
        <v>1.663397342743849E-6</v>
      </c>
      <c r="AV413" s="147">
        <f ca="1">INDEX(Photobiology!$21:$421,1+$AH413-380,AV$14)</f>
        <v>2.2977310179440689E-5</v>
      </c>
      <c r="AW413" s="147">
        <f ca="1">INDEX(Photobiology!$21:$421,1+$AH413-380,AW$14)</f>
        <v>1.413743822139995E-7</v>
      </c>
      <c r="AX413" s="147">
        <f ca="1">INDEX(Photobiology!$21:$421,1+$AH413-380,AX$14)</f>
        <v>2.0053002575949944E-8</v>
      </c>
      <c r="AY413" s="147">
        <f t="shared" si="139"/>
        <v>9.1614476726605725E-4</v>
      </c>
      <c r="AZ413" s="147">
        <f t="shared" ca="1" si="153"/>
        <v>0</v>
      </c>
      <c r="BA413" s="147">
        <f t="shared" ca="1" si="140"/>
        <v>2.1763018946405188E-9</v>
      </c>
      <c r="BB413" s="147">
        <f t="shared" ca="1" si="141"/>
        <v>2.8675972516764676E-8</v>
      </c>
      <c r="BC413" s="147">
        <f t="shared" ca="1" si="142"/>
        <v>1.9779565525274176E-10</v>
      </c>
      <c r="BD413" s="147">
        <f t="shared" ca="1" si="143"/>
        <v>2.9005143331643374E-11</v>
      </c>
    </row>
    <row r="414" spans="8:56" s="147" customFormat="1" ht="0.25" customHeight="1" x14ac:dyDescent="0.2">
      <c r="H414" s="147">
        <f t="shared" si="144"/>
        <v>773</v>
      </c>
      <c r="I414" s="147">
        <f>IF($H414&gt;$H413,INDEX(Spectra!414:414,1,MATCH($I$20,Spectra!$20:$20,0)),I413)</f>
        <v>8.8491479670352899E-4</v>
      </c>
      <c r="J414" s="147">
        <f>((Physics!$C$9*Physics!$C$10)/(Physics!$C$11*Physics!$C$12*$H414))^($J$17-$J$18)</f>
        <v>3.892461690900394E+18</v>
      </c>
      <c r="K414" s="147">
        <f t="shared" si="145"/>
        <v>1</v>
      </c>
      <c r="L414" s="147">
        <f>INDEX(Photobiology!$21:$421,1+$H414-380,10)</f>
        <v>2.436024E-5</v>
      </c>
      <c r="M414" s="147">
        <f t="shared" si="146"/>
        <v>8.8491479670352899E-4</v>
      </c>
      <c r="N414" s="147">
        <f ca="1">INDEX(Photobiology!$21:$421,1+$H414-380,N$14)</f>
        <v>0</v>
      </c>
      <c r="O414" s="147">
        <f ca="1">INDEX(Photobiology!$21:$421,1+$H414-380,O$14)</f>
        <v>2.23033E-6</v>
      </c>
      <c r="P414" s="147">
        <f ca="1">INDEX(Photobiology!$21:$421,1+$H414-380,P$14)</f>
        <v>2.9276099999999999E-5</v>
      </c>
      <c r="Q414" s="147">
        <f ca="1">INDEX(Photobiology!$21:$421,1+$H414-380,Q$14)</f>
        <v>2.0419999999999999E-7</v>
      </c>
      <c r="R414" s="147">
        <f ca="1">INDEX(Photobiology!$21:$421,1+$H414-380,R$14)</f>
        <v>2.9971200000000002E-8</v>
      </c>
      <c r="S414" s="147">
        <f t="shared" si="147"/>
        <v>3444496945879397</v>
      </c>
      <c r="T414" s="147" t="str">
        <f ca="1">INDEX(Photobiology!$21:$421,1+$H414-380,T$14)</f>
        <v/>
      </c>
      <c r="U414" s="147">
        <f ca="1">INDEX(Photobiology!$21:$421,1+$H414-380,U$14)</f>
        <v>1.5597245253364722E-6</v>
      </c>
      <c r="V414" s="147">
        <f ca="1">INDEX(Photobiology!$21:$421,1+$H414-380,V$14)</f>
        <v>2.1463283658846701E-5</v>
      </c>
      <c r="W414" s="147">
        <f ca="1">INDEX(Photobiology!$21:$421,1+$H414-380,W$14)</f>
        <v>1.3354007689303356E-7</v>
      </c>
      <c r="X414" s="147">
        <f ca="1">INDEX(Photobiology!$21:$421,1+$H414-380,X$14)</f>
        <v>1.8958782194260334E-8</v>
      </c>
      <c r="Y414" s="147">
        <f t="shared" si="134"/>
        <v>8.8491479670352899E-4</v>
      </c>
      <c r="Z414" s="147">
        <f t="shared" ca="1" si="148"/>
        <v>0</v>
      </c>
      <c r="AA414" s="147">
        <f t="shared" ca="1" si="135"/>
        <v>1.9736520185317817E-9</v>
      </c>
      <c r="AB414" s="147">
        <f t="shared" ca="1" si="136"/>
        <v>2.5906854079772185E-8</v>
      </c>
      <c r="AC414" s="147">
        <f t="shared" ca="1" si="137"/>
        <v>1.806996014868606E-10</v>
      </c>
      <c r="AD414" s="147">
        <f t="shared" ca="1" si="138"/>
        <v>2.6521958354960809E-11</v>
      </c>
      <c r="AH414" s="147">
        <f t="shared" si="149"/>
        <v>773</v>
      </c>
      <c r="AI414" s="147">
        <f>IF($AH414&gt;$AH413,INDEX(Spectra!414:414,1,MATCH($AI$20,Spectra!$20:$20,0)),AI413)</f>
        <v>65.778599999999997</v>
      </c>
      <c r="AJ414" s="147">
        <f>((Physics!$C$9*Physics!$C$10)/(Physics!$C$11*Physics!$C$12*$AH414))^($AJ$17-$AJ$18)</f>
        <v>3.892461690900394E+18</v>
      </c>
      <c r="AK414" s="147">
        <f t="shared" si="150"/>
        <v>1</v>
      </c>
      <c r="AL414" s="147">
        <f>INDEX(Photobiology!$21:$421,1+$AH414-380,10)</f>
        <v>2.436024E-5</v>
      </c>
      <c r="AM414" s="147">
        <f t="shared" si="151"/>
        <v>9.1140199525546479E-4</v>
      </c>
      <c r="AN414" s="147">
        <f ca="1">INDEX(Photobiology!$21:$421,1+$AH414-380,AN$14)</f>
        <v>0</v>
      </c>
      <c r="AO414" s="147">
        <f ca="1">INDEX(Photobiology!$21:$421,1+$AH414-380,AO$14)</f>
        <v>2.23033E-6</v>
      </c>
      <c r="AP414" s="147">
        <f ca="1">INDEX(Photobiology!$21:$421,1+$AH414-380,AP$14)</f>
        <v>2.9276099999999999E-5</v>
      </c>
      <c r="AQ414" s="147">
        <f ca="1">INDEX(Photobiology!$21:$421,1+$AH414-380,AQ$14)</f>
        <v>2.0419999999999999E-7</v>
      </c>
      <c r="AR414" s="147">
        <f ca="1">INDEX(Photobiology!$21:$421,1+$AH414-380,AR$14)</f>
        <v>2.9971200000000002E-8</v>
      </c>
      <c r="AS414" s="147">
        <f t="shared" si="152"/>
        <v>3547597351542079.5</v>
      </c>
      <c r="AT414" s="147" t="str">
        <f ca="1">INDEX(Photobiology!$21:$421,1+$AH414-380,AT$14)</f>
        <v/>
      </c>
      <c r="AU414" s="147">
        <f ca="1">INDEX(Photobiology!$21:$421,1+$AH414-380,AU$14)</f>
        <v>1.5597245253364722E-6</v>
      </c>
      <c r="AV414" s="147">
        <f ca="1">INDEX(Photobiology!$21:$421,1+$AH414-380,AV$14)</f>
        <v>2.1463283658846701E-5</v>
      </c>
      <c r="AW414" s="147">
        <f ca="1">INDEX(Photobiology!$21:$421,1+$AH414-380,AW$14)</f>
        <v>1.3354007689303356E-7</v>
      </c>
      <c r="AX414" s="147">
        <f ca="1">INDEX(Photobiology!$21:$421,1+$AH414-380,AX$14)</f>
        <v>1.8958782194260334E-8</v>
      </c>
      <c r="AY414" s="147">
        <f t="shared" si="139"/>
        <v>9.1140199525546479E-4</v>
      </c>
      <c r="AZ414" s="147">
        <f t="shared" ca="1" si="153"/>
        <v>0</v>
      </c>
      <c r="BA414" s="147">
        <f t="shared" ca="1" si="140"/>
        <v>2.0327272120781209E-9</v>
      </c>
      <c r="BB414" s="147">
        <f t="shared" ca="1" si="141"/>
        <v>2.6682295953298513E-8</v>
      </c>
      <c r="BC414" s="147">
        <f t="shared" ca="1" si="142"/>
        <v>1.8610828743116589E-10</v>
      </c>
      <c r="BD414" s="147">
        <f t="shared" ca="1" si="143"/>
        <v>2.7315811480200587E-11</v>
      </c>
    </row>
    <row r="415" spans="8:56" s="147" customFormat="1" ht="0.25" customHeight="1" x14ac:dyDescent="0.2">
      <c r="H415" s="147">
        <f t="shared" si="144"/>
        <v>774</v>
      </c>
      <c r="I415" s="147">
        <f>IF($H415&gt;$H414,INDEX(Spectra!415:415,1,MATCH($I$20,Spectra!$20:$20,0)),I414)</f>
        <v>8.8991431532897203E-4</v>
      </c>
      <c r="J415" s="147">
        <f>((Physics!$C$9*Physics!$C$10)/(Physics!$C$11*Physics!$C$12*$H415))^($J$17-$J$18)</f>
        <v>3.8974972170205757E+18</v>
      </c>
      <c r="K415" s="147">
        <f t="shared" si="145"/>
        <v>1</v>
      </c>
      <c r="L415" s="147">
        <f>INDEX(Photobiology!$21:$421,1+$H415-380,10)</f>
        <v>2.272461E-5</v>
      </c>
      <c r="M415" s="147">
        <f t="shared" si="146"/>
        <v>8.8991431532897203E-4</v>
      </c>
      <c r="N415" s="147">
        <f ca="1">INDEX(Photobiology!$21:$421,1+$H415-380,N$14)</f>
        <v>0</v>
      </c>
      <c r="O415" s="147">
        <f ca="1">INDEX(Photobiology!$21:$421,1+$H415-380,O$14)</f>
        <v>2.0947800000000001E-6</v>
      </c>
      <c r="P415" s="147">
        <f ca="1">INDEX(Photobiology!$21:$421,1+$H415-380,P$14)</f>
        <v>2.7390799999999999E-5</v>
      </c>
      <c r="Q415" s="147">
        <f ca="1">INDEX(Photobiology!$21:$421,1+$H415-380,Q$14)</f>
        <v>1.9320000000000001E-7</v>
      </c>
      <c r="R415" s="147">
        <f ca="1">INDEX(Photobiology!$21:$421,1+$H415-380,R$14)</f>
        <v>2.8378199999999999E-8</v>
      </c>
      <c r="S415" s="147">
        <f t="shared" si="147"/>
        <v>3468438567381439.5</v>
      </c>
      <c r="T415" s="147" t="str">
        <f ca="1">INDEX(Photobiology!$21:$421,1+$H415-380,T$14)</f>
        <v/>
      </c>
      <c r="U415" s="147">
        <f ca="1">INDEX(Photobiology!$21:$421,1+$H415-380,U$14)</f>
        <v>1.4630384066613722E-6</v>
      </c>
      <c r="V415" s="147">
        <f ca="1">INDEX(Photobiology!$21:$421,1+$H415-380,V$14)</f>
        <v>2.0055162874433847E-5</v>
      </c>
      <c r="W415" s="147">
        <f ca="1">INDEX(Photobiology!$21:$421,1+$H415-380,W$14)</f>
        <v>1.2618320076508595E-7</v>
      </c>
      <c r="X415" s="147">
        <f ca="1">INDEX(Photobiology!$21:$421,1+$H415-380,X$14)</f>
        <v>1.7927910848021658E-8</v>
      </c>
      <c r="Y415" s="147">
        <f t="shared" si="134"/>
        <v>8.8991431532897203E-4</v>
      </c>
      <c r="Z415" s="147">
        <f t="shared" ca="1" si="148"/>
        <v>0</v>
      </c>
      <c r="AA415" s="147">
        <f t="shared" ca="1" si="135"/>
        <v>1.8641747094648239E-9</v>
      </c>
      <c r="AB415" s="147">
        <f t="shared" ca="1" si="136"/>
        <v>2.4375465028312805E-8</v>
      </c>
      <c r="AC415" s="147">
        <f t="shared" ca="1" si="137"/>
        <v>1.719314457215574E-10</v>
      </c>
      <c r="AD415" s="147">
        <f t="shared" ca="1" si="138"/>
        <v>2.5254166423268634E-11</v>
      </c>
      <c r="AH415" s="147">
        <f t="shared" si="149"/>
        <v>774</v>
      </c>
      <c r="AI415" s="147">
        <f>IF($AH415&gt;$AH414,INDEX(Spectra!415:415,1,MATCH($AI$20,Spectra!$20:$20,0)),AI414)</f>
        <v>65.436400000000006</v>
      </c>
      <c r="AJ415" s="147">
        <f>((Physics!$C$9*Physics!$C$10)/(Physics!$C$11*Physics!$C$12*$AH415))^($AJ$17-$AJ$18)</f>
        <v>3.8974972170205757E+18</v>
      </c>
      <c r="AK415" s="147">
        <f t="shared" si="150"/>
        <v>1</v>
      </c>
      <c r="AL415" s="147">
        <f>INDEX(Photobiology!$21:$421,1+$AH415-380,10)</f>
        <v>2.272461E-5</v>
      </c>
      <c r="AM415" s="147">
        <f t="shared" si="151"/>
        <v>9.0666060880491078E-4</v>
      </c>
      <c r="AN415" s="147">
        <f ca="1">INDEX(Photobiology!$21:$421,1+$AH415-380,AN$14)</f>
        <v>0</v>
      </c>
      <c r="AO415" s="147">
        <f ca="1">INDEX(Photobiology!$21:$421,1+$AH415-380,AO$14)</f>
        <v>2.0947800000000001E-6</v>
      </c>
      <c r="AP415" s="147">
        <f ca="1">INDEX(Photobiology!$21:$421,1+$AH415-380,AP$14)</f>
        <v>2.7390799999999999E-5</v>
      </c>
      <c r="AQ415" s="147">
        <f ca="1">INDEX(Photobiology!$21:$421,1+$AH415-380,AQ$14)</f>
        <v>1.9320000000000001E-7</v>
      </c>
      <c r="AR415" s="147">
        <f ca="1">INDEX(Photobiology!$21:$421,1+$AH415-380,AR$14)</f>
        <v>2.8378199999999999E-8</v>
      </c>
      <c r="AS415" s="147">
        <f t="shared" si="152"/>
        <v>3533707199599320.5</v>
      </c>
      <c r="AT415" s="147" t="str">
        <f ca="1">INDEX(Photobiology!$21:$421,1+$AH415-380,AT$14)</f>
        <v/>
      </c>
      <c r="AU415" s="147">
        <f ca="1">INDEX(Photobiology!$21:$421,1+$AH415-380,AU$14)</f>
        <v>1.4630384066613722E-6</v>
      </c>
      <c r="AV415" s="147">
        <f ca="1">INDEX(Photobiology!$21:$421,1+$AH415-380,AV$14)</f>
        <v>2.0055162874433847E-5</v>
      </c>
      <c r="AW415" s="147">
        <f ca="1">INDEX(Photobiology!$21:$421,1+$AH415-380,AW$14)</f>
        <v>1.2618320076508595E-7</v>
      </c>
      <c r="AX415" s="147">
        <f ca="1">INDEX(Photobiology!$21:$421,1+$AH415-380,AX$14)</f>
        <v>1.7927910848021658E-8</v>
      </c>
      <c r="AY415" s="147">
        <f t="shared" si="139"/>
        <v>9.0666060880491078E-4</v>
      </c>
      <c r="AZ415" s="147">
        <f t="shared" ca="1" si="153"/>
        <v>0</v>
      </c>
      <c r="BA415" s="147">
        <f t="shared" ca="1" si="140"/>
        <v>1.899254510112351E-9</v>
      </c>
      <c r="BB415" s="147">
        <f t="shared" ca="1" si="141"/>
        <v>2.4834159403653548E-8</v>
      </c>
      <c r="BC415" s="147">
        <f t="shared" ca="1" si="142"/>
        <v>1.7516682962110878E-10</v>
      </c>
      <c r="BD415" s="147">
        <f t="shared" ca="1" si="143"/>
        <v>2.5729396088787517E-11</v>
      </c>
    </row>
    <row r="416" spans="8:56" s="147" customFormat="1" ht="0.25" customHeight="1" x14ac:dyDescent="0.2">
      <c r="H416" s="147">
        <f t="shared" si="144"/>
        <v>775</v>
      </c>
      <c r="I416" s="147">
        <f>IF($H416&gt;$H415,INDEX(Spectra!416:416,1,MATCH($I$20,Spectra!$20:$20,0)),I415)</f>
        <v>8.8991431532897203E-4</v>
      </c>
      <c r="J416" s="147">
        <f>((Physics!$C$9*Physics!$C$10)/(Physics!$C$11*Physics!$C$12*$H416))^($J$17-$J$18)</f>
        <v>3.902532743140758E+18</v>
      </c>
      <c r="K416" s="147">
        <f t="shared" si="145"/>
        <v>1</v>
      </c>
      <c r="L416" s="147">
        <f>INDEX(Photobiology!$21:$421,1+$H416-380,10)</f>
        <v>2.12E-5</v>
      </c>
      <c r="M416" s="147">
        <f t="shared" si="146"/>
        <v>8.8991431532897203E-4</v>
      </c>
      <c r="N416" s="147">
        <f ca="1">INDEX(Photobiology!$21:$421,1+$H416-380,N$14)</f>
        <v>0</v>
      </c>
      <c r="O416" s="147">
        <f ca="1">INDEX(Photobiology!$21:$421,1+$H416-380,O$14)</f>
        <v>1.9686399999999999E-6</v>
      </c>
      <c r="P416" s="147">
        <f ca="1">INDEX(Photobiology!$21:$421,1+$H416-380,P$14)</f>
        <v>2.5641100000000001E-5</v>
      </c>
      <c r="Q416" s="147">
        <f ca="1">INDEX(Photobiology!$21:$421,1+$H416-380,Q$14)</f>
        <v>1.829E-7</v>
      </c>
      <c r="R416" s="147">
        <f ca="1">INDEX(Photobiology!$21:$421,1+$H416-380,R$14)</f>
        <v>2.6880299999999999E-8</v>
      </c>
      <c r="S416" s="147">
        <f t="shared" si="147"/>
        <v>3472919754161002.5</v>
      </c>
      <c r="T416" s="147" t="str">
        <f ca="1">INDEX(Photobiology!$21:$421,1+$H416-380,T$14)</f>
        <v/>
      </c>
      <c r="U416" s="147">
        <f ca="1">INDEX(Photobiology!$21:$421,1+$H416-380,U$14)</f>
        <v>1.3731654622662594E-6</v>
      </c>
      <c r="V416" s="147">
        <f ca="1">INDEX(Photobiology!$21:$421,1+$H416-380,V$14)</f>
        <v>1.8749832275562541E-5</v>
      </c>
      <c r="W416" s="147">
        <f ca="1">INDEX(Photobiology!$21:$421,1+$H416-380,W$14)</f>
        <v>1.1930190571715145E-7</v>
      </c>
      <c r="X416" s="147">
        <f ca="1">INDEX(Photobiology!$21:$421,1+$H416-380,X$14)</f>
        <v>1.6959701661192964E-8</v>
      </c>
      <c r="Y416" s="147">
        <f t="shared" si="134"/>
        <v>8.8991431532897203E-4</v>
      </c>
      <c r="Z416" s="147">
        <f t="shared" ca="1" si="148"/>
        <v>0</v>
      </c>
      <c r="AA416" s="147">
        <f t="shared" ca="1" si="135"/>
        <v>1.7519209177292273E-9</v>
      </c>
      <c r="AB416" s="147">
        <f t="shared" ca="1" si="136"/>
        <v>2.2818381950781707E-8</v>
      </c>
      <c r="AC416" s="147">
        <f t="shared" ca="1" si="137"/>
        <v>1.62765328273669E-10</v>
      </c>
      <c r="AD416" s="147">
        <f t="shared" ca="1" si="138"/>
        <v>2.3921163770337367E-11</v>
      </c>
      <c r="AH416" s="147">
        <f t="shared" si="149"/>
        <v>775</v>
      </c>
      <c r="AI416" s="147">
        <f>IF($AH416&gt;$AH415,INDEX(Spectra!416:416,1,MATCH($AI$20,Spectra!$20:$20,0)),AI415)</f>
        <v>65.094099999999997</v>
      </c>
      <c r="AJ416" s="147">
        <f>((Physics!$C$9*Physics!$C$10)/(Physics!$C$11*Physics!$C$12*$AH416))^($AJ$17-$AJ$18)</f>
        <v>3.902532743140758E+18</v>
      </c>
      <c r="AK416" s="147">
        <f t="shared" si="150"/>
        <v>1</v>
      </c>
      <c r="AL416" s="147">
        <f>INDEX(Photobiology!$21:$421,1+$AH416-380,10)</f>
        <v>2.12E-5</v>
      </c>
      <c r="AM416" s="147">
        <f t="shared" si="151"/>
        <v>9.0191783679431843E-4</v>
      </c>
      <c r="AN416" s="147">
        <f ca="1">INDEX(Photobiology!$21:$421,1+$AH416-380,AN$14)</f>
        <v>0</v>
      </c>
      <c r="AO416" s="147">
        <f ca="1">INDEX(Photobiology!$21:$421,1+$AH416-380,AO$14)</f>
        <v>1.9686399999999999E-6</v>
      </c>
      <c r="AP416" s="147">
        <f ca="1">INDEX(Photobiology!$21:$421,1+$AH416-380,AP$14)</f>
        <v>2.5641100000000001E-5</v>
      </c>
      <c r="AQ416" s="147">
        <f ca="1">INDEX(Photobiology!$21:$421,1+$AH416-380,AQ$14)</f>
        <v>1.829E-7</v>
      </c>
      <c r="AR416" s="147">
        <f ca="1">INDEX(Photobiology!$21:$421,1+$AH416-380,AR$14)</f>
        <v>2.6880299999999999E-8</v>
      </c>
      <c r="AS416" s="147">
        <f t="shared" si="152"/>
        <v>3519763889712510</v>
      </c>
      <c r="AT416" s="147" t="str">
        <f ca="1">INDEX(Photobiology!$21:$421,1+$AH416-380,AT$14)</f>
        <v/>
      </c>
      <c r="AU416" s="147">
        <f ca="1">INDEX(Photobiology!$21:$421,1+$AH416-380,AU$14)</f>
        <v>1.3731654622662594E-6</v>
      </c>
      <c r="AV416" s="147">
        <f ca="1">INDEX(Photobiology!$21:$421,1+$AH416-380,AV$14)</f>
        <v>1.8749832275562541E-5</v>
      </c>
      <c r="AW416" s="147">
        <f ca="1">INDEX(Photobiology!$21:$421,1+$AH416-380,AW$14)</f>
        <v>1.1930190571715145E-7</v>
      </c>
      <c r="AX416" s="147">
        <f ca="1">INDEX(Photobiology!$21:$421,1+$AH416-380,AX$14)</f>
        <v>1.6959701661192964E-8</v>
      </c>
      <c r="AY416" s="147">
        <f t="shared" si="139"/>
        <v>9.0191783679431843E-4</v>
      </c>
      <c r="AZ416" s="147">
        <f t="shared" ca="1" si="153"/>
        <v>0</v>
      </c>
      <c r="BA416" s="147">
        <f t="shared" ca="1" si="140"/>
        <v>1.7755515302267669E-9</v>
      </c>
      <c r="BB416" s="147">
        <f t="shared" ca="1" si="141"/>
        <v>2.31261654450268E-8</v>
      </c>
      <c r="BC416" s="147">
        <f t="shared" ca="1" si="142"/>
        <v>1.6496077234968083E-10</v>
      </c>
      <c r="BD416" s="147">
        <f t="shared" ca="1" si="143"/>
        <v>2.4243822028382316E-11</v>
      </c>
    </row>
    <row r="417" spans="1:56" s="147" customFormat="1" ht="0.25" customHeight="1" x14ac:dyDescent="0.2">
      <c r="H417" s="147">
        <f t="shared" si="144"/>
        <v>776</v>
      </c>
      <c r="I417" s="147">
        <f>IF($H417&gt;$H416,INDEX(Spectra!417:417,1,MATCH($I$20,Spectra!$20:$20,0)),I416)</f>
        <v>8.8491479670352899E-4</v>
      </c>
      <c r="J417" s="147">
        <f>((Physics!$C$9*Physics!$C$10)/(Physics!$C$11*Physics!$C$12*$H417))^($J$17-$J$18)</f>
        <v>3.9075682692609393E+18</v>
      </c>
      <c r="K417" s="147">
        <f t="shared" si="145"/>
        <v>1</v>
      </c>
      <c r="L417" s="147">
        <f>INDEX(Photobiology!$21:$421,1+$H417-380,10)</f>
        <v>1.9778550000000001E-5</v>
      </c>
      <c r="M417" s="147">
        <f t="shared" si="146"/>
        <v>8.8491479670352899E-4</v>
      </c>
      <c r="N417" s="147">
        <f ca="1">INDEX(Photobiology!$21:$421,1+$H417-380,N$14)</f>
        <v>0</v>
      </c>
      <c r="O417" s="147">
        <f ca="1">INDEX(Photobiology!$21:$421,1+$H417-380,O$14)</f>
        <v>1.8515200000000001E-6</v>
      </c>
      <c r="P417" s="147">
        <f ca="1">INDEX(Photobiology!$21:$421,1+$H417-380,P$14)</f>
        <v>2.4020500000000002E-5</v>
      </c>
      <c r="Q417" s="147">
        <f ca="1">INDEX(Photobiology!$21:$421,1+$H417-380,Q$14)</f>
        <v>1.7310000000000001E-7</v>
      </c>
      <c r="R417" s="147">
        <f ca="1">INDEX(Photobiology!$21:$421,1+$H417-380,R$14)</f>
        <v>2.5480000000000001E-8</v>
      </c>
      <c r="S417" s="147">
        <f t="shared" si="147"/>
        <v>3457864980598204.5</v>
      </c>
      <c r="T417" s="147" t="str">
        <f ca="1">INDEX(Photobiology!$21:$421,1+$H417-380,T$14)</f>
        <v/>
      </c>
      <c r="U417" s="147">
        <f ca="1">INDEX(Photobiology!$21:$421,1+$H417-380,U$14)</f>
        <v>1.2898076703790167E-6</v>
      </c>
      <c r="V417" s="147">
        <f ca="1">INDEX(Photobiology!$21:$421,1+$H417-380,V$14)</f>
        <v>1.754214753388544E-5</v>
      </c>
      <c r="W417" s="147">
        <f ca="1">INDEX(Photobiology!$21:$421,1+$H417-380,W$14)</f>
        <v>1.1276406539205246E-7</v>
      </c>
      <c r="X417" s="147">
        <f ca="1">INDEX(Photobiology!$21:$421,1+$H417-380,X$14)</f>
        <v>1.6055487686109906E-8</v>
      </c>
      <c r="Y417" s="147">
        <f t="shared" si="134"/>
        <v>8.8491479670352899E-4</v>
      </c>
      <c r="Z417" s="147">
        <f t="shared" ca="1" si="148"/>
        <v>0</v>
      </c>
      <c r="AA417" s="147">
        <f t="shared" ca="1" si="135"/>
        <v>1.638437444392518E-9</v>
      </c>
      <c r="AB417" s="147">
        <f t="shared" ca="1" si="136"/>
        <v>2.1256095874217119E-8</v>
      </c>
      <c r="AC417" s="147">
        <f t="shared" ca="1" si="137"/>
        <v>1.5317875130938087E-10</v>
      </c>
      <c r="AD417" s="147">
        <f t="shared" ca="1" si="138"/>
        <v>2.2547629020005919E-11</v>
      </c>
      <c r="AH417" s="147">
        <f t="shared" si="149"/>
        <v>776</v>
      </c>
      <c r="AI417" s="147">
        <f>IF($AH417&gt;$AH416,INDEX(Spectra!417:417,1,MATCH($AI$20,Spectra!$20:$20,0)),AI416)</f>
        <v>64.751800000000003</v>
      </c>
      <c r="AJ417" s="147">
        <f>((Physics!$C$9*Physics!$C$10)/(Physics!$C$11*Physics!$C$12*$AH417))^($AJ$17-$AJ$18)</f>
        <v>3.9075682692609393E+18</v>
      </c>
      <c r="AK417" s="147">
        <f t="shared" si="150"/>
        <v>1</v>
      </c>
      <c r="AL417" s="147">
        <f>INDEX(Photobiology!$21:$421,1+$AH417-380,10)</f>
        <v>1.9778550000000001E-5</v>
      </c>
      <c r="AM417" s="147">
        <f t="shared" si="151"/>
        <v>8.9717506478372618E-4</v>
      </c>
      <c r="AN417" s="147">
        <f ca="1">INDEX(Photobiology!$21:$421,1+$AH417-380,AN$14)</f>
        <v>0</v>
      </c>
      <c r="AO417" s="147">
        <f ca="1">INDEX(Photobiology!$21:$421,1+$AH417-380,AO$14)</f>
        <v>1.8515200000000001E-6</v>
      </c>
      <c r="AP417" s="147">
        <f ca="1">INDEX(Photobiology!$21:$421,1+$AH417-380,AP$14)</f>
        <v>2.4020500000000002E-5</v>
      </c>
      <c r="AQ417" s="147">
        <f ca="1">INDEX(Photobiology!$21:$421,1+$AH417-380,AQ$14)</f>
        <v>1.7310000000000001E-7</v>
      </c>
      <c r="AR417" s="147">
        <f ca="1">INDEX(Photobiology!$21:$421,1+$AH417-380,AR$14)</f>
        <v>2.5480000000000001E-8</v>
      </c>
      <c r="AS417" s="147">
        <f t="shared" si="152"/>
        <v>3505772815121016</v>
      </c>
      <c r="AT417" s="147" t="str">
        <f ca="1">INDEX(Photobiology!$21:$421,1+$AH417-380,AT$14)</f>
        <v/>
      </c>
      <c r="AU417" s="147">
        <f ca="1">INDEX(Photobiology!$21:$421,1+$AH417-380,AU$14)</f>
        <v>1.2898076703790167E-6</v>
      </c>
      <c r="AV417" s="147">
        <f ca="1">INDEX(Photobiology!$21:$421,1+$AH417-380,AV$14)</f>
        <v>1.754214753388544E-5</v>
      </c>
      <c r="AW417" s="147">
        <f ca="1">INDEX(Photobiology!$21:$421,1+$AH417-380,AW$14)</f>
        <v>1.1276406539205246E-7</v>
      </c>
      <c r="AX417" s="147">
        <f ca="1">INDEX(Photobiology!$21:$421,1+$AH417-380,AX$14)</f>
        <v>1.6055487686109906E-8</v>
      </c>
      <c r="AY417" s="147">
        <f t="shared" si="139"/>
        <v>8.9717506478372618E-4</v>
      </c>
      <c r="AZ417" s="147">
        <f t="shared" ca="1" si="153"/>
        <v>0</v>
      </c>
      <c r="BA417" s="147">
        <f t="shared" ca="1" si="140"/>
        <v>1.6611375759483648E-9</v>
      </c>
      <c r="BB417" s="147">
        <f t="shared" ca="1" si="141"/>
        <v>2.1550593643637495E-8</v>
      </c>
      <c r="BC417" s="147">
        <f t="shared" ca="1" si="142"/>
        <v>1.55301003714063E-10</v>
      </c>
      <c r="BD417" s="147">
        <f t="shared" ca="1" si="143"/>
        <v>2.2860020650689345E-11</v>
      </c>
    </row>
    <row r="418" spans="1:56" s="147" customFormat="1" ht="0.25" customHeight="1" x14ac:dyDescent="0.2">
      <c r="H418" s="147">
        <f t="shared" si="144"/>
        <v>777</v>
      </c>
      <c r="I418" s="147">
        <f>IF($H418&gt;$H417,INDEX(Spectra!418:418,1,MATCH($I$20,Spectra!$20:$20,0)),I417)</f>
        <v>8.8991431532897203E-4</v>
      </c>
      <c r="J418" s="147">
        <f>((Physics!$C$9*Physics!$C$10)/(Physics!$C$11*Physics!$C$12*$H418))^($J$17-$J$18)</f>
        <v>3.9126037953811205E+18</v>
      </c>
      <c r="K418" s="147">
        <f t="shared" si="145"/>
        <v>1</v>
      </c>
      <c r="L418" s="147">
        <f>INDEX(Photobiology!$21:$421,1+$H418-380,10)</f>
        <v>1.8452850000000001E-5</v>
      </c>
      <c r="M418" s="147">
        <f t="shared" si="146"/>
        <v>8.8991431532897203E-4</v>
      </c>
      <c r="N418" s="147">
        <f ca="1">INDEX(Photobiology!$21:$421,1+$H418-380,N$14)</f>
        <v>0</v>
      </c>
      <c r="O418" s="147">
        <f ca="1">INDEX(Photobiology!$21:$421,1+$H418-380,O$14)</f>
        <v>1.7424799999999999E-6</v>
      </c>
      <c r="P418" s="147">
        <f ca="1">INDEX(Photobiology!$21:$421,1+$H418-380,P$14)</f>
        <v>2.2515999999999999E-5</v>
      </c>
      <c r="Q418" s="147">
        <f ca="1">INDEX(Photobiology!$21:$421,1+$H418-380,Q$14)</f>
        <v>1.638E-7</v>
      </c>
      <c r="R418" s="147">
        <f ca="1">INDEX(Photobiology!$21:$421,1+$H418-380,R$14)</f>
        <v>2.4165999999999999E-8</v>
      </c>
      <c r="S418" s="147">
        <f t="shared" si="147"/>
        <v>3481882127720127</v>
      </c>
      <c r="T418" s="147" t="str">
        <f ca="1">INDEX(Photobiology!$21:$421,1+$H418-380,T$14)</f>
        <v/>
      </c>
      <c r="U418" s="147">
        <f ca="1">INDEX(Photobiology!$21:$421,1+$H418-380,U$14)</f>
        <v>1.2122858950117289E-6</v>
      </c>
      <c r="V418" s="147">
        <f ca="1">INDEX(Photobiology!$21:$421,1+$H418-380,V$14)</f>
        <v>1.6422249969797109E-5</v>
      </c>
      <c r="W418" s="147">
        <f ca="1">INDEX(Photobiology!$21:$421,1+$H418-380,W$14)</f>
        <v>1.0656835370977798E-7</v>
      </c>
      <c r="X418" s="147">
        <f ca="1">INDEX(Photobiology!$21:$421,1+$H418-380,X$14)</f>
        <v>1.5207910631594608E-8</v>
      </c>
      <c r="Y418" s="147">
        <f t="shared" si="134"/>
        <v>8.8991431532897203E-4</v>
      </c>
      <c r="Z418" s="147">
        <f t="shared" ca="1" si="148"/>
        <v>0</v>
      </c>
      <c r="AA418" s="147">
        <f t="shared" ca="1" si="135"/>
        <v>1.550657896174427E-9</v>
      </c>
      <c r="AB418" s="147">
        <f t="shared" ca="1" si="136"/>
        <v>2.0037310723947134E-8</v>
      </c>
      <c r="AC418" s="147">
        <f t="shared" ca="1" si="137"/>
        <v>1.4576796485088561E-10</v>
      </c>
      <c r="AD418" s="147">
        <f t="shared" ca="1" si="138"/>
        <v>2.1505669344239939E-11</v>
      </c>
      <c r="AH418" s="147">
        <f t="shared" si="149"/>
        <v>777</v>
      </c>
      <c r="AI418" s="147">
        <f>IF($AH418&gt;$AH417,INDEX(Spectra!418:418,1,MATCH($AI$20,Spectra!$20:$20,0)),AI417)</f>
        <v>64.409599999999998</v>
      </c>
      <c r="AJ418" s="147">
        <f>((Physics!$C$9*Physics!$C$10)/(Physics!$C$11*Physics!$C$12*$AH418))^($AJ$17-$AJ$18)</f>
        <v>3.9126037953811205E+18</v>
      </c>
      <c r="AK418" s="147">
        <f t="shared" si="150"/>
        <v>1</v>
      </c>
      <c r="AL418" s="147">
        <f>INDEX(Photobiology!$21:$421,1+$AH418-380,10)</f>
        <v>1.8452850000000001E-5</v>
      </c>
      <c r="AM418" s="147">
        <f t="shared" si="151"/>
        <v>8.9243367833317195E-4</v>
      </c>
      <c r="AN418" s="147">
        <f ca="1">INDEX(Photobiology!$21:$421,1+$AH418-380,AN$14)</f>
        <v>0</v>
      </c>
      <c r="AO418" s="147">
        <f ca="1">INDEX(Photobiology!$21:$421,1+$AH418-380,AO$14)</f>
        <v>1.7424799999999999E-6</v>
      </c>
      <c r="AP418" s="147">
        <f ca="1">INDEX(Photobiology!$21:$421,1+$AH418-380,AP$14)</f>
        <v>2.2515999999999999E-5</v>
      </c>
      <c r="AQ418" s="147">
        <f ca="1">INDEX(Photobiology!$21:$421,1+$AH418-380,AQ$14)</f>
        <v>1.638E-7</v>
      </c>
      <c r="AR418" s="147">
        <f ca="1">INDEX(Photobiology!$21:$421,1+$AH418-380,AR$14)</f>
        <v>2.4165999999999999E-8</v>
      </c>
      <c r="AS418" s="147">
        <f t="shared" si="152"/>
        <v>3491739396972302.5</v>
      </c>
      <c r="AT418" s="147" t="str">
        <f ca="1">INDEX(Photobiology!$21:$421,1+$AH418-380,AT$14)</f>
        <v/>
      </c>
      <c r="AU418" s="147">
        <f ca="1">INDEX(Photobiology!$21:$421,1+$AH418-380,AU$14)</f>
        <v>1.2122858950117289E-6</v>
      </c>
      <c r="AV418" s="147">
        <f ca="1">INDEX(Photobiology!$21:$421,1+$AH418-380,AV$14)</f>
        <v>1.6422249969797109E-5</v>
      </c>
      <c r="AW418" s="147">
        <f ca="1">INDEX(Photobiology!$21:$421,1+$AH418-380,AW$14)</f>
        <v>1.0656835370977798E-7</v>
      </c>
      <c r="AX418" s="147">
        <f ca="1">INDEX(Photobiology!$21:$421,1+$AH418-380,AX$14)</f>
        <v>1.5207910631594608E-8</v>
      </c>
      <c r="AY418" s="147">
        <f t="shared" si="139"/>
        <v>8.9243367833317195E-4</v>
      </c>
      <c r="AZ418" s="147">
        <f t="shared" ca="1" si="153"/>
        <v>0</v>
      </c>
      <c r="BA418" s="147">
        <f t="shared" ca="1" si="140"/>
        <v>1.5550478358219854E-9</v>
      </c>
      <c r="BB418" s="147">
        <f t="shared" ca="1" si="141"/>
        <v>2.0094036701349699E-8</v>
      </c>
      <c r="BC418" s="147">
        <f t="shared" ca="1" si="142"/>
        <v>1.4618063651097357E-10</v>
      </c>
      <c r="BD418" s="147">
        <f t="shared" ca="1" si="143"/>
        <v>2.1566552270599432E-11</v>
      </c>
    </row>
    <row r="419" spans="1:56" s="147" customFormat="1" ht="0.25" customHeight="1" x14ac:dyDescent="0.2">
      <c r="H419" s="147">
        <f t="shared" si="144"/>
        <v>778</v>
      </c>
      <c r="I419" s="147">
        <f>IF($H419&gt;$H418,INDEX(Spectra!419:419,1,MATCH($I$20,Spectra!$20:$20,0)),I418)</f>
        <v>8.9491383395441605E-4</v>
      </c>
      <c r="J419" s="147">
        <f>((Physics!$C$9*Physics!$C$10)/(Physics!$C$11*Physics!$C$12*$H419))^($J$17-$J$18)</f>
        <v>3.9176393215013018E+18</v>
      </c>
      <c r="K419" s="147">
        <f t="shared" si="145"/>
        <v>1</v>
      </c>
      <c r="L419" s="147">
        <f>INDEX(Photobiology!$21:$421,1+$H419-380,10)</f>
        <v>1.7216869999999999E-5</v>
      </c>
      <c r="M419" s="147">
        <f t="shared" si="146"/>
        <v>8.9491383395441605E-4</v>
      </c>
      <c r="N419" s="147">
        <f ca="1">INDEX(Photobiology!$21:$421,1+$H419-380,N$14)</f>
        <v>0</v>
      </c>
      <c r="O419" s="147">
        <f ca="1">INDEX(Photobiology!$21:$421,1+$H419-380,O$14)</f>
        <v>1.6406E-6</v>
      </c>
      <c r="P419" s="147">
        <f ca="1">INDEX(Photobiology!$21:$421,1+$H419-380,P$14)</f>
        <v>2.1114499999999999E-5</v>
      </c>
      <c r="Q419" s="147">
        <f ca="1">INDEX(Photobiology!$21:$421,1+$H419-380,Q$14)</f>
        <v>1.5510000000000001E-7</v>
      </c>
      <c r="R419" s="147">
        <f ca="1">INDEX(Photobiology!$21:$421,1+$H419-380,R$14)</f>
        <v>2.29167E-8</v>
      </c>
      <c r="S419" s="147">
        <f t="shared" si="147"/>
        <v>3505949625255307</v>
      </c>
      <c r="T419" s="147" t="str">
        <f ca="1">INDEX(Photobiology!$21:$421,1+$H419-380,T$14)</f>
        <v/>
      </c>
      <c r="U419" s="147">
        <f ca="1">INDEX(Photobiology!$21:$421,1+$H419-380,U$14)</f>
        <v>1.1399383884817599E-6</v>
      </c>
      <c r="V419" s="147">
        <f ca="1">INDEX(Photobiology!$21:$421,1+$H419-380,V$14)</f>
        <v>1.5380258748826735E-5</v>
      </c>
      <c r="W419" s="147">
        <f ca="1">INDEX(Photobiology!$21:$421,1+$H419-380,W$14)</f>
        <v>1.0077842782847257E-7</v>
      </c>
      <c r="X419" s="147">
        <f ca="1">INDEX(Photobiology!$21:$421,1+$H419-380,X$14)</f>
        <v>1.4403176474581066E-8</v>
      </c>
      <c r="Y419" s="147">
        <f t="shared" si="134"/>
        <v>8.9491383395441605E-4</v>
      </c>
      <c r="Z419" s="147">
        <f t="shared" ca="1" si="148"/>
        <v>0</v>
      </c>
      <c r="AA419" s="147">
        <f t="shared" ca="1" si="135"/>
        <v>1.4681956359856149E-9</v>
      </c>
      <c r="AB419" s="147">
        <f t="shared" ca="1" si="136"/>
        <v>1.8895658147030516E-8</v>
      </c>
      <c r="AC419" s="147">
        <f t="shared" ca="1" si="137"/>
        <v>1.3880113564632994E-10</v>
      </c>
      <c r="AD419" s="147">
        <f t="shared" ca="1" si="138"/>
        <v>2.0508471858583166E-11</v>
      </c>
      <c r="AH419" s="147">
        <f t="shared" si="149"/>
        <v>778</v>
      </c>
      <c r="AI419" s="147">
        <f>IF($AH419&gt;$AH418,INDEX(Spectra!419:419,1,MATCH($AI$20,Spectra!$20:$20,0)),AI418)</f>
        <v>64.067300000000003</v>
      </c>
      <c r="AJ419" s="147">
        <f>((Physics!$C$9*Physics!$C$10)/(Physics!$C$11*Physics!$C$12*$AH419))^($AJ$17-$AJ$18)</f>
        <v>3.9176393215013018E+18</v>
      </c>
      <c r="AK419" s="147">
        <f t="shared" si="150"/>
        <v>1</v>
      </c>
      <c r="AL419" s="147">
        <f>INDEX(Photobiology!$21:$421,1+$AH419-380,10)</f>
        <v>1.7216869999999999E-5</v>
      </c>
      <c r="AM419" s="147">
        <f t="shared" si="151"/>
        <v>8.8769090632257982E-4</v>
      </c>
      <c r="AN419" s="147">
        <f ca="1">INDEX(Photobiology!$21:$421,1+$AH419-380,AN$14)</f>
        <v>0</v>
      </c>
      <c r="AO419" s="147">
        <f ca="1">INDEX(Photobiology!$21:$421,1+$AH419-380,AO$14)</f>
        <v>1.6406E-6</v>
      </c>
      <c r="AP419" s="147">
        <f ca="1">INDEX(Photobiology!$21:$421,1+$AH419-380,AP$14)</f>
        <v>2.1114499999999999E-5</v>
      </c>
      <c r="AQ419" s="147">
        <f ca="1">INDEX(Photobiology!$21:$421,1+$AH419-380,AQ$14)</f>
        <v>1.5510000000000001E-7</v>
      </c>
      <c r="AR419" s="147">
        <f ca="1">INDEX(Photobiology!$21:$421,1+$AH419-380,AR$14)</f>
        <v>2.29167E-8</v>
      </c>
      <c r="AS419" s="147">
        <f t="shared" si="152"/>
        <v>3477652799948467</v>
      </c>
      <c r="AT419" s="147" t="str">
        <f ca="1">INDEX(Photobiology!$21:$421,1+$AH419-380,AT$14)</f>
        <v/>
      </c>
      <c r="AU419" s="147">
        <f ca="1">INDEX(Photobiology!$21:$421,1+$AH419-380,AU$14)</f>
        <v>1.1399383884817599E-6</v>
      </c>
      <c r="AV419" s="147">
        <f ca="1">INDEX(Photobiology!$21:$421,1+$AH419-380,AV$14)</f>
        <v>1.5380258748826735E-5</v>
      </c>
      <c r="AW419" s="147">
        <f ca="1">INDEX(Photobiology!$21:$421,1+$AH419-380,AW$14)</f>
        <v>1.0077842782847257E-7</v>
      </c>
      <c r="AX419" s="147">
        <f ca="1">INDEX(Photobiology!$21:$421,1+$AH419-380,AX$14)</f>
        <v>1.4403176474581066E-8</v>
      </c>
      <c r="AY419" s="147">
        <f t="shared" si="139"/>
        <v>8.8769090632257982E-4</v>
      </c>
      <c r="AZ419" s="147">
        <f t="shared" ca="1" si="153"/>
        <v>0</v>
      </c>
      <c r="BA419" s="147">
        <f t="shared" ca="1" si="140"/>
        <v>1.4563457009128245E-9</v>
      </c>
      <c r="BB419" s="147">
        <f t="shared" ca="1" si="141"/>
        <v>1.874314964154811E-8</v>
      </c>
      <c r="BC419" s="147">
        <f t="shared" ca="1" si="142"/>
        <v>1.3768085957063214E-10</v>
      </c>
      <c r="BD419" s="147">
        <f t="shared" ca="1" si="143"/>
        <v>2.0342946192922664E-11</v>
      </c>
    </row>
    <row r="420" spans="1:56" s="147" customFormat="1" ht="0.25" customHeight="1" x14ac:dyDescent="0.2">
      <c r="H420" s="147">
        <f t="shared" si="144"/>
        <v>779</v>
      </c>
      <c r="I420" s="147">
        <f>IF($H420&gt;$H419,INDEX(Spectra!420:420,1,MATCH($I$20,Spectra!$20:$20,0)),I419)</f>
        <v>8.9991335257985996E-4</v>
      </c>
      <c r="J420" s="147">
        <f>((Physics!$C$9*Physics!$C$10)/(Physics!$C$11*Physics!$C$12*$H420))^($J$17-$J$18)</f>
        <v>3.922674847621484E+18</v>
      </c>
      <c r="K420" s="147">
        <f t="shared" si="145"/>
        <v>1</v>
      </c>
      <c r="L420" s="147">
        <f>INDEX(Photobiology!$21:$421,1+$H420-380,10)</f>
        <v>1.6064590000000001E-5</v>
      </c>
      <c r="M420" s="147">
        <f t="shared" si="146"/>
        <v>8.9991335257985996E-4</v>
      </c>
      <c r="N420" s="147">
        <f ca="1">INDEX(Photobiology!$21:$421,1+$H420-380,N$14)</f>
        <v>0</v>
      </c>
      <c r="O420" s="147">
        <f ca="1">INDEX(Photobiology!$21:$421,1+$H420-380,O$14)</f>
        <v>1.5450700000000001E-6</v>
      </c>
      <c r="P420" s="147">
        <f ca="1">INDEX(Photobiology!$21:$421,1+$H420-380,P$14)</f>
        <v>1.98046E-5</v>
      </c>
      <c r="Q420" s="147">
        <f ca="1">INDEX(Photobiology!$21:$421,1+$H420-380,Q$14)</f>
        <v>1.4679999999999999E-7</v>
      </c>
      <c r="R420" s="147">
        <f ca="1">INDEX(Photobiology!$21:$421,1+$H420-380,R$14)</f>
        <v>2.1710500000000001E-8</v>
      </c>
      <c r="S420" s="147">
        <f t="shared" si="147"/>
        <v>3530067473203741</v>
      </c>
      <c r="T420" s="147" t="str">
        <f ca="1">INDEX(Photobiology!$21:$421,1+$H420-380,T$14)</f>
        <v/>
      </c>
      <c r="U420" s="147">
        <f ca="1">INDEX(Photobiology!$21:$421,1+$H420-380,U$14)</f>
        <v>1.0721831342454764E-6</v>
      </c>
      <c r="V420" s="147">
        <f ca="1">INDEX(Photobiology!$21:$421,1+$H420-380,V$14)</f>
        <v>1.4407580499662524E-5</v>
      </c>
      <c r="W420" s="147">
        <f ca="1">INDEX(Photobiology!$21:$421,1+$H420-380,W$14)</f>
        <v>9.5262939009583292E-8</v>
      </c>
      <c r="X420" s="147">
        <f ca="1">INDEX(Photobiology!$21:$421,1+$H420-380,X$14)</f>
        <v>1.3627562021389996E-8</v>
      </c>
      <c r="Y420" s="147">
        <f t="shared" si="134"/>
        <v>8.9991335257985996E-4</v>
      </c>
      <c r="Z420" s="147">
        <f t="shared" ca="1" si="148"/>
        <v>0</v>
      </c>
      <c r="AA420" s="147">
        <f t="shared" ca="1" si="135"/>
        <v>1.3904291236705643E-9</v>
      </c>
      <c r="AB420" s="147">
        <f t="shared" ca="1" si="136"/>
        <v>1.7822423982503094E-8</v>
      </c>
      <c r="AC420" s="147">
        <f t="shared" ca="1" si="137"/>
        <v>1.3210728015872343E-10</v>
      </c>
      <c r="AD420" s="147">
        <f t="shared" ca="1" si="138"/>
        <v>1.9537568841185051E-11</v>
      </c>
      <c r="AH420" s="147">
        <f t="shared" si="149"/>
        <v>779</v>
      </c>
      <c r="AI420" s="147">
        <f>IF($AH420&gt;$AH419,INDEX(Spectra!420:420,1,MATCH($AI$20,Spectra!$20:$20,0)),AI419)</f>
        <v>63.725099999999998</v>
      </c>
      <c r="AJ420" s="147">
        <f>((Physics!$C$9*Physics!$C$10)/(Physics!$C$11*Physics!$C$12*$AH420))^($AJ$17-$AJ$18)</f>
        <v>3.922674847621484E+18</v>
      </c>
      <c r="AK420" s="147">
        <f t="shared" si="150"/>
        <v>1</v>
      </c>
      <c r="AL420" s="147">
        <f>INDEX(Photobiology!$21:$421,1+$AH420-380,10)</f>
        <v>1.6064590000000001E-5</v>
      </c>
      <c r="AM420" s="147">
        <f t="shared" si="151"/>
        <v>8.8294951987202559E-4</v>
      </c>
      <c r="AN420" s="147">
        <f ca="1">INDEX(Photobiology!$21:$421,1+$AH420-380,AN$14)</f>
        <v>0</v>
      </c>
      <c r="AO420" s="147">
        <f ca="1">INDEX(Photobiology!$21:$421,1+$AH420-380,AO$14)</f>
        <v>1.5450700000000001E-6</v>
      </c>
      <c r="AP420" s="147">
        <f ca="1">INDEX(Photobiology!$21:$421,1+$AH420-380,AP$14)</f>
        <v>1.98046E-5</v>
      </c>
      <c r="AQ420" s="147">
        <f ca="1">INDEX(Photobiology!$21:$421,1+$AH420-380,AQ$14)</f>
        <v>1.4679999999999999E-7</v>
      </c>
      <c r="AR420" s="147">
        <f ca="1">INDEX(Photobiology!$21:$421,1+$AH420-380,AR$14)</f>
        <v>2.1710500000000001E-8</v>
      </c>
      <c r="AS420" s="147">
        <f t="shared" si="152"/>
        <v>3463523873321460.5</v>
      </c>
      <c r="AT420" s="147" t="str">
        <f ca="1">INDEX(Photobiology!$21:$421,1+$AH420-380,AT$14)</f>
        <v/>
      </c>
      <c r="AU420" s="147">
        <f ca="1">INDEX(Photobiology!$21:$421,1+$AH420-380,AU$14)</f>
        <v>1.0721831342454764E-6</v>
      </c>
      <c r="AV420" s="147">
        <f ca="1">INDEX(Photobiology!$21:$421,1+$AH420-380,AV$14)</f>
        <v>1.4407580499662524E-5</v>
      </c>
      <c r="AW420" s="147">
        <f ca="1">INDEX(Photobiology!$21:$421,1+$AH420-380,AW$14)</f>
        <v>9.5262939009583292E-8</v>
      </c>
      <c r="AX420" s="147">
        <f ca="1">INDEX(Photobiology!$21:$421,1+$AH420-380,AX$14)</f>
        <v>1.3627562021389996E-8</v>
      </c>
      <c r="AY420" s="147">
        <f t="shared" si="139"/>
        <v>8.8294951987202559E-4</v>
      </c>
      <c r="AZ420" s="147">
        <f t="shared" ca="1" si="153"/>
        <v>0</v>
      </c>
      <c r="BA420" s="147">
        <f t="shared" ca="1" si="140"/>
        <v>1.3642188146686706E-9</v>
      </c>
      <c r="BB420" s="147">
        <f t="shared" ca="1" si="141"/>
        <v>1.7486462061257519E-8</v>
      </c>
      <c r="BC420" s="147">
        <f t="shared" ca="1" si="142"/>
        <v>1.2961698951721334E-10</v>
      </c>
      <c r="BD420" s="147">
        <f t="shared" ca="1" si="143"/>
        <v>1.9169275551181612E-11</v>
      </c>
    </row>
    <row r="421" spans="1:56" s="147" customFormat="1" ht="0.25" customHeight="1" x14ac:dyDescent="0.2">
      <c r="H421" s="147">
        <f t="shared" si="144"/>
        <v>780</v>
      </c>
      <c r="I421" s="147">
        <f>IF($H421&gt;$H420,INDEX(Spectra!421:421,1,MATCH($I$20,Spectra!$20:$20,0)),I420)</f>
        <v>8.9991335257985996E-4</v>
      </c>
      <c r="J421" s="147">
        <f>((Physics!$C$9*Physics!$C$10)/(Physics!$C$11*Physics!$C$12*$H421))^($J$17-$J$18)</f>
        <v>3.9277103737416653E+18</v>
      </c>
      <c r="K421" s="147">
        <f t="shared" si="145"/>
        <v>1</v>
      </c>
      <c r="L421" s="147">
        <f>INDEX(Photobiology!$21:$421,1+$H421-380,10)</f>
        <v>1.499E-5</v>
      </c>
      <c r="M421" s="147">
        <f t="shared" si="146"/>
        <v>8.9991335257985996E-4</v>
      </c>
      <c r="N421" s="147">
        <f ca="1">INDEX(Photobiology!$21:$421,1+$H421-380,N$14)</f>
        <v>0</v>
      </c>
      <c r="O421" s="147">
        <f ca="1">INDEX(Photobiology!$21:$421,1+$H421-380,O$14)</f>
        <v>1.4551799999999999E-6</v>
      </c>
      <c r="P421" s="147">
        <f ca="1">INDEX(Photobiology!$21:$421,1+$H421-380,P$14)</f>
        <v>1.8576600000000001E-5</v>
      </c>
      <c r="Q421" s="147">
        <f ca="1">INDEX(Photobiology!$21:$421,1+$H421-380,Q$14)</f>
        <v>1.3899999999999999E-7</v>
      </c>
      <c r="R421" s="147">
        <f ca="1">INDEX(Photobiology!$21:$421,1+$H421-380,R$14)</f>
        <v>2.05258E-8</v>
      </c>
      <c r="S421" s="147">
        <f t="shared" si="147"/>
        <v>3534599010396557</v>
      </c>
      <c r="T421" s="147" t="str">
        <f ca="1">INDEX(Photobiology!$21:$421,1+$H421-380,T$14)</f>
        <v/>
      </c>
      <c r="U421" s="147">
        <f ca="1">INDEX(Photobiology!$21:$421,1+$H421-380,U$14)</f>
        <v>1.00851040531559E-6</v>
      </c>
      <c r="V421" s="147">
        <f ca="1">INDEX(Photobiology!$21:$421,1+$H421-380,V$14)</f>
        <v>1.3496901061182759E-5</v>
      </c>
      <c r="W421" s="147">
        <f ca="1">INDEX(Photobiology!$21:$421,1+$H421-380,W$14)</f>
        <v>9.0085641540004612E-8</v>
      </c>
      <c r="X421" s="147">
        <f ca="1">INDEX(Photobiology!$21:$421,1+$H421-380,X$14)</f>
        <v>1.2867414453694322E-8</v>
      </c>
      <c r="Y421" s="147">
        <f t="shared" si="134"/>
        <v>8.9991335257985996E-4</v>
      </c>
      <c r="Z421" s="147">
        <f t="shared" ca="1" si="148"/>
        <v>0</v>
      </c>
      <c r="AA421" s="147">
        <f t="shared" ca="1" si="135"/>
        <v>1.3095359124071605E-9</v>
      </c>
      <c r="AB421" s="147">
        <f t="shared" ca="1" si="136"/>
        <v>1.6717330385535026E-8</v>
      </c>
      <c r="AC421" s="147">
        <f t="shared" ca="1" si="137"/>
        <v>1.2508795600860052E-10</v>
      </c>
      <c r="AD421" s="147">
        <f t="shared" ca="1" si="138"/>
        <v>1.847144149238369E-11</v>
      </c>
      <c r="AH421" s="147">
        <f t="shared" si="149"/>
        <v>780</v>
      </c>
      <c r="AI421" s="147">
        <f>IF($AH421&gt;$AH420,INDEX(Spectra!421:421,1,MATCH($AI$20,Spectra!$20:$20,0)),AI420)</f>
        <v>63.382800000000003</v>
      </c>
      <c r="AJ421" s="147">
        <f>((Physics!$C$9*Physics!$C$10)/(Physics!$C$11*Physics!$C$12*$AH421))^($AJ$17-$AJ$18)</f>
        <v>3.9277103737416653E+18</v>
      </c>
      <c r="AK421" s="147">
        <f t="shared" si="150"/>
        <v>1</v>
      </c>
      <c r="AL421" s="147">
        <f>INDEX(Photobiology!$21:$421,1+$AH421-380,10)</f>
        <v>1.499E-5</v>
      </c>
      <c r="AM421" s="147">
        <f t="shared" si="151"/>
        <v>8.7820674786143335E-4</v>
      </c>
      <c r="AN421" s="147">
        <f ca="1">INDEX(Photobiology!$21:$421,1+$AH421-380,AN$14)</f>
        <v>0</v>
      </c>
      <c r="AO421" s="147">
        <f ca="1">INDEX(Photobiology!$21:$421,1+$AH421-380,AO$14)</f>
        <v>1.4551799999999999E-6</v>
      </c>
      <c r="AP421" s="147">
        <f ca="1">INDEX(Photobiology!$21:$421,1+$AH421-380,AP$14)</f>
        <v>1.8576600000000001E-5</v>
      </c>
      <c r="AQ421" s="147">
        <f ca="1">INDEX(Photobiology!$21:$421,1+$AH421-380,AQ$14)</f>
        <v>1.3899999999999999E-7</v>
      </c>
      <c r="AR421" s="147">
        <f ca="1">INDEX(Photobiology!$21:$421,1+$AH421-380,AR$14)</f>
        <v>2.05258E-8</v>
      </c>
      <c r="AS421" s="147">
        <f t="shared" si="152"/>
        <v>3449341753865283</v>
      </c>
      <c r="AT421" s="147" t="str">
        <f ca="1">INDEX(Photobiology!$21:$421,1+$AH421-380,AT$14)</f>
        <v/>
      </c>
      <c r="AU421" s="147">
        <f ca="1">INDEX(Photobiology!$21:$421,1+$AH421-380,AU$14)</f>
        <v>1.00851040531559E-6</v>
      </c>
      <c r="AV421" s="147">
        <f ca="1">INDEX(Photobiology!$21:$421,1+$AH421-380,AV$14)</f>
        <v>1.3496901061182759E-5</v>
      </c>
      <c r="AW421" s="147">
        <f ca="1">INDEX(Photobiology!$21:$421,1+$AH421-380,AW$14)</f>
        <v>9.0085641540004612E-8</v>
      </c>
      <c r="AX421" s="147">
        <f ca="1">INDEX(Photobiology!$21:$421,1+$AH421-380,AX$14)</f>
        <v>1.2867414453694322E-8</v>
      </c>
      <c r="AY421" s="147">
        <f t="shared" si="139"/>
        <v>8.7820674786143335E-4</v>
      </c>
      <c r="AZ421" s="147">
        <f t="shared" ca="1" si="153"/>
        <v>0</v>
      </c>
      <c r="BA421" s="147">
        <f t="shared" ca="1" si="140"/>
        <v>1.2779488953530004E-9</v>
      </c>
      <c r="BB421" s="147">
        <f t="shared" ca="1" si="141"/>
        <v>1.6314095472322704E-8</v>
      </c>
      <c r="BC421" s="147">
        <f t="shared" ca="1" si="142"/>
        <v>1.2207073795273921E-10</v>
      </c>
      <c r="BD421" s="147">
        <f t="shared" ca="1" si="143"/>
        <v>1.8025896065254208E-11</v>
      </c>
    </row>
    <row r="422" spans="1:56" ht="15" hidden="1" customHeight="1" x14ac:dyDescent="0.2">
      <c r="A422" s="183" t="s">
        <v>320</v>
      </c>
    </row>
    <row r="423" spans="1:56" ht="15" hidden="1" customHeight="1" x14ac:dyDescent="0.2"/>
    <row r="424" spans="1:56" ht="15" hidden="1" customHeight="1" x14ac:dyDescent="0.2"/>
    <row r="425" spans="1:56" ht="15" hidden="1" customHeight="1" x14ac:dyDescent="0.2"/>
    <row r="426" spans="1:56" ht="15" hidden="1" customHeight="1" x14ac:dyDescent="0.2"/>
    <row r="427" spans="1:56" ht="15" hidden="1" customHeight="1" x14ac:dyDescent="0.2"/>
  </sheetData>
  <sheetProtection password="CAB0" sheet="1" objects="1" scenarios="1"/>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V59"/>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15" width="15.83203125" style="56" customWidth="1"/>
    <col min="16" max="19" width="15.83203125" style="56" hidden="1" customWidth="1"/>
    <col min="20" max="21" width="9.1640625" style="56" hidden="1" customWidth="1"/>
    <col min="22" max="22" width="5.83203125" style="56" hidden="1" customWidth="1"/>
    <col min="23"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78</v>
      </c>
      <c r="C3" s="143" t="str">
        <f>Outputs!C3</f>
        <v>Please note the α-opic Toolbox is not part of CIE S 026. See Disclaimer sheet.</v>
      </c>
    </row>
    <row r="4" spans="2:10" x14ac:dyDescent="0.2"/>
    <row r="5" spans="2:10" x14ac:dyDescent="0.2"/>
    <row r="6" spans="2:10" x14ac:dyDescent="0.2">
      <c r="J6" s="57"/>
    </row>
    <row r="7" spans="2:10" x14ac:dyDescent="0.2"/>
    <row r="8" spans="2:10" x14ac:dyDescent="0.2"/>
    <row r="9" spans="2:10" x14ac:dyDescent="0.2"/>
    <row r="10" spans="2:10" x14ac:dyDescent="0.2"/>
    <row r="11" spans="2:10" x14ac:dyDescent="0.2"/>
    <row r="12" spans="2:10" x14ac:dyDescent="0.2"/>
    <row r="13" spans="2:10" x14ac:dyDescent="0.2"/>
    <row r="14" spans="2:10" x14ac:dyDescent="0.2"/>
    <row r="15" spans="2:10" x14ac:dyDescent="0.2"/>
    <row r="16" spans="2:10"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spans="2:2" x14ac:dyDescent="0.2"/>
    <row r="34" spans="2:2" x14ac:dyDescent="0.2"/>
    <row r="35" spans="2:2" x14ac:dyDescent="0.2"/>
    <row r="36" spans="2:2" x14ac:dyDescent="0.2">
      <c r="B36" s="56" t="s">
        <v>440</v>
      </c>
    </row>
    <row r="37" spans="2:2" x14ac:dyDescent="0.2">
      <c r="B37" s="56" t="s">
        <v>444</v>
      </c>
    </row>
    <row r="38" spans="2:2" x14ac:dyDescent="0.2"/>
    <row r="39" spans="2:2" x14ac:dyDescent="0.2"/>
    <row r="40" spans="2:2" x14ac:dyDescent="0.2"/>
    <row r="41" spans="2:2" x14ac:dyDescent="0.2"/>
    <row r="42" spans="2:2" x14ac:dyDescent="0.2"/>
    <row r="43" spans="2:2" x14ac:dyDescent="0.2"/>
    <row r="44" spans="2:2" x14ac:dyDescent="0.2"/>
    <row r="45" spans="2:2" x14ac:dyDescent="0.2"/>
    <row r="46" spans="2:2" x14ac:dyDescent="0.2"/>
    <row r="47" spans="2:2" x14ac:dyDescent="0.2"/>
    <row r="48" spans="2:2" x14ac:dyDescent="0.2"/>
    <row r="49" x14ac:dyDescent="0.2"/>
    <row r="50" x14ac:dyDescent="0.2"/>
    <row r="51" x14ac:dyDescent="0.2"/>
    <row r="52" x14ac:dyDescent="0.2"/>
    <row r="53" x14ac:dyDescent="0.2"/>
    <row r="54" x14ac:dyDescent="0.2"/>
    <row r="55" x14ac:dyDescent="0.2"/>
    <row r="56" x14ac:dyDescent="0.2"/>
    <row r="57" x14ac:dyDescent="0.2"/>
    <row r="58" x14ac:dyDescent="0.2"/>
    <row r="59" x14ac:dyDescent="0.2"/>
  </sheetData>
  <sheetProtection password="CAB0" sheet="1" objects="1" scenarios="1"/>
  <pageMargins left="0.7" right="0.7" top="0.75" bottom="0.75" header="0.3" footer="0.3"/>
  <pageSetup paperSize="9" scale="57" fitToHeight="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T426"/>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7" width="15.6640625" style="73" customWidth="1"/>
    <col min="8" max="9" width="5.6640625" style="73" customWidth="1"/>
    <col min="10" max="15" width="15.6640625" style="73" customWidth="1"/>
    <col min="16" max="16" width="5.6640625" style="73" customWidth="1"/>
    <col min="17" max="20" width="15.6640625" style="73" hidden="1" customWidth="1"/>
    <col min="21" max="16384" width="8.6640625" style="73" hidden="1"/>
  </cols>
  <sheetData>
    <row r="1" spans="2:20" ht="25" customHeight="1" x14ac:dyDescent="0.3">
      <c r="B1" s="140" t="str">
        <f>LEFT(Disclaimer!B1,Maintenance!I3)</f>
        <v>CIE S 026 α-opic Toolbox - v1.049a - 2020/11</v>
      </c>
    </row>
    <row r="2" spans="2:20" x14ac:dyDescent="0.2"/>
    <row r="3" spans="2:20" x14ac:dyDescent="0.2">
      <c r="B3" s="145" t="s">
        <v>331</v>
      </c>
      <c r="C3" s="143" t="str">
        <f>Outputs!C3</f>
        <v>Please note the α-opic Toolbox is not part of CIE S 026. See Disclaimer sheet.</v>
      </c>
      <c r="J3" s="146"/>
      <c r="O3" s="146"/>
      <c r="T3" s="146"/>
    </row>
    <row r="4" spans="2:20" ht="15" customHeight="1" x14ac:dyDescent="0.2">
      <c r="C4" s="146"/>
      <c r="J4" s="146"/>
      <c r="O4" s="146"/>
      <c r="T4" s="146"/>
    </row>
    <row r="5" spans="2:20" ht="15" customHeight="1" x14ac:dyDescent="0.2">
      <c r="B5" s="73" t="s">
        <v>345</v>
      </c>
    </row>
    <row r="6" spans="2:20" ht="15" customHeight="1" x14ac:dyDescent="0.2"/>
    <row r="7" spans="2:20" ht="15" customHeight="1" x14ac:dyDescent="0.2">
      <c r="B7" s="73" t="s">
        <v>346</v>
      </c>
    </row>
    <row r="8" spans="2:20" ht="15" customHeight="1" x14ac:dyDescent="0.2"/>
    <row r="9" spans="2:20" ht="15" customHeight="1" x14ac:dyDescent="0.25">
      <c r="C9" s="73" t="s">
        <v>348</v>
      </c>
    </row>
    <row r="10" spans="2:20" ht="15" customHeight="1" x14ac:dyDescent="0.2">
      <c r="C10" s="216" t="s">
        <v>73</v>
      </c>
      <c r="D10" s="215">
        <v>0.81728964488321343</v>
      </c>
      <c r="E10" s="146" t="s">
        <v>347</v>
      </c>
    </row>
    <row r="11" spans="2:20" ht="15" customHeight="1" x14ac:dyDescent="0.2">
      <c r="C11" s="217" t="s">
        <v>74</v>
      </c>
      <c r="D11" s="215">
        <v>1.4558263388165291</v>
      </c>
      <c r="E11" s="146" t="s">
        <v>347</v>
      </c>
    </row>
    <row r="12" spans="2:20" ht="15" customHeight="1" x14ac:dyDescent="0.2">
      <c r="C12" s="218" t="s">
        <v>75</v>
      </c>
      <c r="D12" s="215">
        <v>1.6289077658903899</v>
      </c>
      <c r="E12" s="146" t="s">
        <v>347</v>
      </c>
    </row>
    <row r="13" spans="2:20" ht="15" customHeight="1" x14ac:dyDescent="0.2">
      <c r="C13" s="219" t="s">
        <v>76</v>
      </c>
      <c r="D13" s="215">
        <v>1.4497035760558958</v>
      </c>
      <c r="E13" s="146" t="s">
        <v>347</v>
      </c>
    </row>
    <row r="14" spans="2:20" ht="15" customHeight="1" x14ac:dyDescent="0.2">
      <c r="C14" s="220" t="s">
        <v>77</v>
      </c>
      <c r="D14" s="215">
        <v>1.32621318911359</v>
      </c>
      <c r="E14" s="146" t="s">
        <v>347</v>
      </c>
    </row>
    <row r="15" spans="2:20" ht="15" customHeight="1" x14ac:dyDescent="0.2"/>
    <row r="16" spans="2:20" ht="15" customHeight="1" x14ac:dyDescent="0.25">
      <c r="C16" s="73" t="s">
        <v>344</v>
      </c>
      <c r="G16" s="73" t="s">
        <v>104</v>
      </c>
      <c r="K16" s="73" t="s">
        <v>343</v>
      </c>
      <c r="O16" s="73" t="s">
        <v>301</v>
      </c>
    </row>
    <row r="17" spans="2:20" ht="15" customHeight="1" x14ac:dyDescent="0.25">
      <c r="C17" s="74" t="s">
        <v>332</v>
      </c>
      <c r="D17" s="74" t="s">
        <v>333</v>
      </c>
      <c r="E17" s="74" t="s">
        <v>334</v>
      </c>
      <c r="F17" s="74" t="s">
        <v>335</v>
      </c>
      <c r="G17" s="74" t="s">
        <v>336</v>
      </c>
      <c r="H17" s="74"/>
      <c r="K17" s="74" t="s">
        <v>337</v>
      </c>
      <c r="L17" s="74" t="s">
        <v>338</v>
      </c>
      <c r="M17" s="74" t="s">
        <v>339</v>
      </c>
      <c r="N17" s="74" t="s">
        <v>340</v>
      </c>
      <c r="O17" s="74" t="s">
        <v>341</v>
      </c>
    </row>
    <row r="18" spans="2:20" ht="15" customHeight="1" x14ac:dyDescent="0.2">
      <c r="C18" s="74"/>
      <c r="D18" s="74"/>
      <c r="E18" s="74"/>
      <c r="F18" s="74"/>
      <c r="G18" s="74"/>
      <c r="K18" s="74"/>
      <c r="L18" s="74"/>
      <c r="M18" s="74"/>
      <c r="N18" s="74"/>
      <c r="O18" s="74"/>
    </row>
    <row r="19" spans="2:20" ht="15" customHeight="1" x14ac:dyDescent="0.2">
      <c r="C19" s="95" t="s">
        <v>73</v>
      </c>
      <c r="D19" s="96" t="s">
        <v>74</v>
      </c>
      <c r="E19" s="97" t="s">
        <v>75</v>
      </c>
      <c r="F19" s="98" t="s">
        <v>76</v>
      </c>
      <c r="G19" s="99" t="s">
        <v>77</v>
      </c>
      <c r="K19" s="95" t="s">
        <v>73</v>
      </c>
      <c r="L19" s="96" t="s">
        <v>74</v>
      </c>
      <c r="M19" s="97" t="s">
        <v>75</v>
      </c>
      <c r="N19" s="98" t="s">
        <v>76</v>
      </c>
      <c r="O19" s="99" t="s">
        <v>77</v>
      </c>
    </row>
    <row r="20" spans="2:20" ht="15" customHeight="1" x14ac:dyDescent="0.2">
      <c r="B20" s="74" t="s">
        <v>12</v>
      </c>
      <c r="C20" s="74" t="s">
        <v>13</v>
      </c>
      <c r="D20" s="74" t="s">
        <v>14</v>
      </c>
      <c r="E20" s="74" t="s">
        <v>15</v>
      </c>
      <c r="F20" s="74" t="s">
        <v>16</v>
      </c>
      <c r="G20" s="74" t="s">
        <v>17</v>
      </c>
      <c r="J20" s="74" t="s">
        <v>12</v>
      </c>
      <c r="K20" s="74" t="s">
        <v>13</v>
      </c>
      <c r="L20" s="74" t="s">
        <v>14</v>
      </c>
      <c r="M20" s="74" t="s">
        <v>15</v>
      </c>
      <c r="N20" s="74" t="s">
        <v>16</v>
      </c>
      <c r="O20" s="74" t="s">
        <v>17</v>
      </c>
      <c r="P20" s="74"/>
    </row>
    <row r="21" spans="2:20" ht="15" customHeight="1" x14ac:dyDescent="0.2">
      <c r="B21" s="74">
        <v>380</v>
      </c>
      <c r="C21" s="137"/>
      <c r="D21" s="137"/>
      <c r="E21" s="137"/>
      <c r="F21" s="136">
        <v>5.8900000000000001E-4</v>
      </c>
      <c r="G21" s="137">
        <v>9.1816499999999998E-4</v>
      </c>
      <c r="H21" s="74"/>
      <c r="J21" s="74">
        <v>380</v>
      </c>
      <c r="K21" s="136" t="s">
        <v>342</v>
      </c>
      <c r="L21" s="136" t="s">
        <v>342</v>
      </c>
      <c r="M21" s="136" t="s">
        <v>342</v>
      </c>
      <c r="N21" s="136">
        <v>7.8355065195586759E-4</v>
      </c>
      <c r="O21" s="136">
        <v>1.1814706474244062E-3</v>
      </c>
      <c r="P21" s="74"/>
      <c r="Q21" s="137"/>
      <c r="R21" s="136"/>
      <c r="S21" s="137"/>
      <c r="T21" s="137"/>
    </row>
    <row r="22" spans="2:20" ht="15" customHeight="1" x14ac:dyDescent="0.2">
      <c r="B22" s="74">
        <v>381</v>
      </c>
      <c r="C22" s="137"/>
      <c r="D22" s="137"/>
      <c r="E22" s="137"/>
      <c r="F22" s="136">
        <v>6.6500000000000001E-4</v>
      </c>
      <c r="G22" s="137">
        <v>1.04557E-3</v>
      </c>
      <c r="H22" s="74"/>
      <c r="J22" s="74">
        <v>381</v>
      </c>
      <c r="K22" s="136" t="s">
        <v>342</v>
      </c>
      <c r="L22" s="136" t="s">
        <v>342</v>
      </c>
      <c r="M22" s="136" t="s">
        <v>342</v>
      </c>
      <c r="N22" s="136">
        <v>8.8233203547650823E-4</v>
      </c>
      <c r="O22" s="136">
        <v>1.341880795573654E-3</v>
      </c>
      <c r="P22" s="74"/>
      <c r="Q22" s="137"/>
      <c r="R22" s="136"/>
      <c r="S22" s="137"/>
      <c r="T22" s="137"/>
    </row>
    <row r="23" spans="2:20" ht="15" customHeight="1" x14ac:dyDescent="0.2">
      <c r="B23" s="74">
        <v>382</v>
      </c>
      <c r="C23" s="137"/>
      <c r="D23" s="137"/>
      <c r="E23" s="137"/>
      <c r="F23" s="136">
        <v>7.5199999999999996E-4</v>
      </c>
      <c r="G23" s="137">
        <v>1.17858E-3</v>
      </c>
      <c r="H23" s="74"/>
      <c r="J23" s="74">
        <v>382</v>
      </c>
      <c r="K23" s="136" t="s">
        <v>342</v>
      </c>
      <c r="L23" s="136" t="s">
        <v>342</v>
      </c>
      <c r="M23" s="136" t="s">
        <v>342</v>
      </c>
      <c r="N23" s="136">
        <v>9.9515299826180115E-4</v>
      </c>
      <c r="O23" s="136">
        <v>1.5086257059664947E-3</v>
      </c>
      <c r="P23" s="74"/>
      <c r="Q23" s="137"/>
      <c r="R23" s="136"/>
      <c r="S23" s="137"/>
      <c r="T23" s="137"/>
    </row>
    <row r="24" spans="2:20" ht="15" customHeight="1" x14ac:dyDescent="0.2">
      <c r="B24" s="74">
        <v>383</v>
      </c>
      <c r="C24" s="137"/>
      <c r="D24" s="137"/>
      <c r="E24" s="137"/>
      <c r="F24" s="136">
        <v>8.5400000000000005E-4</v>
      </c>
      <c r="G24" s="137">
        <v>1.3227899999999999E-3</v>
      </c>
      <c r="H24" s="74"/>
      <c r="J24" s="74">
        <v>383</v>
      </c>
      <c r="K24" s="136" t="s">
        <v>342</v>
      </c>
      <c r="L24" s="136" t="s">
        <v>342</v>
      </c>
      <c r="M24" s="136" t="s">
        <v>342</v>
      </c>
      <c r="N24" s="136">
        <v>1.1271831159274167E-3</v>
      </c>
      <c r="O24" s="136">
        <v>1.6887988654077772E-3</v>
      </c>
      <c r="P24" s="74"/>
      <c r="Q24" s="137"/>
      <c r="R24" s="136"/>
      <c r="S24" s="137"/>
      <c r="T24" s="137"/>
    </row>
    <row r="25" spans="2:20" ht="15" customHeight="1" x14ac:dyDescent="0.2">
      <c r="B25" s="74">
        <v>384</v>
      </c>
      <c r="C25" s="137"/>
      <c r="D25" s="137"/>
      <c r="E25" s="137"/>
      <c r="F25" s="136">
        <v>9.7199999999999999E-4</v>
      </c>
      <c r="G25" s="137">
        <v>1.4838099999999999E-3</v>
      </c>
      <c r="H25" s="74"/>
      <c r="J25" s="74">
        <v>384</v>
      </c>
      <c r="K25" s="136" t="s">
        <v>342</v>
      </c>
      <c r="L25" s="136" t="s">
        <v>342</v>
      </c>
      <c r="M25" s="136" t="s">
        <v>342</v>
      </c>
      <c r="N25" s="136">
        <v>1.2795887662988966E-3</v>
      </c>
      <c r="O25" s="136">
        <v>1.8894389707630932E-3</v>
      </c>
      <c r="P25" s="74"/>
      <c r="Q25" s="137"/>
      <c r="R25" s="136"/>
      <c r="S25" s="137"/>
      <c r="T25" s="137"/>
    </row>
    <row r="26" spans="2:20" ht="15" customHeight="1" x14ac:dyDescent="0.2">
      <c r="B26" s="74">
        <v>385</v>
      </c>
      <c r="C26" s="137"/>
      <c r="D26" s="137"/>
      <c r="E26" s="137"/>
      <c r="F26" s="138">
        <v>1.108E-3</v>
      </c>
      <c r="G26" s="137">
        <v>1.66724E-3</v>
      </c>
      <c r="H26" s="74"/>
      <c r="J26" s="74">
        <v>385</v>
      </c>
      <c r="K26" s="136" t="s">
        <v>342</v>
      </c>
      <c r="L26" s="136" t="s">
        <v>342</v>
      </c>
      <c r="M26" s="136" t="s">
        <v>342</v>
      </c>
      <c r="N26" s="136">
        <v>1.4548372389896964E-3</v>
      </c>
      <c r="O26" s="136">
        <v>2.1174988889556307E-3</v>
      </c>
      <c r="P26" s="74"/>
      <c r="Q26" s="137"/>
      <c r="R26" s="138"/>
      <c r="S26" s="137"/>
      <c r="T26" s="137"/>
    </row>
    <row r="27" spans="2:20" ht="15" customHeight="1" x14ac:dyDescent="0.2">
      <c r="B27" s="74">
        <v>386</v>
      </c>
      <c r="C27" s="137"/>
      <c r="D27" s="137"/>
      <c r="E27" s="137"/>
      <c r="F27" s="138">
        <v>1.268E-3</v>
      </c>
      <c r="G27" s="137">
        <v>1.88102E-3</v>
      </c>
      <c r="H27" s="74"/>
      <c r="J27" s="74">
        <v>386</v>
      </c>
      <c r="K27" s="136" t="s">
        <v>342</v>
      </c>
      <c r="L27" s="136" t="s">
        <v>342</v>
      </c>
      <c r="M27" s="136" t="s">
        <v>342</v>
      </c>
      <c r="N27" s="136">
        <v>1.6606087693131206E-3</v>
      </c>
      <c r="O27" s="136">
        <v>2.3828236832225749E-3</v>
      </c>
      <c r="P27" s="74"/>
      <c r="Q27" s="137"/>
      <c r="R27" s="138"/>
      <c r="S27" s="137"/>
      <c r="T27" s="137"/>
    </row>
    <row r="28" spans="2:20" ht="15" customHeight="1" x14ac:dyDescent="0.2">
      <c r="B28" s="74">
        <v>387</v>
      </c>
      <c r="C28" s="137"/>
      <c r="D28" s="137"/>
      <c r="E28" s="137"/>
      <c r="F28" s="138">
        <v>1.4530000000000001E-3</v>
      </c>
      <c r="G28" s="137">
        <v>2.1298900000000002E-3</v>
      </c>
      <c r="H28" s="74"/>
      <c r="J28" s="74">
        <v>387</v>
      </c>
      <c r="K28" s="136" t="s">
        <v>342</v>
      </c>
      <c r="L28" s="136" t="s">
        <v>342</v>
      </c>
      <c r="M28" s="136" t="s">
        <v>342</v>
      </c>
      <c r="N28" s="136">
        <v>1.8979729887336429E-3</v>
      </c>
      <c r="O28" s="136">
        <v>2.69111346287593E-3</v>
      </c>
      <c r="P28" s="74"/>
      <c r="Q28" s="137"/>
      <c r="R28" s="138"/>
      <c r="S28" s="137"/>
      <c r="T28" s="137"/>
    </row>
    <row r="29" spans="2:20" ht="15" customHeight="1" x14ac:dyDescent="0.2">
      <c r="B29" s="74">
        <v>388</v>
      </c>
      <c r="C29" s="137"/>
      <c r="D29" s="137"/>
      <c r="E29" s="137"/>
      <c r="F29" s="138">
        <v>1.668E-3</v>
      </c>
      <c r="G29" s="137">
        <v>2.41457E-3</v>
      </c>
      <c r="H29" s="74"/>
      <c r="J29" s="74">
        <v>388</v>
      </c>
      <c r="K29" s="136" t="s">
        <v>342</v>
      </c>
      <c r="L29" s="136" t="s">
        <v>342</v>
      </c>
      <c r="M29" s="136" t="s">
        <v>342</v>
      </c>
      <c r="N29" s="136">
        <v>2.1732000124083588E-3</v>
      </c>
      <c r="O29" s="136">
        <v>3.042943398920753E-3</v>
      </c>
      <c r="P29" s="74"/>
      <c r="Q29" s="137"/>
      <c r="R29" s="138"/>
      <c r="S29" s="137"/>
      <c r="T29" s="137"/>
    </row>
    <row r="30" spans="2:20" ht="15" customHeight="1" x14ac:dyDescent="0.2">
      <c r="B30" s="74">
        <v>389</v>
      </c>
      <c r="C30" s="137"/>
      <c r="D30" s="137"/>
      <c r="E30" s="137"/>
      <c r="F30" s="138">
        <v>1.918E-3</v>
      </c>
      <c r="G30" s="137">
        <v>2.7358299999999999E-3</v>
      </c>
      <c r="H30" s="74"/>
      <c r="J30" s="74">
        <v>389</v>
      </c>
      <c r="K30" s="136" t="s">
        <v>342</v>
      </c>
      <c r="L30" s="136" t="s">
        <v>342</v>
      </c>
      <c r="M30" s="136" t="s">
        <v>342</v>
      </c>
      <c r="N30" s="136">
        <v>2.4924954813025195E-3</v>
      </c>
      <c r="O30" s="136">
        <v>3.4389455981404925E-3</v>
      </c>
      <c r="P30" s="74"/>
      <c r="Q30" s="137"/>
      <c r="R30" s="138"/>
      <c r="S30" s="137"/>
      <c r="T30" s="137"/>
    </row>
    <row r="31" spans="2:20" ht="15" customHeight="1" x14ac:dyDescent="0.2">
      <c r="B31" s="74">
        <v>390</v>
      </c>
      <c r="C31" s="137">
        <v>6.1426500000000004E-3</v>
      </c>
      <c r="D31" s="137">
        <v>3.5822700000000002E-4</v>
      </c>
      <c r="E31" s="137">
        <v>4.0761900000000002E-4</v>
      </c>
      <c r="F31" s="138">
        <v>2.209E-3</v>
      </c>
      <c r="G31" s="137">
        <v>3.0944200000000001E-3</v>
      </c>
      <c r="H31" s="74"/>
      <c r="J31" s="74">
        <v>390</v>
      </c>
      <c r="K31" s="136">
        <v>7.0472013307571121E-3</v>
      </c>
      <c r="L31" s="136">
        <v>4.9653741388005319E-4</v>
      </c>
      <c r="M31" s="136">
        <v>5.9231434316917562E-4</v>
      </c>
      <c r="N31" s="136">
        <v>2.8632975850628808E-3</v>
      </c>
      <c r="O31" s="136">
        <v>3.8797206085804973E-3</v>
      </c>
      <c r="P31" s="74"/>
      <c r="Q31" s="137"/>
      <c r="R31" s="138"/>
      <c r="S31" s="137"/>
      <c r="T31" s="137"/>
    </row>
    <row r="32" spans="2:20" ht="15" customHeight="1" x14ac:dyDescent="0.2">
      <c r="B32" s="74">
        <v>391</v>
      </c>
      <c r="C32" s="137">
        <v>7.4428000000000003E-3</v>
      </c>
      <c r="D32" s="137">
        <v>4.3866E-4</v>
      </c>
      <c r="E32" s="137">
        <v>4.9706800000000003E-4</v>
      </c>
      <c r="F32" s="138">
        <v>2.5469999999999998E-3</v>
      </c>
      <c r="G32" s="137">
        <v>3.5070600000000002E-3</v>
      </c>
      <c r="H32" s="74"/>
      <c r="J32" s="74">
        <v>391</v>
      </c>
      <c r="K32" s="136">
        <v>8.5169697955315374E-3</v>
      </c>
      <c r="L32" s="136">
        <v>6.064703116480623E-4</v>
      </c>
      <c r="M32" s="136">
        <v>7.2044608398801426E-4</v>
      </c>
      <c r="N32" s="136">
        <v>3.2929684193244691E-3</v>
      </c>
      <c r="O32" s="136">
        <v>4.3858344851076337E-3</v>
      </c>
      <c r="P32" s="74"/>
      <c r="Q32" s="137"/>
      <c r="R32" s="138"/>
      <c r="S32" s="137"/>
      <c r="T32" s="137"/>
    </row>
    <row r="33" spans="2:20" ht="15" customHeight="1" x14ac:dyDescent="0.2">
      <c r="B33" s="74">
        <v>392</v>
      </c>
      <c r="C33" s="137">
        <v>9.0166099999999996E-3</v>
      </c>
      <c r="D33" s="137">
        <v>5.3622999999999995E-4</v>
      </c>
      <c r="E33" s="137">
        <v>6.04713E-4</v>
      </c>
      <c r="F33" s="138">
        <v>2.9390000000000002E-3</v>
      </c>
      <c r="G33" s="137">
        <v>3.9907800000000002E-3</v>
      </c>
      <c r="H33" s="74"/>
      <c r="J33" s="74">
        <v>392</v>
      </c>
      <c r="K33" s="136">
        <v>1.0291596102184997E-2</v>
      </c>
      <c r="L33" s="136">
        <v>7.394746821086435E-4</v>
      </c>
      <c r="M33" s="136">
        <v>8.742299389516956E-4</v>
      </c>
      <c r="N33" s="136">
        <v>3.7900845393322828E-3</v>
      </c>
      <c r="O33" s="136">
        <v>4.9780301135371862E-3</v>
      </c>
      <c r="P33" s="74"/>
      <c r="Q33" s="137"/>
      <c r="R33" s="138"/>
      <c r="S33" s="137"/>
      <c r="T33" s="137"/>
    </row>
    <row r="34" spans="2:20" ht="15" customHeight="1" x14ac:dyDescent="0.2">
      <c r="B34" s="74">
        <v>393</v>
      </c>
      <c r="C34" s="137">
        <v>1.0917E-2</v>
      </c>
      <c r="D34" s="137">
        <v>6.5406100000000005E-4</v>
      </c>
      <c r="E34" s="137">
        <v>7.3364000000000003E-4</v>
      </c>
      <c r="F34" s="138">
        <v>3.3939999999999999E-3</v>
      </c>
      <c r="G34" s="137">
        <v>4.5467900000000002E-3</v>
      </c>
      <c r="H34" s="74"/>
      <c r="J34" s="74">
        <v>393</v>
      </c>
      <c r="K34" s="136">
        <v>1.2429002501933578E-2</v>
      </c>
      <c r="L34" s="136">
        <v>8.9967151984708302E-4</v>
      </c>
      <c r="M34" s="136">
        <v>1.0579201498005374E-3</v>
      </c>
      <c r="N34" s="136">
        <v>4.3657078104542635E-3</v>
      </c>
      <c r="O34" s="136">
        <v>5.6571558738391101E-3</v>
      </c>
      <c r="P34" s="74"/>
      <c r="Q34" s="137"/>
      <c r="R34" s="138"/>
      <c r="S34" s="137"/>
      <c r="T34" s="137"/>
    </row>
    <row r="35" spans="2:20" ht="15" customHeight="1" x14ac:dyDescent="0.2">
      <c r="B35" s="74">
        <v>394</v>
      </c>
      <c r="C35" s="137">
        <v>1.32053E-2</v>
      </c>
      <c r="D35" s="137">
        <v>7.9564900000000005E-4</v>
      </c>
      <c r="E35" s="137">
        <v>8.8724699999999997E-4</v>
      </c>
      <c r="F35" s="138">
        <v>3.921E-3</v>
      </c>
      <c r="G35" s="137">
        <v>5.1762500000000003E-3</v>
      </c>
      <c r="H35" s="74"/>
      <c r="J35" s="74">
        <v>394</v>
      </c>
      <c r="K35" s="136">
        <v>1.4996073684813725E-2</v>
      </c>
      <c r="L35" s="136">
        <v>1.0916503752663883E-3</v>
      </c>
      <c r="M35" s="136">
        <v>1.2761765348956761E-3</v>
      </c>
      <c r="N35" s="136">
        <v>5.0307877948566511E-3</v>
      </c>
      <c r="O35" s="136">
        <v>6.4239894804460629E-3</v>
      </c>
      <c r="P35" s="74"/>
      <c r="Q35" s="137"/>
      <c r="R35" s="138"/>
      <c r="S35" s="137"/>
      <c r="T35" s="137"/>
    </row>
    <row r="36" spans="2:20" ht="15" customHeight="1" x14ac:dyDescent="0.2">
      <c r="B36" s="74">
        <v>395</v>
      </c>
      <c r="C36" s="137">
        <v>1.59515E-2</v>
      </c>
      <c r="D36" s="137">
        <v>9.6482800000000004E-4</v>
      </c>
      <c r="E36" s="137">
        <v>1.0692099999999999E-3</v>
      </c>
      <c r="F36" s="136">
        <v>4.5300000000000002E-3</v>
      </c>
      <c r="G36" s="137">
        <v>5.8803500000000003E-3</v>
      </c>
      <c r="H36" s="74"/>
      <c r="J36" s="74">
        <v>395</v>
      </c>
      <c r="K36" s="136">
        <v>1.8068826514904809E-2</v>
      </c>
      <c r="L36" s="136">
        <v>1.3204168927469541E-3</v>
      </c>
      <c r="M36" s="136">
        <v>1.5340105750611839E-3</v>
      </c>
      <c r="N36" s="136">
        <v>5.7974429617967827E-3</v>
      </c>
      <c r="O36" s="136">
        <v>7.279337909470095E-3</v>
      </c>
      <c r="P36" s="74"/>
      <c r="Q36" s="137"/>
      <c r="R36" s="136"/>
      <c r="S36" s="137"/>
      <c r="T36" s="137"/>
    </row>
    <row r="37" spans="2:20" ht="15" customHeight="1" x14ac:dyDescent="0.2">
      <c r="B37" s="74">
        <v>396</v>
      </c>
      <c r="C37" s="137">
        <v>1.92347E-2</v>
      </c>
      <c r="D37" s="137">
        <v>1.1657200000000001E-3</v>
      </c>
      <c r="E37" s="137">
        <v>1.2834000000000001E-3</v>
      </c>
      <c r="F37" s="136">
        <v>5.2399999999999999E-3</v>
      </c>
      <c r="G37" s="137">
        <v>6.6933399999999999E-3</v>
      </c>
      <c r="H37" s="74"/>
      <c r="J37" s="74">
        <v>396</v>
      </c>
      <c r="K37" s="136">
        <v>2.173280316876957E-2</v>
      </c>
      <c r="L37" s="136">
        <v>1.5913193021521825E-3</v>
      </c>
      <c r="M37" s="136">
        <v>1.8366621928482311E-3</v>
      </c>
      <c r="N37" s="136">
        <v>6.6891583842436401E-3</v>
      </c>
      <c r="O37" s="136">
        <v>8.2648219090812724E-3</v>
      </c>
      <c r="P37" s="74"/>
      <c r="Q37" s="137"/>
      <c r="R37" s="136"/>
      <c r="S37" s="137"/>
      <c r="T37" s="137"/>
    </row>
    <row r="38" spans="2:20" ht="15" customHeight="1" x14ac:dyDescent="0.2">
      <c r="B38" s="74">
        <v>397</v>
      </c>
      <c r="C38" s="137">
        <v>2.31436E-2</v>
      </c>
      <c r="D38" s="137">
        <v>1.40263E-3</v>
      </c>
      <c r="E38" s="137">
        <v>1.53382E-3</v>
      </c>
      <c r="F38" s="136">
        <v>6.0499999999999998E-3</v>
      </c>
      <c r="G38" s="137">
        <v>7.6510199999999997E-3</v>
      </c>
      <c r="H38" s="74"/>
      <c r="J38" s="74">
        <v>397</v>
      </c>
      <c r="K38" s="136">
        <v>2.6083503413407125E-2</v>
      </c>
      <c r="L38" s="136">
        <v>1.9099011301519611E-3</v>
      </c>
      <c r="M38" s="136">
        <v>2.1895069438021635E-3</v>
      </c>
      <c r="N38" s="136">
        <v>7.7037156810481821E-3</v>
      </c>
      <c r="O38" s="136">
        <v>9.4235519674082443E-3</v>
      </c>
      <c r="P38" s="74"/>
      <c r="Q38" s="137"/>
      <c r="R38" s="136"/>
      <c r="S38" s="137"/>
      <c r="T38" s="137"/>
    </row>
    <row r="39" spans="2:20" ht="15" customHeight="1" x14ac:dyDescent="0.2">
      <c r="B39" s="74">
        <v>398</v>
      </c>
      <c r="C39" s="137">
        <v>2.7775000000000001E-2</v>
      </c>
      <c r="D39" s="137">
        <v>1.6799199999999999E-3</v>
      </c>
      <c r="E39" s="137">
        <v>1.8244299999999999E-3</v>
      </c>
      <c r="F39" s="136">
        <v>6.9800000000000001E-3</v>
      </c>
      <c r="G39" s="137">
        <v>8.7569399999999995E-3</v>
      </c>
      <c r="H39" s="74"/>
      <c r="J39" s="74">
        <v>398</v>
      </c>
      <c r="K39" s="136">
        <v>3.122457321531253E-2</v>
      </c>
      <c r="L39" s="136">
        <v>2.2817276090251032E-3</v>
      </c>
      <c r="M39" s="136">
        <v>2.5978051301020588E-3</v>
      </c>
      <c r="N39" s="136">
        <v>8.8655917501247461E-3</v>
      </c>
      <c r="O39" s="136">
        <v>1.0758583661467713E-2</v>
      </c>
      <c r="P39" s="74"/>
      <c r="Q39" s="137"/>
      <c r="R39" s="136"/>
      <c r="S39" s="137"/>
      <c r="T39" s="137"/>
    </row>
    <row r="40" spans="2:20" ht="15" customHeight="1" x14ac:dyDescent="0.2">
      <c r="B40" s="74">
        <v>399</v>
      </c>
      <c r="C40" s="137">
        <v>3.3233899999999997E-2</v>
      </c>
      <c r="D40" s="137">
        <v>2.0018000000000002E-3</v>
      </c>
      <c r="E40" s="137">
        <v>2.1589600000000001E-3</v>
      </c>
      <c r="F40" s="136">
        <v>8.0599999999999995E-3</v>
      </c>
      <c r="G40" s="137">
        <v>1.00146E-2</v>
      </c>
      <c r="H40" s="74"/>
      <c r="J40" s="74">
        <v>399</v>
      </c>
      <c r="K40" s="136">
        <v>3.726781479572823E-2</v>
      </c>
      <c r="L40" s="136">
        <v>2.7121022448185084E-3</v>
      </c>
      <c r="M40" s="136">
        <v>3.0664376429564645E-3</v>
      </c>
      <c r="N40" s="136">
        <v>1.0211687694662935E-2</v>
      </c>
      <c r="O40" s="136">
        <v>1.2272880660983445E-2</v>
      </c>
      <c r="P40" s="74"/>
      <c r="Q40" s="137"/>
      <c r="R40" s="136"/>
      <c r="S40" s="137"/>
      <c r="T40" s="137"/>
    </row>
    <row r="41" spans="2:20" ht="15" customHeight="1" x14ac:dyDescent="0.2">
      <c r="B41" s="74">
        <v>400</v>
      </c>
      <c r="C41" s="137">
        <v>3.9630800000000001E-2</v>
      </c>
      <c r="D41" s="137">
        <v>2.3720799999999999E-3</v>
      </c>
      <c r="E41" s="137">
        <v>2.5407300000000002E-3</v>
      </c>
      <c r="F41" s="136">
        <v>9.2899999999999996E-3</v>
      </c>
      <c r="G41" s="137">
        <v>1.1427700000000001E-2</v>
      </c>
      <c r="H41" s="74"/>
      <c r="J41" s="74">
        <v>400</v>
      </c>
      <c r="K41" s="136">
        <v>4.4330064522070237E-2</v>
      </c>
      <c r="L41" s="136">
        <v>3.2057349306408548E-3</v>
      </c>
      <c r="M41" s="136">
        <v>3.5996556848238537E-3</v>
      </c>
      <c r="N41" s="136">
        <v>1.174062186559679E-2</v>
      </c>
      <c r="O41" s="136">
        <v>1.3969621486000111E-2</v>
      </c>
      <c r="P41" s="74"/>
      <c r="Q41" s="137"/>
      <c r="R41" s="136"/>
      <c r="S41" s="137"/>
      <c r="T41" s="137"/>
    </row>
    <row r="42" spans="2:20" ht="15" customHeight="1" x14ac:dyDescent="0.2">
      <c r="B42" s="74">
        <v>401</v>
      </c>
      <c r="C42" s="137">
        <v>4.70801E-2</v>
      </c>
      <c r="D42" s="137">
        <v>2.7943299999999998E-3</v>
      </c>
      <c r="E42" s="137">
        <v>2.9728200000000001E-3</v>
      </c>
      <c r="F42" s="138">
        <v>1.0699999999999999E-2</v>
      </c>
      <c r="G42" s="137">
        <v>1.30767E-2</v>
      </c>
      <c r="H42" s="74"/>
      <c r="J42" s="74">
        <v>401</v>
      </c>
      <c r="K42" s="136">
        <v>5.2531344879459832E-2</v>
      </c>
      <c r="L42" s="136">
        <v>3.7669650402414843E-3</v>
      </c>
      <c r="M42" s="136">
        <v>4.2013288728790831E-3</v>
      </c>
      <c r="N42" s="136">
        <v>1.3488845589136485E-2</v>
      </c>
      <c r="O42" s="136">
        <v>1.5945553067895787E-2</v>
      </c>
      <c r="P42" s="74"/>
      <c r="Q42" s="137"/>
      <c r="R42" s="138"/>
      <c r="S42" s="137"/>
      <c r="T42" s="137"/>
    </row>
    <row r="43" spans="2:20" ht="15" customHeight="1" x14ac:dyDescent="0.2">
      <c r="B43" s="74">
        <v>402</v>
      </c>
      <c r="C43" s="137">
        <v>5.5701199999999999E-2</v>
      </c>
      <c r="D43" s="137">
        <v>3.2737399999999998E-3</v>
      </c>
      <c r="E43" s="137">
        <v>3.4599299999999999E-3</v>
      </c>
      <c r="F43" s="138">
        <v>1.231E-2</v>
      </c>
      <c r="G43" s="137">
        <v>1.50397E-2</v>
      </c>
      <c r="H43" s="74"/>
      <c r="J43" s="74">
        <v>402</v>
      </c>
      <c r="K43" s="136">
        <v>6.1996049154510527E-2</v>
      </c>
      <c r="L43" s="136">
        <v>4.4022672176855567E-3</v>
      </c>
      <c r="M43" s="136">
        <v>4.8775720855690112E-3</v>
      </c>
      <c r="N43" s="136">
        <v>1.5479872453180436E-2</v>
      </c>
      <c r="O43" s="136">
        <v>1.8293589088170102E-2</v>
      </c>
      <c r="P43" s="74"/>
      <c r="Q43" s="137"/>
      <c r="R43" s="138"/>
      <c r="S43" s="137"/>
      <c r="T43" s="137"/>
    </row>
    <row r="44" spans="2:20" ht="15" customHeight="1" x14ac:dyDescent="0.2">
      <c r="B44" s="74">
        <v>403</v>
      </c>
      <c r="C44" s="137">
        <v>6.5613699999999997E-2</v>
      </c>
      <c r="D44" s="137">
        <v>3.8165999999999999E-3</v>
      </c>
      <c r="E44" s="137">
        <v>4.0079299999999998E-3</v>
      </c>
      <c r="F44" s="138">
        <v>1.413E-2</v>
      </c>
      <c r="G44" s="137">
        <v>1.7316600000000001E-2</v>
      </c>
      <c r="H44" s="74"/>
      <c r="J44" s="74">
        <v>403</v>
      </c>
      <c r="K44" s="136">
        <v>7.2847558010856073E-2</v>
      </c>
      <c r="L44" s="136">
        <v>5.1195273653242505E-3</v>
      </c>
      <c r="M44" s="136">
        <v>5.6360848007687304E-3</v>
      </c>
      <c r="N44" s="136">
        <v>1.7724438825160345E-2</v>
      </c>
      <c r="O44" s="136">
        <v>2.1010838205089154E-2</v>
      </c>
      <c r="P44" s="74"/>
      <c r="Q44" s="137"/>
      <c r="R44" s="138"/>
      <c r="S44" s="137"/>
      <c r="T44" s="137"/>
    </row>
    <row r="45" spans="2:20" ht="15" customHeight="1" x14ac:dyDescent="0.2">
      <c r="B45" s="74">
        <v>404</v>
      </c>
      <c r="C45" s="137">
        <v>7.6932299999999995E-2</v>
      </c>
      <c r="D45" s="137">
        <v>4.4302100000000004E-3</v>
      </c>
      <c r="E45" s="137">
        <v>4.6236999999999997E-3</v>
      </c>
      <c r="F45" s="138">
        <v>1.619E-2</v>
      </c>
      <c r="G45" s="137">
        <v>1.99071E-2</v>
      </c>
      <c r="H45" s="74"/>
      <c r="J45" s="74">
        <v>404</v>
      </c>
      <c r="K45" s="136">
        <v>8.5202603766209237E-2</v>
      </c>
      <c r="L45" s="136">
        <v>5.9279047519620268E-3</v>
      </c>
      <c r="M45" s="136">
        <v>6.4859070439917807E-3</v>
      </c>
      <c r="N45" s="136">
        <v>2.0258200343605069E-2</v>
      </c>
      <c r="O45" s="136">
        <v>2.4094195637710317E-2</v>
      </c>
      <c r="P45" s="74"/>
      <c r="Q45" s="137"/>
      <c r="R45" s="138"/>
      <c r="S45" s="137"/>
      <c r="T45" s="137"/>
    </row>
    <row r="46" spans="2:20" ht="15" customHeight="1" x14ac:dyDescent="0.2">
      <c r="B46" s="74">
        <v>405</v>
      </c>
      <c r="C46" s="137">
        <v>8.9761199999999999E-2</v>
      </c>
      <c r="D46" s="137">
        <v>5.1231599999999999E-3</v>
      </c>
      <c r="E46" s="137">
        <v>5.3154600000000002E-3</v>
      </c>
      <c r="F46" s="138">
        <v>1.8519999999999998E-2</v>
      </c>
      <c r="G46" s="137">
        <v>2.28112E-2</v>
      </c>
      <c r="H46" s="74"/>
      <c r="J46" s="74">
        <v>405</v>
      </c>
      <c r="K46" s="136">
        <v>9.9165165778367689E-2</v>
      </c>
      <c r="L46" s="136">
        <v>6.838190025136871E-3</v>
      </c>
      <c r="M46" s="136">
        <v>7.4378646037828429E-3</v>
      </c>
      <c r="N46" s="136">
        <v>2.3116460492588878E-2</v>
      </c>
      <c r="O46" s="136">
        <v>2.7540949472583953E-2</v>
      </c>
      <c r="P46" s="74"/>
      <c r="Q46" s="137"/>
      <c r="R46" s="138"/>
      <c r="S46" s="137"/>
      <c r="T46" s="137"/>
    </row>
    <row r="47" spans="2:20" ht="15" customHeight="1" x14ac:dyDescent="0.2">
      <c r="B47" s="74">
        <v>406</v>
      </c>
      <c r="C47" s="137">
        <v>0.104188</v>
      </c>
      <c r="D47" s="137">
        <v>5.9045800000000004E-3</v>
      </c>
      <c r="E47" s="137">
        <v>6.0913800000000004E-3</v>
      </c>
      <c r="F47" s="138">
        <v>2.1129999999999999E-2</v>
      </c>
      <c r="G47" s="137">
        <v>2.63194E-2</v>
      </c>
      <c r="H47" s="74"/>
      <c r="J47" s="74">
        <v>406</v>
      </c>
      <c r="K47" s="136">
        <v>0.11481990502449566</v>
      </c>
      <c r="L47" s="136">
        <v>7.8617865157952372E-3</v>
      </c>
      <c r="M47" s="136">
        <v>8.5026068185485894E-3</v>
      </c>
      <c r="N47" s="136">
        <v>2.6309272645522772E-2</v>
      </c>
      <c r="O47" s="136">
        <v>3.1698283868164888E-2</v>
      </c>
      <c r="P47" s="74"/>
      <c r="Q47" s="137"/>
      <c r="R47" s="138"/>
      <c r="S47" s="137"/>
      <c r="T47" s="137"/>
    </row>
    <row r="48" spans="2:20" ht="15" customHeight="1" x14ac:dyDescent="0.2">
      <c r="B48" s="74">
        <v>407</v>
      </c>
      <c r="C48" s="137">
        <v>0.120273</v>
      </c>
      <c r="D48" s="137">
        <v>6.7800500000000001E-3</v>
      </c>
      <c r="E48" s="137">
        <v>6.9529099999999996E-3</v>
      </c>
      <c r="F48" s="138">
        <v>2.4049999999999998E-2</v>
      </c>
      <c r="G48" s="137">
        <v>3.0596399999999999E-2</v>
      </c>
      <c r="H48" s="74"/>
      <c r="J48" s="74">
        <v>407</v>
      </c>
      <c r="K48" s="136">
        <v>0.1322206385146934</v>
      </c>
      <c r="L48" s="136">
        <v>9.0052703686678403E-3</v>
      </c>
      <c r="M48" s="136">
        <v>9.6813213504237071E-3</v>
      </c>
      <c r="N48" s="136">
        <v>2.9871432479255947E-2</v>
      </c>
      <c r="O48" s="136">
        <v>3.6758833424190812E-2</v>
      </c>
      <c r="P48" s="74"/>
      <c r="Q48" s="137"/>
      <c r="R48" s="138"/>
      <c r="S48" s="137"/>
      <c r="T48" s="137"/>
    </row>
    <row r="49" spans="2:20" ht="15" customHeight="1" x14ac:dyDescent="0.2">
      <c r="B49" s="74">
        <v>408</v>
      </c>
      <c r="C49" s="137">
        <v>0.138044</v>
      </c>
      <c r="D49" s="137">
        <v>7.7526000000000001E-3</v>
      </c>
      <c r="E49" s="137">
        <v>7.89634E-3</v>
      </c>
      <c r="F49" s="138">
        <v>2.7300000000000001E-2</v>
      </c>
      <c r="G49" s="137">
        <v>3.5453800000000001E-2</v>
      </c>
      <c r="H49" s="74"/>
      <c r="J49" s="74">
        <v>408</v>
      </c>
      <c r="K49" s="136">
        <v>0.1513850147371183</v>
      </c>
      <c r="L49" s="136">
        <v>1.0271774644742288E-2</v>
      </c>
      <c r="M49" s="136">
        <v>1.0968016977327725E-2</v>
      </c>
      <c r="N49" s="136">
        <v>3.3825004425039822E-2</v>
      </c>
      <c r="O49" s="136">
        <v>4.2490165900670208E-2</v>
      </c>
      <c r="P49" s="74"/>
      <c r="Q49" s="137"/>
      <c r="R49" s="138"/>
      <c r="S49" s="137"/>
      <c r="T49" s="137"/>
    </row>
    <row r="50" spans="2:20" ht="15" customHeight="1" x14ac:dyDescent="0.2">
      <c r="B50" s="74">
        <v>409</v>
      </c>
      <c r="C50" s="137">
        <v>0.15748500000000001</v>
      </c>
      <c r="D50" s="137">
        <v>8.8228600000000001E-3</v>
      </c>
      <c r="E50" s="137">
        <v>8.9130000000000008E-3</v>
      </c>
      <c r="F50" s="138">
        <v>3.0890000000000001E-2</v>
      </c>
      <c r="G50" s="137">
        <v>4.0702799999999997E-2</v>
      </c>
      <c r="H50" s="74"/>
      <c r="J50" s="74">
        <v>409</v>
      </c>
      <c r="K50" s="136">
        <v>0.17228259404618151</v>
      </c>
      <c r="L50" s="136">
        <v>1.1661229668696765E-2</v>
      </c>
      <c r="M50" s="136">
        <v>1.2349888475186229E-2</v>
      </c>
      <c r="N50" s="136">
        <v>3.8179477307227309E-2</v>
      </c>
      <c r="O50" s="136">
        <v>4.8661644019336391E-2</v>
      </c>
      <c r="P50" s="74"/>
      <c r="Q50" s="137"/>
      <c r="R50" s="138"/>
      <c r="S50" s="137"/>
      <c r="T50" s="137"/>
    </row>
    <row r="51" spans="2:20" ht="15" customHeight="1" x14ac:dyDescent="0.2">
      <c r="B51" s="74">
        <v>410</v>
      </c>
      <c r="C51" s="137">
        <v>0.17852999999999999</v>
      </c>
      <c r="D51" s="137">
        <v>9.9884099999999996E-3</v>
      </c>
      <c r="E51" s="137">
        <v>9.98835E-3</v>
      </c>
      <c r="F51" s="138">
        <v>3.4840000000000003E-2</v>
      </c>
      <c r="G51" s="137">
        <v>4.6155000000000002E-2</v>
      </c>
      <c r="H51" s="74"/>
      <c r="J51" s="74">
        <v>410</v>
      </c>
      <c r="K51" s="136">
        <v>0.19482866908209601</v>
      </c>
      <c r="L51" s="136">
        <v>1.3169545072951278E-2</v>
      </c>
      <c r="M51" s="136">
        <v>1.3806141891238799E-2</v>
      </c>
      <c r="N51" s="136">
        <v>4.2956577048217821E-2</v>
      </c>
      <c r="O51" s="136">
        <v>5.5045357669550911E-2</v>
      </c>
      <c r="P51" s="74"/>
      <c r="Q51" s="137"/>
      <c r="R51" s="138"/>
      <c r="S51" s="137"/>
      <c r="T51" s="137"/>
    </row>
    <row r="52" spans="2:20" ht="15" customHeight="1" x14ac:dyDescent="0.2">
      <c r="B52" s="74">
        <v>411</v>
      </c>
      <c r="C52" s="137">
        <v>0.20107700000000001</v>
      </c>
      <c r="D52" s="137">
        <v>1.12452E-2</v>
      </c>
      <c r="E52" s="137">
        <v>1.11054E-2</v>
      </c>
      <c r="F52" s="138">
        <v>3.916E-2</v>
      </c>
      <c r="G52" s="137">
        <v>5.17822E-2</v>
      </c>
      <c r="H52" s="74"/>
      <c r="J52" s="74">
        <v>411</v>
      </c>
      <c r="K52" s="136">
        <v>0.21890016590120284</v>
      </c>
      <c r="L52" s="136">
        <v>1.4790526401190026E-2</v>
      </c>
      <c r="M52" s="136">
        <v>1.5312807436521206E-2</v>
      </c>
      <c r="N52" s="136">
        <v>4.8165518453169721E-2</v>
      </c>
      <c r="O52" s="136">
        <v>6.1606207643484699E-2</v>
      </c>
      <c r="P52" s="74"/>
      <c r="Q52" s="137"/>
      <c r="R52" s="138"/>
      <c r="S52" s="137"/>
      <c r="T52" s="137"/>
    </row>
    <row r="53" spans="2:20" ht="15" customHeight="1" x14ac:dyDescent="0.2">
      <c r="B53" s="74">
        <v>412</v>
      </c>
      <c r="C53" s="137">
        <v>0.22509100000000001</v>
      </c>
      <c r="D53" s="137">
        <v>1.2594899999999999E-2</v>
      </c>
      <c r="E53" s="137">
        <v>1.2260699999999999E-2</v>
      </c>
      <c r="F53" s="136">
        <v>4.3900000000000002E-2</v>
      </c>
      <c r="G53" s="137">
        <v>5.7780400000000003E-2</v>
      </c>
      <c r="H53" s="74"/>
      <c r="J53" s="74">
        <v>412</v>
      </c>
      <c r="K53" s="136">
        <v>0.24444796719687062</v>
      </c>
      <c r="L53" s="136">
        <v>1.652554444779139E-2</v>
      </c>
      <c r="M53" s="136">
        <v>1.6864772506869467E-2</v>
      </c>
      <c r="N53" s="136">
        <v>5.3864506139778556E-2</v>
      </c>
      <c r="O53" s="136">
        <v>6.8575522829826527E-2</v>
      </c>
      <c r="P53" s="74"/>
      <c r="Q53" s="137"/>
      <c r="R53" s="136"/>
      <c r="S53" s="137"/>
      <c r="T53" s="137"/>
    </row>
    <row r="54" spans="2:20" ht="15" customHeight="1" x14ac:dyDescent="0.2">
      <c r="B54" s="74">
        <v>413</v>
      </c>
      <c r="C54" s="137">
        <v>0.25056600000000001</v>
      </c>
      <c r="D54" s="137">
        <v>1.4042499999999999E-2</v>
      </c>
      <c r="E54" s="137">
        <v>1.3457800000000001E-2</v>
      </c>
      <c r="F54" s="136">
        <v>4.9000000000000002E-2</v>
      </c>
      <c r="G54" s="137">
        <v>6.4297199999999999E-2</v>
      </c>
      <c r="H54" s="74"/>
      <c r="J54" s="74">
        <v>413</v>
      </c>
      <c r="K54" s="136">
        <v>0.27145484900784483</v>
      </c>
      <c r="L54" s="136">
        <v>1.8380302296181254E-2</v>
      </c>
      <c r="M54" s="136">
        <v>1.8466579303630749E-2</v>
      </c>
      <c r="N54" s="136">
        <v>5.9976539788858099E-2</v>
      </c>
      <c r="O54" s="136">
        <v>7.6125088148958339E-2</v>
      </c>
      <c r="P54" s="74"/>
      <c r="Q54" s="137"/>
      <c r="R54" s="136"/>
      <c r="S54" s="137"/>
      <c r="T54" s="137"/>
    </row>
    <row r="55" spans="2:20" ht="15" customHeight="1" x14ac:dyDescent="0.2">
      <c r="B55" s="74">
        <v>414</v>
      </c>
      <c r="C55" s="137">
        <v>0.277507</v>
      </c>
      <c r="D55" s="137">
        <v>1.55944E-2</v>
      </c>
      <c r="E55" s="137">
        <v>1.4704399999999999E-2</v>
      </c>
      <c r="F55" s="136">
        <v>5.45E-2</v>
      </c>
      <c r="G55" s="137">
        <v>7.1480100000000005E-2</v>
      </c>
      <c r="H55" s="74"/>
      <c r="J55" s="74">
        <v>414</v>
      </c>
      <c r="K55" s="136">
        <v>0.29991564203604448</v>
      </c>
      <c r="L55" s="136">
        <v>2.0362289026099337E-2</v>
      </c>
      <c r="M55" s="136">
        <v>2.0128406951216048E-2</v>
      </c>
      <c r="N55" s="136">
        <v>6.6547468492433828E-2</v>
      </c>
      <c r="O55" s="136">
        <v>8.4424910653906643E-2</v>
      </c>
      <c r="P55" s="74"/>
      <c r="Q55" s="137"/>
      <c r="R55" s="136"/>
      <c r="S55" s="137"/>
      <c r="T55" s="137"/>
    </row>
    <row r="56" spans="2:20" ht="15" customHeight="1" x14ac:dyDescent="0.2">
      <c r="B56" s="74">
        <v>415</v>
      </c>
      <c r="C56" s="137">
        <v>0.30594100000000002</v>
      </c>
      <c r="D56" s="137">
        <v>1.72596E-2</v>
      </c>
      <c r="E56" s="137">
        <v>1.6012999999999999E-2</v>
      </c>
      <c r="F56" s="136">
        <v>6.0400000000000002E-2</v>
      </c>
      <c r="G56" s="137">
        <v>7.9476599999999994E-2</v>
      </c>
      <c r="H56" s="74"/>
      <c r="J56" s="74">
        <v>415</v>
      </c>
      <c r="K56" s="136">
        <v>0.32984894601136422</v>
      </c>
      <c r="L56" s="136">
        <v>2.2482308286353291E-2</v>
      </c>
      <c r="M56" s="136">
        <v>2.1866891203627364E-2</v>
      </c>
      <c r="N56" s="136">
        <v>7.3573974936858771E-2</v>
      </c>
      <c r="O56" s="136">
        <v>9.3643358775500063E-2</v>
      </c>
      <c r="P56" s="74"/>
      <c r="Q56" s="137"/>
      <c r="R56" s="136"/>
      <c r="S56" s="137"/>
      <c r="T56" s="137"/>
    </row>
    <row r="57" spans="2:20" ht="15" customHeight="1" x14ac:dyDescent="0.2">
      <c r="B57" s="74">
        <v>416</v>
      </c>
      <c r="C57" s="137">
        <v>0.33585799999999999</v>
      </c>
      <c r="D57" s="137">
        <v>1.90467E-2</v>
      </c>
      <c r="E57" s="137">
        <v>1.7395799999999999E-2</v>
      </c>
      <c r="F57" s="136">
        <v>6.6799999999999998E-2</v>
      </c>
      <c r="G57" s="137">
        <v>8.9180700000000002E-2</v>
      </c>
      <c r="H57" s="74"/>
      <c r="J57" s="74">
        <v>416</v>
      </c>
      <c r="K57" s="136">
        <v>0.3612333863253373</v>
      </c>
      <c r="L57" s="136">
        <v>2.4750540058091328E-2</v>
      </c>
      <c r="M57" s="136">
        <v>2.3698099169128399E-2</v>
      </c>
      <c r="N57" s="136">
        <v>8.1174292107090498E-2</v>
      </c>
      <c r="O57" s="136">
        <v>0.10482463182043245</v>
      </c>
      <c r="P57" s="74"/>
      <c r="Q57" s="137"/>
      <c r="R57" s="136"/>
      <c r="S57" s="137"/>
      <c r="T57" s="137"/>
    </row>
    <row r="58" spans="2:20" ht="15" customHeight="1" x14ac:dyDescent="0.2">
      <c r="B58" s="74">
        <v>417</v>
      </c>
      <c r="C58" s="137">
        <v>0.366981</v>
      </c>
      <c r="D58" s="137">
        <v>2.0954500000000001E-2</v>
      </c>
      <c r="E58" s="137">
        <v>1.8845199999999999E-2</v>
      </c>
      <c r="F58" s="136">
        <v>7.3599999999999999E-2</v>
      </c>
      <c r="G58" s="137">
        <v>0.100756</v>
      </c>
      <c r="H58" s="74"/>
      <c r="J58" s="74">
        <v>417</v>
      </c>
      <c r="K58" s="136">
        <v>0.39376130917078922</v>
      </c>
      <c r="L58" s="136">
        <v>2.7164362444460324E-2</v>
      </c>
      <c r="M58" s="136">
        <v>2.5611035205942285E-2</v>
      </c>
      <c r="N58" s="136">
        <v>8.9223064878087496E-2</v>
      </c>
      <c r="O58" s="136">
        <v>0.1181464460418583</v>
      </c>
      <c r="P58" s="74"/>
      <c r="Q58" s="137"/>
      <c r="R58" s="136"/>
      <c r="S58" s="137"/>
      <c r="T58" s="137"/>
    </row>
    <row r="59" spans="2:20" ht="15" customHeight="1" x14ac:dyDescent="0.2">
      <c r="B59" s="74">
        <v>418</v>
      </c>
      <c r="C59" s="137">
        <v>0.39887600000000001</v>
      </c>
      <c r="D59" s="137">
        <v>2.2976300000000002E-2</v>
      </c>
      <c r="E59" s="137">
        <v>2.0344000000000001E-2</v>
      </c>
      <c r="F59" s="136">
        <v>8.0799999999999997E-2</v>
      </c>
      <c r="G59" s="137">
        <v>0.113256</v>
      </c>
      <c r="H59" s="74"/>
      <c r="J59" s="74">
        <v>418</v>
      </c>
      <c r="K59" s="136">
        <v>0.42695995078365873</v>
      </c>
      <c r="L59" s="136">
        <v>2.9714065771716668E-2</v>
      </c>
      <c r="M59" s="136">
        <v>2.7581793497678017E-2</v>
      </c>
      <c r="N59" s="136">
        <v>9.7717074668983023E-2</v>
      </c>
      <c r="O59" s="136">
        <v>0.13248622835635954</v>
      </c>
      <c r="P59" s="74"/>
      <c r="Q59" s="137"/>
      <c r="R59" s="136"/>
      <c r="S59" s="137"/>
      <c r="T59" s="137"/>
    </row>
    <row r="60" spans="2:20" ht="15" customHeight="1" x14ac:dyDescent="0.2">
      <c r="B60" s="74">
        <v>419</v>
      </c>
      <c r="C60" s="137">
        <v>0.43099799999999999</v>
      </c>
      <c r="D60" s="137">
        <v>2.5101700000000001E-2</v>
      </c>
      <c r="E60" s="137">
        <v>2.1870000000000001E-2</v>
      </c>
      <c r="F60" s="136">
        <v>8.8499999999999995E-2</v>
      </c>
      <c r="G60" s="137">
        <v>0.12573200000000001</v>
      </c>
      <c r="H60" s="74"/>
      <c r="J60" s="74">
        <v>419</v>
      </c>
      <c r="K60" s="136">
        <v>0.46024252896919299</v>
      </c>
      <c r="L60" s="136">
        <v>3.2385259460501699E-2</v>
      </c>
      <c r="M60" s="136">
        <v>2.9579933772288857E-2</v>
      </c>
      <c r="N60" s="136">
        <v>0.10677378196642433</v>
      </c>
      <c r="O60" s="136">
        <v>0.14672955496322421</v>
      </c>
      <c r="P60" s="74"/>
      <c r="Q60" s="137"/>
      <c r="R60" s="136"/>
      <c r="S60" s="137"/>
      <c r="T60" s="137"/>
    </row>
    <row r="61" spans="2:20" ht="15" customHeight="1" x14ac:dyDescent="0.2">
      <c r="B61" s="74">
        <v>420</v>
      </c>
      <c r="C61" s="137">
        <v>0.46269199999999999</v>
      </c>
      <c r="D61" s="137">
        <v>2.7316300000000002E-2</v>
      </c>
      <c r="E61" s="137">
        <v>2.3395699999999998E-2</v>
      </c>
      <c r="F61" s="136">
        <v>9.6600000000000005E-2</v>
      </c>
      <c r="G61" s="137">
        <v>0.137237</v>
      </c>
      <c r="H61" s="74"/>
      <c r="J61" s="74">
        <v>420</v>
      </c>
      <c r="K61" s="136">
        <v>0.49291066577476106</v>
      </c>
      <c r="L61" s="136">
        <v>3.5158541623853047E-2</v>
      </c>
      <c r="M61" s="136">
        <v>3.1568154298898879E-2</v>
      </c>
      <c r="N61" s="136">
        <v>0.11626880641925777</v>
      </c>
      <c r="O61" s="136">
        <v>0.15977459480237011</v>
      </c>
      <c r="P61" s="74"/>
      <c r="Q61" s="137"/>
      <c r="R61" s="136"/>
      <c r="S61" s="137"/>
      <c r="T61" s="137"/>
    </row>
    <row r="62" spans="2:20" ht="15" customHeight="1" x14ac:dyDescent="0.2">
      <c r="B62" s="74">
        <v>421</v>
      </c>
      <c r="C62" s="137">
        <v>0.49335699999999999</v>
      </c>
      <c r="D62" s="137">
        <v>2.9606199999999999E-2</v>
      </c>
      <c r="E62" s="137">
        <v>2.4896100000000001E-2</v>
      </c>
      <c r="F62" s="138">
        <v>0.1052</v>
      </c>
      <c r="G62" s="137">
        <v>0.14744599999999999</v>
      </c>
      <c r="H62" s="74"/>
      <c r="J62" s="74">
        <v>421</v>
      </c>
      <c r="K62" s="136">
        <v>0.52433000879387537</v>
      </c>
      <c r="L62" s="136">
        <v>3.8015336732258952E-2</v>
      </c>
      <c r="M62" s="136">
        <v>3.3512873030756084E-2</v>
      </c>
      <c r="N62" s="136">
        <v>0.12631909981726652</v>
      </c>
      <c r="O62" s="136">
        <v>0.17125241271586869</v>
      </c>
      <c r="P62" s="74"/>
      <c r="Q62" s="137"/>
      <c r="R62" s="138"/>
      <c r="S62" s="137"/>
      <c r="T62" s="137"/>
    </row>
    <row r="63" spans="2:20" ht="15" customHeight="1" x14ac:dyDescent="0.2">
      <c r="B63" s="74">
        <v>422</v>
      </c>
      <c r="C63" s="137">
        <v>0.52300599999999997</v>
      </c>
      <c r="D63" s="137">
        <v>3.1974599999999999E-2</v>
      </c>
      <c r="E63" s="137">
        <v>2.63761E-2</v>
      </c>
      <c r="F63" s="138">
        <v>0.11409999999999999</v>
      </c>
      <c r="G63" s="137">
        <v>0.15701399999999999</v>
      </c>
      <c r="H63" s="74"/>
      <c r="J63" s="74">
        <v>422</v>
      </c>
      <c r="K63" s="136">
        <v>0.55452321910929503</v>
      </c>
      <c r="L63" s="136">
        <v>4.0959150260538466E-2</v>
      </c>
      <c r="M63" s="136">
        <v>3.5420979527969167E-2</v>
      </c>
      <c r="N63" s="136">
        <v>0.13668113344773658</v>
      </c>
      <c r="O63" s="136">
        <v>0.18193310268367383</v>
      </c>
      <c r="P63" s="74"/>
      <c r="Q63" s="137"/>
      <c r="R63" s="138"/>
      <c r="S63" s="137"/>
      <c r="T63" s="137"/>
    </row>
    <row r="64" spans="2:20" ht="15" customHeight="1" x14ac:dyDescent="0.2">
      <c r="B64" s="74">
        <v>423</v>
      </c>
      <c r="C64" s="137">
        <v>0.55193899999999996</v>
      </c>
      <c r="D64" s="137">
        <v>3.4432999999999998E-2</v>
      </c>
      <c r="E64" s="137">
        <v>2.78541E-2</v>
      </c>
      <c r="F64" s="138">
        <v>0.1235</v>
      </c>
      <c r="G64" s="137">
        <v>0.166463</v>
      </c>
      <c r="H64" s="74"/>
      <c r="J64" s="74">
        <v>423</v>
      </c>
      <c r="K64" s="136">
        <v>0.58381631924237365</v>
      </c>
      <c r="L64" s="136">
        <v>4.4004061618465887E-2</v>
      </c>
      <c r="M64" s="136">
        <v>3.7317384755516624E-2</v>
      </c>
      <c r="N64" s="136">
        <v>0.14759171130412513</v>
      </c>
      <c r="O64" s="136">
        <v>0.19242573286364686</v>
      </c>
      <c r="P64" s="74"/>
      <c r="Q64" s="137"/>
      <c r="R64" s="138"/>
      <c r="S64" s="137"/>
      <c r="T64" s="137"/>
    </row>
    <row r="65" spans="2:20" ht="15" customHeight="1" x14ac:dyDescent="0.2">
      <c r="B65" s="74">
        <v>424</v>
      </c>
      <c r="C65" s="137">
        <v>0.58059899999999998</v>
      </c>
      <c r="D65" s="137">
        <v>3.6998299999999998E-2</v>
      </c>
      <c r="E65" s="137">
        <v>2.9355099999999999E-2</v>
      </c>
      <c r="F65" s="138">
        <v>0.13339999999999999</v>
      </c>
      <c r="G65" s="137">
        <v>0.176316</v>
      </c>
      <c r="H65" s="74"/>
      <c r="J65" s="74">
        <v>424</v>
      </c>
      <c r="K65" s="136">
        <v>0.61268315827373099</v>
      </c>
      <c r="L65" s="136">
        <v>4.7170902109449339E-2</v>
      </c>
      <c r="M65" s="136">
        <v>3.923558613022772E-2</v>
      </c>
      <c r="N65" s="136">
        <v>0.15904695217728657</v>
      </c>
      <c r="O65" s="136">
        <v>0.20333477872828332</v>
      </c>
      <c r="P65" s="74"/>
      <c r="Q65" s="137"/>
      <c r="R65" s="138"/>
      <c r="S65" s="137"/>
      <c r="T65" s="137"/>
    </row>
    <row r="66" spans="2:20" ht="15" customHeight="1" x14ac:dyDescent="0.2">
      <c r="B66" s="74">
        <v>425</v>
      </c>
      <c r="C66" s="137">
        <v>0.60956999999999995</v>
      </c>
      <c r="D66" s="137">
        <v>3.96928E-2</v>
      </c>
      <c r="E66" s="137">
        <v>3.0910400000000001E-2</v>
      </c>
      <c r="F66" s="138">
        <v>0.14360000000000001</v>
      </c>
      <c r="G66" s="137">
        <v>0.18709600000000001</v>
      </c>
      <c r="H66" s="74"/>
      <c r="J66" s="74">
        <v>425</v>
      </c>
      <c r="K66" s="136">
        <v>0.64174156715230635</v>
      </c>
      <c r="L66" s="136">
        <v>5.0487175496488096E-2</v>
      </c>
      <c r="M66" s="136">
        <v>4.1217166471675643E-2</v>
      </c>
      <c r="N66" s="136">
        <v>0.17080512124609121</v>
      </c>
      <c r="O66" s="136">
        <v>0.21525902656916104</v>
      </c>
      <c r="P66" s="74"/>
      <c r="Q66" s="137"/>
      <c r="R66" s="138"/>
      <c r="S66" s="137"/>
      <c r="T66" s="137"/>
    </row>
    <row r="67" spans="2:20" ht="15" customHeight="1" x14ac:dyDescent="0.2">
      <c r="B67" s="74">
        <v>426</v>
      </c>
      <c r="C67" s="137">
        <v>0.63935900000000001</v>
      </c>
      <c r="D67" s="137">
        <v>4.25402E-2</v>
      </c>
      <c r="E67" s="137">
        <v>3.2549799999999997E-2</v>
      </c>
      <c r="F67" s="138">
        <v>0.15409999999999999</v>
      </c>
      <c r="G67" s="137">
        <v>0.19921</v>
      </c>
      <c r="H67" s="74"/>
      <c r="J67" s="74">
        <v>426</v>
      </c>
      <c r="K67" s="136">
        <v>0.67152270202244424</v>
      </c>
      <c r="L67" s="136">
        <v>5.3981903838301738E-2</v>
      </c>
      <c r="M67" s="136">
        <v>4.3301322685504268E-2</v>
      </c>
      <c r="N67" s="136">
        <v>0.18286408521338662</v>
      </c>
      <c r="O67" s="136">
        <v>0.22865849241171982</v>
      </c>
      <c r="P67" s="74"/>
      <c r="Q67" s="137"/>
      <c r="R67" s="138"/>
      <c r="S67" s="137"/>
      <c r="T67" s="137"/>
    </row>
    <row r="68" spans="2:20" ht="15" customHeight="1" x14ac:dyDescent="0.2">
      <c r="B68" s="74">
        <v>427</v>
      </c>
      <c r="C68" s="137">
        <v>0.669651</v>
      </c>
      <c r="D68" s="137">
        <v>4.5547400000000002E-2</v>
      </c>
      <c r="E68" s="137">
        <v>3.42714E-2</v>
      </c>
      <c r="F68" s="138">
        <v>0.1651</v>
      </c>
      <c r="G68" s="137">
        <v>0.21240800000000001</v>
      </c>
      <c r="H68" s="74"/>
      <c r="J68" s="74">
        <v>427</v>
      </c>
      <c r="K68" s="136">
        <v>0.7016914135567035</v>
      </c>
      <c r="L68" s="136">
        <v>5.766256868639414E-2</v>
      </c>
      <c r="M68" s="136">
        <v>4.5484812428651406E-2</v>
      </c>
      <c r="N68" s="136">
        <v>0.19545850666754361</v>
      </c>
      <c r="O68" s="136">
        <v>0.24323652716210689</v>
      </c>
      <c r="P68" s="74"/>
      <c r="Q68" s="137"/>
      <c r="R68" s="138"/>
      <c r="S68" s="137"/>
      <c r="T68" s="137"/>
    </row>
    <row r="69" spans="2:20" ht="15" customHeight="1" x14ac:dyDescent="0.2">
      <c r="B69" s="74">
        <v>428</v>
      </c>
      <c r="C69" s="137">
        <v>0.69982900000000003</v>
      </c>
      <c r="D69" s="137">
        <v>4.8716099999999998E-2</v>
      </c>
      <c r="E69" s="137">
        <v>3.6061999999999997E-2</v>
      </c>
      <c r="F69" s="138">
        <v>0.1764</v>
      </c>
      <c r="G69" s="137">
        <v>0.22622500000000001</v>
      </c>
      <c r="H69" s="74"/>
      <c r="J69" s="74">
        <v>428</v>
      </c>
      <c r="K69" s="136">
        <v>0.73159997440902647</v>
      </c>
      <c r="L69" s="136">
        <v>6.1530013902618905E-2</v>
      </c>
      <c r="M69" s="136">
        <v>4.7749461403273123E-2</v>
      </c>
      <c r="N69" s="136">
        <v>0.20834840971512669</v>
      </c>
      <c r="O69" s="136">
        <v>0.25845362466706573</v>
      </c>
      <c r="P69" s="74"/>
      <c r="Q69" s="137"/>
      <c r="R69" s="138"/>
      <c r="S69" s="137"/>
      <c r="T69" s="137"/>
    </row>
    <row r="70" spans="2:20" ht="15" customHeight="1" x14ac:dyDescent="0.2">
      <c r="B70" s="74">
        <v>429</v>
      </c>
      <c r="C70" s="137">
        <v>0.72917699999999996</v>
      </c>
      <c r="D70" s="137">
        <v>5.2046700000000001E-2</v>
      </c>
      <c r="E70" s="137">
        <v>3.79052E-2</v>
      </c>
      <c r="F70" s="138">
        <v>0.18790000000000001</v>
      </c>
      <c r="G70" s="137">
        <v>0.240199</v>
      </c>
      <c r="H70" s="74"/>
      <c r="J70" s="74">
        <v>429</v>
      </c>
      <c r="K70" s="136">
        <v>0.76050344347346066</v>
      </c>
      <c r="L70" s="136">
        <v>6.5583437365872799E-2</v>
      </c>
      <c r="M70" s="136">
        <v>5.0073037546193952E-2</v>
      </c>
      <c r="N70" s="136">
        <v>0.22141389202572756</v>
      </c>
      <c r="O70" s="136">
        <v>0.27377872853259821</v>
      </c>
      <c r="P70" s="74"/>
      <c r="Q70" s="137"/>
      <c r="R70" s="138"/>
      <c r="S70" s="137"/>
      <c r="T70" s="137"/>
    </row>
    <row r="71" spans="2:20" ht="15" customHeight="1" x14ac:dyDescent="0.2">
      <c r="B71" s="74">
        <v>430</v>
      </c>
      <c r="C71" s="137">
        <v>0.75688500000000003</v>
      </c>
      <c r="D71" s="137">
        <v>5.5538400000000002E-2</v>
      </c>
      <c r="E71" s="137">
        <v>3.9780999999999997E-2</v>
      </c>
      <c r="F71" s="138">
        <v>0.19980000000000001</v>
      </c>
      <c r="G71" s="137">
        <v>0.25386500000000001</v>
      </c>
      <c r="H71" s="74"/>
      <c r="J71" s="74">
        <v>430</v>
      </c>
      <c r="K71" s="136">
        <v>0.78756599895611212</v>
      </c>
      <c r="L71" s="136">
        <v>6.9820535827217894E-2</v>
      </c>
      <c r="M71" s="136">
        <v>5.2428771038236739E-2</v>
      </c>
      <c r="N71" s="136">
        <v>0.2348888526043246</v>
      </c>
      <c r="O71" s="136">
        <v>0.28868231097742053</v>
      </c>
      <c r="P71" s="74"/>
      <c r="Q71" s="137"/>
      <c r="R71" s="138"/>
      <c r="S71" s="137"/>
      <c r="T71" s="137"/>
    </row>
    <row r="72" spans="2:20" ht="15" customHeight="1" x14ac:dyDescent="0.2">
      <c r="B72" s="74">
        <v>431</v>
      </c>
      <c r="C72" s="137">
        <v>0.78229199999999999</v>
      </c>
      <c r="D72" s="137">
        <v>5.91876E-2</v>
      </c>
      <c r="E72" s="137">
        <v>4.1670499999999999E-2</v>
      </c>
      <c r="F72" s="138">
        <v>0.21190000000000001</v>
      </c>
      <c r="G72" s="137">
        <v>0.26702100000000001</v>
      </c>
      <c r="H72" s="74"/>
      <c r="J72" s="74">
        <v>431</v>
      </c>
      <c r="K72" s="136">
        <v>0.81211425623468347</v>
      </c>
      <c r="L72" s="136">
        <v>7.4235515538732713E-2</v>
      </c>
      <c r="M72" s="136">
        <v>5.4791586868849586E-2</v>
      </c>
      <c r="N72" s="136">
        <v>0.24853586280884415</v>
      </c>
      <c r="O72" s="136">
        <v>0.30293813489929011</v>
      </c>
      <c r="P72" s="74"/>
      <c r="Q72" s="137"/>
      <c r="R72" s="138"/>
      <c r="S72" s="137"/>
      <c r="T72" s="137"/>
    </row>
    <row r="73" spans="2:20" ht="15" customHeight="1" x14ac:dyDescent="0.2">
      <c r="B73" s="74">
        <v>432</v>
      </c>
      <c r="C73" s="137">
        <v>0.80566599999999999</v>
      </c>
      <c r="D73" s="137">
        <v>6.2981899999999993E-2</v>
      </c>
      <c r="E73" s="137">
        <v>4.3572800000000002E-2</v>
      </c>
      <c r="F73" s="138">
        <v>0.2243</v>
      </c>
      <c r="G73" s="137">
        <v>0.279976</v>
      </c>
      <c r="H73" s="74"/>
      <c r="J73" s="74">
        <v>432</v>
      </c>
      <c r="K73" s="136">
        <v>0.8344432482937475</v>
      </c>
      <c r="L73" s="136">
        <v>7.881162462672596E-2</v>
      </c>
      <c r="M73" s="136">
        <v>5.7160255205048527E-2</v>
      </c>
      <c r="N73" s="136">
        <v>0.26247074557004346</v>
      </c>
      <c r="O73" s="136">
        <v>0.31690045088334479</v>
      </c>
      <c r="P73" s="74"/>
      <c r="Q73" s="137"/>
      <c r="R73" s="138"/>
      <c r="S73" s="137"/>
      <c r="T73" s="137"/>
    </row>
    <row r="74" spans="2:20" ht="15" customHeight="1" x14ac:dyDescent="0.2">
      <c r="B74" s="74">
        <v>433</v>
      </c>
      <c r="C74" s="137">
        <v>0.82759899999999997</v>
      </c>
      <c r="D74" s="137">
        <v>6.6903099999999993E-2</v>
      </c>
      <c r="E74" s="137">
        <v>4.5493199999999998E-2</v>
      </c>
      <c r="F74" s="138">
        <v>0.2369</v>
      </c>
      <c r="G74" s="137">
        <v>0.29303400000000002</v>
      </c>
      <c r="H74" s="74"/>
      <c r="J74" s="74">
        <v>433</v>
      </c>
      <c r="K74" s="136">
        <v>0.85518008046604577</v>
      </c>
      <c r="L74" s="136">
        <v>8.3525024972249604E-2</v>
      </c>
      <c r="M74" s="136">
        <v>5.9541672158333982E-2</v>
      </c>
      <c r="N74" s="136">
        <v>0.27657475891878869</v>
      </c>
      <c r="O74" s="136">
        <v>0.33091459064053746</v>
      </c>
      <c r="P74" s="74"/>
      <c r="Q74" s="137"/>
      <c r="R74" s="138"/>
      <c r="S74" s="137"/>
      <c r="T74" s="137"/>
    </row>
    <row r="75" spans="2:20" ht="15" customHeight="1" x14ac:dyDescent="0.2">
      <c r="B75" s="74">
        <v>434</v>
      </c>
      <c r="C75" s="137">
        <v>0.84877999999999998</v>
      </c>
      <c r="D75" s="137">
        <v>7.0928500000000005E-2</v>
      </c>
      <c r="E75" s="137">
        <v>4.7438500000000001E-2</v>
      </c>
      <c r="F75" s="138">
        <v>0.24959999999999999</v>
      </c>
      <c r="G75" s="137">
        <v>0.30649999999999999</v>
      </c>
      <c r="H75" s="74"/>
      <c r="J75" s="74">
        <v>434</v>
      </c>
      <c r="K75" s="136">
        <v>0.87504608004328732</v>
      </c>
      <c r="L75" s="136">
        <v>8.8346493092359979E-2</v>
      </c>
      <c r="M75" s="136">
        <v>6.194462896373077E-2</v>
      </c>
      <c r="N75" s="136">
        <v>0.29073025528197494</v>
      </c>
      <c r="O75" s="136">
        <v>0.34532382976936132</v>
      </c>
      <c r="P75" s="74"/>
      <c r="Q75" s="137"/>
      <c r="R75" s="138"/>
      <c r="S75" s="137"/>
      <c r="T75" s="137"/>
    </row>
    <row r="76" spans="2:20" ht="15" customHeight="1" x14ac:dyDescent="0.2">
      <c r="B76" s="74">
        <v>435</v>
      </c>
      <c r="C76" s="137">
        <v>0.86998399999999998</v>
      </c>
      <c r="D76" s="137">
        <v>7.5029899999999997E-2</v>
      </c>
      <c r="E76" s="137">
        <v>4.9417200000000001E-2</v>
      </c>
      <c r="F76" s="138">
        <v>0.26250000000000001</v>
      </c>
      <c r="G76" s="137">
        <v>0.32067899999999999</v>
      </c>
      <c r="H76" s="74"/>
      <c r="J76" s="74">
        <v>435</v>
      </c>
      <c r="K76" s="136">
        <v>0.8948443989324627</v>
      </c>
      <c r="L76" s="136">
        <v>9.3240239333088448E-2</v>
      </c>
      <c r="M76" s="136">
        <v>6.4380050754017551E-2</v>
      </c>
      <c r="N76" s="136">
        <v>0.30505309030539896</v>
      </c>
      <c r="O76" s="136">
        <v>0.36046828731108221</v>
      </c>
      <c r="P76" s="74"/>
      <c r="Q76" s="137"/>
      <c r="R76" s="138"/>
      <c r="S76" s="137"/>
      <c r="T76" s="137"/>
    </row>
    <row r="77" spans="2:20" ht="15" customHeight="1" x14ac:dyDescent="0.2">
      <c r="B77" s="74">
        <v>436</v>
      </c>
      <c r="C77" s="137">
        <v>0.89176100000000003</v>
      </c>
      <c r="D77" s="137">
        <v>7.9176899999999995E-2</v>
      </c>
      <c r="E77" s="137">
        <v>5.1434300000000002E-2</v>
      </c>
      <c r="F77" s="138">
        <v>0.27550000000000002</v>
      </c>
      <c r="G77" s="137">
        <v>0.33601599999999998</v>
      </c>
      <c r="H77" s="74"/>
      <c r="J77" s="74">
        <v>436</v>
      </c>
      <c r="K77" s="136">
        <v>0.91513992194436011</v>
      </c>
      <c r="L77" s="136">
        <v>9.8168074699376565E-2</v>
      </c>
      <c r="M77" s="136">
        <v>6.685421313752149E-2</v>
      </c>
      <c r="N77" s="136">
        <v>0.31942616841349741</v>
      </c>
      <c r="O77" s="136">
        <v>0.37684197196043867</v>
      </c>
      <c r="P77" s="74"/>
      <c r="Q77" s="137"/>
      <c r="R77" s="138"/>
      <c r="S77" s="137"/>
      <c r="T77" s="137"/>
    </row>
    <row r="78" spans="2:20" ht="15" customHeight="1" x14ac:dyDescent="0.2">
      <c r="B78" s="74">
        <v>437</v>
      </c>
      <c r="C78" s="137">
        <v>0.91344400000000003</v>
      </c>
      <c r="D78" s="137">
        <v>8.3346299999999998E-2</v>
      </c>
      <c r="E78" s="137">
        <v>5.34735E-2</v>
      </c>
      <c r="F78" s="138">
        <v>0.28860000000000002</v>
      </c>
      <c r="G78" s="137">
        <v>0.35236099999999998</v>
      </c>
      <c r="H78" s="74"/>
      <c r="J78" s="74">
        <v>437</v>
      </c>
      <c r="K78" s="136">
        <v>0.93524631565130889</v>
      </c>
      <c r="L78" s="136">
        <v>0.10310106629845429</v>
      </c>
      <c r="M78" s="136">
        <v>6.9345711931213319E-2</v>
      </c>
      <c r="N78" s="136">
        <v>0.33384914468806881</v>
      </c>
      <c r="O78" s="136">
        <v>0.39426860502918148</v>
      </c>
      <c r="P78" s="74"/>
      <c r="Q78" s="137"/>
      <c r="R78" s="138"/>
      <c r="S78" s="137"/>
      <c r="T78" s="137"/>
    </row>
    <row r="79" spans="2:20" ht="15" customHeight="1" x14ac:dyDescent="0.2">
      <c r="B79" s="74">
        <v>438</v>
      </c>
      <c r="C79" s="137">
        <v>0.93397699999999995</v>
      </c>
      <c r="D79" s="137">
        <v>8.7515999999999997E-2</v>
      </c>
      <c r="E79" s="137">
        <v>5.5510200000000003E-2</v>
      </c>
      <c r="F79" s="138">
        <v>0.30170000000000002</v>
      </c>
      <c r="G79" s="137">
        <v>0.36912800000000001</v>
      </c>
      <c r="H79" s="74"/>
      <c r="J79" s="74">
        <v>438</v>
      </c>
      <c r="K79" s="136">
        <v>0.95408613908497786</v>
      </c>
      <c r="L79" s="136">
        <v>0.1080119030805575</v>
      </c>
      <c r="M79" s="136">
        <v>7.1822599360338829E-2</v>
      </c>
      <c r="N79" s="136">
        <v>0.34820626262348692</v>
      </c>
      <c r="O79" s="136">
        <v>0.41208677640197167</v>
      </c>
      <c r="P79" s="74"/>
      <c r="Q79" s="137"/>
      <c r="R79" s="138"/>
      <c r="S79" s="137"/>
      <c r="T79" s="137"/>
    </row>
    <row r="80" spans="2:20" ht="15" customHeight="1" x14ac:dyDescent="0.2">
      <c r="B80" s="74">
        <v>439</v>
      </c>
      <c r="C80" s="137">
        <v>0.95221800000000001</v>
      </c>
      <c r="D80" s="137">
        <v>9.1662499999999994E-2</v>
      </c>
      <c r="E80" s="137">
        <v>5.7516600000000001E-2</v>
      </c>
      <c r="F80" s="138">
        <v>0.31490000000000001</v>
      </c>
      <c r="G80" s="137">
        <v>0.38573200000000002</v>
      </c>
      <c r="H80" s="74"/>
      <c r="J80" s="74">
        <v>439</v>
      </c>
      <c r="K80" s="136">
        <v>0.97050411698787742</v>
      </c>
      <c r="L80" s="136">
        <v>0.11287179890519367</v>
      </c>
      <c r="M80" s="136">
        <v>7.4249087815475054E-2</v>
      </c>
      <c r="N80" s="136">
        <v>0.36261312411037211</v>
      </c>
      <c r="O80" s="136">
        <v>0.42964221631540139</v>
      </c>
      <c r="P80" s="74"/>
      <c r="Q80" s="137"/>
      <c r="R80" s="138"/>
      <c r="S80" s="137"/>
      <c r="T80" s="137"/>
    </row>
    <row r="81" spans="2:20" ht="15" customHeight="1" x14ac:dyDescent="0.2">
      <c r="B81" s="74">
        <v>440</v>
      </c>
      <c r="C81" s="137">
        <v>0.96696000000000004</v>
      </c>
      <c r="D81" s="137">
        <v>9.5761200000000005E-2</v>
      </c>
      <c r="E81" s="137">
        <v>5.9461899999999998E-2</v>
      </c>
      <c r="F81" s="138">
        <v>0.3281</v>
      </c>
      <c r="G81" s="137">
        <v>0.40158700000000003</v>
      </c>
      <c r="H81" s="74"/>
      <c r="J81" s="74">
        <v>440</v>
      </c>
      <c r="K81" s="136">
        <v>0.9832893789279834</v>
      </c>
      <c r="L81" s="136">
        <v>0.11765087787936214</v>
      </c>
      <c r="M81" s="136">
        <v>7.6585851083395662E-2</v>
      </c>
      <c r="N81" s="136">
        <v>0.37695449986322604</v>
      </c>
      <c r="O81" s="136">
        <v>0.44628549160837477</v>
      </c>
      <c r="P81" s="74"/>
      <c r="Q81" s="137"/>
      <c r="R81" s="138"/>
      <c r="S81" s="137"/>
      <c r="T81" s="137"/>
    </row>
    <row r="82" spans="2:20" ht="15" customHeight="1" x14ac:dyDescent="0.2">
      <c r="B82" s="74">
        <v>441</v>
      </c>
      <c r="C82" s="137">
        <v>0.97733999999999999</v>
      </c>
      <c r="D82" s="137">
        <v>9.9797700000000003E-2</v>
      </c>
      <c r="E82" s="137">
        <v>6.1323999999999997E-2</v>
      </c>
      <c r="F82" s="138">
        <v>0.3412</v>
      </c>
      <c r="G82" s="137">
        <v>0.41647200000000001</v>
      </c>
      <c r="H82" s="74"/>
      <c r="J82" s="74">
        <v>441</v>
      </c>
      <c r="K82" s="136">
        <v>0.99159105345056242</v>
      </c>
      <c r="L82" s="136">
        <v>0.12233203825501707</v>
      </c>
      <c r="M82" s="136">
        <v>7.8805099684605237E-2</v>
      </c>
      <c r="N82" s="136">
        <v>0.39111620576013756</v>
      </c>
      <c r="O82" s="136">
        <v>0.46177776607192</v>
      </c>
      <c r="P82" s="74"/>
      <c r="Q82" s="137"/>
      <c r="R82" s="138"/>
      <c r="S82" s="137"/>
      <c r="T82" s="137"/>
    </row>
    <row r="83" spans="2:20" ht="15" customHeight="1" x14ac:dyDescent="0.2">
      <c r="B83" s="74">
        <v>442</v>
      </c>
      <c r="C83" s="137">
        <v>0.98402800000000001</v>
      </c>
      <c r="D83" s="137">
        <v>0.10380399999999999</v>
      </c>
      <c r="E83" s="137">
        <v>6.3128799999999999E-2</v>
      </c>
      <c r="F83" s="138">
        <v>0.3543</v>
      </c>
      <c r="G83" s="137">
        <v>0.43079699999999999</v>
      </c>
      <c r="H83" s="74"/>
      <c r="J83" s="74">
        <v>442</v>
      </c>
      <c r="K83" s="136">
        <v>0.99611780378878334</v>
      </c>
      <c r="L83" s="136">
        <v>0.12695508149795842</v>
      </c>
      <c r="M83" s="136">
        <v>8.0940839016751059E-2</v>
      </c>
      <c r="N83" s="136">
        <v>0.40521383153986845</v>
      </c>
      <c r="O83" s="136">
        <v>0.4765804251299357</v>
      </c>
      <c r="P83" s="74"/>
      <c r="Q83" s="137"/>
      <c r="R83" s="138"/>
      <c r="S83" s="137"/>
      <c r="T83" s="137"/>
    </row>
    <row r="84" spans="2:20" ht="15" customHeight="1" x14ac:dyDescent="0.2">
      <c r="B84" s="74">
        <v>443</v>
      </c>
      <c r="C84" s="137">
        <v>0.98814400000000002</v>
      </c>
      <c r="D84" s="137">
        <v>0.107834</v>
      </c>
      <c r="E84" s="137">
        <v>6.4918900000000002E-2</v>
      </c>
      <c r="F84" s="138">
        <v>0.36730000000000002</v>
      </c>
      <c r="G84" s="137">
        <v>0.44492100000000001</v>
      </c>
      <c r="H84" s="74"/>
      <c r="J84" s="74">
        <v>443</v>
      </c>
      <c r="K84" s="136">
        <v>0.99802639484556599</v>
      </c>
      <c r="L84" s="136">
        <v>0.13158617352017027</v>
      </c>
      <c r="M84" s="136">
        <v>8.3048131067612149E-2</v>
      </c>
      <c r="N84" s="136">
        <v>0.41913369906559406</v>
      </c>
      <c r="O84" s="136">
        <v>0.49109439547596867</v>
      </c>
      <c r="P84" s="74"/>
      <c r="Q84" s="137"/>
      <c r="R84" s="138"/>
      <c r="S84" s="137"/>
      <c r="T84" s="137"/>
    </row>
    <row r="85" spans="2:20" ht="15" customHeight="1" x14ac:dyDescent="0.2">
      <c r="B85" s="74">
        <v>444</v>
      </c>
      <c r="C85" s="137">
        <v>0.99085100000000004</v>
      </c>
      <c r="D85" s="137">
        <v>0.11194800000000001</v>
      </c>
      <c r="E85" s="137">
        <v>6.6742499999999996E-2</v>
      </c>
      <c r="F85" s="138">
        <v>0.38030000000000003</v>
      </c>
      <c r="G85" s="137">
        <v>0.45920299999999997</v>
      </c>
      <c r="H85" s="74"/>
      <c r="J85" s="74">
        <v>444</v>
      </c>
      <c r="K85" s="136">
        <v>0.99850650244454098</v>
      </c>
      <c r="L85" s="136">
        <v>0.13629867625789266</v>
      </c>
      <c r="M85" s="136">
        <v>8.5188689490409988E-2</v>
      </c>
      <c r="N85" s="136">
        <v>0.43299086448534796</v>
      </c>
      <c r="O85" s="136">
        <v>0.50571699185137142</v>
      </c>
      <c r="P85" s="74"/>
      <c r="Q85" s="137"/>
      <c r="R85" s="138"/>
      <c r="S85" s="137"/>
      <c r="T85" s="137"/>
    </row>
    <row r="86" spans="2:20" ht="15" customHeight="1" x14ac:dyDescent="0.2">
      <c r="B86" s="74">
        <v>445</v>
      </c>
      <c r="C86" s="137">
        <v>0.993336</v>
      </c>
      <c r="D86" s="137">
        <v>0.11622</v>
      </c>
      <c r="E86" s="137">
        <v>6.8653800000000001E-2</v>
      </c>
      <c r="F86" s="138">
        <v>0.3931</v>
      </c>
      <c r="G86" s="137">
        <v>0.47400199999999998</v>
      </c>
      <c r="H86" s="74"/>
      <c r="J86" s="74">
        <v>445</v>
      </c>
      <c r="K86" s="136">
        <v>0.9987612397733362</v>
      </c>
      <c r="L86" s="136">
        <v>0.1411819347241752</v>
      </c>
      <c r="M86" s="136">
        <v>8.7431314270072821E-2</v>
      </c>
      <c r="N86" s="136">
        <v>0.44655855206067641</v>
      </c>
      <c r="O86" s="136">
        <v>0.52084195762903518</v>
      </c>
      <c r="P86" s="74"/>
      <c r="Q86" s="137"/>
      <c r="R86" s="138"/>
      <c r="S86" s="137"/>
      <c r="T86" s="137"/>
    </row>
    <row r="87" spans="2:20" ht="15" customHeight="1" x14ac:dyDescent="0.2">
      <c r="B87" s="74">
        <v>446</v>
      </c>
      <c r="C87" s="137">
        <v>0.99637299999999995</v>
      </c>
      <c r="D87" s="137">
        <v>0.12070599999999999</v>
      </c>
      <c r="E87" s="137">
        <v>7.0696300000000004E-2</v>
      </c>
      <c r="F87" s="136">
        <v>0.40600000000000003</v>
      </c>
      <c r="G87" s="137">
        <v>0.48951699999999998</v>
      </c>
      <c r="H87" s="74"/>
      <c r="J87" s="74">
        <v>446</v>
      </c>
      <c r="K87" s="136">
        <v>0.99956860517755308</v>
      </c>
      <c r="L87" s="136">
        <v>0.14630267558710844</v>
      </c>
      <c r="M87" s="136">
        <v>8.983059234503489E-2</v>
      </c>
      <c r="N87" s="136">
        <v>0.46017874250554353</v>
      </c>
      <c r="O87" s="136">
        <v>0.53668408815652258</v>
      </c>
      <c r="P87" s="74"/>
      <c r="Q87" s="137"/>
      <c r="R87" s="136"/>
      <c r="S87" s="137"/>
      <c r="T87" s="137"/>
    </row>
    <row r="88" spans="2:20" ht="15" customHeight="1" x14ac:dyDescent="0.2">
      <c r="B88" s="74">
        <v>447</v>
      </c>
      <c r="C88" s="137">
        <v>0.99903799999999998</v>
      </c>
      <c r="D88" s="137">
        <v>0.125363</v>
      </c>
      <c r="E88" s="137">
        <v>7.2850799999999993E-2</v>
      </c>
      <c r="F88" s="136">
        <v>0.41799999999999998</v>
      </c>
      <c r="G88" s="137">
        <v>0.50552200000000003</v>
      </c>
      <c r="H88" s="74"/>
      <c r="J88" s="74">
        <v>447</v>
      </c>
      <c r="K88" s="136">
        <v>1</v>
      </c>
      <c r="L88" s="136">
        <v>0.15160730310634954</v>
      </c>
      <c r="M88" s="136">
        <v>9.2361130357359919E-2</v>
      </c>
      <c r="N88" s="136">
        <v>0.47272017394465277</v>
      </c>
      <c r="O88" s="136">
        <v>0.55299134847533504</v>
      </c>
      <c r="P88" s="74"/>
      <c r="Q88" s="137"/>
      <c r="R88" s="136"/>
      <c r="S88" s="137"/>
      <c r="T88" s="137"/>
    </row>
    <row r="89" spans="2:20" ht="15" customHeight="1" x14ac:dyDescent="0.2">
      <c r="B89" s="74">
        <v>448</v>
      </c>
      <c r="C89" s="137">
        <v>0.99997800000000003</v>
      </c>
      <c r="D89" s="137">
        <v>0.130111</v>
      </c>
      <c r="E89" s="137">
        <v>7.50778E-2</v>
      </c>
      <c r="F89" s="136">
        <v>0.43099999999999999</v>
      </c>
      <c r="G89" s="137">
        <v>0.52174100000000001</v>
      </c>
      <c r="H89" s="74"/>
      <c r="J89" s="74">
        <v>448</v>
      </c>
      <c r="K89" s="136">
        <v>0.9987066620589008</v>
      </c>
      <c r="L89" s="136">
        <v>0.15699805413415513</v>
      </c>
      <c r="M89" s="136">
        <v>9.4972082536342289E-2</v>
      </c>
      <c r="N89" s="136">
        <v>0.48633400200601801</v>
      </c>
      <c r="O89" s="136">
        <v>0.56945938094398318</v>
      </c>
      <c r="P89" s="74"/>
      <c r="Q89" s="137"/>
      <c r="R89" s="136"/>
      <c r="S89" s="137"/>
      <c r="T89" s="137"/>
    </row>
    <row r="90" spans="2:20" ht="15" customHeight="1" x14ac:dyDescent="0.2">
      <c r="B90" s="74">
        <v>449</v>
      </c>
      <c r="C90" s="137">
        <v>0.99784399999999995</v>
      </c>
      <c r="D90" s="137">
        <v>0.134856</v>
      </c>
      <c r="E90" s="137">
        <v>7.7332499999999998E-2</v>
      </c>
      <c r="F90" s="136">
        <v>0.443</v>
      </c>
      <c r="G90" s="137">
        <v>0.53789799999999999</v>
      </c>
      <c r="H90" s="74"/>
      <c r="J90" s="74">
        <v>449</v>
      </c>
      <c r="K90" s="136">
        <v>0.99435583088837931</v>
      </c>
      <c r="L90" s="136">
        <v>0.16236118102902336</v>
      </c>
      <c r="M90" s="136">
        <v>9.7606366606346279E-2</v>
      </c>
      <c r="N90" s="136">
        <v>0.4987613173596514</v>
      </c>
      <c r="O90" s="136">
        <v>0.5857865393476277</v>
      </c>
      <c r="P90" s="74"/>
      <c r="Q90" s="137"/>
      <c r="R90" s="136"/>
      <c r="S90" s="137"/>
      <c r="T90" s="137"/>
    </row>
    <row r="91" spans="2:20" ht="15" customHeight="1" x14ac:dyDescent="0.2">
      <c r="B91" s="74">
        <v>450</v>
      </c>
      <c r="C91" s="137">
        <v>0.99132900000000002</v>
      </c>
      <c r="D91" s="137">
        <v>0.13949300000000001</v>
      </c>
      <c r="E91" s="137">
        <v>7.9564700000000002E-2</v>
      </c>
      <c r="F91" s="136">
        <v>0.45500000000000002</v>
      </c>
      <c r="G91" s="137">
        <v>0.55371499999999996</v>
      </c>
      <c r="H91" s="74"/>
      <c r="J91" s="74">
        <v>450</v>
      </c>
      <c r="K91" s="136">
        <v>0.98566835295554334</v>
      </c>
      <c r="L91" s="136">
        <v>0.16757073311369858</v>
      </c>
      <c r="M91" s="136">
        <v>0.10020060714529706</v>
      </c>
      <c r="N91" s="136">
        <v>0.51113340020060172</v>
      </c>
      <c r="O91" s="136">
        <v>0.6016716855531774</v>
      </c>
      <c r="P91" s="74"/>
      <c r="Q91" s="137"/>
      <c r="R91" s="136"/>
      <c r="S91" s="137"/>
      <c r="T91" s="137"/>
    </row>
    <row r="92" spans="2:20" ht="15" customHeight="1" x14ac:dyDescent="0.2">
      <c r="B92" s="74">
        <v>451</v>
      </c>
      <c r="C92" s="137">
        <v>0.979657</v>
      </c>
      <c r="D92" s="137">
        <v>0.14394299999999999</v>
      </c>
      <c r="E92" s="137">
        <v>8.1736799999999998E-2</v>
      </c>
      <c r="F92" s="136">
        <v>0.46700000000000003</v>
      </c>
      <c r="G92" s="137">
        <v>0.56910000000000005</v>
      </c>
      <c r="H92" s="74"/>
      <c r="J92" s="74">
        <v>451</v>
      </c>
      <c r="K92" s="136">
        <v>0.971903217014502</v>
      </c>
      <c r="L92" s="136">
        <v>0.17253304092496163</v>
      </c>
      <c r="M92" s="136">
        <v>0.10270782357226237</v>
      </c>
      <c r="N92" s="136">
        <v>0.52345061792917558</v>
      </c>
      <c r="O92" s="136">
        <v>0.61701801340820805</v>
      </c>
      <c r="P92" s="74"/>
      <c r="Q92" s="137"/>
      <c r="R92" s="136"/>
      <c r="S92" s="137"/>
      <c r="T92" s="137"/>
    </row>
    <row r="93" spans="2:20" ht="15" customHeight="1" x14ac:dyDescent="0.2">
      <c r="B93" s="74">
        <v>452</v>
      </c>
      <c r="C93" s="137">
        <v>0.96390500000000001</v>
      </c>
      <c r="D93" s="137">
        <v>0.148281</v>
      </c>
      <c r="E93" s="137">
        <v>8.3882600000000002E-2</v>
      </c>
      <c r="F93" s="136">
        <v>0.47899999999999998</v>
      </c>
      <c r="G93" s="137">
        <v>0.58423999999999998</v>
      </c>
      <c r="H93" s="74"/>
      <c r="J93" s="74">
        <v>452</v>
      </c>
      <c r="K93" s="136">
        <v>0.95416023621803836</v>
      </c>
      <c r="L93" s="136">
        <v>0.17733944312133387</v>
      </c>
      <c r="M93" s="136">
        <v>0.10517097150491636</v>
      </c>
      <c r="N93" s="136">
        <v>0.53571333469434856</v>
      </c>
      <c r="O93" s="136">
        <v>0.63203139592120594</v>
      </c>
      <c r="P93" s="74"/>
      <c r="Q93" s="137"/>
      <c r="R93" s="136"/>
      <c r="S93" s="137"/>
      <c r="T93" s="137"/>
    </row>
    <row r="94" spans="2:20" ht="15" customHeight="1" x14ac:dyDescent="0.2">
      <c r="B94" s="74">
        <v>453</v>
      </c>
      <c r="C94" s="137">
        <v>0.945573</v>
      </c>
      <c r="D94" s="137">
        <v>0.15263699999999999</v>
      </c>
      <c r="E94" s="137">
        <v>8.6059800000000006E-2</v>
      </c>
      <c r="F94" s="136">
        <v>0.49</v>
      </c>
      <c r="G94" s="137">
        <v>0.59928099999999995</v>
      </c>
      <c r="H94" s="74"/>
      <c r="J94" s="74">
        <v>453</v>
      </c>
      <c r="K94" s="136">
        <v>0.9339473116184126</v>
      </c>
      <c r="L94" s="136">
        <v>0.18214610491463054</v>
      </c>
      <c r="M94" s="136">
        <v>0.10766252663867081</v>
      </c>
      <c r="N94" s="136">
        <v>0.54680598085647669</v>
      </c>
      <c r="O94" s="136">
        <v>0.64687163230921985</v>
      </c>
      <c r="P94" s="74"/>
      <c r="Q94" s="137"/>
      <c r="R94" s="136"/>
      <c r="S94" s="137"/>
      <c r="T94" s="137"/>
    </row>
    <row r="95" spans="2:20" ht="15" customHeight="1" x14ac:dyDescent="0.2">
      <c r="B95" s="74">
        <v>454</v>
      </c>
      <c r="C95" s="137">
        <v>0.92607799999999996</v>
      </c>
      <c r="D95" s="137">
        <v>0.15715699999999999</v>
      </c>
      <c r="E95" s="137">
        <v>8.83322E-2</v>
      </c>
      <c r="F95" s="136">
        <v>0.502</v>
      </c>
      <c r="G95" s="137">
        <v>0.61436999999999997</v>
      </c>
      <c r="H95" s="74"/>
      <c r="J95" s="74">
        <v>454</v>
      </c>
      <c r="K95" s="136">
        <v>0.91267725984114778</v>
      </c>
      <c r="L95" s="136">
        <v>0.18712686681445723</v>
      </c>
      <c r="M95" s="136">
        <v>0.11026194052938774</v>
      </c>
      <c r="N95" s="136">
        <v>0.5589632333122716</v>
      </c>
      <c r="O95" s="136">
        <v>0.66169819090200355</v>
      </c>
      <c r="P95" s="74"/>
      <c r="Q95" s="137"/>
      <c r="R95" s="136"/>
      <c r="S95" s="137"/>
      <c r="T95" s="137"/>
    </row>
    <row r="96" spans="2:20" ht="15" customHeight="1" x14ac:dyDescent="0.2">
      <c r="B96" s="74">
        <v>455</v>
      </c>
      <c r="C96" s="137">
        <v>0.90673499999999996</v>
      </c>
      <c r="D96" s="137">
        <v>0.16200600000000001</v>
      </c>
      <c r="E96" s="137">
        <v>9.0770400000000001E-2</v>
      </c>
      <c r="F96" s="136">
        <v>0.51300000000000001</v>
      </c>
      <c r="G96" s="137">
        <v>0.62965400000000005</v>
      </c>
      <c r="H96" s="74"/>
      <c r="J96" s="74">
        <v>455</v>
      </c>
      <c r="K96" s="136">
        <v>0.89165017406085323</v>
      </c>
      <c r="L96" s="136">
        <v>0.1924766146439115</v>
      </c>
      <c r="M96" s="136">
        <v>0.11305643580024485</v>
      </c>
      <c r="N96" s="136">
        <v>0.56995602191188954</v>
      </c>
      <c r="O96" s="136">
        <v>0.67666913810992824</v>
      </c>
      <c r="P96" s="74"/>
      <c r="Q96" s="137"/>
      <c r="R96" s="136"/>
      <c r="S96" s="137"/>
      <c r="T96" s="137"/>
    </row>
    <row r="97" spans="2:20" ht="15" customHeight="1" x14ac:dyDescent="0.2">
      <c r="B97" s="74">
        <v>456</v>
      </c>
      <c r="C97" s="137">
        <v>0.88850899999999999</v>
      </c>
      <c r="D97" s="137">
        <v>0.16733100000000001</v>
      </c>
      <c r="E97" s="137">
        <v>9.3439700000000001E-2</v>
      </c>
      <c r="F97" s="136">
        <v>0.52400000000000002</v>
      </c>
      <c r="G97" s="137">
        <v>0.64519300000000002</v>
      </c>
      <c r="H97" s="74"/>
      <c r="J97" s="74">
        <v>456</v>
      </c>
      <c r="K97" s="136">
        <v>0.87181132064835853</v>
      </c>
      <c r="L97" s="136">
        <v>0.19836718610088924</v>
      </c>
      <c r="M97" s="136">
        <v>0.11612588317904883</v>
      </c>
      <c r="N97" s="136">
        <v>0.58090059652642145</v>
      </c>
      <c r="O97" s="136">
        <v>0.69184786269687815</v>
      </c>
      <c r="P97" s="74"/>
      <c r="Q97" s="137"/>
      <c r="R97" s="136"/>
      <c r="S97" s="137"/>
      <c r="T97" s="137"/>
    </row>
    <row r="98" spans="2:20" ht="15" customHeight="1" x14ac:dyDescent="0.2">
      <c r="B98" s="74">
        <v>457</v>
      </c>
      <c r="C98" s="137">
        <v>0.87135300000000004</v>
      </c>
      <c r="D98" s="137">
        <v>0.17314399999999999</v>
      </c>
      <c r="E98" s="137">
        <v>9.6357700000000004E-2</v>
      </c>
      <c r="F98" s="136">
        <v>0.53500000000000003</v>
      </c>
      <c r="G98" s="137">
        <v>0.66089200000000003</v>
      </c>
      <c r="H98" s="74"/>
      <c r="J98" s="74">
        <v>457</v>
      </c>
      <c r="K98" s="136">
        <v>0.85310688357035358</v>
      </c>
      <c r="L98" s="136">
        <v>0.20480922552598224</v>
      </c>
      <c r="M98" s="136">
        <v>0.11949030296236091</v>
      </c>
      <c r="N98" s="136">
        <v>0.59179727365905155</v>
      </c>
      <c r="O98" s="136">
        <v>0.7071313540160622</v>
      </c>
      <c r="P98" s="74"/>
      <c r="Q98" s="137"/>
      <c r="R98" s="136"/>
      <c r="S98" s="137"/>
      <c r="T98" s="137"/>
    </row>
    <row r="99" spans="2:20" ht="15" customHeight="1" x14ac:dyDescent="0.2">
      <c r="B99" s="74">
        <v>458</v>
      </c>
      <c r="C99" s="137">
        <v>0.85499800000000004</v>
      </c>
      <c r="D99" s="137">
        <v>0.17941699999999999</v>
      </c>
      <c r="E99" s="137">
        <v>9.9530400000000005E-2</v>
      </c>
      <c r="F99" s="136">
        <v>0.54600000000000004</v>
      </c>
      <c r="G99" s="137">
        <v>0.67666000000000004</v>
      </c>
      <c r="H99" s="74"/>
      <c r="J99" s="74">
        <v>458</v>
      </c>
      <c r="K99" s="136">
        <v>0.83526664004484119</v>
      </c>
      <c r="L99" s="136">
        <v>0.21176607225438401</v>
      </c>
      <c r="M99" s="136">
        <v>0.12315518719168514</v>
      </c>
      <c r="N99" s="136">
        <v>0.60264636704874452</v>
      </c>
      <c r="O99" s="136">
        <v>0.72242177159259324</v>
      </c>
      <c r="P99" s="74"/>
      <c r="Q99" s="137"/>
      <c r="R99" s="136"/>
      <c r="S99" s="137"/>
      <c r="T99" s="137"/>
    </row>
    <row r="100" spans="2:20" ht="15" customHeight="1" x14ac:dyDescent="0.2">
      <c r="B100" s="74">
        <v>459</v>
      </c>
      <c r="C100" s="137">
        <v>0.839198</v>
      </c>
      <c r="D100" s="137">
        <v>0.186117</v>
      </c>
      <c r="E100" s="137">
        <v>0.102964</v>
      </c>
      <c r="F100" s="136">
        <v>0.55700000000000005</v>
      </c>
      <c r="G100" s="137">
        <v>0.69240900000000005</v>
      </c>
      <c r="H100" s="74"/>
      <c r="J100" s="74">
        <v>459</v>
      </c>
      <c r="K100" s="136">
        <v>0.81804514243355708</v>
      </c>
      <c r="L100" s="136">
        <v>0.21919549645630002</v>
      </c>
      <c r="M100" s="136">
        <v>0.12712622698094692</v>
      </c>
      <c r="N100" s="136">
        <v>0.61344818770035603</v>
      </c>
      <c r="O100" s="136">
        <v>0.73762532350062249</v>
      </c>
      <c r="P100" s="74"/>
      <c r="Q100" s="137"/>
      <c r="R100" s="136"/>
      <c r="S100" s="137"/>
      <c r="T100" s="137"/>
    </row>
    <row r="101" spans="2:20" ht="15" customHeight="1" x14ac:dyDescent="0.2">
      <c r="B101" s="74">
        <v>460</v>
      </c>
      <c r="C101" s="137">
        <v>0.82372599999999996</v>
      </c>
      <c r="D101" s="137">
        <v>0.19320200000000001</v>
      </c>
      <c r="E101" s="137">
        <v>0.10666299999999999</v>
      </c>
      <c r="F101" s="136">
        <v>0.56699999999999995</v>
      </c>
      <c r="G101" s="137">
        <v>0.70804900000000004</v>
      </c>
      <c r="H101" s="74"/>
      <c r="J101" s="74">
        <v>460</v>
      </c>
      <c r="K101" s="136">
        <v>0.80121755824755592</v>
      </c>
      <c r="L101" s="136">
        <v>0.22704505899415173</v>
      </c>
      <c r="M101" s="136">
        <v>0.13140696958555276</v>
      </c>
      <c r="N101" s="136">
        <v>0.6231040948933757</v>
      </c>
      <c r="O101" s="136">
        <v>0.75264690742219365</v>
      </c>
      <c r="P101" s="74"/>
      <c r="Q101" s="137"/>
      <c r="R101" s="136"/>
      <c r="S101" s="137"/>
      <c r="T101" s="137"/>
    </row>
    <row r="102" spans="2:20" ht="15" customHeight="1" x14ac:dyDescent="0.2">
      <c r="B102" s="74">
        <v>461</v>
      </c>
      <c r="C102" s="137">
        <v>0.808307</v>
      </c>
      <c r="D102" s="137">
        <v>0.20062099999999999</v>
      </c>
      <c r="E102" s="137">
        <v>0.11062900000000001</v>
      </c>
      <c r="F102" s="136">
        <v>0.57799999999999996</v>
      </c>
      <c r="G102" s="137">
        <v>0.72359399999999996</v>
      </c>
      <c r="H102" s="74"/>
      <c r="J102" s="74">
        <v>461</v>
      </c>
      <c r="K102" s="136">
        <v>0.78451441870593608</v>
      </c>
      <c r="L102" s="136">
        <v>0.23525222215259609</v>
      </c>
      <c r="M102" s="136">
        <v>0.13599736648232097</v>
      </c>
      <c r="N102" s="136">
        <v>0.63381467613251896</v>
      </c>
      <c r="O102" s="136">
        <v>0.76750255706764836</v>
      </c>
      <c r="P102" s="74"/>
      <c r="Q102" s="137"/>
      <c r="R102" s="136"/>
      <c r="S102" s="137"/>
      <c r="T102" s="137"/>
    </row>
    <row r="103" spans="2:20" ht="15" customHeight="1" x14ac:dyDescent="0.2">
      <c r="B103" s="74">
        <v>462</v>
      </c>
      <c r="C103" s="137">
        <v>0.792431</v>
      </c>
      <c r="D103" s="137">
        <v>0.208315</v>
      </c>
      <c r="E103" s="137">
        <v>0.114828</v>
      </c>
      <c r="F103" s="136">
        <v>0.58799999999999997</v>
      </c>
      <c r="G103" s="137">
        <v>0.73910500000000001</v>
      </c>
      <c r="H103" s="74"/>
      <c r="J103" s="74">
        <v>462</v>
      </c>
      <c r="K103" s="136">
        <v>0.76744099902027829</v>
      </c>
      <c r="L103" s="136">
        <v>0.24374562901247926</v>
      </c>
      <c r="M103" s="136">
        <v>0.14085370084844498</v>
      </c>
      <c r="N103" s="136">
        <v>0.64338469955320499</v>
      </c>
      <c r="O103" s="136">
        <v>0.78225791143924062</v>
      </c>
      <c r="P103" s="74"/>
      <c r="Q103" s="137"/>
      <c r="R103" s="136"/>
      <c r="S103" s="137"/>
      <c r="T103" s="137"/>
    </row>
    <row r="104" spans="2:20" ht="15" customHeight="1" x14ac:dyDescent="0.2">
      <c r="B104" s="74">
        <v>463</v>
      </c>
      <c r="C104" s="137">
        <v>0.77556899999999995</v>
      </c>
      <c r="D104" s="137">
        <v>0.21621199999999999</v>
      </c>
      <c r="E104" s="137">
        <v>0.119217</v>
      </c>
      <c r="F104" s="136">
        <v>0.59899999999999998</v>
      </c>
      <c r="G104" s="137">
        <v>0.75456000000000001</v>
      </c>
      <c r="H104" s="74"/>
      <c r="J104" s="74">
        <v>463</v>
      </c>
      <c r="K104" s="136">
        <v>0.74948848740652652</v>
      </c>
      <c r="L104" s="136">
        <v>0.25243936091656061</v>
      </c>
      <c r="M104" s="136">
        <v>0.14592161754353206</v>
      </c>
      <c r="N104" s="136">
        <v>0.65400521218081897</v>
      </c>
      <c r="O104" s="136">
        <v>0.79689038621088715</v>
      </c>
      <c r="P104" s="74"/>
      <c r="Q104" s="137"/>
      <c r="R104" s="136"/>
      <c r="S104" s="137"/>
      <c r="T104" s="137"/>
    </row>
    <row r="105" spans="2:20" ht="15" customHeight="1" x14ac:dyDescent="0.2">
      <c r="B105" s="74">
        <v>464</v>
      </c>
      <c r="C105" s="137">
        <v>0.75724400000000003</v>
      </c>
      <c r="D105" s="137">
        <v>0.22423100000000001</v>
      </c>
      <c r="E105" s="137">
        <v>0.12374</v>
      </c>
      <c r="F105" s="136">
        <v>0.61</v>
      </c>
      <c r="G105" s="137">
        <v>0.76993800000000001</v>
      </c>
      <c r="H105" s="74"/>
      <c r="J105" s="74">
        <v>464</v>
      </c>
      <c r="K105" s="136">
        <v>0.73020260145432325</v>
      </c>
      <c r="L105" s="136">
        <v>0.26123775453891246</v>
      </c>
      <c r="M105" s="136">
        <v>0.15113135229805102</v>
      </c>
      <c r="N105" s="136">
        <v>0.66457994673676202</v>
      </c>
      <c r="O105" s="136">
        <v>0.81137864557232486</v>
      </c>
      <c r="P105" s="74"/>
      <c r="Q105" s="137"/>
      <c r="R105" s="136"/>
      <c r="S105" s="137"/>
      <c r="T105" s="137"/>
    </row>
    <row r="106" spans="2:20" ht="15" customHeight="1" x14ac:dyDescent="0.2">
      <c r="B106" s="74">
        <v>465</v>
      </c>
      <c r="C106" s="137">
        <v>0.737043</v>
      </c>
      <c r="D106" s="137">
        <v>0.23227500000000001</v>
      </c>
      <c r="E106" s="137">
        <v>0.12833600000000001</v>
      </c>
      <c r="F106" s="136">
        <v>0.62</v>
      </c>
      <c r="G106" s="137">
        <v>0.78521600000000003</v>
      </c>
      <c r="H106" s="74"/>
      <c r="J106" s="74">
        <v>465</v>
      </c>
      <c r="K106" s="136">
        <v>0.70919454838134943</v>
      </c>
      <c r="L106" s="136">
        <v>0.27002736893481066</v>
      </c>
      <c r="M106" s="136">
        <v>0.15640764728740147</v>
      </c>
      <c r="N106" s="136">
        <v>0.67402206619859573</v>
      </c>
      <c r="O106" s="136">
        <v>0.82569943413300795</v>
      </c>
      <c r="P106" s="74"/>
      <c r="Q106" s="137"/>
      <c r="R106" s="136"/>
      <c r="S106" s="137"/>
      <c r="T106" s="137"/>
    </row>
    <row r="107" spans="2:20" ht="15" customHeight="1" x14ac:dyDescent="0.2">
      <c r="B107" s="74">
        <v>466</v>
      </c>
      <c r="C107" s="137">
        <v>0.71472999999999998</v>
      </c>
      <c r="D107" s="137">
        <v>0.240257</v>
      </c>
      <c r="E107" s="137">
        <v>0.13294700000000001</v>
      </c>
      <c r="F107" s="136">
        <v>0.63100000000000001</v>
      </c>
      <c r="G107" s="137">
        <v>0.80068300000000003</v>
      </c>
      <c r="H107" s="74"/>
      <c r="J107" s="74">
        <v>466</v>
      </c>
      <c r="K107" s="136">
        <v>0.68624881943296412</v>
      </c>
      <c r="L107" s="136">
        <v>0.27870733728518876</v>
      </c>
      <c r="M107" s="136">
        <v>0.16167953903764734</v>
      </c>
      <c r="N107" s="136">
        <v>0.68450846100533358</v>
      </c>
      <c r="O107" s="136">
        <v>0.84015707787767313</v>
      </c>
      <c r="P107" s="74"/>
      <c r="Q107" s="137"/>
      <c r="R107" s="136"/>
      <c r="S107" s="137"/>
      <c r="T107" s="137"/>
    </row>
    <row r="108" spans="2:20" ht="15" customHeight="1" x14ac:dyDescent="0.2">
      <c r="B108" s="74">
        <v>467</v>
      </c>
      <c r="C108" s="137">
        <v>0.69055800000000001</v>
      </c>
      <c r="D108" s="137">
        <v>0.24815999999999999</v>
      </c>
      <c r="E108" s="137">
        <v>0.13757</v>
      </c>
      <c r="F108" s="136">
        <v>0.64200000000000002</v>
      </c>
      <c r="G108" s="137">
        <v>0.81635400000000002</v>
      </c>
      <c r="H108" s="74"/>
      <c r="J108" s="74">
        <v>467</v>
      </c>
      <c r="K108" s="136">
        <v>0.66162026027496701</v>
      </c>
      <c r="L108" s="136">
        <v>0.28725868553054945</v>
      </c>
      <c r="M108" s="136">
        <v>0.16694341528670317</v>
      </c>
      <c r="N108" s="136">
        <v>0.69494994619833805</v>
      </c>
      <c r="O108" s="136">
        <v>0.85476640345512578</v>
      </c>
      <c r="P108" s="74"/>
      <c r="Q108" s="137"/>
      <c r="R108" s="136"/>
      <c r="S108" s="137"/>
      <c r="T108" s="137"/>
    </row>
    <row r="109" spans="2:20" ht="15" customHeight="1" x14ac:dyDescent="0.2">
      <c r="B109" s="74">
        <v>468</v>
      </c>
      <c r="C109" s="137">
        <v>0.66488999999999998</v>
      </c>
      <c r="D109" s="137">
        <v>0.25598700000000002</v>
      </c>
      <c r="E109" s="137">
        <v>0.14221800000000001</v>
      </c>
      <c r="F109" s="136">
        <v>0.65300000000000002</v>
      </c>
      <c r="G109" s="137">
        <v>0.83179800000000004</v>
      </c>
      <c r="H109" s="74"/>
      <c r="J109" s="74">
        <v>468</v>
      </c>
      <c r="K109" s="136">
        <v>0.63566670367662925</v>
      </c>
      <c r="L109" s="136">
        <v>0.29568570340155165</v>
      </c>
      <c r="M109" s="136">
        <v>0.17221506941701653</v>
      </c>
      <c r="N109" s="136">
        <v>0.7053468096597485</v>
      </c>
      <c r="O109" s="136">
        <v>0.86907612271336809</v>
      </c>
      <c r="P109" s="74"/>
      <c r="Q109" s="137"/>
      <c r="R109" s="136"/>
      <c r="S109" s="137"/>
      <c r="T109" s="137"/>
    </row>
    <row r="110" spans="2:20" ht="15" customHeight="1" x14ac:dyDescent="0.2">
      <c r="B110" s="74">
        <v>469</v>
      </c>
      <c r="C110" s="137">
        <v>0.63807800000000003</v>
      </c>
      <c r="D110" s="137">
        <v>0.26374399999999998</v>
      </c>
      <c r="E110" s="137">
        <v>0.14690500000000001</v>
      </c>
      <c r="F110" s="136">
        <v>0.66400000000000003</v>
      </c>
      <c r="G110" s="137">
        <v>0.84658699999999998</v>
      </c>
      <c r="H110" s="74"/>
      <c r="J110" s="74">
        <v>469</v>
      </c>
      <c r="K110" s="136">
        <v>0.60873243642473618</v>
      </c>
      <c r="L110" s="136">
        <v>0.30399610189689363</v>
      </c>
      <c r="M110" s="136">
        <v>0.17751136845390736</v>
      </c>
      <c r="N110" s="136">
        <v>0.71569933681641951</v>
      </c>
      <c r="O110" s="136">
        <v>0.88264192420555465</v>
      </c>
      <c r="P110" s="74"/>
      <c r="Q110" s="137"/>
      <c r="R110" s="136"/>
      <c r="S110" s="137"/>
      <c r="T110" s="137"/>
    </row>
    <row r="111" spans="2:20" ht="15" customHeight="1" x14ac:dyDescent="0.2">
      <c r="B111" s="74">
        <v>470</v>
      </c>
      <c r="C111" s="137">
        <v>0.610456</v>
      </c>
      <c r="D111" s="137">
        <v>0.27144099999999999</v>
      </c>
      <c r="E111" s="137">
        <v>0.15165100000000001</v>
      </c>
      <c r="F111" s="136">
        <v>0.67600000000000005</v>
      </c>
      <c r="G111" s="137">
        <v>0.86029100000000003</v>
      </c>
      <c r="H111" s="74"/>
      <c r="J111" s="74">
        <v>470</v>
      </c>
      <c r="K111" s="136">
        <v>0.58114167957234431</v>
      </c>
      <c r="L111" s="136">
        <v>0.31220212705254252</v>
      </c>
      <c r="M111" s="136">
        <v>0.18285627049529396</v>
      </c>
      <c r="N111" s="136">
        <v>0.7270833777929534</v>
      </c>
      <c r="O111" s="136">
        <v>0.89502119711827666</v>
      </c>
      <c r="P111" s="74"/>
      <c r="Q111" s="137"/>
      <c r="R111" s="136"/>
      <c r="S111" s="137"/>
      <c r="T111" s="137"/>
    </row>
    <row r="112" spans="2:20" ht="15" customHeight="1" x14ac:dyDescent="0.2">
      <c r="B112" s="74">
        <v>471</v>
      </c>
      <c r="C112" s="137">
        <v>0.58234600000000003</v>
      </c>
      <c r="D112" s="137">
        <v>0.27909699999999998</v>
      </c>
      <c r="E112" s="137">
        <v>0.156475</v>
      </c>
      <c r="F112" s="136">
        <v>0.68700000000000006</v>
      </c>
      <c r="G112" s="137">
        <v>0.87292499999999995</v>
      </c>
      <c r="H112" s="74"/>
      <c r="J112" s="74">
        <v>471</v>
      </c>
      <c r="K112" s="136">
        <v>0.55320450120149356</v>
      </c>
      <c r="L112" s="136">
        <v>0.32032625041774754</v>
      </c>
      <c r="M112" s="136">
        <v>0.18827232696302496</v>
      </c>
      <c r="N112" s="136">
        <v>0.73734579534782696</v>
      </c>
      <c r="O112" s="136">
        <v>0.90623707137994669</v>
      </c>
      <c r="P112" s="74"/>
      <c r="Q112" s="137"/>
      <c r="R112" s="136"/>
      <c r="S112" s="137"/>
      <c r="T112" s="137"/>
    </row>
    <row r="113" spans="2:20" ht="15" customHeight="1" x14ac:dyDescent="0.2">
      <c r="B113" s="74">
        <v>472</v>
      </c>
      <c r="C113" s="137">
        <v>0.55406500000000003</v>
      </c>
      <c r="D113" s="137">
        <v>0.28675499999999998</v>
      </c>
      <c r="E113" s="137">
        <v>0.16140399999999999</v>
      </c>
      <c r="F113" s="136">
        <v>0.69899999999999995</v>
      </c>
      <c r="G113" s="137">
        <v>0.88487000000000005</v>
      </c>
      <c r="H113" s="74"/>
      <c r="J113" s="74">
        <v>472</v>
      </c>
      <c r="K113" s="136">
        <v>0.52522360196950146</v>
      </c>
      <c r="L113" s="136">
        <v>0.3284182401156327</v>
      </c>
      <c r="M113" s="136">
        <v>0.19379150345396834</v>
      </c>
      <c r="N113" s="136">
        <v>0.74863573772163949</v>
      </c>
      <c r="O113" s="136">
        <v>0.91669164297314143</v>
      </c>
      <c r="P113" s="74"/>
      <c r="Q113" s="137"/>
      <c r="R113" s="136"/>
      <c r="S113" s="137"/>
      <c r="T113" s="137"/>
    </row>
    <row r="114" spans="2:20" ht="15" customHeight="1" x14ac:dyDescent="0.2">
      <c r="B114" s="74">
        <v>473</v>
      </c>
      <c r="C114" s="137">
        <v>0.52590300000000001</v>
      </c>
      <c r="D114" s="137">
        <v>0.29447600000000002</v>
      </c>
      <c r="E114" s="137">
        <v>0.166464</v>
      </c>
      <c r="F114" s="136">
        <v>0.71</v>
      </c>
      <c r="G114" s="137">
        <v>0.89624199999999998</v>
      </c>
      <c r="H114" s="74"/>
      <c r="J114" s="74">
        <v>473</v>
      </c>
      <c r="K114" s="136">
        <v>0.49747358227113431</v>
      </c>
      <c r="L114" s="136">
        <v>0.3365480150712401</v>
      </c>
      <c r="M114" s="136">
        <v>0.19944429712011996</v>
      </c>
      <c r="N114" s="136">
        <v>0.75880919714746775</v>
      </c>
      <c r="O114" s="136">
        <v>0.92650965797865104</v>
      </c>
      <c r="P114" s="74"/>
      <c r="Q114" s="137"/>
      <c r="R114" s="136"/>
      <c r="S114" s="137"/>
      <c r="T114" s="137"/>
    </row>
    <row r="115" spans="2:20" ht="15" customHeight="1" x14ac:dyDescent="0.2">
      <c r="B115" s="74">
        <v>474</v>
      </c>
      <c r="C115" s="137">
        <v>0.498108</v>
      </c>
      <c r="D115" s="137">
        <v>0.30232300000000001</v>
      </c>
      <c r="E115" s="137">
        <v>0.17169000000000001</v>
      </c>
      <c r="F115" s="136">
        <v>0.72199999999999998</v>
      </c>
      <c r="G115" s="137">
        <v>0.90715800000000002</v>
      </c>
      <c r="H115" s="74"/>
      <c r="J115" s="74">
        <v>474</v>
      </c>
      <c r="K115" s="136">
        <v>0.47018707946411542</v>
      </c>
      <c r="L115" s="136">
        <v>0.34478718509580408</v>
      </c>
      <c r="M115" s="136">
        <v>0.20527170810867737</v>
      </c>
      <c r="N115" s="136">
        <v>0.77000622119523121</v>
      </c>
      <c r="O115" s="136">
        <v>0.93581584135851781</v>
      </c>
      <c r="P115" s="74"/>
      <c r="Q115" s="137"/>
      <c r="R115" s="136"/>
      <c r="S115" s="137"/>
      <c r="T115" s="137"/>
    </row>
    <row r="116" spans="2:20" ht="15" customHeight="1" x14ac:dyDescent="0.2">
      <c r="B116" s="74">
        <v>475</v>
      </c>
      <c r="C116" s="137">
        <v>0.47089399999999998</v>
      </c>
      <c r="D116" s="137">
        <v>0.31037199999999998</v>
      </c>
      <c r="E116" s="137">
        <v>0.177116</v>
      </c>
      <c r="F116" s="136">
        <v>0.73399999999999999</v>
      </c>
      <c r="G116" s="137">
        <v>0.91773400000000005</v>
      </c>
      <c r="H116" s="74"/>
      <c r="J116" s="74">
        <v>475</v>
      </c>
      <c r="K116" s="136">
        <v>0.4435627452556728</v>
      </c>
      <c r="L116" s="136">
        <v>0.35322155173353997</v>
      </c>
      <c r="M116" s="136">
        <v>0.2113131982244677</v>
      </c>
      <c r="N116" s="136">
        <v>0.78115609987858314</v>
      </c>
      <c r="O116" s="136">
        <v>0.94473283834028965</v>
      </c>
      <c r="P116" s="74"/>
      <c r="Q116" s="137"/>
      <c r="R116" s="136"/>
      <c r="S116" s="137"/>
      <c r="T116" s="137"/>
    </row>
    <row r="117" spans="2:20" ht="15" customHeight="1" x14ac:dyDescent="0.2">
      <c r="B117" s="74">
        <v>476</v>
      </c>
      <c r="C117" s="137">
        <v>0.44445000000000001</v>
      </c>
      <c r="D117" s="137">
        <v>0.31869199999999998</v>
      </c>
      <c r="E117" s="137">
        <v>0.182777</v>
      </c>
      <c r="F117" s="136">
        <v>0.745</v>
      </c>
      <c r="G117" s="137">
        <v>0.92834499999999998</v>
      </c>
      <c r="H117" s="74"/>
      <c r="J117" s="74">
        <v>476</v>
      </c>
      <c r="K117" s="136">
        <v>0.41777406251368443</v>
      </c>
      <c r="L117" s="136">
        <v>0.36192824583261018</v>
      </c>
      <c r="M117" s="136">
        <v>0.21760908823201952</v>
      </c>
      <c r="N117" s="136">
        <v>0.79119712077408699</v>
      </c>
      <c r="O117" s="136">
        <v>0.9536483229214443</v>
      </c>
      <c r="P117" s="74"/>
      <c r="Q117" s="137"/>
      <c r="R117" s="136"/>
      <c r="S117" s="137"/>
      <c r="T117" s="137"/>
    </row>
    <row r="118" spans="2:20" ht="15" customHeight="1" x14ac:dyDescent="0.2">
      <c r="B118" s="74">
        <v>477</v>
      </c>
      <c r="C118" s="137">
        <v>0.41899199999999998</v>
      </c>
      <c r="D118" s="137">
        <v>0.32730700000000001</v>
      </c>
      <c r="E118" s="137">
        <v>0.18868499999999999</v>
      </c>
      <c r="F118" s="136">
        <v>0.75700000000000001</v>
      </c>
      <c r="G118" s="137">
        <v>0.93894999999999995</v>
      </c>
      <c r="H118" s="74"/>
      <c r="J118" s="74">
        <v>477</v>
      </c>
      <c r="K118" s="136">
        <v>0.39301838557371438</v>
      </c>
      <c r="L118" s="136">
        <v>0.37093275352861643</v>
      </c>
      <c r="M118" s="136">
        <v>0.22417203503860636</v>
      </c>
      <c r="N118" s="136">
        <v>0.8022558240760016</v>
      </c>
      <c r="O118" s="136">
        <v>0.96252027539907703</v>
      </c>
      <c r="P118" s="74"/>
      <c r="Q118" s="137"/>
      <c r="R118" s="136"/>
      <c r="S118" s="137"/>
      <c r="T118" s="137"/>
    </row>
    <row r="119" spans="2:20" ht="15" customHeight="1" x14ac:dyDescent="0.2">
      <c r="B119" s="74">
        <v>478</v>
      </c>
      <c r="C119" s="137">
        <v>0.39469900000000002</v>
      </c>
      <c r="D119" s="137">
        <v>0.33623199999999998</v>
      </c>
      <c r="E119" s="137">
        <v>0.19484499999999999</v>
      </c>
      <c r="F119" s="136">
        <v>0.76900000000000002</v>
      </c>
      <c r="G119" s="137">
        <v>0.94903499999999996</v>
      </c>
      <c r="H119" s="74"/>
      <c r="J119" s="74">
        <v>478</v>
      </c>
      <c r="K119" s="136">
        <v>0.36945678353454686</v>
      </c>
      <c r="L119" s="136">
        <v>0.38025016943949902</v>
      </c>
      <c r="M119" s="136">
        <v>0.23100629050570978</v>
      </c>
      <c r="N119" s="136">
        <v>0.81326825665280356</v>
      </c>
      <c r="O119" s="136">
        <v>0.97082316845449002</v>
      </c>
      <c r="P119" s="74"/>
      <c r="Q119" s="137"/>
      <c r="R119" s="136"/>
      <c r="S119" s="137"/>
      <c r="T119" s="137"/>
    </row>
    <row r="120" spans="2:20" ht="15" customHeight="1" x14ac:dyDescent="0.2">
      <c r="B120" s="74">
        <v>479</v>
      </c>
      <c r="C120" s="137">
        <v>0.37170700000000001</v>
      </c>
      <c r="D120" s="137">
        <v>0.34548000000000001</v>
      </c>
      <c r="E120" s="137">
        <v>0.201261</v>
      </c>
      <c r="F120" s="136">
        <v>0.78100000000000003</v>
      </c>
      <c r="G120" s="137">
        <v>0.95809100000000003</v>
      </c>
      <c r="H120" s="74"/>
      <c r="J120" s="74">
        <v>479</v>
      </c>
      <c r="K120" s="136">
        <v>0.34720881446197593</v>
      </c>
      <c r="L120" s="136">
        <v>0.38989320502197222</v>
      </c>
      <c r="M120" s="136">
        <v>0.23811488787376145</v>
      </c>
      <c r="N120" s="136">
        <v>0.82423470830026613</v>
      </c>
      <c r="O120" s="136">
        <v>0.97804096741920765</v>
      </c>
      <c r="P120" s="74"/>
      <c r="Q120" s="137"/>
      <c r="R120" s="136"/>
      <c r="S120" s="137"/>
      <c r="T120" s="137"/>
    </row>
    <row r="121" spans="2:20" ht="15" customHeight="1" x14ac:dyDescent="0.2">
      <c r="B121" s="74">
        <v>480</v>
      </c>
      <c r="C121" s="137">
        <v>0.35010799999999997</v>
      </c>
      <c r="D121" s="137">
        <v>0.35506599999999999</v>
      </c>
      <c r="E121" s="137">
        <v>0.20794000000000001</v>
      </c>
      <c r="F121" s="136">
        <v>0.79300000000000004</v>
      </c>
      <c r="G121" s="137">
        <v>0.96560500000000005</v>
      </c>
      <c r="H121" s="74"/>
      <c r="J121" s="74">
        <v>480</v>
      </c>
      <c r="K121" s="136">
        <v>0.32635202564867405</v>
      </c>
      <c r="L121" s="136">
        <v>0.3998767182117684</v>
      </c>
      <c r="M121" s="136">
        <v>0.24550437705642081</v>
      </c>
      <c r="N121" s="136">
        <v>0.83515546639919758</v>
      </c>
      <c r="O121" s="136">
        <v>0.98365786313002168</v>
      </c>
      <c r="P121" s="74"/>
      <c r="Q121" s="137"/>
      <c r="R121" s="136"/>
      <c r="S121" s="137"/>
      <c r="T121" s="137"/>
    </row>
    <row r="122" spans="2:20" ht="15" customHeight="1" x14ac:dyDescent="0.2">
      <c r="B122" s="74">
        <v>481</v>
      </c>
      <c r="C122" s="137">
        <v>0.32990399999999998</v>
      </c>
      <c r="D122" s="137">
        <v>0.364985</v>
      </c>
      <c r="E122" s="137">
        <v>0.21487500000000001</v>
      </c>
      <c r="F122" s="136">
        <v>0.80500000000000005</v>
      </c>
      <c r="G122" s="137">
        <v>0.97197599999999995</v>
      </c>
      <c r="H122" s="74"/>
      <c r="J122" s="74">
        <v>481</v>
      </c>
      <c r="K122" s="136">
        <v>0.30687960071226777</v>
      </c>
      <c r="L122" s="136">
        <v>0.41019296613526846</v>
      </c>
      <c r="M122" s="136">
        <v>0.25316475876116556</v>
      </c>
      <c r="N122" s="136">
        <v>0.84603081594054519</v>
      </c>
      <c r="O122" s="136">
        <v>0.98808945506767554</v>
      </c>
      <c r="P122" s="74"/>
      <c r="Q122" s="137"/>
      <c r="R122" s="136"/>
      <c r="S122" s="137"/>
      <c r="T122" s="137"/>
    </row>
    <row r="123" spans="2:20" ht="15" customHeight="1" x14ac:dyDescent="0.2">
      <c r="B123" s="74">
        <v>482</v>
      </c>
      <c r="C123" s="137">
        <v>0.31086399999999997</v>
      </c>
      <c r="D123" s="137">
        <v>0.37514199999999998</v>
      </c>
      <c r="E123" s="137">
        <v>0.222022</v>
      </c>
      <c r="F123" s="136">
        <v>0.81699999999999995</v>
      </c>
      <c r="G123" s="137">
        <v>0.97783299999999995</v>
      </c>
      <c r="H123" s="74"/>
      <c r="J123" s="74">
        <v>482</v>
      </c>
      <c r="K123" s="136">
        <v>0.28856849085500746</v>
      </c>
      <c r="L123" s="136">
        <v>0.42073333239706273</v>
      </c>
      <c r="M123" s="136">
        <v>0.26104261388592698</v>
      </c>
      <c r="N123" s="136">
        <v>0.85686103955018567</v>
      </c>
      <c r="O123" s="136">
        <v>0.9919812216142021</v>
      </c>
      <c r="P123" s="74"/>
      <c r="Q123" s="137"/>
      <c r="R123" s="136"/>
      <c r="S123" s="137"/>
      <c r="T123" s="137"/>
    </row>
    <row r="124" spans="2:20" ht="15" customHeight="1" x14ac:dyDescent="0.2">
      <c r="B124" s="74">
        <v>483</v>
      </c>
      <c r="C124" s="137">
        <v>0.29274099999999997</v>
      </c>
      <c r="D124" s="137">
        <v>0.38540999999999997</v>
      </c>
      <c r="E124" s="137">
        <v>0.22931599999999999</v>
      </c>
      <c r="F124" s="136">
        <v>0.82799999999999996</v>
      </c>
      <c r="G124" s="137">
        <v>0.98300600000000005</v>
      </c>
      <c r="H124" s="74"/>
      <c r="J124" s="74">
        <v>483</v>
      </c>
      <c r="K124" s="136">
        <v>0.27118267276225316</v>
      </c>
      <c r="L124" s="136">
        <v>0.4313542854329912</v>
      </c>
      <c r="M124" s="136">
        <v>0.26906032606907121</v>
      </c>
      <c r="N124" s="136">
        <v>0.86659979939819454</v>
      </c>
      <c r="O124" s="136">
        <v>0.99516441305946868</v>
      </c>
      <c r="P124" s="74"/>
      <c r="Q124" s="137"/>
      <c r="R124" s="136"/>
      <c r="S124" s="137"/>
      <c r="T124" s="137"/>
    </row>
    <row r="125" spans="2:20" ht="15" customHeight="1" x14ac:dyDescent="0.2">
      <c r="B125" s="74">
        <v>484</v>
      </c>
      <c r="C125" s="137">
        <v>0.27533800000000003</v>
      </c>
      <c r="D125" s="137">
        <v>0.395646</v>
      </c>
      <c r="E125" s="137">
        <v>0.23668400000000001</v>
      </c>
      <c r="F125" s="136">
        <v>0.84</v>
      </c>
      <c r="G125" s="137">
        <v>0.98732500000000001</v>
      </c>
      <c r="H125" s="74"/>
      <c r="J125" s="74">
        <v>484</v>
      </c>
      <c r="K125" s="136">
        <v>0.25453429587693116</v>
      </c>
      <c r="L125" s="136">
        <v>0.44189560954710172</v>
      </c>
      <c r="M125" s="136">
        <v>0.27713155326539002</v>
      </c>
      <c r="N125" s="136">
        <v>0.87734277211800693</v>
      </c>
      <c r="O125" s="136">
        <v>0.99747167431904504</v>
      </c>
      <c r="P125" s="74"/>
      <c r="Q125" s="137"/>
      <c r="R125" s="136"/>
      <c r="S125" s="137"/>
      <c r="T125" s="137"/>
    </row>
    <row r="126" spans="2:20" ht="15" customHeight="1" x14ac:dyDescent="0.2">
      <c r="B126" s="74">
        <v>485</v>
      </c>
      <c r="C126" s="137">
        <v>0.25849699999999998</v>
      </c>
      <c r="D126" s="137">
        <v>0.40568799999999999</v>
      </c>
      <c r="E126" s="137">
        <v>0.24404600000000001</v>
      </c>
      <c r="F126" s="136">
        <v>0.85099999999999998</v>
      </c>
      <c r="G126" s="137">
        <v>0.99062099999999997</v>
      </c>
      <c r="H126" s="74"/>
      <c r="J126" s="74">
        <v>485</v>
      </c>
      <c r="K126" s="136">
        <v>0.23847303786655133</v>
      </c>
      <c r="L126" s="136">
        <v>0.45217723313232155</v>
      </c>
      <c r="M126" s="136">
        <v>0.28516248618002821</v>
      </c>
      <c r="N126" s="136">
        <v>0.88699914175516226</v>
      </c>
      <c r="O126" s="136">
        <v>0.99873803875051059</v>
      </c>
      <c r="P126" s="74"/>
      <c r="Q126" s="137"/>
      <c r="R126" s="136"/>
      <c r="S126" s="137"/>
      <c r="T126" s="137"/>
    </row>
    <row r="127" spans="2:20" ht="15" customHeight="1" x14ac:dyDescent="0.2">
      <c r="B127" s="74">
        <v>486</v>
      </c>
      <c r="C127" s="137">
        <v>0.24215800000000001</v>
      </c>
      <c r="D127" s="137">
        <v>0.415435</v>
      </c>
      <c r="E127" s="137">
        <v>0.25134699999999999</v>
      </c>
      <c r="F127" s="136">
        <v>0.86199999999999999</v>
      </c>
      <c r="G127" s="137">
        <v>0.99334299999999998</v>
      </c>
      <c r="H127" s="74"/>
      <c r="J127" s="74">
        <v>486</v>
      </c>
      <c r="K127" s="136">
        <v>0.22294003621607444</v>
      </c>
      <c r="L127" s="136">
        <v>0.46208841696217701</v>
      </c>
      <c r="M127" s="136">
        <v>0.29308923946485127</v>
      </c>
      <c r="N127" s="136">
        <v>0.89661577324566288</v>
      </c>
      <c r="O127" s="136">
        <v>0.9994216792608076</v>
      </c>
      <c r="P127" s="74"/>
      <c r="Q127" s="137"/>
      <c r="R127" s="136"/>
      <c r="S127" s="137"/>
      <c r="T127" s="137"/>
    </row>
    <row r="128" spans="2:20" ht="15" customHeight="1" x14ac:dyDescent="0.2">
      <c r="B128" s="74">
        <v>487</v>
      </c>
      <c r="C128" s="137">
        <v>0.22650400000000001</v>
      </c>
      <c r="D128" s="137">
        <v>0.425064</v>
      </c>
      <c r="E128" s="137">
        <v>0.25869500000000001</v>
      </c>
      <c r="F128" s="136">
        <v>0.873</v>
      </c>
      <c r="G128" s="137">
        <v>0.99588699999999997</v>
      </c>
      <c r="H128" s="74"/>
      <c r="J128" s="74">
        <v>487</v>
      </c>
      <c r="K128" s="136">
        <v>0.20810016772069026</v>
      </c>
      <c r="L128" s="136">
        <v>0.47182791586958001</v>
      </c>
      <c r="M128" s="136">
        <v>0.30103813229622955</v>
      </c>
      <c r="N128" s="136">
        <v>0.90619291138301972</v>
      </c>
      <c r="O128" s="136">
        <v>0.9999237906962003</v>
      </c>
      <c r="P128" s="74"/>
      <c r="Q128" s="137"/>
      <c r="R128" s="136"/>
      <c r="S128" s="137"/>
      <c r="T128" s="137"/>
    </row>
    <row r="129" spans="2:20" ht="15" customHeight="1" x14ac:dyDescent="0.2">
      <c r="B129" s="74">
        <v>488</v>
      </c>
      <c r="C129" s="137">
        <v>0.211726</v>
      </c>
      <c r="D129" s="137">
        <v>0.43485099999999999</v>
      </c>
      <c r="E129" s="137">
        <v>0.26625199999999999</v>
      </c>
      <c r="F129" s="136">
        <v>0.88400000000000001</v>
      </c>
      <c r="G129" s="137">
        <v>0.99800800000000001</v>
      </c>
      <c r="H129" s="74"/>
      <c r="J129" s="74">
        <v>488</v>
      </c>
      <c r="K129" s="136">
        <v>0.19412429265149797</v>
      </c>
      <c r="L129" s="136">
        <v>0.48170252196319174</v>
      </c>
      <c r="M129" s="136">
        <v>0.30919715838597583</v>
      </c>
      <c r="N129" s="136">
        <v>0.9157307989542397</v>
      </c>
      <c r="O129" s="136">
        <v>1</v>
      </c>
      <c r="P129" s="74"/>
      <c r="Q129" s="137"/>
      <c r="R129" s="136"/>
      <c r="S129" s="137"/>
      <c r="T129" s="137"/>
    </row>
    <row r="130" spans="2:20" ht="15" customHeight="1" x14ac:dyDescent="0.2">
      <c r="B130" s="74">
        <v>489</v>
      </c>
      <c r="C130" s="137">
        <v>0.19796</v>
      </c>
      <c r="D130" s="137">
        <v>0.44509700000000002</v>
      </c>
      <c r="E130" s="137">
        <v>0.274202</v>
      </c>
      <c r="F130" s="136">
        <v>0.89400000000000002</v>
      </c>
      <c r="G130" s="137">
        <v>0.99946100000000004</v>
      </c>
      <c r="H130" s="74"/>
      <c r="J130" s="74">
        <v>489</v>
      </c>
      <c r="K130" s="136">
        <v>0.18113154916379251</v>
      </c>
      <c r="L130" s="136">
        <v>0.4920441547105881</v>
      </c>
      <c r="M130" s="136">
        <v>0.31777826991209568</v>
      </c>
      <c r="N130" s="136">
        <v>0.92419590058519119</v>
      </c>
      <c r="O130" s="136">
        <v>0.99940793307712716</v>
      </c>
      <c r="P130" s="74"/>
      <c r="Q130" s="137"/>
      <c r="R130" s="136"/>
      <c r="S130" s="137"/>
      <c r="T130" s="137"/>
    </row>
    <row r="131" spans="2:20" ht="15" customHeight="1" x14ac:dyDescent="0.2">
      <c r="B131" s="74">
        <v>490</v>
      </c>
      <c r="C131" s="137">
        <v>0.18529699999999999</v>
      </c>
      <c r="D131" s="137">
        <v>0.45613700000000001</v>
      </c>
      <c r="E131" s="137">
        <v>0.282752</v>
      </c>
      <c r="F131" s="136">
        <v>0.90400000000000003</v>
      </c>
      <c r="G131" s="137">
        <v>1</v>
      </c>
      <c r="H131" s="74"/>
      <c r="J131" s="74">
        <v>490</v>
      </c>
      <c r="K131" s="136">
        <v>0.16919901230698217</v>
      </c>
      <c r="L131" s="136">
        <v>0.50321953351806548</v>
      </c>
      <c r="M131" s="136">
        <v>0.32701828959981982</v>
      </c>
      <c r="N131" s="136">
        <v>0.93262645078091422</v>
      </c>
      <c r="O131" s="136">
        <v>0.99790619649034751</v>
      </c>
      <c r="P131" s="74"/>
      <c r="Q131" s="137"/>
      <c r="R131" s="136"/>
      <c r="S131" s="137"/>
      <c r="T131" s="137"/>
    </row>
    <row r="132" spans="2:20" ht="15" customHeight="1" x14ac:dyDescent="0.2">
      <c r="B132" s="74">
        <v>491</v>
      </c>
      <c r="C132" s="137">
        <v>0.17375099999999999</v>
      </c>
      <c r="D132" s="137">
        <v>0.46823599999999999</v>
      </c>
      <c r="E132" s="137">
        <v>0.29207100000000003</v>
      </c>
      <c r="F132" s="136">
        <v>0.91400000000000003</v>
      </c>
      <c r="G132" s="137">
        <v>0.99956100000000003</v>
      </c>
      <c r="H132" s="74"/>
      <c r="J132" s="74">
        <v>491</v>
      </c>
      <c r="K132" s="136">
        <v>0.15833296193055846</v>
      </c>
      <c r="L132" s="136">
        <v>0.51551532213190487</v>
      </c>
      <c r="M132" s="136">
        <v>0.3371082512776189</v>
      </c>
      <c r="N132" s="136">
        <v>0.94102266064997442</v>
      </c>
      <c r="O132" s="136">
        <v>0.99543661237951775</v>
      </c>
      <c r="P132" s="74"/>
      <c r="Q132" s="137"/>
      <c r="R132" s="136"/>
      <c r="S132" s="137"/>
      <c r="T132" s="137"/>
    </row>
    <row r="133" spans="2:20" ht="15" customHeight="1" x14ac:dyDescent="0.2">
      <c r="B133" s="74">
        <v>492</v>
      </c>
      <c r="C133" s="137">
        <v>0.16314899999999999</v>
      </c>
      <c r="D133" s="137">
        <v>0.48125499999999999</v>
      </c>
      <c r="E133" s="137">
        <v>0.30209399999999997</v>
      </c>
      <c r="F133" s="136">
        <v>0.92300000000000004</v>
      </c>
      <c r="G133" s="137">
        <v>0.99836499999999995</v>
      </c>
      <c r="H133" s="74"/>
      <c r="J133" s="74">
        <v>492</v>
      </c>
      <c r="K133" s="136">
        <v>0.14836956688920105</v>
      </c>
      <c r="L133" s="136">
        <v>0.52877196454717412</v>
      </c>
      <c r="M133" s="136">
        <v>0.34796810187968097</v>
      </c>
      <c r="N133" s="136">
        <v>0.94835726692271938</v>
      </c>
      <c r="O133" s="136">
        <v>0.99222472303039011</v>
      </c>
      <c r="P133" s="74"/>
      <c r="Q133" s="137"/>
      <c r="R133" s="136"/>
      <c r="S133" s="137"/>
      <c r="T133" s="137"/>
    </row>
    <row r="134" spans="2:20" ht="15" customHeight="1" x14ac:dyDescent="0.2">
      <c r="B134" s="74">
        <v>493</v>
      </c>
      <c r="C134" s="137">
        <v>0.153311</v>
      </c>
      <c r="D134" s="137">
        <v>0.49492700000000001</v>
      </c>
      <c r="E134" s="137">
        <v>0.31267299999999998</v>
      </c>
      <c r="F134" s="136">
        <v>0.93200000000000005</v>
      </c>
      <c r="G134" s="137">
        <v>0.99658999999999998</v>
      </c>
      <c r="H134" s="74"/>
      <c r="J134" s="74">
        <v>493</v>
      </c>
      <c r="K134" s="136">
        <v>0.13913997232883674</v>
      </c>
      <c r="L134" s="136">
        <v>0.54269084645400734</v>
      </c>
      <c r="M134" s="136">
        <v>0.35942302792069525</v>
      </c>
      <c r="N134" s="136">
        <v>0.95566211820044322</v>
      </c>
      <c r="O134" s="136">
        <v>0.98845159191998888</v>
      </c>
      <c r="P134" s="74"/>
      <c r="Q134" s="137"/>
      <c r="R134" s="136"/>
      <c r="S134" s="137"/>
      <c r="T134" s="137"/>
    </row>
    <row r="135" spans="2:20" ht="15" customHeight="1" x14ac:dyDescent="0.2">
      <c r="B135" s="74">
        <v>494</v>
      </c>
      <c r="C135" s="137">
        <v>0.14408599999999999</v>
      </c>
      <c r="D135" s="137">
        <v>0.50894700000000004</v>
      </c>
      <c r="E135" s="137">
        <v>0.32363700000000001</v>
      </c>
      <c r="F135" s="136">
        <v>0.94099999999999995</v>
      </c>
      <c r="G135" s="137">
        <v>0.99441599999999997</v>
      </c>
      <c r="H135" s="74"/>
      <c r="J135" s="74">
        <v>494</v>
      </c>
      <c r="K135" s="136">
        <v>0.13050295679990709</v>
      </c>
      <c r="L135" s="136">
        <v>0.55693418855850019</v>
      </c>
      <c r="M135" s="136">
        <v>0.37127324603091533</v>
      </c>
      <c r="N135" s="136">
        <v>0.96293739518149579</v>
      </c>
      <c r="O135" s="136">
        <v>0.98429879607627768</v>
      </c>
      <c r="P135" s="74"/>
      <c r="Q135" s="137"/>
      <c r="R135" s="136"/>
      <c r="S135" s="137"/>
      <c r="T135" s="137"/>
    </row>
    <row r="136" spans="2:20" ht="15" customHeight="1" x14ac:dyDescent="0.2">
      <c r="B136" s="74">
        <v>495</v>
      </c>
      <c r="C136" s="137">
        <v>0.135351</v>
      </c>
      <c r="D136" s="137">
        <v>0.52297000000000005</v>
      </c>
      <c r="E136" s="137">
        <v>0.33478599999999997</v>
      </c>
      <c r="F136" s="136">
        <v>0.94899999999999995</v>
      </c>
      <c r="G136" s="137">
        <v>0.99202199999999996</v>
      </c>
      <c r="H136" s="74"/>
      <c r="J136" s="74">
        <v>495</v>
      </c>
      <c r="K136" s="136">
        <v>0.12234374923221596</v>
      </c>
      <c r="L136" s="136">
        <v>0.57112325803556729</v>
      </c>
      <c r="M136" s="136">
        <v>0.38328738594040068</v>
      </c>
      <c r="N136" s="136">
        <v>0.96916203154919289</v>
      </c>
      <c r="O136" s="136">
        <v>0.97994545741177019</v>
      </c>
      <c r="P136" s="74"/>
      <c r="Q136" s="137"/>
      <c r="R136" s="136"/>
      <c r="S136" s="137"/>
      <c r="T136" s="137"/>
    </row>
    <row r="137" spans="2:20" ht="15" customHeight="1" x14ac:dyDescent="0.2">
      <c r="B137" s="74">
        <v>496</v>
      </c>
      <c r="C137" s="137">
        <v>0.12701100000000001</v>
      </c>
      <c r="D137" s="137">
        <v>0.53670099999999998</v>
      </c>
      <c r="E137" s="137">
        <v>0.345943</v>
      </c>
      <c r="F137" s="136">
        <v>0.95699999999999996</v>
      </c>
      <c r="G137" s="137">
        <v>0.988792</v>
      </c>
      <c r="H137" s="74"/>
      <c r="J137" s="74">
        <v>496</v>
      </c>
      <c r="K137" s="136">
        <v>0.11457376229804041</v>
      </c>
      <c r="L137" s="136">
        <v>0.58493687009477646</v>
      </c>
      <c r="M137" s="136">
        <v>0.39526222225407476</v>
      </c>
      <c r="N137" s="136">
        <v>0.97536156857669776</v>
      </c>
      <c r="O137" s="136">
        <v>0.97478551468072772</v>
      </c>
      <c r="P137" s="74"/>
      <c r="Q137" s="137"/>
      <c r="R137" s="136"/>
      <c r="S137" s="137"/>
      <c r="T137" s="137"/>
    </row>
    <row r="138" spans="2:20" ht="15" customHeight="1" x14ac:dyDescent="0.2">
      <c r="B138" s="74">
        <v>497</v>
      </c>
      <c r="C138" s="137">
        <v>0.119017</v>
      </c>
      <c r="D138" s="137">
        <v>0.55019499999999999</v>
      </c>
      <c r="E138" s="137">
        <v>0.357126</v>
      </c>
      <c r="F138" s="136">
        <v>0.96399999999999997</v>
      </c>
      <c r="G138" s="137">
        <v>0.98421999999999998</v>
      </c>
      <c r="H138" s="74"/>
      <c r="J138" s="74">
        <v>497</v>
      </c>
      <c r="K138" s="136">
        <v>0.10714653371795177</v>
      </c>
      <c r="L138" s="136">
        <v>0.59843711358025231</v>
      </c>
      <c r="M138" s="136">
        <v>0.40721851699900896</v>
      </c>
      <c r="N138" s="136">
        <v>0.98051902185429518</v>
      </c>
      <c r="O138" s="136">
        <v>0.96832600802367719</v>
      </c>
      <c r="P138" s="74"/>
      <c r="Q138" s="137"/>
      <c r="R138" s="136"/>
      <c r="S138" s="137"/>
      <c r="T138" s="137"/>
    </row>
    <row r="139" spans="2:20" ht="15" customHeight="1" x14ac:dyDescent="0.2">
      <c r="B139" s="74">
        <v>498</v>
      </c>
      <c r="C139" s="137">
        <v>0.111333</v>
      </c>
      <c r="D139" s="137">
        <v>0.56361600000000001</v>
      </c>
      <c r="E139" s="137">
        <v>0.36841600000000002</v>
      </c>
      <c r="F139" s="136">
        <v>0.97</v>
      </c>
      <c r="G139" s="137">
        <v>0.978657</v>
      </c>
      <c r="H139" s="74"/>
      <c r="J139" s="74">
        <v>498</v>
      </c>
      <c r="K139" s="136">
        <v>0.10002765431429374</v>
      </c>
      <c r="L139" s="136">
        <v>0.6118038978849113</v>
      </c>
      <c r="M139" s="136">
        <v>0.41924855792562188</v>
      </c>
      <c r="N139" s="136">
        <v>0.98464066899493663</v>
      </c>
      <c r="O139" s="136">
        <v>0.96091940446574386</v>
      </c>
      <c r="P139" s="74"/>
      <c r="Q139" s="137"/>
      <c r="R139" s="136"/>
      <c r="S139" s="137"/>
      <c r="T139" s="137"/>
    </row>
    <row r="140" spans="2:20" ht="15" customHeight="1" x14ac:dyDescent="0.2">
      <c r="B140" s="74">
        <v>499</v>
      </c>
      <c r="C140" s="137">
        <v>0.103934</v>
      </c>
      <c r="D140" s="137">
        <v>0.57715000000000005</v>
      </c>
      <c r="E140" s="137">
        <v>0.37990699999999999</v>
      </c>
      <c r="F140" s="136">
        <v>0.97599999999999998</v>
      </c>
      <c r="G140" s="137">
        <v>0.97245099999999995</v>
      </c>
      <c r="H140" s="74"/>
      <c r="J140" s="74">
        <v>499</v>
      </c>
      <c r="K140" s="136">
        <v>9.3192853930290573E-2</v>
      </c>
      <c r="L140" s="136">
        <v>0.62523952333501431</v>
      </c>
      <c r="M140" s="136">
        <v>0.43145865704381109</v>
      </c>
      <c r="N140" s="136">
        <v>0.98874579650775984</v>
      </c>
      <c r="O140" s="136">
        <v>0.95291240592141291</v>
      </c>
      <c r="P140" s="74"/>
      <c r="Q140" s="137"/>
      <c r="R140" s="136"/>
      <c r="S140" s="137"/>
      <c r="T140" s="137"/>
    </row>
    <row r="141" spans="2:20" ht="15" customHeight="1" x14ac:dyDescent="0.2">
      <c r="B141" s="74">
        <v>500</v>
      </c>
      <c r="C141" s="137">
        <v>9.6798999999999996E-2</v>
      </c>
      <c r="D141" s="137">
        <v>0.59100299999999995</v>
      </c>
      <c r="E141" s="137">
        <v>0.39170500000000003</v>
      </c>
      <c r="F141" s="136">
        <v>0.98199999999999998</v>
      </c>
      <c r="G141" s="137">
        <v>0.96595200000000003</v>
      </c>
      <c r="H141" s="74"/>
      <c r="J141" s="74">
        <v>500</v>
      </c>
      <c r="K141" s="136">
        <v>8.6621636013845316E-2</v>
      </c>
      <c r="L141" s="136">
        <v>0.63896629496932222</v>
      </c>
      <c r="M141" s="136">
        <v>0.44396787695628498</v>
      </c>
      <c r="N141" s="136">
        <v>0.9928345035105316</v>
      </c>
      <c r="O141" s="136">
        <v>0.94465089658599932</v>
      </c>
      <c r="P141" s="74"/>
      <c r="Q141" s="137"/>
      <c r="R141" s="136"/>
      <c r="S141" s="137"/>
      <c r="T141" s="137"/>
    </row>
    <row r="142" spans="2:20" ht="15" customHeight="1" x14ac:dyDescent="0.2">
      <c r="B142" s="74">
        <v>501</v>
      </c>
      <c r="C142" s="137">
        <v>8.9916899999999994E-2</v>
      </c>
      <c r="D142" s="137">
        <v>0.60535000000000005</v>
      </c>
      <c r="E142" s="137">
        <v>0.40390500000000001</v>
      </c>
      <c r="F142" s="136">
        <v>0.98599999999999999</v>
      </c>
      <c r="G142" s="137">
        <v>0.95884400000000003</v>
      </c>
      <c r="H142" s="74"/>
      <c r="J142" s="74">
        <v>501</v>
      </c>
      <c r="K142" s="136">
        <v>8.0302509097584213E-2</v>
      </c>
      <c r="L142" s="136">
        <v>0.65317129400550744</v>
      </c>
      <c r="M142" s="136">
        <v>0.45688188688687209</v>
      </c>
      <c r="N142" s="136">
        <v>0.99488885819134054</v>
      </c>
      <c r="O142" s="136">
        <v>0.93582798571480941</v>
      </c>
      <c r="P142" s="74"/>
      <c r="Q142" s="137"/>
      <c r="R142" s="136"/>
      <c r="S142" s="137"/>
      <c r="T142" s="137"/>
    </row>
    <row r="143" spans="2:20" ht="15" customHeight="1" x14ac:dyDescent="0.2">
      <c r="B143" s="74">
        <v>502</v>
      </c>
      <c r="C143" s="137">
        <v>8.3287799999999995E-2</v>
      </c>
      <c r="D143" s="137">
        <v>0.62016000000000004</v>
      </c>
      <c r="E143" s="137">
        <v>0.41649999999999998</v>
      </c>
      <c r="F143" s="136">
        <v>0.99</v>
      </c>
      <c r="G143" s="137">
        <v>0.95071600000000001</v>
      </c>
      <c r="H143" s="74"/>
      <c r="J143" s="74">
        <v>502</v>
      </c>
      <c r="K143" s="136">
        <v>7.4234055791153164E-2</v>
      </c>
      <c r="L143" s="136">
        <v>0.66781828021166578</v>
      </c>
      <c r="M143" s="136">
        <v>0.47019036541263665</v>
      </c>
      <c r="N143" s="136">
        <v>0.99693502819214597</v>
      </c>
      <c r="O143" s="136">
        <v>0.92604669298054465</v>
      </c>
      <c r="P143" s="74"/>
      <c r="Q143" s="137"/>
      <c r="R143" s="136"/>
      <c r="S143" s="137"/>
      <c r="T143" s="137"/>
    </row>
    <row r="144" spans="2:20" ht="15" customHeight="1" x14ac:dyDescent="0.2">
      <c r="B144" s="74">
        <v>503</v>
      </c>
      <c r="C144" s="137">
        <v>7.6915700000000004E-2</v>
      </c>
      <c r="D144" s="137">
        <v>0.63534299999999999</v>
      </c>
      <c r="E144" s="137">
        <v>0.42945299999999997</v>
      </c>
      <c r="F144" s="136">
        <v>0.99399999999999999</v>
      </c>
      <c r="G144" s="137">
        <v>0.941778</v>
      </c>
      <c r="H144" s="74"/>
      <c r="J144" s="74">
        <v>503</v>
      </c>
      <c r="K144" s="136">
        <v>6.8418339118176019E-2</v>
      </c>
      <c r="L144" s="136">
        <v>0.68280789380547613</v>
      </c>
      <c r="M144" s="136">
        <v>0.48384927326686522</v>
      </c>
      <c r="N144" s="136">
        <v>0.99897306232813743</v>
      </c>
      <c r="O144" s="136">
        <v>0.91551687860827102</v>
      </c>
      <c r="P144" s="74"/>
      <c r="Q144" s="137"/>
      <c r="R144" s="136"/>
      <c r="S144" s="137"/>
      <c r="T144" s="137"/>
    </row>
    <row r="145" spans="2:20" ht="15" customHeight="1" x14ac:dyDescent="0.2">
      <c r="B145" s="74">
        <v>504</v>
      </c>
      <c r="C145" s="137">
        <v>7.0805199999999999E-2</v>
      </c>
      <c r="D145" s="137">
        <v>0.65079600000000004</v>
      </c>
      <c r="E145" s="137">
        <v>0.44272</v>
      </c>
      <c r="F145" s="136">
        <v>0.997</v>
      </c>
      <c r="G145" s="137">
        <v>0.93223599999999995</v>
      </c>
      <c r="H145" s="74"/>
      <c r="J145" s="74">
        <v>504</v>
      </c>
      <c r="K145" s="136">
        <v>6.2857938384344794E-2</v>
      </c>
      <c r="L145" s="136">
        <v>0.69802762009731267</v>
      </c>
      <c r="M145" s="136">
        <v>0.4978070497003193</v>
      </c>
      <c r="N145" s="136">
        <v>1</v>
      </c>
      <c r="O145" s="136">
        <v>0.90444285651939282</v>
      </c>
      <c r="P145" s="74"/>
      <c r="Q145" s="137"/>
      <c r="R145" s="136"/>
      <c r="S145" s="137"/>
      <c r="T145" s="137"/>
    </row>
    <row r="146" spans="2:20" ht="15" customHeight="1" x14ac:dyDescent="0.2">
      <c r="B146" s="74">
        <v>505</v>
      </c>
      <c r="C146" s="137">
        <v>6.4961400000000002E-2</v>
      </c>
      <c r="D146" s="137">
        <v>0.666404</v>
      </c>
      <c r="E146" s="137">
        <v>0.45625199999999999</v>
      </c>
      <c r="F146" s="136">
        <v>0.998</v>
      </c>
      <c r="G146" s="137">
        <v>0.92229899999999998</v>
      </c>
      <c r="H146" s="74"/>
      <c r="J146" s="74">
        <v>505</v>
      </c>
      <c r="K146" s="136">
        <v>5.755585546563121E-2</v>
      </c>
      <c r="L146" s="136">
        <v>0.71335299018809528</v>
      </c>
      <c r="M146" s="136">
        <v>0.51200693135546649</v>
      </c>
      <c r="N146" s="136">
        <v>0.99902082485079002</v>
      </c>
      <c r="O146" s="136">
        <v>0.89303022710347912</v>
      </c>
      <c r="P146" s="74"/>
      <c r="Q146" s="137"/>
      <c r="R146" s="136"/>
      <c r="S146" s="137"/>
      <c r="T146" s="137"/>
    </row>
    <row r="147" spans="2:20" ht="15" customHeight="1" x14ac:dyDescent="0.2">
      <c r="B147" s="74">
        <v>506</v>
      </c>
      <c r="C147" s="137">
        <v>5.9404899999999997E-2</v>
      </c>
      <c r="D147" s="137">
        <v>0.68205499999999997</v>
      </c>
      <c r="E147" s="137">
        <v>0.469997</v>
      </c>
      <c r="F147" s="138">
        <v>1</v>
      </c>
      <c r="G147" s="137">
        <v>0.91183199999999998</v>
      </c>
      <c r="H147" s="74"/>
      <c r="J147" s="74">
        <v>506</v>
      </c>
      <c r="K147" s="136">
        <v>5.2528774380558842E-2</v>
      </c>
      <c r="L147" s="136">
        <v>0.72866372412979041</v>
      </c>
      <c r="M147" s="136">
        <v>0.52638924364417961</v>
      </c>
      <c r="N147" s="136">
        <v>0.99904456452361023</v>
      </c>
      <c r="O147" s="136">
        <v>0.88115054041405416</v>
      </c>
      <c r="P147" s="74"/>
      <c r="Q147" s="137"/>
      <c r="R147" s="138"/>
      <c r="S147" s="137"/>
      <c r="T147" s="137"/>
    </row>
    <row r="148" spans="2:20" ht="15" customHeight="1" x14ac:dyDescent="0.2">
      <c r="B148" s="74">
        <v>507</v>
      </c>
      <c r="C148" s="137">
        <v>5.4207600000000002E-2</v>
      </c>
      <c r="D148" s="137">
        <v>0.69767199999999996</v>
      </c>
      <c r="E148" s="137">
        <v>0.48392600000000002</v>
      </c>
      <c r="F148" s="138">
        <v>1</v>
      </c>
      <c r="G148" s="137">
        <v>0.90060200000000001</v>
      </c>
      <c r="H148" s="74"/>
      <c r="J148" s="74">
        <v>507</v>
      </c>
      <c r="K148" s="136">
        <v>4.7838520064586165E-2</v>
      </c>
      <c r="L148" s="136">
        <v>0.7438778089280399</v>
      </c>
      <c r="M148" s="136">
        <v>0.54092049161384403</v>
      </c>
      <c r="N148" s="136">
        <v>0.99707406242395824</v>
      </c>
      <c r="O148" s="136">
        <v>0.86858184422501772</v>
      </c>
      <c r="P148" s="74"/>
      <c r="Q148" s="137"/>
      <c r="R148" s="138"/>
      <c r="S148" s="137"/>
      <c r="T148" s="137"/>
    </row>
    <row r="149" spans="2:20" ht="15" customHeight="1" x14ac:dyDescent="0.2">
      <c r="B149" s="74">
        <v>508</v>
      </c>
      <c r="C149" s="137">
        <v>4.9428100000000003E-2</v>
      </c>
      <c r="D149" s="137">
        <v>0.71318599999999999</v>
      </c>
      <c r="E149" s="137">
        <v>0.49801200000000001</v>
      </c>
      <c r="F149" s="138">
        <v>1</v>
      </c>
      <c r="G149" s="137">
        <v>0.88866299999999998</v>
      </c>
      <c r="H149" s="74"/>
      <c r="J149" s="74">
        <v>508</v>
      </c>
      <c r="K149" s="136">
        <v>4.3534716420818881E-2</v>
      </c>
      <c r="L149" s="136">
        <v>0.75892239039753973</v>
      </c>
      <c r="M149" s="136">
        <v>0.55556967520138179</v>
      </c>
      <c r="N149" s="136">
        <v>0.99511131820658827</v>
      </c>
      <c r="O149" s="136">
        <v>0.85538018504514524</v>
      </c>
      <c r="P149" s="74"/>
      <c r="Q149" s="137"/>
      <c r="R149" s="138"/>
      <c r="S149" s="137"/>
      <c r="T149" s="137"/>
    </row>
    <row r="150" spans="2:20" ht="15" customHeight="1" x14ac:dyDescent="0.2">
      <c r="B150" s="74">
        <v>509</v>
      </c>
      <c r="C150" s="137">
        <v>4.5099300000000002E-2</v>
      </c>
      <c r="D150" s="137">
        <v>0.72852600000000001</v>
      </c>
      <c r="E150" s="137">
        <v>0.51222699999999999</v>
      </c>
      <c r="F150" s="136">
        <v>0.998</v>
      </c>
      <c r="G150" s="137">
        <v>0.87607299999999999</v>
      </c>
      <c r="H150" s="74"/>
      <c r="J150" s="74">
        <v>509</v>
      </c>
      <c r="K150" s="136">
        <v>3.9644006099683222E-2</v>
      </c>
      <c r="L150" s="136">
        <v>0.77372306280285919</v>
      </c>
      <c r="M150" s="136">
        <v>0.57030492457596527</v>
      </c>
      <c r="N150" s="136">
        <v>0.99116997357494874</v>
      </c>
      <c r="O150" s="136">
        <v>0.84160501156417522</v>
      </c>
      <c r="P150" s="74"/>
      <c r="Q150" s="137"/>
      <c r="R150" s="136"/>
      <c r="S150" s="137"/>
      <c r="T150" s="137"/>
    </row>
    <row r="151" spans="2:20" ht="15" customHeight="1" x14ac:dyDescent="0.2">
      <c r="B151" s="74">
        <v>510</v>
      </c>
      <c r="C151" s="137">
        <v>4.1233699999999998E-2</v>
      </c>
      <c r="D151" s="137">
        <v>0.74361200000000005</v>
      </c>
      <c r="E151" s="137">
        <v>0.52653799999999995</v>
      </c>
      <c r="F151" s="136">
        <v>0.997</v>
      </c>
      <c r="G151" s="137">
        <v>0.86288799999999999</v>
      </c>
      <c r="H151" s="74"/>
      <c r="J151" s="74">
        <v>510</v>
      </c>
      <c r="K151" s="136">
        <v>3.6174925572518411E-2</v>
      </c>
      <c r="L151" s="136">
        <v>0.78819646437335633</v>
      </c>
      <c r="M151" s="136">
        <v>0.58508906386586024</v>
      </c>
      <c r="N151" s="136">
        <v>0.9882352941176471</v>
      </c>
      <c r="O151" s="136">
        <v>0.82731338866237225</v>
      </c>
      <c r="P151" s="74"/>
      <c r="Q151" s="137"/>
      <c r="R151" s="136"/>
      <c r="S151" s="137"/>
      <c r="T151" s="137"/>
    </row>
    <row r="152" spans="2:20" ht="15" customHeight="1" x14ac:dyDescent="0.2">
      <c r="B152" s="74">
        <v>511</v>
      </c>
      <c r="C152" s="137">
        <v>3.7814199999999999E-2</v>
      </c>
      <c r="D152" s="137">
        <v>0.75839599999999996</v>
      </c>
      <c r="E152" s="137">
        <v>0.54092300000000004</v>
      </c>
      <c r="F152" s="136">
        <v>0.99399999999999999</v>
      </c>
      <c r="G152" s="137">
        <v>0.84880100000000003</v>
      </c>
      <c r="H152" s="74"/>
      <c r="J152" s="74">
        <v>511</v>
      </c>
      <c r="K152" s="136">
        <v>3.3110026796854895E-2</v>
      </c>
      <c r="L152" s="136">
        <v>0.80229373811171656</v>
      </c>
      <c r="M152" s="136">
        <v>0.59989740748484155</v>
      </c>
      <c r="N152" s="136">
        <v>0.98333356233082814</v>
      </c>
      <c r="O152" s="136">
        <v>0.81221458115211287</v>
      </c>
      <c r="P152" s="74"/>
      <c r="Q152" s="137"/>
      <c r="R152" s="136"/>
      <c r="S152" s="137"/>
      <c r="T152" s="137"/>
    </row>
    <row r="153" spans="2:20" ht="15" customHeight="1" x14ac:dyDescent="0.2">
      <c r="B153" s="74">
        <v>512</v>
      </c>
      <c r="C153" s="137">
        <v>3.4762700000000001E-2</v>
      </c>
      <c r="D153" s="137">
        <v>0.77296600000000004</v>
      </c>
      <c r="E153" s="137">
        <v>0.55540599999999996</v>
      </c>
      <c r="F153" s="136">
        <v>0.99</v>
      </c>
      <c r="G153" s="137">
        <v>0.83367800000000003</v>
      </c>
      <c r="H153" s="74"/>
      <c r="J153" s="74">
        <v>512</v>
      </c>
      <c r="K153" s="136">
        <v>3.0378690902210428E-2</v>
      </c>
      <c r="L153" s="136">
        <v>0.81610999971469511</v>
      </c>
      <c r="M153" s="136">
        <v>0.61475637823740514</v>
      </c>
      <c r="N153" s="136">
        <v>0.97746364092276827</v>
      </c>
      <c r="O153" s="136">
        <v>0.79618534495715465</v>
      </c>
      <c r="P153" s="74"/>
      <c r="Q153" s="137"/>
      <c r="R153" s="136"/>
      <c r="S153" s="137"/>
      <c r="T153" s="137"/>
    </row>
    <row r="154" spans="2:20" ht="15" customHeight="1" x14ac:dyDescent="0.2">
      <c r="B154" s="74">
        <v>513</v>
      </c>
      <c r="C154" s="137">
        <v>3.2002900000000001E-2</v>
      </c>
      <c r="D154" s="137">
        <v>0.78745699999999996</v>
      </c>
      <c r="E154" s="137">
        <v>0.570025</v>
      </c>
      <c r="F154" s="136">
        <v>0.98599999999999999</v>
      </c>
      <c r="G154" s="137">
        <v>0.817832</v>
      </c>
      <c r="H154" s="74"/>
      <c r="J154" s="74">
        <v>513</v>
      </c>
      <c r="K154" s="136">
        <v>2.7912419583897022E-2</v>
      </c>
      <c r="L154" s="136">
        <v>0.82978914986436292</v>
      </c>
      <c r="M154" s="136">
        <v>0.62970765872785506</v>
      </c>
      <c r="N154" s="136">
        <v>0.97161660419856055</v>
      </c>
      <c r="O154" s="136">
        <v>0.77952946206465112</v>
      </c>
      <c r="P154" s="74"/>
      <c r="Q154" s="137"/>
      <c r="R154" s="136"/>
      <c r="S154" s="137"/>
      <c r="T154" s="137"/>
    </row>
    <row r="155" spans="2:20" ht="15" customHeight="1" x14ac:dyDescent="0.2">
      <c r="B155" s="74">
        <v>514</v>
      </c>
      <c r="C155" s="137">
        <v>2.94746E-2</v>
      </c>
      <c r="D155" s="137">
        <v>0.80201699999999998</v>
      </c>
      <c r="E155" s="137">
        <v>0.58482800000000001</v>
      </c>
      <c r="F155" s="136">
        <v>0.98099999999999998</v>
      </c>
      <c r="G155" s="137">
        <v>0.80157900000000004</v>
      </c>
      <c r="H155" s="74"/>
      <c r="J155" s="74">
        <v>514</v>
      </c>
      <c r="K155" s="136">
        <v>2.5657262442111337E-2</v>
      </c>
      <c r="L155" s="136">
        <v>0.84348764159625944</v>
      </c>
      <c r="M155" s="136">
        <v>0.64480363270826391</v>
      </c>
      <c r="N155" s="136">
        <v>0.96480882335723117</v>
      </c>
      <c r="O155" s="136">
        <v>0.76255120433366308</v>
      </c>
      <c r="P155" s="74"/>
      <c r="Q155" s="137"/>
      <c r="R155" s="136"/>
      <c r="S155" s="137"/>
      <c r="T155" s="137"/>
    </row>
    <row r="156" spans="2:20" ht="15" customHeight="1" x14ac:dyDescent="0.2">
      <c r="B156" s="74">
        <v>515</v>
      </c>
      <c r="C156" s="137">
        <v>2.7130000000000001E-2</v>
      </c>
      <c r="D156" s="137">
        <v>0.81680799999999998</v>
      </c>
      <c r="E156" s="137">
        <v>0.59986700000000004</v>
      </c>
      <c r="F156" s="136">
        <v>0.97499999999999998</v>
      </c>
      <c r="G156" s="137">
        <v>0.78523299999999996</v>
      </c>
      <c r="H156" s="74"/>
      <c r="J156" s="74">
        <v>515</v>
      </c>
      <c r="K156" s="136">
        <v>2.3570461191433151E-2</v>
      </c>
      <c r="L156" s="136">
        <v>0.85737540809766422</v>
      </c>
      <c r="M156" s="136">
        <v>0.66010067871350031</v>
      </c>
      <c r="N156" s="136">
        <v>0.95704589496645265</v>
      </c>
      <c r="O156" s="136">
        <v>0.74555058141837949</v>
      </c>
      <c r="P156" s="74"/>
      <c r="Q156" s="137"/>
      <c r="R156" s="136"/>
      <c r="S156" s="137"/>
      <c r="T156" s="137"/>
    </row>
    <row r="157" spans="2:20" ht="15" customHeight="1" x14ac:dyDescent="0.2">
      <c r="B157" s="74">
        <v>516</v>
      </c>
      <c r="C157" s="137">
        <v>2.4937600000000001E-2</v>
      </c>
      <c r="D157" s="137">
        <v>0.83191899999999996</v>
      </c>
      <c r="E157" s="137">
        <v>0.61516199999999999</v>
      </c>
      <c r="F157" s="136">
        <v>0.96799999999999997</v>
      </c>
      <c r="G157" s="137">
        <v>0.76871800000000001</v>
      </c>
      <c r="H157" s="74"/>
      <c r="J157" s="74">
        <v>516</v>
      </c>
      <c r="K157" s="136">
        <v>2.1623722951712106E-2</v>
      </c>
      <c r="L157" s="136">
        <v>0.87154458814146729</v>
      </c>
      <c r="M157" s="136">
        <v>0.67561959330299637</v>
      </c>
      <c r="N157" s="136">
        <v>0.94833337220965219</v>
      </c>
      <c r="O157" s="136">
        <v>0.72845570391724179</v>
      </c>
      <c r="P157" s="74"/>
      <c r="Q157" s="137"/>
      <c r="R157" s="136"/>
      <c r="S157" s="137"/>
      <c r="T157" s="137"/>
    </row>
    <row r="158" spans="2:20" ht="15" customHeight="1" x14ac:dyDescent="0.2">
      <c r="B158" s="74">
        <v>517</v>
      </c>
      <c r="C158" s="137">
        <v>2.28931E-2</v>
      </c>
      <c r="D158" s="137">
        <v>0.84709599999999996</v>
      </c>
      <c r="E158" s="137">
        <v>0.63056900000000005</v>
      </c>
      <c r="F158" s="136">
        <v>0.96099999999999997</v>
      </c>
      <c r="G158" s="137">
        <v>0.751807</v>
      </c>
      <c r="H158" s="74"/>
      <c r="J158" s="74">
        <v>517</v>
      </c>
      <c r="K158" s="136">
        <v>1.9812513603270101E-2</v>
      </c>
      <c r="L158" s="136">
        <v>0.88572796505150653</v>
      </c>
      <c r="M158" s="136">
        <v>0.69120124274543659</v>
      </c>
      <c r="N158" s="136">
        <v>0.93965455360278127</v>
      </c>
      <c r="O158" s="136">
        <v>0.71105242416588221</v>
      </c>
      <c r="P158" s="74"/>
      <c r="Q158" s="137"/>
      <c r="R158" s="136"/>
      <c r="S158" s="137"/>
      <c r="T158" s="137"/>
    </row>
    <row r="159" spans="2:20" ht="15" customHeight="1" x14ac:dyDescent="0.2">
      <c r="B159" s="74">
        <v>518</v>
      </c>
      <c r="C159" s="137">
        <v>2.09956E-2</v>
      </c>
      <c r="D159" s="137">
        <v>0.86197199999999996</v>
      </c>
      <c r="E159" s="137">
        <v>0.64588299999999998</v>
      </c>
      <c r="F159" s="136">
        <v>0.95299999999999996</v>
      </c>
      <c r="G159" s="137">
        <v>0.73459300000000005</v>
      </c>
      <c r="H159" s="74"/>
      <c r="J159" s="74">
        <v>518</v>
      </c>
      <c r="K159" s="136">
        <v>1.8135270840973727E-2</v>
      </c>
      <c r="L159" s="136">
        <v>0.89954246031092178</v>
      </c>
      <c r="M159" s="136">
        <v>0.70662098578183075</v>
      </c>
      <c r="N159" s="136">
        <v>0.93003334327306231</v>
      </c>
      <c r="O159" s="136">
        <v>0.69343031705257252</v>
      </c>
      <c r="P159" s="74"/>
      <c r="Q159" s="137"/>
      <c r="R159" s="136"/>
      <c r="S159" s="137"/>
      <c r="T159" s="137"/>
    </row>
    <row r="160" spans="2:20" ht="15" customHeight="1" x14ac:dyDescent="0.2">
      <c r="B160" s="74">
        <v>519</v>
      </c>
      <c r="C160" s="137">
        <v>1.9242700000000001E-2</v>
      </c>
      <c r="D160" s="137">
        <v>0.87615200000000004</v>
      </c>
      <c r="E160" s="137">
        <v>0.66088000000000002</v>
      </c>
      <c r="F160" s="136">
        <v>0.94399999999999995</v>
      </c>
      <c r="G160" s="137">
        <v>0.71716899999999995</v>
      </c>
      <c r="H160" s="74"/>
      <c r="J160" s="74">
        <v>519</v>
      </c>
      <c r="K160" s="136">
        <v>1.6589151249050721E-2</v>
      </c>
      <c r="L160" s="136">
        <v>0.91257878371400991</v>
      </c>
      <c r="M160" s="136">
        <v>0.72163516580893394</v>
      </c>
      <c r="N160" s="136">
        <v>0.91947518857149479</v>
      </c>
      <c r="O160" s="136">
        <v>0.67567826710035672</v>
      </c>
      <c r="P160" s="74"/>
      <c r="Q160" s="137"/>
      <c r="R160" s="136"/>
      <c r="S160" s="137"/>
      <c r="T160" s="137"/>
    </row>
    <row r="161" spans="2:20" ht="15" customHeight="1" x14ac:dyDescent="0.2">
      <c r="B161" s="74">
        <v>520</v>
      </c>
      <c r="C161" s="137">
        <v>1.7629800000000001E-2</v>
      </c>
      <c r="D161" s="137">
        <v>0.88921399999999995</v>
      </c>
      <c r="E161" s="137">
        <v>0.67531300000000005</v>
      </c>
      <c r="F161" s="136">
        <v>0.93500000000000005</v>
      </c>
      <c r="G161" s="137">
        <v>0.69962800000000003</v>
      </c>
      <c r="H161" s="74"/>
      <c r="J161" s="74">
        <v>520</v>
      </c>
      <c r="K161" s="136">
        <v>1.5169440309269828E-2</v>
      </c>
      <c r="L161" s="136">
        <v>0.92440272497453624</v>
      </c>
      <c r="M161" s="136">
        <v>0.73597693439573264</v>
      </c>
      <c r="N161" s="136">
        <v>0.90895764215724095</v>
      </c>
      <c r="O161" s="136">
        <v>0.65788447510517867</v>
      </c>
      <c r="P161" s="74"/>
      <c r="Q161" s="137"/>
      <c r="R161" s="136"/>
      <c r="S161" s="137"/>
      <c r="T161" s="137"/>
    </row>
    <row r="162" spans="2:20" ht="15" customHeight="1" x14ac:dyDescent="0.2">
      <c r="B162" s="74">
        <v>521</v>
      </c>
      <c r="C162" s="137">
        <v>1.6150100000000001E-2</v>
      </c>
      <c r="D162" s="137">
        <v>0.90081199999999995</v>
      </c>
      <c r="E162" s="137">
        <v>0.688975</v>
      </c>
      <c r="F162" s="136">
        <v>0.92500000000000004</v>
      </c>
      <c r="G162" s="137">
        <v>0.68188800000000005</v>
      </c>
      <c r="H162" s="74"/>
      <c r="J162" s="74">
        <v>521</v>
      </c>
      <c r="K162" s="136">
        <v>1.3869570357778234E-2</v>
      </c>
      <c r="L162" s="136">
        <v>0.93466226336452707</v>
      </c>
      <c r="M162" s="136">
        <v>0.74942500141295387</v>
      </c>
      <c r="N162" s="136">
        <v>0.89751018891607648</v>
      </c>
      <c r="O162" s="136">
        <v>0.63997222197904213</v>
      </c>
      <c r="P162" s="74"/>
      <c r="Q162" s="137"/>
      <c r="R162" s="136"/>
      <c r="S162" s="137"/>
      <c r="T162" s="137"/>
    </row>
    <row r="163" spans="2:20" ht="15" customHeight="1" x14ac:dyDescent="0.2">
      <c r="B163" s="74">
        <v>522</v>
      </c>
      <c r="C163" s="137">
        <v>1.47911E-2</v>
      </c>
      <c r="D163" s="137">
        <v>0.91100599999999998</v>
      </c>
      <c r="E163" s="137">
        <v>0.70188600000000001</v>
      </c>
      <c r="F163" s="136">
        <v>0.91500000000000004</v>
      </c>
      <c r="G163" s="137">
        <v>0.66388100000000005</v>
      </c>
      <c r="H163" s="74"/>
      <c r="J163" s="74">
        <v>522</v>
      </c>
      <c r="K163" s="136">
        <v>1.2678138323089802E-2</v>
      </c>
      <c r="L163" s="136">
        <v>0.94342852509332475</v>
      </c>
      <c r="M163" s="136">
        <v>0.76200621618138287</v>
      </c>
      <c r="N163" s="136">
        <v>0.88610659564901595</v>
      </c>
      <c r="O163" s="136">
        <v>0.6218784907658661</v>
      </c>
      <c r="P163" s="74"/>
      <c r="Q163" s="137"/>
      <c r="R163" s="136"/>
      <c r="S163" s="137"/>
      <c r="T163" s="137"/>
    </row>
    <row r="164" spans="2:20" ht="15" customHeight="1" x14ac:dyDescent="0.2">
      <c r="B164" s="74">
        <v>523</v>
      </c>
      <c r="C164" s="137">
        <v>1.3540699999999999E-2</v>
      </c>
      <c r="D164" s="137">
        <v>0.91996800000000001</v>
      </c>
      <c r="E164" s="137">
        <v>0.71414</v>
      </c>
      <c r="F164" s="136">
        <v>0.90400000000000003</v>
      </c>
      <c r="G164" s="137">
        <v>0.64572399999999996</v>
      </c>
      <c r="H164" s="74"/>
      <c r="J164" s="74">
        <v>523</v>
      </c>
      <c r="K164" s="136">
        <v>1.1584170549506485E-2</v>
      </c>
      <c r="L164" s="136">
        <v>0.95088785667136289</v>
      </c>
      <c r="M164" s="136">
        <v>0.77382740755040869</v>
      </c>
      <c r="N164" s="136">
        <v>0.87378003992858122</v>
      </c>
      <c r="O164" s="136">
        <v>0.60371371052206735</v>
      </c>
      <c r="P164" s="74"/>
      <c r="Q164" s="137"/>
      <c r="R164" s="136"/>
      <c r="S164" s="137"/>
      <c r="T164" s="137"/>
    </row>
    <row r="165" spans="2:20" ht="15" customHeight="1" x14ac:dyDescent="0.2">
      <c r="B165" s="74">
        <v>524</v>
      </c>
      <c r="C165" s="137">
        <v>1.2388400000000001E-2</v>
      </c>
      <c r="D165" s="137">
        <v>0.92788999999999999</v>
      </c>
      <c r="E165" s="137">
        <v>0.72584099999999996</v>
      </c>
      <c r="F165" s="136">
        <v>0.89200000000000002</v>
      </c>
      <c r="G165" s="137">
        <v>0.62753300000000001</v>
      </c>
      <c r="H165" s="74"/>
      <c r="J165" s="74">
        <v>524</v>
      </c>
      <c r="K165" s="136">
        <v>1.0578143349474716E-2</v>
      </c>
      <c r="L165" s="136">
        <v>0.95724581486005478</v>
      </c>
      <c r="M165" s="136">
        <v>0.78500540399723129</v>
      </c>
      <c r="N165" s="136">
        <v>0.86053580589095535</v>
      </c>
      <c r="O165" s="136">
        <v>0.58558653417760853</v>
      </c>
      <c r="P165" s="74"/>
      <c r="Q165" s="137"/>
      <c r="R165" s="136"/>
      <c r="S165" s="137"/>
      <c r="T165" s="137"/>
    </row>
    <row r="166" spans="2:20" ht="15" customHeight="1" x14ac:dyDescent="0.2">
      <c r="B166" s="74">
        <v>525</v>
      </c>
      <c r="C166" s="137">
        <v>1.1325200000000001E-2</v>
      </c>
      <c r="D166" s="137">
        <v>0.93497699999999995</v>
      </c>
      <c r="E166" s="137">
        <v>0.73710799999999999</v>
      </c>
      <c r="F166" s="136">
        <v>0.88</v>
      </c>
      <c r="G166" s="137">
        <v>0.60942200000000002</v>
      </c>
      <c r="H166" s="74"/>
      <c r="J166" s="74">
        <v>525</v>
      </c>
      <c r="K166" s="136">
        <v>9.6518839695215377E-3</v>
      </c>
      <c r="L166" s="136">
        <v>0.96271977601198533</v>
      </c>
      <c r="M166" s="136">
        <v>0.79567233564980755</v>
      </c>
      <c r="N166" s="136">
        <v>0.84734202607823472</v>
      </c>
      <c r="O166" s="136">
        <v>0.56760292407237112</v>
      </c>
      <c r="P166" s="74"/>
      <c r="Q166" s="137"/>
      <c r="R166" s="136"/>
      <c r="S166" s="137"/>
      <c r="T166" s="137"/>
    </row>
    <row r="167" spans="2:20" ht="15" customHeight="1" x14ac:dyDescent="0.2">
      <c r="B167" s="74">
        <v>526</v>
      </c>
      <c r="C167" s="137">
        <v>1.0343700000000001E-2</v>
      </c>
      <c r="D167" s="137">
        <v>0.94141399999999997</v>
      </c>
      <c r="E167" s="137">
        <v>0.74804599999999999</v>
      </c>
      <c r="F167" s="136">
        <v>0.86699999999999999</v>
      </c>
      <c r="G167" s="137">
        <v>0.59133899999999995</v>
      </c>
      <c r="H167" s="74"/>
      <c r="J167" s="74">
        <v>526</v>
      </c>
      <c r="K167" s="136">
        <v>8.7986428114949257E-3</v>
      </c>
      <c r="L167" s="136">
        <v>0.96750490913569875</v>
      </c>
      <c r="M167" s="136">
        <v>0.80594424425390632</v>
      </c>
      <c r="N167" s="136">
        <v>0.83323735464949977</v>
      </c>
      <c r="O167" s="136">
        <v>0.54971372174893296</v>
      </c>
      <c r="P167" s="74"/>
      <c r="Q167" s="137"/>
      <c r="R167" s="136"/>
      <c r="S167" s="137"/>
      <c r="T167" s="137"/>
    </row>
    <row r="168" spans="2:20" ht="15" customHeight="1" x14ac:dyDescent="0.2">
      <c r="B168" s="74">
        <v>527</v>
      </c>
      <c r="C168" s="137">
        <v>9.4409200000000002E-3</v>
      </c>
      <c r="D168" s="137">
        <v>0.94727899999999998</v>
      </c>
      <c r="E168" s="137">
        <v>0.75868400000000003</v>
      </c>
      <c r="F168" s="136">
        <v>0.85399999999999998</v>
      </c>
      <c r="G168" s="137">
        <v>0.57320700000000002</v>
      </c>
      <c r="H168" s="74"/>
      <c r="J168" s="74">
        <v>527</v>
      </c>
      <c r="K168" s="136">
        <v>8.0154741498893109E-3</v>
      </c>
      <c r="L168" s="136">
        <v>0.97168514508233217</v>
      </c>
      <c r="M168" s="136">
        <v>0.81585456380994548</v>
      </c>
      <c r="N168" s="136">
        <v>0.8191862113855799</v>
      </c>
      <c r="O168" s="136">
        <v>0.53184694575731473</v>
      </c>
      <c r="P168" s="74"/>
      <c r="Q168" s="137"/>
      <c r="R168" s="136"/>
      <c r="S168" s="137"/>
      <c r="T168" s="137"/>
    </row>
    <row r="169" spans="2:20" ht="15" customHeight="1" x14ac:dyDescent="0.2">
      <c r="B169" s="74">
        <v>528</v>
      </c>
      <c r="C169" s="137">
        <v>8.6136500000000005E-3</v>
      </c>
      <c r="D169" s="137">
        <v>0.95262199999999997</v>
      </c>
      <c r="E169" s="137">
        <v>0.76903200000000005</v>
      </c>
      <c r="F169" s="136">
        <v>0.84</v>
      </c>
      <c r="G169" s="137">
        <v>0.55510499999999996</v>
      </c>
      <c r="H169" s="74"/>
      <c r="J169" s="74">
        <v>528</v>
      </c>
      <c r="K169" s="136">
        <v>7.2992596718952736E-3</v>
      </c>
      <c r="L169" s="136">
        <v>0.97531511185457254</v>
      </c>
      <c r="M169" s="136">
        <v>0.82541608198367278</v>
      </c>
      <c r="N169" s="136">
        <v>0.8042308744415062</v>
      </c>
      <c r="O169" s="136">
        <v>0.51407562956318065</v>
      </c>
      <c r="P169" s="74"/>
      <c r="Q169" s="137"/>
      <c r="R169" s="136"/>
      <c r="S169" s="137"/>
      <c r="T169" s="137"/>
    </row>
    <row r="170" spans="2:20" ht="15" customHeight="1" x14ac:dyDescent="0.2">
      <c r="B170" s="74">
        <v>529</v>
      </c>
      <c r="C170" s="137">
        <v>7.8583100000000003E-3</v>
      </c>
      <c r="D170" s="137">
        <v>0.95749799999999996</v>
      </c>
      <c r="E170" s="137">
        <v>0.77909899999999999</v>
      </c>
      <c r="F170" s="136">
        <v>0.82599999999999996</v>
      </c>
      <c r="G170" s="137">
        <v>0.53711200000000003</v>
      </c>
      <c r="H170" s="74"/>
      <c r="J170" s="74">
        <v>529</v>
      </c>
      <c r="K170" s="136">
        <v>6.6465916960698427E-3</v>
      </c>
      <c r="L170" s="136">
        <v>0.97845413382066115</v>
      </c>
      <c r="M170" s="136">
        <v>0.8346404184584163</v>
      </c>
      <c r="N170" s="136">
        <v>0.78933207941404548</v>
      </c>
      <c r="O170" s="136">
        <v>0.49647225439426945</v>
      </c>
      <c r="P170" s="74"/>
      <c r="Q170" s="137"/>
      <c r="R170" s="136"/>
      <c r="S170" s="137"/>
      <c r="T170" s="137"/>
    </row>
    <row r="171" spans="2:20" ht="15" customHeight="1" x14ac:dyDescent="0.2">
      <c r="B171" s="74">
        <v>530</v>
      </c>
      <c r="C171" s="137">
        <v>7.1708900000000001E-3</v>
      </c>
      <c r="D171" s="137">
        <v>0.96196199999999998</v>
      </c>
      <c r="E171" s="137">
        <v>0.78890000000000005</v>
      </c>
      <c r="F171" s="136">
        <v>0.81100000000000005</v>
      </c>
      <c r="G171" s="137">
        <v>0.51930900000000002</v>
      </c>
      <c r="H171" s="74"/>
      <c r="J171" s="74">
        <v>530</v>
      </c>
      <c r="K171" s="136">
        <v>6.0537252497279747E-3</v>
      </c>
      <c r="L171" s="136">
        <v>0.98116108761775778</v>
      </c>
      <c r="M171" s="136">
        <v>0.84354552082974743</v>
      </c>
      <c r="N171" s="136">
        <v>0.77353570144395456</v>
      </c>
      <c r="O171" s="136">
        <v>0.47911059963522812</v>
      </c>
      <c r="P171" s="74"/>
      <c r="Q171" s="137"/>
      <c r="R171" s="136"/>
      <c r="S171" s="137"/>
      <c r="T171" s="137"/>
    </row>
    <row r="172" spans="2:20" ht="15" customHeight="1" x14ac:dyDescent="0.2">
      <c r="B172" s="74">
        <v>531</v>
      </c>
      <c r="C172" s="137">
        <v>6.5464800000000004E-3</v>
      </c>
      <c r="D172" s="137">
        <v>0.96608000000000005</v>
      </c>
      <c r="E172" s="137">
        <v>0.79847199999999996</v>
      </c>
      <c r="F172" s="136">
        <v>0.79600000000000004</v>
      </c>
      <c r="G172" s="137">
        <v>0.50164500000000001</v>
      </c>
      <c r="H172" s="74"/>
      <c r="J172" s="74">
        <v>531</v>
      </c>
      <c r="K172" s="136">
        <v>5.5161852142439002E-3</v>
      </c>
      <c r="L172" s="136">
        <v>0.9835056047796451</v>
      </c>
      <c r="M172" s="136">
        <v>0.85217268108953392</v>
      </c>
      <c r="N172" s="136">
        <v>0.75779882018938172</v>
      </c>
      <c r="O172" s="136">
        <v>0.46194233602601914</v>
      </c>
      <c r="P172" s="74"/>
      <c r="Q172" s="137"/>
      <c r="R172" s="136"/>
      <c r="S172" s="137"/>
      <c r="T172" s="137"/>
    </row>
    <row r="173" spans="2:20" ht="15" customHeight="1" x14ac:dyDescent="0.2">
      <c r="B173" s="74">
        <v>532</v>
      </c>
      <c r="C173" s="137">
        <v>5.9777700000000003E-3</v>
      </c>
      <c r="D173" s="137">
        <v>0.96996599999999999</v>
      </c>
      <c r="E173" s="137">
        <v>0.80794500000000002</v>
      </c>
      <c r="F173" s="136">
        <v>0.78100000000000003</v>
      </c>
      <c r="G173" s="137">
        <v>0.48406700000000003</v>
      </c>
      <c r="H173" s="74"/>
      <c r="J173" s="74">
        <v>532</v>
      </c>
      <c r="K173" s="136">
        <v>5.0275116353661548E-3</v>
      </c>
      <c r="L173" s="136">
        <v>0.98560556723859616</v>
      </c>
      <c r="M173" s="136">
        <v>0.86066194884520575</v>
      </c>
      <c r="N173" s="136">
        <v>0.74212110014253285</v>
      </c>
      <c r="O173" s="136">
        <v>0.44491765943624362</v>
      </c>
      <c r="P173" s="74"/>
      <c r="Q173" s="137"/>
      <c r="R173" s="136"/>
      <c r="S173" s="137"/>
      <c r="T173" s="137"/>
    </row>
    <row r="174" spans="2:20" ht="15" customHeight="1" x14ac:dyDescent="0.2">
      <c r="B174" s="74">
        <v>533</v>
      </c>
      <c r="C174" s="137">
        <v>5.4579399999999997E-3</v>
      </c>
      <c r="D174" s="137">
        <v>0.97374300000000003</v>
      </c>
      <c r="E174" s="137">
        <v>0.81747800000000004</v>
      </c>
      <c r="F174" s="136">
        <v>0.76500000000000001</v>
      </c>
      <c r="G174" s="137">
        <v>0.46664299999999997</v>
      </c>
      <c r="H174" s="74"/>
      <c r="J174" s="74">
        <v>533</v>
      </c>
      <c r="K174" s="136">
        <v>4.5817043725895458E-3</v>
      </c>
      <c r="L174" s="136">
        <v>0.98758710021613483</v>
      </c>
      <c r="M174" s="136">
        <v>0.86918315691365911</v>
      </c>
      <c r="N174" s="136">
        <v>0.72555377201021454</v>
      </c>
      <c r="O174" s="136">
        <v>0.42809814486291586</v>
      </c>
      <c r="P174" s="74"/>
      <c r="Q174" s="137"/>
      <c r="R174" s="136"/>
      <c r="S174" s="137"/>
      <c r="T174" s="137"/>
    </row>
    <row r="175" spans="2:20" ht="15" customHeight="1" x14ac:dyDescent="0.2">
      <c r="B175" s="74">
        <v>534</v>
      </c>
      <c r="C175" s="137">
        <v>4.9812499999999996E-3</v>
      </c>
      <c r="D175" s="137">
        <v>0.97753900000000005</v>
      </c>
      <c r="E175" s="137">
        <v>0.82723899999999995</v>
      </c>
      <c r="F175" s="136">
        <v>0.749</v>
      </c>
      <c r="G175" s="137">
        <v>0.44944200000000001</v>
      </c>
      <c r="H175" s="74"/>
      <c r="J175" s="74">
        <v>534</v>
      </c>
      <c r="K175" s="136">
        <v>4.1737131457540806E-3</v>
      </c>
      <c r="L175" s="136">
        <v>0.98958044576618709</v>
      </c>
      <c r="M175" s="136">
        <v>0.87791441728232522</v>
      </c>
      <c r="N175" s="136">
        <v>0.70904849379599466</v>
      </c>
      <c r="O175" s="136">
        <v>0.41154582174883375</v>
      </c>
      <c r="P175" s="74"/>
      <c r="Q175" s="137"/>
      <c r="R175" s="136"/>
      <c r="S175" s="137"/>
      <c r="T175" s="137"/>
    </row>
    <row r="176" spans="2:20" ht="15" customHeight="1" x14ac:dyDescent="0.2">
      <c r="B176" s="74">
        <v>535</v>
      </c>
      <c r="C176" s="137">
        <v>4.5428700000000001E-3</v>
      </c>
      <c r="D176" s="137">
        <v>0.98148100000000005</v>
      </c>
      <c r="E176" s="137">
        <v>0.83740300000000001</v>
      </c>
      <c r="F176" s="136">
        <v>0.73299999999999998</v>
      </c>
      <c r="G176" s="137">
        <v>0.432533</v>
      </c>
      <c r="H176" s="74"/>
      <c r="J176" s="74">
        <v>535</v>
      </c>
      <c r="K176" s="136">
        <v>3.7992864836907691E-3</v>
      </c>
      <c r="L176" s="136">
        <v>0.99171386174437304</v>
      </c>
      <c r="M176" s="136">
        <v>0.8870399251840746</v>
      </c>
      <c r="N176" s="136">
        <v>0.69260491755640752</v>
      </c>
      <c r="O176" s="136">
        <v>0.39532225576526009</v>
      </c>
      <c r="P176" s="74"/>
      <c r="Q176" s="137"/>
      <c r="R176" s="136"/>
      <c r="S176" s="137"/>
      <c r="T176" s="137"/>
    </row>
    <row r="177" spans="2:20" ht="15" customHeight="1" x14ac:dyDescent="0.2">
      <c r="B177" s="74">
        <v>536</v>
      </c>
      <c r="C177" s="137">
        <v>4.1390799999999998E-3</v>
      </c>
      <c r="D177" s="137">
        <v>0.98562899999999998</v>
      </c>
      <c r="E177" s="137">
        <v>0.848078</v>
      </c>
      <c r="F177" s="136">
        <v>0.71699999999999997</v>
      </c>
      <c r="G177" s="137">
        <v>0.41586200000000001</v>
      </c>
      <c r="H177" s="74"/>
      <c r="J177" s="74">
        <v>536</v>
      </c>
      <c r="K177" s="136">
        <v>3.4551312242974753E-3</v>
      </c>
      <c r="L177" s="136">
        <v>0.99404707662341785</v>
      </c>
      <c r="M177" s="136">
        <v>0.89667166225585404</v>
      </c>
      <c r="N177" s="136">
        <v>0.6762226979445799</v>
      </c>
      <c r="O177" s="136">
        <v>0.37937634454400326</v>
      </c>
      <c r="P177" s="74"/>
      <c r="Q177" s="137"/>
      <c r="R177" s="136"/>
      <c r="S177" s="137"/>
      <c r="T177" s="137"/>
    </row>
    <row r="178" spans="2:20" ht="15" customHeight="1" x14ac:dyDescent="0.2">
      <c r="B178" s="74">
        <v>537</v>
      </c>
      <c r="C178" s="137">
        <v>3.76794E-3</v>
      </c>
      <c r="D178" s="137">
        <v>0.98975400000000002</v>
      </c>
      <c r="E178" s="137">
        <v>0.85906400000000005</v>
      </c>
      <c r="F178" s="136">
        <v>0.7</v>
      </c>
      <c r="G178" s="137">
        <v>0.399372</v>
      </c>
      <c r="H178" s="74"/>
      <c r="J178" s="74">
        <v>537</v>
      </c>
      <c r="K178" s="136">
        <v>3.139461838266066E-3</v>
      </c>
      <c r="L178" s="136">
        <v>0.99634844844669679</v>
      </c>
      <c r="M178" s="136">
        <v>0.90659573446615005</v>
      </c>
      <c r="N178" s="136">
        <v>0.65896012058521924</v>
      </c>
      <c r="O178" s="136">
        <v>0.36365463466913239</v>
      </c>
      <c r="P178" s="74"/>
      <c r="Q178" s="137"/>
      <c r="R178" s="136"/>
      <c r="S178" s="137"/>
      <c r="T178" s="137"/>
    </row>
    <row r="179" spans="2:20" ht="15" customHeight="1" x14ac:dyDescent="0.2">
      <c r="B179" s="74">
        <v>538</v>
      </c>
      <c r="C179" s="137">
        <v>3.4278300000000002E-3</v>
      </c>
      <c r="D179" s="137">
        <v>0.99355099999999996</v>
      </c>
      <c r="E179" s="137">
        <v>0.87006799999999995</v>
      </c>
      <c r="F179" s="136">
        <v>0.68300000000000005</v>
      </c>
      <c r="G179" s="137">
        <v>0.38313599999999998</v>
      </c>
      <c r="H179" s="74"/>
      <c r="J179" s="74">
        <v>538</v>
      </c>
      <c r="K179" s="136">
        <v>2.8507722012218882E-3</v>
      </c>
      <c r="L179" s="136">
        <v>0.99831169334144598</v>
      </c>
      <c r="M179" s="136">
        <v>0.91650187484047307</v>
      </c>
      <c r="N179" s="136">
        <v>0.64176171637589352</v>
      </c>
      <c r="O179" s="136">
        <v>0.34822222372542311</v>
      </c>
      <c r="P179" s="74"/>
      <c r="Q179" s="137"/>
      <c r="R179" s="136"/>
      <c r="S179" s="137"/>
      <c r="T179" s="137"/>
    </row>
    <row r="180" spans="2:20" ht="15" customHeight="1" x14ac:dyDescent="0.2">
      <c r="B180" s="74">
        <v>539</v>
      </c>
      <c r="C180" s="137">
        <v>3.1169600000000002E-3</v>
      </c>
      <c r="D180" s="137">
        <v>0.99671399999999999</v>
      </c>
      <c r="E180" s="137">
        <v>0.88077899999999998</v>
      </c>
      <c r="F180" s="136">
        <v>0.66700000000000004</v>
      </c>
      <c r="G180" s="137">
        <v>0.36722399999999999</v>
      </c>
      <c r="H180" s="74"/>
      <c r="J180" s="74">
        <v>539</v>
      </c>
      <c r="K180" s="136">
        <v>2.5874262469066673E-3</v>
      </c>
      <c r="L180" s="136">
        <v>0.9996317974861324</v>
      </c>
      <c r="M180" s="136">
        <v>0.92606319349381572</v>
      </c>
      <c r="N180" s="136">
        <v>0.62556500670843695</v>
      </c>
      <c r="O180" s="136">
        <v>0.33314100463633761</v>
      </c>
      <c r="P180" s="74"/>
      <c r="Q180" s="137"/>
      <c r="R180" s="136"/>
      <c r="S180" s="137"/>
      <c r="T180" s="137"/>
    </row>
    <row r="181" spans="2:20" ht="15" customHeight="1" x14ac:dyDescent="0.2">
      <c r="B181" s="74">
        <v>540</v>
      </c>
      <c r="C181" s="137">
        <v>2.83352E-3</v>
      </c>
      <c r="D181" s="137">
        <v>0.99893100000000001</v>
      </c>
      <c r="E181" s="137">
        <v>0.89087099999999997</v>
      </c>
      <c r="F181" s="136">
        <v>0.65</v>
      </c>
      <c r="G181" s="137">
        <v>0.35170699999999999</v>
      </c>
      <c r="H181" s="74"/>
      <c r="J181" s="74">
        <v>540</v>
      </c>
      <c r="K181" s="136">
        <v>2.3477834565741136E-3</v>
      </c>
      <c r="L181" s="136">
        <v>1</v>
      </c>
      <c r="M181" s="136">
        <v>0.93493947994669679</v>
      </c>
      <c r="N181" s="136">
        <v>0.60849214309595456</v>
      </c>
      <c r="O181" s="136">
        <v>0.31847331736671297</v>
      </c>
      <c r="P181" s="74"/>
      <c r="Q181" s="137"/>
      <c r="R181" s="136"/>
      <c r="S181" s="137"/>
      <c r="T181" s="137"/>
    </row>
    <row r="182" spans="2:20" ht="15" customHeight="1" x14ac:dyDescent="0.2">
      <c r="B182" s="74">
        <v>541</v>
      </c>
      <c r="C182" s="137">
        <v>2.5755600000000002E-3</v>
      </c>
      <c r="D182" s="137">
        <v>0.999942</v>
      </c>
      <c r="E182" s="137">
        <v>0.900057</v>
      </c>
      <c r="F182" s="136">
        <v>0.63300000000000001</v>
      </c>
      <c r="G182" s="137">
        <v>0.33653699999999998</v>
      </c>
      <c r="H182" s="74"/>
      <c r="J182" s="74">
        <v>541</v>
      </c>
      <c r="K182" s="136">
        <v>2.1300996549438421E-3</v>
      </c>
      <c r="L182" s="136">
        <v>0.99916178231868125</v>
      </c>
      <c r="M182" s="136">
        <v>0.94283389268703499</v>
      </c>
      <c r="N182" s="136">
        <v>0.59148239543028347</v>
      </c>
      <c r="O182" s="136">
        <v>0.30417348474612438</v>
      </c>
      <c r="P182" s="74"/>
      <c r="Q182" s="137"/>
      <c r="R182" s="136"/>
      <c r="S182" s="137"/>
      <c r="T182" s="137"/>
    </row>
    <row r="183" spans="2:20" ht="15" customHeight="1" x14ac:dyDescent="0.2">
      <c r="B183" s="74">
        <v>542</v>
      </c>
      <c r="C183" s="137">
        <v>2.3408399999999998E-3</v>
      </c>
      <c r="D183" s="137">
        <v>0.99969200000000003</v>
      </c>
      <c r="E183" s="137">
        <v>0.90825299999999998</v>
      </c>
      <c r="F183" s="136">
        <v>0.61599999999999999</v>
      </c>
      <c r="G183" s="137">
        <v>0.32164700000000002</v>
      </c>
      <c r="H183" s="74"/>
      <c r="J183" s="74">
        <v>542</v>
      </c>
      <c r="K183" s="136">
        <v>1.9324041388332179E-3</v>
      </c>
      <c r="L183" s="136">
        <v>0.99706896635603093</v>
      </c>
      <c r="M183" s="136">
        <v>0.94966403653037301</v>
      </c>
      <c r="N183" s="136">
        <v>0.57453541436116462</v>
      </c>
      <c r="O183" s="136">
        <v>0.29017902554878244</v>
      </c>
      <c r="P183" s="74"/>
      <c r="Q183" s="137"/>
      <c r="R183" s="136"/>
      <c r="S183" s="137"/>
      <c r="T183" s="137"/>
    </row>
    <row r="184" spans="2:20" ht="15" customHeight="1" x14ac:dyDescent="0.2">
      <c r="B184" s="74">
        <v>543</v>
      </c>
      <c r="C184" s="137">
        <v>2.12722E-3</v>
      </c>
      <c r="D184" s="137">
        <v>0.99817800000000001</v>
      </c>
      <c r="E184" s="137">
        <v>0.91543300000000005</v>
      </c>
      <c r="F184" s="136">
        <v>0.59899999999999998</v>
      </c>
      <c r="G184" s="137">
        <v>0.307085</v>
      </c>
      <c r="H184" s="74"/>
      <c r="J184" s="74">
        <v>543</v>
      </c>
      <c r="K184" s="136">
        <v>1.7528231219206358E-3</v>
      </c>
      <c r="L184" s="136">
        <v>0.99372549697615709</v>
      </c>
      <c r="M184" s="136">
        <v>0.95540865603237857</v>
      </c>
      <c r="N184" s="136">
        <v>0.55765085311182161</v>
      </c>
      <c r="O184" s="136">
        <v>0.27653147685290386</v>
      </c>
      <c r="P184" s="74"/>
      <c r="Q184" s="137"/>
      <c r="R184" s="136"/>
      <c r="S184" s="137"/>
      <c r="T184" s="137"/>
    </row>
    <row r="185" spans="2:20" ht="15" customHeight="1" x14ac:dyDescent="0.2">
      <c r="B185" s="74">
        <v>544</v>
      </c>
      <c r="C185" s="137">
        <v>1.9327599999999999E-3</v>
      </c>
      <c r="D185" s="137">
        <v>0.99540499999999998</v>
      </c>
      <c r="E185" s="137">
        <v>0.92157500000000003</v>
      </c>
      <c r="F185" s="136">
        <v>0.58099999999999996</v>
      </c>
      <c r="G185" s="137">
        <v>0.29289900000000002</v>
      </c>
      <c r="H185" s="74"/>
      <c r="J185" s="74">
        <v>544</v>
      </c>
      <c r="K185" s="136">
        <v>1.5896610922059963E-3</v>
      </c>
      <c r="L185" s="136">
        <v>0.98914323971148688</v>
      </c>
      <c r="M185" s="136">
        <v>0.96005081903902278</v>
      </c>
      <c r="N185" s="136">
        <v>0.5398991090919818</v>
      </c>
      <c r="O185" s="136">
        <v>0.26327207031701266</v>
      </c>
      <c r="P185" s="74"/>
      <c r="Q185" s="137"/>
      <c r="R185" s="136"/>
      <c r="S185" s="137"/>
      <c r="T185" s="137"/>
    </row>
    <row r="186" spans="2:20" ht="15" customHeight="1" x14ac:dyDescent="0.2">
      <c r="B186" s="74">
        <v>545</v>
      </c>
      <c r="C186" s="137">
        <v>1.7557300000000001E-3</v>
      </c>
      <c r="D186" s="137">
        <v>0.99138300000000001</v>
      </c>
      <c r="E186" s="137">
        <v>0.92666000000000004</v>
      </c>
      <c r="F186" s="136">
        <v>0.56399999999999995</v>
      </c>
      <c r="G186" s="137">
        <v>0.27913500000000002</v>
      </c>
      <c r="H186" s="74"/>
      <c r="J186" s="74">
        <v>545</v>
      </c>
      <c r="K186" s="136">
        <v>1.4414073861991016E-3</v>
      </c>
      <c r="L186" s="136">
        <v>0.98333893243804238</v>
      </c>
      <c r="M186" s="136">
        <v>0.96357683718476839</v>
      </c>
      <c r="N186" s="136">
        <v>0.52314006238900179</v>
      </c>
      <c r="O186" s="136">
        <v>0.25043994058182245</v>
      </c>
      <c r="P186" s="74"/>
      <c r="Q186" s="137"/>
      <c r="R186" s="136"/>
      <c r="S186" s="137"/>
      <c r="T186" s="137"/>
    </row>
    <row r="187" spans="2:20" ht="15" customHeight="1" x14ac:dyDescent="0.2">
      <c r="B187" s="74">
        <v>546</v>
      </c>
      <c r="C187" s="137">
        <v>1.5945499999999999E-3</v>
      </c>
      <c r="D187" s="137">
        <v>0.98619900000000005</v>
      </c>
      <c r="E187" s="137">
        <v>0.93074400000000002</v>
      </c>
      <c r="F187" s="136">
        <v>0.54800000000000004</v>
      </c>
      <c r="G187" s="137">
        <v>0.265737</v>
      </c>
      <c r="H187" s="74"/>
      <c r="J187" s="74">
        <v>546</v>
      </c>
      <c r="K187" s="136">
        <v>1.3066853279888218E-3</v>
      </c>
      <c r="L187" s="136">
        <v>0.97640542575177702</v>
      </c>
      <c r="M187" s="136">
        <v>0.96605096744517938</v>
      </c>
      <c r="N187" s="136">
        <v>0.50736825862201995</v>
      </c>
      <c r="O187" s="136">
        <v>0.23798258878939593</v>
      </c>
      <c r="P187" s="74"/>
      <c r="Q187" s="137"/>
      <c r="R187" s="136"/>
      <c r="S187" s="137"/>
      <c r="T187" s="137"/>
    </row>
    <row r="188" spans="2:20" ht="15" customHeight="1" x14ac:dyDescent="0.2">
      <c r="B188" s="74">
        <v>547</v>
      </c>
      <c r="C188" s="137">
        <v>1.44783E-3</v>
      </c>
      <c r="D188" s="137">
        <v>0.98022900000000002</v>
      </c>
      <c r="E188" s="137">
        <v>0.93415999999999999</v>
      </c>
      <c r="F188" s="136">
        <v>0.53100000000000003</v>
      </c>
      <c r="G188" s="137">
        <v>0.25264799999999998</v>
      </c>
      <c r="H188" s="74"/>
      <c r="J188" s="74">
        <v>547</v>
      </c>
      <c r="K188" s="136">
        <v>1.1842837233550303E-3</v>
      </c>
      <c r="L188" s="136">
        <v>0.96872049822723016</v>
      </c>
      <c r="M188" s="136">
        <v>0.96782397905608497</v>
      </c>
      <c r="N188" s="136">
        <v>0.4907299595312446</v>
      </c>
      <c r="O188" s="136">
        <v>0.22584700606606528</v>
      </c>
      <c r="P188" s="74"/>
      <c r="Q188" s="137"/>
      <c r="R188" s="136"/>
      <c r="S188" s="137"/>
      <c r="T188" s="137"/>
    </row>
    <row r="189" spans="2:20" ht="15" customHeight="1" x14ac:dyDescent="0.2">
      <c r="B189" s="74">
        <v>548</v>
      </c>
      <c r="C189" s="137">
        <v>1.3143E-3</v>
      </c>
      <c r="D189" s="137">
        <v>0.97390600000000005</v>
      </c>
      <c r="E189" s="137">
        <v>0.93731799999999998</v>
      </c>
      <c r="F189" s="136">
        <v>0.51400000000000001</v>
      </c>
      <c r="G189" s="137">
        <v>0.23991699999999999</v>
      </c>
      <c r="H189" s="74"/>
      <c r="J189" s="74">
        <v>548</v>
      </c>
      <c r="K189" s="136">
        <v>1.0730981963773237E-3</v>
      </c>
      <c r="L189" s="136">
        <v>0.96071539892203162</v>
      </c>
      <c r="M189" s="136">
        <v>0.96932371014001184</v>
      </c>
      <c r="N189" s="136">
        <v>0.47415238415977862</v>
      </c>
      <c r="O189" s="136">
        <v>0.21407515303330948</v>
      </c>
      <c r="P189" s="74"/>
      <c r="Q189" s="137"/>
      <c r="R189" s="136"/>
      <c r="S189" s="137"/>
      <c r="T189" s="137"/>
    </row>
    <row r="190" spans="2:20" ht="15" customHeight="1" x14ac:dyDescent="0.2">
      <c r="B190" s="74">
        <v>549</v>
      </c>
      <c r="C190" s="137">
        <v>1.1928100000000001E-3</v>
      </c>
      <c r="D190" s="137">
        <v>0.96765299999999999</v>
      </c>
      <c r="E190" s="137">
        <v>0.94063399999999997</v>
      </c>
      <c r="F190" s="136">
        <v>0.497</v>
      </c>
      <c r="G190" s="137">
        <v>0.22759199999999999</v>
      </c>
      <c r="H190" s="74"/>
      <c r="J190" s="74">
        <v>549</v>
      </c>
      <c r="K190" s="136">
        <v>9.7213021659076494E-4</v>
      </c>
      <c r="L190" s="136">
        <v>0.95280838823259439</v>
      </c>
      <c r="M190" s="136">
        <v>0.97098107517601207</v>
      </c>
      <c r="N190" s="136">
        <v>0.45763520068401925</v>
      </c>
      <c r="O190" s="136">
        <v>0.20270779392549956</v>
      </c>
      <c r="P190" s="74"/>
      <c r="Q190" s="137"/>
      <c r="R190" s="136"/>
      <c r="S190" s="137"/>
      <c r="T190" s="137"/>
    </row>
    <row r="191" spans="2:20" ht="15" customHeight="1" x14ac:dyDescent="0.2">
      <c r="B191" s="74">
        <v>550</v>
      </c>
      <c r="C191" s="137">
        <v>1.0823E-3</v>
      </c>
      <c r="D191" s="137">
        <v>0.96187599999999995</v>
      </c>
      <c r="E191" s="137">
        <v>0.94452700000000001</v>
      </c>
      <c r="F191" s="136">
        <v>0.48099999999999998</v>
      </c>
      <c r="G191" s="137">
        <v>0.215722</v>
      </c>
      <c r="H191" s="74"/>
      <c r="J191" s="74">
        <v>550</v>
      </c>
      <c r="K191" s="136">
        <v>8.8046173145839041E-4</v>
      </c>
      <c r="L191" s="136">
        <v>0.94539797589077268</v>
      </c>
      <c r="M191" s="136">
        <v>0.97322694587621938</v>
      </c>
      <c r="N191" s="136">
        <v>0.44209720069298808</v>
      </c>
      <c r="O191" s="136">
        <v>0.19178628555354993</v>
      </c>
      <c r="P191" s="74"/>
      <c r="Q191" s="137"/>
      <c r="R191" s="136"/>
      <c r="S191" s="137"/>
      <c r="T191" s="137"/>
    </row>
    <row r="192" spans="2:20" ht="15" customHeight="1" x14ac:dyDescent="0.2">
      <c r="B192" s="74">
        <v>551</v>
      </c>
      <c r="C192" s="137">
        <v>9.8181900000000009E-4</v>
      </c>
      <c r="D192" s="137">
        <v>0.95682</v>
      </c>
      <c r="E192" s="137">
        <v>0.949291</v>
      </c>
      <c r="F192" s="136">
        <v>0.46500000000000002</v>
      </c>
      <c r="G192" s="137">
        <v>0.204238</v>
      </c>
      <c r="H192" s="74"/>
      <c r="J192" s="74">
        <v>551</v>
      </c>
      <c r="K192" s="136">
        <v>7.9726986471693583E-4</v>
      </c>
      <c r="L192" s="136">
        <v>0.93872182393832004</v>
      </c>
      <c r="M192" s="136">
        <v>0.97636050159073218</v>
      </c>
      <c r="N192" s="136">
        <v>0.42661559997597148</v>
      </c>
      <c r="O192" s="136">
        <v>0.1812469677346821</v>
      </c>
      <c r="P192" s="74"/>
      <c r="Q192" s="137"/>
      <c r="R192" s="136"/>
      <c r="S192" s="137"/>
      <c r="T192" s="137"/>
    </row>
    <row r="193" spans="2:20" ht="15" customHeight="1" x14ac:dyDescent="0.2">
      <c r="B193" s="74">
        <v>552</v>
      </c>
      <c r="C193" s="137">
        <v>8.9053299999999999E-4</v>
      </c>
      <c r="D193" s="137">
        <v>0.95215099999999997</v>
      </c>
      <c r="E193" s="137">
        <v>0.95467999999999997</v>
      </c>
      <c r="F193" s="136">
        <v>0.44800000000000001</v>
      </c>
      <c r="G193" s="137">
        <v>0.193075</v>
      </c>
      <c r="H193" s="74"/>
      <c r="J193" s="74">
        <v>552</v>
      </c>
      <c r="K193" s="136">
        <v>7.2183253877186376E-4</v>
      </c>
      <c r="L193" s="136">
        <v>0.93244885304129244</v>
      </c>
      <c r="M193" s="136">
        <v>0.98012436149317239</v>
      </c>
      <c r="N193" s="136">
        <v>0.41027430116436264</v>
      </c>
      <c r="O193" s="136">
        <v>0.17103018488190794</v>
      </c>
      <c r="P193" s="74"/>
      <c r="Q193" s="137"/>
      <c r="R193" s="136"/>
      <c r="S193" s="137"/>
      <c r="T193" s="137"/>
    </row>
    <row r="194" spans="2:20" ht="15" customHeight="1" x14ac:dyDescent="0.2">
      <c r="B194" s="74">
        <v>553</v>
      </c>
      <c r="C194" s="137">
        <v>8.0768699999999997E-4</v>
      </c>
      <c r="D194" s="137">
        <v>0.94739799999999996</v>
      </c>
      <c r="E194" s="137">
        <v>0.96030899999999997</v>
      </c>
      <c r="F194" s="136">
        <v>0.433</v>
      </c>
      <c r="G194" s="137">
        <v>0.18228800000000001</v>
      </c>
      <c r="H194" s="74"/>
      <c r="J194" s="74">
        <v>553</v>
      </c>
      <c r="K194" s="136">
        <v>6.5349681764562757E-4</v>
      </c>
      <c r="L194" s="136">
        <v>0.9261164561045957</v>
      </c>
      <c r="M194" s="136">
        <v>0.98412055985689739</v>
      </c>
      <c r="N194" s="136">
        <v>0.39582037250993485</v>
      </c>
      <c r="O194" s="136">
        <v>0.16118281939504142</v>
      </c>
      <c r="P194" s="74"/>
      <c r="Q194" s="137"/>
      <c r="R194" s="136"/>
      <c r="S194" s="137"/>
      <c r="T194" s="137"/>
    </row>
    <row r="195" spans="2:20" ht="15" customHeight="1" x14ac:dyDescent="0.2">
      <c r="B195" s="74">
        <v>554</v>
      </c>
      <c r="C195" s="137">
        <v>7.3256799999999996E-4</v>
      </c>
      <c r="D195" s="137">
        <v>0.94210499999999997</v>
      </c>
      <c r="E195" s="137">
        <v>0.965785</v>
      </c>
      <c r="F195" s="136">
        <v>0.41699999999999998</v>
      </c>
      <c r="G195" s="137">
        <v>0.17193</v>
      </c>
      <c r="H195" s="74"/>
      <c r="J195" s="74">
        <v>554</v>
      </c>
      <c r="K195" s="136">
        <v>5.9164840041824203E-4</v>
      </c>
      <c r="L195" s="136">
        <v>0.91928000274170341</v>
      </c>
      <c r="M195" s="136">
        <v>0.98794582078669047</v>
      </c>
      <c r="N195" s="136">
        <v>0.38050613935669819</v>
      </c>
      <c r="O195" s="136">
        <v>0.15174964992358639</v>
      </c>
      <c r="P195" s="74"/>
      <c r="Q195" s="137"/>
      <c r="R195" s="136"/>
      <c r="S195" s="137"/>
      <c r="T195" s="137"/>
    </row>
    <row r="196" spans="2:20" ht="15" customHeight="1" x14ac:dyDescent="0.2">
      <c r="B196" s="74">
        <v>555</v>
      </c>
      <c r="C196" s="137">
        <v>6.6451200000000002E-4</v>
      </c>
      <c r="D196" s="137">
        <v>0.93582900000000002</v>
      </c>
      <c r="E196" s="137">
        <v>0.97070299999999998</v>
      </c>
      <c r="F196" s="136">
        <v>0.40200000000000002</v>
      </c>
      <c r="G196" s="137">
        <v>0.16205600000000001</v>
      </c>
      <c r="H196" s="74"/>
      <c r="J196" s="74">
        <v>555</v>
      </c>
      <c r="K196" s="136">
        <v>5.3571691643036279E-4</v>
      </c>
      <c r="L196" s="136">
        <v>0.91151072929393961</v>
      </c>
      <c r="M196" s="136">
        <v>0.99118752164703994</v>
      </c>
      <c r="N196" s="136">
        <v>0.36615793325923718</v>
      </c>
      <c r="O196" s="136">
        <v>0.14277689445664052</v>
      </c>
      <c r="P196" s="74"/>
      <c r="Q196" s="137"/>
      <c r="R196" s="136"/>
      <c r="S196" s="137"/>
      <c r="T196" s="137"/>
    </row>
    <row r="197" spans="2:20" ht="15" customHeight="1" x14ac:dyDescent="0.2">
      <c r="B197" s="74">
        <v>556</v>
      </c>
      <c r="C197" s="137">
        <v>6.0288699999999998E-4</v>
      </c>
      <c r="D197" s="137">
        <v>0.92827400000000004</v>
      </c>
      <c r="E197" s="137">
        <v>0.97475599999999996</v>
      </c>
      <c r="F197" s="138">
        <v>0.38640000000000002</v>
      </c>
      <c r="G197" s="137">
        <v>0.15260099999999999</v>
      </c>
      <c r="H197" s="74"/>
      <c r="J197" s="74">
        <v>556</v>
      </c>
      <c r="K197" s="136">
        <v>4.8516184980022732E-4</v>
      </c>
      <c r="L197" s="136">
        <v>0.90252587930166417</v>
      </c>
      <c r="M197" s="136">
        <v>0.99353589640346651</v>
      </c>
      <c r="N197" s="136">
        <v>0.35131581795746958</v>
      </c>
      <c r="O197" s="136">
        <v>0.13420490451511782</v>
      </c>
      <c r="P197" s="74"/>
      <c r="Q197" s="137"/>
      <c r="R197" s="138"/>
      <c r="S197" s="137"/>
      <c r="T197" s="137"/>
    </row>
    <row r="198" spans="2:20" ht="15" customHeight="1" x14ac:dyDescent="0.2">
      <c r="B198" s="74">
        <v>557</v>
      </c>
      <c r="C198" s="137">
        <v>5.4706199999999996E-4</v>
      </c>
      <c r="D198" s="137">
        <v>0.91966700000000001</v>
      </c>
      <c r="E198" s="137">
        <v>0.97805500000000001</v>
      </c>
      <c r="F198" s="138">
        <v>0.3715</v>
      </c>
      <c r="G198" s="137">
        <v>0.143487</v>
      </c>
      <c r="H198" s="74"/>
      <c r="J198" s="74">
        <v>557</v>
      </c>
      <c r="K198" s="136">
        <v>4.394473695544306E-4</v>
      </c>
      <c r="L198" s="136">
        <v>0.89255230717759371</v>
      </c>
      <c r="M198" s="136">
        <v>0.99510869194003848</v>
      </c>
      <c r="N198" s="136">
        <v>0.33716229478381282</v>
      </c>
      <c r="O198" s="136">
        <v>0.12596304765484226</v>
      </c>
      <c r="P198" s="74"/>
      <c r="Q198" s="137"/>
      <c r="R198" s="138"/>
      <c r="S198" s="137"/>
      <c r="T198" s="137"/>
    </row>
    <row r="199" spans="2:20" ht="15" customHeight="1" x14ac:dyDescent="0.2">
      <c r="B199" s="74">
        <v>558</v>
      </c>
      <c r="C199" s="137">
        <v>4.9646100000000002E-4</v>
      </c>
      <c r="D199" s="137">
        <v>0.91035600000000005</v>
      </c>
      <c r="E199" s="137">
        <v>0.980819</v>
      </c>
      <c r="F199" s="138">
        <v>0.3569</v>
      </c>
      <c r="G199" s="137">
        <v>0.13474800000000001</v>
      </c>
      <c r="H199" s="74"/>
      <c r="J199" s="74">
        <v>558</v>
      </c>
      <c r="K199" s="136">
        <v>3.9808558736730546E-4</v>
      </c>
      <c r="L199" s="136">
        <v>0.88193246322253971</v>
      </c>
      <c r="M199" s="136">
        <v>0.99613249727786068</v>
      </c>
      <c r="N199" s="136">
        <v>0.32333128417510598</v>
      </c>
      <c r="O199" s="136">
        <v>0.11807934308368076</v>
      </c>
      <c r="P199" s="74"/>
      <c r="Q199" s="137"/>
      <c r="R199" s="138"/>
      <c r="S199" s="137"/>
      <c r="T199" s="137"/>
    </row>
    <row r="200" spans="2:20" ht="15" customHeight="1" x14ac:dyDescent="0.2">
      <c r="B200" s="74">
        <v>559</v>
      </c>
      <c r="C200" s="137">
        <v>4.5057099999999998E-4</v>
      </c>
      <c r="D200" s="137">
        <v>0.90067699999999995</v>
      </c>
      <c r="E200" s="137">
        <v>0.98327100000000001</v>
      </c>
      <c r="F200" s="138">
        <v>0.3427</v>
      </c>
      <c r="G200" s="137">
        <v>0.126416</v>
      </c>
      <c r="H200" s="74"/>
      <c r="J200" s="74">
        <v>559</v>
      </c>
      <c r="K200" s="136">
        <v>3.6064253203352644E-4</v>
      </c>
      <c r="L200" s="136">
        <v>0.87099474275388578</v>
      </c>
      <c r="M200" s="136">
        <v>0.99683633523421666</v>
      </c>
      <c r="N200" s="136">
        <v>0.30991148759337045</v>
      </c>
      <c r="O200" s="136">
        <v>0.11057986005439471</v>
      </c>
      <c r="P200" s="74"/>
      <c r="Q200" s="137"/>
      <c r="R200" s="138"/>
      <c r="S200" s="137"/>
      <c r="T200" s="137"/>
    </row>
    <row r="201" spans="2:20" ht="15" customHeight="1" x14ac:dyDescent="0.2">
      <c r="B201" s="74">
        <v>560</v>
      </c>
      <c r="C201" s="137">
        <v>4.0893100000000002E-4</v>
      </c>
      <c r="D201" s="137">
        <v>0.89094899999999999</v>
      </c>
      <c r="E201" s="137">
        <v>0.98563599999999996</v>
      </c>
      <c r="F201" s="138">
        <v>0.32879999999999998</v>
      </c>
      <c r="G201" s="137">
        <v>0.11852600000000001</v>
      </c>
      <c r="H201" s="74"/>
      <c r="J201" s="74">
        <v>560</v>
      </c>
      <c r="K201" s="136">
        <v>3.2672887925327027E-4</v>
      </c>
      <c r="L201" s="136">
        <v>0.86004878500831672</v>
      </c>
      <c r="M201" s="136">
        <v>0.99744961672068455</v>
      </c>
      <c r="N201" s="136">
        <v>0.29681043129388163</v>
      </c>
      <c r="O201" s="136">
        <v>0.10349310111456306</v>
      </c>
      <c r="P201" s="74"/>
      <c r="Q201" s="137"/>
      <c r="R201" s="138"/>
      <c r="S201" s="137"/>
      <c r="T201" s="137"/>
    </row>
    <row r="202" spans="2:20" ht="15" customHeight="1" x14ac:dyDescent="0.2">
      <c r="B202" s="74">
        <v>561</v>
      </c>
      <c r="C202" s="137">
        <v>3.7113599999999999E-4</v>
      </c>
      <c r="D202" s="137">
        <v>0.881386</v>
      </c>
      <c r="E202" s="137">
        <v>0.98808499999999999</v>
      </c>
      <c r="F202" s="138">
        <v>0.31509999999999999</v>
      </c>
      <c r="G202" s="137">
        <v>0.11100699999999999</v>
      </c>
      <c r="H202" s="74"/>
      <c r="J202" s="74">
        <v>561</v>
      </c>
      <c r="K202" s="136">
        <v>2.9600274394448746E-4</v>
      </c>
      <c r="L202" s="136">
        <v>0.84930084377846971</v>
      </c>
      <c r="M202" s="136">
        <v>0.99814556709866864</v>
      </c>
      <c r="N202" s="136">
        <v>0.28393630088125338</v>
      </c>
      <c r="O202" s="136">
        <v>9.6754974768919713E-2</v>
      </c>
      <c r="P202" s="74"/>
      <c r="Q202" s="137"/>
      <c r="R202" s="138"/>
      <c r="S202" s="137"/>
      <c r="T202" s="137"/>
    </row>
    <row r="203" spans="2:20" ht="15" customHeight="1" x14ac:dyDescent="0.2">
      <c r="B203" s="74">
        <v>562</v>
      </c>
      <c r="C203" s="137">
        <v>3.36838E-4</v>
      </c>
      <c r="D203" s="137">
        <v>0.871834</v>
      </c>
      <c r="E203" s="137">
        <v>0.99056</v>
      </c>
      <c r="F203" s="138">
        <v>0.30180000000000001</v>
      </c>
      <c r="G203" s="137">
        <v>0.103793</v>
      </c>
      <c r="H203" s="74"/>
      <c r="J203" s="74">
        <v>562</v>
      </c>
      <c r="K203" s="136">
        <v>2.6817005432535712E-4</v>
      </c>
      <c r="L203" s="136">
        <v>0.83860173215558897</v>
      </c>
      <c r="M203" s="136">
        <v>0.99886525877951315</v>
      </c>
      <c r="N203" s="136">
        <v>0.27146778413532413</v>
      </c>
      <c r="O203" s="136">
        <v>9.0306195992238603E-2</v>
      </c>
      <c r="P203" s="74"/>
      <c r="Q203" s="137"/>
      <c r="R203" s="138"/>
      <c r="S203" s="137"/>
      <c r="T203" s="137"/>
    </row>
    <row r="204" spans="2:20" ht="15" customHeight="1" x14ac:dyDescent="0.2">
      <c r="B204" s="74">
        <v>563</v>
      </c>
      <c r="C204" s="137">
        <v>3.0572299999999999E-4</v>
      </c>
      <c r="D204" s="137">
        <v>0.86205900000000002</v>
      </c>
      <c r="E204" s="137">
        <v>0.99294499999999997</v>
      </c>
      <c r="F204" s="138">
        <v>0.2888</v>
      </c>
      <c r="G204" s="137">
        <v>9.6920599999999996E-2</v>
      </c>
      <c r="H204" s="74"/>
      <c r="J204" s="74">
        <v>563</v>
      </c>
      <c r="K204" s="136">
        <v>2.4296584859928325E-4</v>
      </c>
      <c r="L204" s="136">
        <v>0.82772650926540303</v>
      </c>
      <c r="M204" s="136">
        <v>0.99949180043069985</v>
      </c>
      <c r="N204" s="136">
        <v>0.25931292990873156</v>
      </c>
      <c r="O204" s="136">
        <v>8.4177010622922849E-2</v>
      </c>
      <c r="P204" s="74"/>
      <c r="Q204" s="137"/>
      <c r="R204" s="138"/>
      <c r="S204" s="137"/>
      <c r="T204" s="137"/>
    </row>
    <row r="205" spans="2:20" ht="15" customHeight="1" x14ac:dyDescent="0.2">
      <c r="B205" s="74">
        <v>564</v>
      </c>
      <c r="C205" s="137">
        <v>2.7750399999999998E-4</v>
      </c>
      <c r="D205" s="137">
        <v>0.85184000000000004</v>
      </c>
      <c r="E205" s="137">
        <v>0.99512400000000001</v>
      </c>
      <c r="F205" s="138">
        <v>0.2762</v>
      </c>
      <c r="G205" s="137">
        <v>9.0425900000000003E-2</v>
      </c>
      <c r="H205" s="74"/>
      <c r="J205" s="74">
        <v>564</v>
      </c>
      <c r="K205" s="136">
        <v>2.2014846367311738E-4</v>
      </c>
      <c r="L205" s="136">
        <v>0.81646428968737805</v>
      </c>
      <c r="M205" s="136">
        <v>0.99990912973625234</v>
      </c>
      <c r="N205" s="136">
        <v>0.24755970037772893</v>
      </c>
      <c r="O205" s="136">
        <v>7.8397016502262579E-2</v>
      </c>
      <c r="P205" s="74"/>
      <c r="Q205" s="137"/>
      <c r="R205" s="138"/>
      <c r="S205" s="137"/>
      <c r="T205" s="137"/>
    </row>
    <row r="206" spans="2:20" ht="15" customHeight="1" x14ac:dyDescent="0.2">
      <c r="B206" s="74">
        <v>565</v>
      </c>
      <c r="C206" s="137">
        <v>2.5191800000000001E-4</v>
      </c>
      <c r="D206" s="137">
        <v>0.84096899999999997</v>
      </c>
      <c r="E206" s="137">
        <v>0.99697899999999995</v>
      </c>
      <c r="F206" s="138">
        <v>0.26390000000000002</v>
      </c>
      <c r="G206" s="137">
        <v>8.4345699999999996E-2</v>
      </c>
      <c r="H206" s="74"/>
      <c r="J206" s="74">
        <v>565</v>
      </c>
      <c r="K206" s="136">
        <v>1.9949695323715576E-4</v>
      </c>
      <c r="L206" s="136">
        <v>0.804618119070171</v>
      </c>
      <c r="M206" s="136">
        <v>1</v>
      </c>
      <c r="N206" s="136">
        <v>0.23611649106611873</v>
      </c>
      <c r="O206" s="136">
        <v>7.2996207737849192E-2</v>
      </c>
      <c r="P206" s="74"/>
      <c r="Q206" s="137"/>
      <c r="R206" s="138"/>
      <c r="S206" s="137"/>
      <c r="T206" s="137"/>
    </row>
    <row r="207" spans="2:20" ht="15" customHeight="1" x14ac:dyDescent="0.2">
      <c r="B207" s="74">
        <v>566</v>
      </c>
      <c r="C207" s="137">
        <v>2.2872499999999999E-4</v>
      </c>
      <c r="D207" s="137">
        <v>0.82930300000000001</v>
      </c>
      <c r="E207" s="137">
        <v>0.99841100000000005</v>
      </c>
      <c r="F207" s="138">
        <v>0.25190000000000001</v>
      </c>
      <c r="G207" s="137">
        <v>7.8619800000000004E-2</v>
      </c>
      <c r="H207" s="74"/>
      <c r="J207" s="74">
        <v>566</v>
      </c>
      <c r="K207" s="136">
        <v>1.8081011424156117E-4</v>
      </c>
      <c r="L207" s="136">
        <v>0.7920545154643106</v>
      </c>
      <c r="M207" s="136">
        <v>0.99966701702663552</v>
      </c>
      <c r="N207" s="136">
        <v>0.22498165875719031</v>
      </c>
      <c r="O207" s="136">
        <v>6.7920567027469236E-2</v>
      </c>
      <c r="P207" s="74"/>
      <c r="Q207" s="137"/>
      <c r="R207" s="138"/>
      <c r="S207" s="137"/>
      <c r="T207" s="137"/>
    </row>
    <row r="208" spans="2:20" ht="15" customHeight="1" x14ac:dyDescent="0.2">
      <c r="B208" s="74">
        <v>567</v>
      </c>
      <c r="C208" s="137">
        <v>2.0769899999999999E-4</v>
      </c>
      <c r="D208" s="137">
        <v>0.81691100000000005</v>
      </c>
      <c r="E208" s="137">
        <v>0.99939100000000003</v>
      </c>
      <c r="F208" s="138">
        <v>0.24030000000000001</v>
      </c>
      <c r="G208" s="137">
        <v>7.3175000000000004E-2</v>
      </c>
      <c r="H208" s="74"/>
      <c r="J208" s="74">
        <v>567</v>
      </c>
      <c r="K208" s="136">
        <v>1.6389921072325548E-4</v>
      </c>
      <c r="L208" s="136">
        <v>0.7788430594209973</v>
      </c>
      <c r="M208" s="136">
        <v>0.99888343815414171</v>
      </c>
      <c r="N208" s="136">
        <v>0.21424272818455367</v>
      </c>
      <c r="O208" s="136">
        <v>6.3105247098428185E-2</v>
      </c>
      <c r="P208" s="74"/>
      <c r="Q208" s="137"/>
      <c r="R208" s="138"/>
      <c r="S208" s="137"/>
      <c r="T208" s="137"/>
    </row>
    <row r="209" spans="2:20" ht="15" customHeight="1" x14ac:dyDescent="0.2">
      <c r="B209" s="74">
        <v>568</v>
      </c>
      <c r="C209" s="137">
        <v>1.8863800000000001E-4</v>
      </c>
      <c r="D209" s="137">
        <v>0.80391000000000001</v>
      </c>
      <c r="E209" s="137">
        <v>0.99991200000000002</v>
      </c>
      <c r="F209" s="138">
        <v>0.2291</v>
      </c>
      <c r="G209" s="137">
        <v>6.80288E-2</v>
      </c>
      <c r="H209" s="74"/>
      <c r="J209" s="74">
        <v>568</v>
      </c>
      <c r="K209" s="136">
        <v>1.4859574135670629E-4</v>
      </c>
      <c r="L209" s="136">
        <v>0.7650985241251067</v>
      </c>
      <c r="M209" s="136">
        <v>0.99764465916321954</v>
      </c>
      <c r="N209" s="136">
        <v>0.20389760831791148</v>
      </c>
      <c r="O209" s="136">
        <v>5.8563938238209941E-2</v>
      </c>
      <c r="P209" s="74"/>
      <c r="Q209" s="137"/>
      <c r="R209" s="138"/>
      <c r="S209" s="137"/>
      <c r="T209" s="137"/>
    </row>
    <row r="210" spans="2:20" ht="15" customHeight="1" x14ac:dyDescent="0.2">
      <c r="B210" s="74">
        <v>569</v>
      </c>
      <c r="C210" s="137">
        <v>1.7135699999999999E-4</v>
      </c>
      <c r="D210" s="137">
        <v>0.79041300000000003</v>
      </c>
      <c r="E210" s="137">
        <v>0.99996499999999999</v>
      </c>
      <c r="F210" s="138">
        <v>0.21820000000000001</v>
      </c>
      <c r="G210" s="137">
        <v>6.3198400000000002E-2</v>
      </c>
      <c r="H210" s="74"/>
      <c r="J210" s="74">
        <v>569</v>
      </c>
      <c r="K210" s="136">
        <v>1.347457572286473E-4</v>
      </c>
      <c r="L210" s="136">
        <v>0.75093107572416706</v>
      </c>
      <c r="M210" s="136">
        <v>0.9959441162437136</v>
      </c>
      <c r="N210" s="136">
        <v>0.19385537984780352</v>
      </c>
      <c r="O210" s="136">
        <v>5.4309976686212715E-2</v>
      </c>
      <c r="P210" s="74"/>
      <c r="Q210" s="137"/>
      <c r="R210" s="138"/>
      <c r="S210" s="137"/>
      <c r="T210" s="137"/>
    </row>
    <row r="211" spans="2:20" ht="15" customHeight="1" x14ac:dyDescent="0.2">
      <c r="B211" s="74">
        <v>570</v>
      </c>
      <c r="C211" s="137">
        <v>1.5568799999999999E-4</v>
      </c>
      <c r="D211" s="137">
        <v>0.77652600000000005</v>
      </c>
      <c r="E211" s="137">
        <v>0.99954299999999996</v>
      </c>
      <c r="F211" s="138">
        <v>0.20760000000000001</v>
      </c>
      <c r="G211" s="137">
        <v>5.8701299999999998E-2</v>
      </c>
      <c r="H211" s="74"/>
      <c r="J211" s="74">
        <v>570</v>
      </c>
      <c r="K211" s="136">
        <v>1.2220973418533893E-4</v>
      </c>
      <c r="L211" s="136">
        <v>0.73644346859424314</v>
      </c>
      <c r="M211" s="136">
        <v>0.99377728011058253</v>
      </c>
      <c r="N211" s="136">
        <v>0.18411444860898485</v>
      </c>
      <c r="O211" s="136">
        <v>5.0356862448945668E-2</v>
      </c>
      <c r="P211" s="74"/>
      <c r="Q211" s="137"/>
      <c r="R211" s="138"/>
      <c r="S211" s="137"/>
      <c r="T211" s="137"/>
    </row>
    <row r="212" spans="2:20" ht="15" customHeight="1" x14ac:dyDescent="0.2">
      <c r="B212" s="74">
        <v>571</v>
      </c>
      <c r="C212" s="137">
        <v>1.4148000000000001E-4</v>
      </c>
      <c r="D212" s="137">
        <v>0.76231099999999996</v>
      </c>
      <c r="E212" s="137">
        <v>0.99861500000000003</v>
      </c>
      <c r="F212" s="138">
        <v>0.19739999999999999</v>
      </c>
      <c r="G212" s="137">
        <v>5.4483200000000002E-2</v>
      </c>
      <c r="H212" s="74"/>
      <c r="J212" s="74">
        <v>571</v>
      </c>
      <c r="K212" s="136">
        <v>1.1086244652118913E-4</v>
      </c>
      <c r="L212" s="136">
        <v>0.72169608155251053</v>
      </c>
      <c r="M212" s="136">
        <v>0.99111583343719212</v>
      </c>
      <c r="N212" s="136">
        <v>0.17476176339877775</v>
      </c>
      <c r="O212" s="136">
        <v>4.6656515260009142E-2</v>
      </c>
      <c r="P212" s="74"/>
      <c r="Q212" s="137"/>
      <c r="R212" s="138"/>
      <c r="S212" s="137"/>
      <c r="T212" s="137"/>
    </row>
    <row r="213" spans="2:20" ht="15" customHeight="1" x14ac:dyDescent="0.2">
      <c r="B213" s="74">
        <v>572</v>
      </c>
      <c r="C213" s="137">
        <v>1.28596E-4</v>
      </c>
      <c r="D213" s="137">
        <v>0.74766900000000003</v>
      </c>
      <c r="E213" s="137">
        <v>0.99705100000000002</v>
      </c>
      <c r="F213" s="138">
        <v>0.18759999999999999</v>
      </c>
      <c r="G213" s="137">
        <v>5.0488900000000003E-2</v>
      </c>
      <c r="H213" s="74"/>
      <c r="J213" s="74">
        <v>572</v>
      </c>
      <c r="K213" s="136">
        <v>1.0059049532923401E-4</v>
      </c>
      <c r="L213" s="136">
        <v>0.70659671552526016</v>
      </c>
      <c r="M213" s="136">
        <v>0.98783357214452561</v>
      </c>
      <c r="N213" s="136">
        <v>0.16579528796178744</v>
      </c>
      <c r="O213" s="136">
        <v>4.3160421713900242E-2</v>
      </c>
      <c r="P213" s="74"/>
      <c r="Q213" s="137"/>
      <c r="R213" s="138"/>
      <c r="S213" s="137"/>
      <c r="T213" s="137"/>
    </row>
    <row r="214" spans="2:20" ht="15" customHeight="1" x14ac:dyDescent="0.2">
      <c r="B214" s="74">
        <v>573</v>
      </c>
      <c r="C214" s="137">
        <v>1.1691199999999999E-4</v>
      </c>
      <c r="D214" s="137">
        <v>0.73247600000000002</v>
      </c>
      <c r="E214" s="137">
        <v>0.99470099999999995</v>
      </c>
      <c r="F214" s="138">
        <v>0.1782</v>
      </c>
      <c r="G214" s="137">
        <v>4.6734400000000002E-2</v>
      </c>
      <c r="H214" s="74"/>
      <c r="J214" s="74">
        <v>573</v>
      </c>
      <c r="K214" s="136">
        <v>9.1291424444556505E-5</v>
      </c>
      <c r="L214" s="136">
        <v>0.69103022964009264</v>
      </c>
      <c r="M214" s="136">
        <v>0.9837853926344996</v>
      </c>
      <c r="N214" s="136">
        <v>0.15721300025731644</v>
      </c>
      <c r="O214" s="136">
        <v>3.9881166145090165E-2</v>
      </c>
      <c r="P214" s="74"/>
      <c r="Q214" s="137"/>
      <c r="R214" s="138"/>
      <c r="S214" s="137"/>
      <c r="T214" s="137"/>
    </row>
    <row r="215" spans="2:20" ht="15" customHeight="1" x14ac:dyDescent="0.2">
      <c r="B215" s="74">
        <v>574</v>
      </c>
      <c r="C215" s="137">
        <v>1.06316E-4</v>
      </c>
      <c r="D215" s="137">
        <v>0.71662199999999998</v>
      </c>
      <c r="E215" s="137">
        <v>0.99141599999999996</v>
      </c>
      <c r="F215" s="138">
        <v>0.16900000000000001</v>
      </c>
      <c r="G215" s="137">
        <v>4.3235700000000002E-2</v>
      </c>
      <c r="H215" s="74"/>
      <c r="J215" s="74">
        <v>574</v>
      </c>
      <c r="K215" s="136">
        <v>8.2872845628714339E-5</v>
      </c>
      <c r="L215" s="136">
        <v>0.67489547022631302</v>
      </c>
      <c r="M215" s="136">
        <v>0.97882818978713093</v>
      </c>
      <c r="N215" s="136">
        <v>0.14883675416493383</v>
      </c>
      <c r="O215" s="136">
        <v>3.6831245192339518E-2</v>
      </c>
      <c r="P215" s="74"/>
      <c r="Q215" s="137"/>
      <c r="R215" s="138"/>
      <c r="S215" s="137"/>
      <c r="T215" s="137"/>
    </row>
    <row r="216" spans="2:20" ht="15" customHeight="1" x14ac:dyDescent="0.2">
      <c r="B216" s="74">
        <v>575</v>
      </c>
      <c r="C216" s="137">
        <v>9.6704499999999995E-5</v>
      </c>
      <c r="D216" s="137">
        <v>0.700013</v>
      </c>
      <c r="E216" s="137">
        <v>0.98705699999999996</v>
      </c>
      <c r="F216" s="138">
        <v>0.16020000000000001</v>
      </c>
      <c r="G216" s="137">
        <v>4.00089E-2</v>
      </c>
      <c r="H216" s="74"/>
      <c r="J216" s="74">
        <v>575</v>
      </c>
      <c r="K216" s="136">
        <v>7.524962753299109E-5</v>
      </c>
      <c r="L216" s="136">
        <v>0.65810702945796873</v>
      </c>
      <c r="M216" s="136">
        <v>0.97282970985782824</v>
      </c>
      <c r="N216" s="136">
        <v>0.1408413065282805</v>
      </c>
      <c r="O216" s="136">
        <v>3.4023153600232531E-2</v>
      </c>
      <c r="P216" s="74"/>
      <c r="Q216" s="137"/>
      <c r="R216" s="138"/>
      <c r="S216" s="137"/>
      <c r="T216" s="137"/>
    </row>
    <row r="217" spans="2:20" ht="15" customHeight="1" x14ac:dyDescent="0.2">
      <c r="B217" s="74">
        <v>576</v>
      </c>
      <c r="C217" s="137">
        <v>8.7985799999999994E-5</v>
      </c>
      <c r="D217" s="137">
        <v>0.682647</v>
      </c>
      <c r="E217" s="137">
        <v>0.981599</v>
      </c>
      <c r="F217" s="138">
        <v>0.1517</v>
      </c>
      <c r="G217" s="137">
        <v>3.70102E-2</v>
      </c>
      <c r="H217" s="74"/>
      <c r="J217" s="74">
        <v>576</v>
      </c>
      <c r="K217" s="136">
        <v>6.8346396108055955E-5</v>
      </c>
      <c r="L217" s="136">
        <v>0.64066643491892827</v>
      </c>
      <c r="M217" s="136">
        <v>0.96577077928811839</v>
      </c>
      <c r="N217" s="136">
        <v>0.13313691073219658</v>
      </c>
      <c r="O217" s="136">
        <v>3.1418449440173711E-2</v>
      </c>
      <c r="P217" s="74"/>
      <c r="Q217" s="137"/>
      <c r="R217" s="138"/>
      <c r="S217" s="137"/>
      <c r="T217" s="137"/>
    </row>
    <row r="218" spans="2:20" ht="15" customHeight="1" x14ac:dyDescent="0.2">
      <c r="B218" s="74">
        <v>577</v>
      </c>
      <c r="C218" s="137">
        <v>8.0075599999999996E-5</v>
      </c>
      <c r="D218" s="137">
        <v>0.66481699999999999</v>
      </c>
      <c r="E218" s="137">
        <v>0.97545099999999996</v>
      </c>
      <c r="F218" s="138">
        <v>0.14360000000000001</v>
      </c>
      <c r="G218" s="137">
        <v>3.41903E-2</v>
      </c>
      <c r="H218" s="74"/>
      <c r="J218" s="74">
        <v>577</v>
      </c>
      <c r="K218" s="136">
        <v>6.2094038104170947E-5</v>
      </c>
      <c r="L218" s="136">
        <v>0.62285158224089554</v>
      </c>
      <c r="M218" s="136">
        <v>0.95805861917865998</v>
      </c>
      <c r="N218" s="136">
        <v>0.12580966469599439</v>
      </c>
      <c r="O218" s="136">
        <v>2.8974296347718066E-2</v>
      </c>
      <c r="P218" s="74"/>
      <c r="Q218" s="137"/>
      <c r="R218" s="138"/>
      <c r="S218" s="137"/>
      <c r="T218" s="137"/>
    </row>
    <row r="219" spans="2:20" ht="15" customHeight="1" x14ac:dyDescent="0.2">
      <c r="B219" s="74">
        <v>578</v>
      </c>
      <c r="C219" s="137">
        <v>7.2897899999999999E-5</v>
      </c>
      <c r="D219" s="137">
        <v>0.64685800000000004</v>
      </c>
      <c r="E219" s="137">
        <v>0.96911999999999998</v>
      </c>
      <c r="F219" s="138">
        <v>0.1358</v>
      </c>
      <c r="G219" s="137">
        <v>3.15562E-2</v>
      </c>
      <c r="H219" s="74"/>
      <c r="J219" s="74">
        <v>578</v>
      </c>
      <c r="K219" s="136">
        <v>5.6430343603002835E-5</v>
      </c>
      <c r="L219" s="136">
        <v>0.60497772464785626</v>
      </c>
      <c r="M219" s="136">
        <v>0.95019371861493929</v>
      </c>
      <c r="N219" s="136">
        <v>0.11877015128430274</v>
      </c>
      <c r="O219" s="136">
        <v>2.6695782843715338E-2</v>
      </c>
      <c r="P219" s="74"/>
      <c r="Q219" s="137"/>
      <c r="R219" s="138"/>
      <c r="S219" s="137"/>
      <c r="T219" s="137"/>
    </row>
    <row r="220" spans="2:20" ht="15" customHeight="1" x14ac:dyDescent="0.2">
      <c r="B220" s="74">
        <v>579</v>
      </c>
      <c r="C220" s="137">
        <v>6.6383699999999999E-5</v>
      </c>
      <c r="D220" s="137">
        <v>0.62907199999999996</v>
      </c>
      <c r="E220" s="137">
        <v>0.96309299999999998</v>
      </c>
      <c r="F220" s="138">
        <v>0.12839999999999999</v>
      </c>
      <c r="G220" s="137">
        <v>2.91153E-2</v>
      </c>
      <c r="H220" s="74"/>
      <c r="J220" s="74">
        <v>579</v>
      </c>
      <c r="K220" s="136">
        <v>5.1298941810000494E-5</v>
      </c>
      <c r="L220" s="136">
        <v>0.58732712731049386</v>
      </c>
      <c r="M220" s="136">
        <v>0.94265353352685721</v>
      </c>
      <c r="N220" s="136">
        <v>0.11210418821230531</v>
      </c>
      <c r="O220" s="136">
        <v>2.4588300101055185E-2</v>
      </c>
      <c r="P220" s="74"/>
      <c r="Q220" s="137"/>
      <c r="R220" s="138"/>
      <c r="S220" s="137"/>
      <c r="T220" s="137"/>
    </row>
    <row r="221" spans="2:20" ht="15" customHeight="1" x14ac:dyDescent="0.2">
      <c r="B221" s="74">
        <v>580</v>
      </c>
      <c r="C221" s="137">
        <v>6.0470500000000003E-5</v>
      </c>
      <c r="D221" s="137">
        <v>0.61172800000000005</v>
      </c>
      <c r="E221" s="137">
        <v>0.95784100000000005</v>
      </c>
      <c r="F221" s="138">
        <v>0.1212</v>
      </c>
      <c r="G221" s="137">
        <v>2.6874700000000001E-2</v>
      </c>
      <c r="H221" s="74"/>
      <c r="J221" s="74">
        <v>580</v>
      </c>
      <c r="K221" s="136">
        <v>4.6648865001234639E-5</v>
      </c>
      <c r="L221" s="136">
        <v>0.5701493517259606</v>
      </c>
      <c r="M221" s="136">
        <v>0.93589659360929378</v>
      </c>
      <c r="N221" s="136">
        <v>0.10563552727146958</v>
      </c>
      <c r="O221" s="136">
        <v>2.2656949194519622E-2</v>
      </c>
      <c r="P221" s="74"/>
      <c r="Q221" s="137"/>
      <c r="R221" s="138"/>
      <c r="S221" s="137"/>
      <c r="T221" s="137"/>
    </row>
    <row r="222" spans="2:20" ht="15" customHeight="1" x14ac:dyDescent="0.2">
      <c r="B222" s="74">
        <v>581</v>
      </c>
      <c r="C222" s="137">
        <v>5.5102000000000002E-5</v>
      </c>
      <c r="D222" s="137">
        <v>0.59499800000000003</v>
      </c>
      <c r="E222" s="137">
        <v>0.95366399999999996</v>
      </c>
      <c r="F222" s="138">
        <v>0.1143</v>
      </c>
      <c r="G222" s="137">
        <v>2.4801400000000001E-2</v>
      </c>
      <c r="H222" s="74"/>
      <c r="J222" s="74">
        <v>581</v>
      </c>
      <c r="K222" s="136">
        <v>4.2434270994169718E-5</v>
      </c>
      <c r="L222" s="136">
        <v>0.55360198985589948</v>
      </c>
      <c r="M222" s="136">
        <v>0.93021147696140127</v>
      </c>
      <c r="N222" s="136">
        <v>9.9450157702021716E-2</v>
      </c>
      <c r="O222" s="136">
        <v>2.0873047613427703E-2</v>
      </c>
      <c r="P222" s="74"/>
      <c r="Q222" s="137"/>
      <c r="R222" s="138"/>
      <c r="S222" s="137"/>
      <c r="T222" s="137"/>
    </row>
    <row r="223" spans="2:20" ht="15" customHeight="1" x14ac:dyDescent="0.2">
      <c r="B223" s="74">
        <v>582</v>
      </c>
      <c r="C223" s="137">
        <v>5.0226899999999998E-5</v>
      </c>
      <c r="D223" s="137">
        <v>0.57878300000000005</v>
      </c>
      <c r="E223" s="137">
        <v>0.95023599999999997</v>
      </c>
      <c r="F223" s="138">
        <v>0.10780000000000001</v>
      </c>
      <c r="G223" s="137">
        <v>2.28597E-2</v>
      </c>
      <c r="H223" s="74"/>
      <c r="J223" s="74">
        <v>582</v>
      </c>
      <c r="K223" s="136">
        <v>3.8613476576838056E-5</v>
      </c>
      <c r="L223" s="136">
        <v>0.53758983817618566</v>
      </c>
      <c r="M223" s="136">
        <v>0.92527522208164759</v>
      </c>
      <c r="N223" s="136">
        <v>9.3633477752846181E-2</v>
      </c>
      <c r="O223" s="136">
        <v>1.9205841541505318E-2</v>
      </c>
      <c r="P223" s="74"/>
      <c r="Q223" s="137"/>
      <c r="R223" s="138"/>
      <c r="S223" s="137"/>
      <c r="T223" s="137"/>
    </row>
    <row r="224" spans="2:20" ht="15" customHeight="1" x14ac:dyDescent="0.2">
      <c r="B224" s="74">
        <v>583</v>
      </c>
      <c r="C224" s="137">
        <v>4.5798799999999999E-5</v>
      </c>
      <c r="D224" s="137">
        <v>0.56293499999999996</v>
      </c>
      <c r="E224" s="137">
        <v>0.94708599999999998</v>
      </c>
      <c r="F224" s="138">
        <v>0.10150000000000001</v>
      </c>
      <c r="G224" s="137">
        <v>2.10534E-2</v>
      </c>
      <c r="H224" s="74"/>
      <c r="J224" s="74">
        <v>583</v>
      </c>
      <c r="K224" s="136">
        <v>3.514884509292451E-5</v>
      </c>
      <c r="L224" s="136">
        <v>0.52197291185580985</v>
      </c>
      <c r="M224" s="136">
        <v>0.92062613436495255</v>
      </c>
      <c r="N224" s="136">
        <v>8.8010171165296927E-2</v>
      </c>
      <c r="O224" s="136">
        <v>1.7657917625082405E-2</v>
      </c>
      <c r="P224" s="74"/>
      <c r="Q224" s="137"/>
      <c r="R224" s="138"/>
      <c r="S224" s="137"/>
      <c r="T224" s="137"/>
    </row>
    <row r="225" spans="2:20" ht="15" customHeight="1" x14ac:dyDescent="0.2">
      <c r="B225" s="74">
        <v>584</v>
      </c>
      <c r="C225" s="137">
        <v>4.1775900000000001E-5</v>
      </c>
      <c r="D225" s="137">
        <v>0.54732099999999995</v>
      </c>
      <c r="E225" s="137">
        <v>0.94375200000000004</v>
      </c>
      <c r="F225" s="136">
        <v>9.5600000000000004E-2</v>
      </c>
      <c r="G225" s="137">
        <v>1.9386400000000002E-2</v>
      </c>
      <c r="H225" s="74"/>
      <c r="J225" s="74">
        <v>584</v>
      </c>
      <c r="K225" s="136">
        <v>3.2006521952200216E-5</v>
      </c>
      <c r="L225" s="136">
        <v>0.50662606956973988</v>
      </c>
      <c r="M225" s="136">
        <v>0.91581441507396588</v>
      </c>
      <c r="N225" s="136">
        <v>8.2752366689108417E-2</v>
      </c>
      <c r="O225" s="136">
        <v>1.6231928522164096E-2</v>
      </c>
      <c r="P225" s="74"/>
      <c r="Q225" s="137"/>
      <c r="R225" s="136"/>
      <c r="S225" s="137"/>
      <c r="T225" s="137"/>
    </row>
    <row r="226" spans="2:20" ht="15" customHeight="1" x14ac:dyDescent="0.2">
      <c r="B226" s="74">
        <v>585</v>
      </c>
      <c r="C226" s="137">
        <v>3.8120200000000001E-5</v>
      </c>
      <c r="D226" s="137">
        <v>0.53182499999999999</v>
      </c>
      <c r="E226" s="137">
        <v>0.93978099999999998</v>
      </c>
      <c r="F226" s="136">
        <v>8.9899999999999994E-2</v>
      </c>
      <c r="G226" s="137">
        <v>1.78624E-2</v>
      </c>
      <c r="H226" s="74"/>
      <c r="J226" s="74">
        <v>585</v>
      </c>
      <c r="K226" s="136">
        <v>2.9155790434500555E-5</v>
      </c>
      <c r="L226" s="136">
        <v>0.49144073476084393</v>
      </c>
      <c r="M226" s="136">
        <v>0.910402059664983</v>
      </c>
      <c r="N226" s="136">
        <v>7.7685363783658659E-2</v>
      </c>
      <c r="O226" s="136">
        <v>1.4930341582312307E-2</v>
      </c>
      <c r="P226" s="74"/>
      <c r="Q226" s="137"/>
      <c r="R226" s="136"/>
      <c r="S226" s="137"/>
      <c r="T226" s="137"/>
    </row>
    <row r="227" spans="2:20" ht="15" customHeight="1" x14ac:dyDescent="0.2">
      <c r="B227" s="74">
        <v>586</v>
      </c>
      <c r="C227" s="137">
        <v>3.47974E-5</v>
      </c>
      <c r="D227" s="137">
        <v>0.51635399999999998</v>
      </c>
      <c r="E227" s="137">
        <v>0.93482600000000005</v>
      </c>
      <c r="F227" s="136">
        <v>8.4500000000000006E-2</v>
      </c>
      <c r="G227" s="137">
        <v>1.6457800000000002E-2</v>
      </c>
      <c r="H227" s="74"/>
      <c r="J227" s="74">
        <v>586</v>
      </c>
      <c r="K227" s="136">
        <v>2.6568968562774455E-5</v>
      </c>
      <c r="L227" s="136">
        <v>0.47633028922935683</v>
      </c>
      <c r="M227" s="136">
        <v>0.90405656443747973</v>
      </c>
      <c r="N227" s="136">
        <v>7.2894451271904456E-2</v>
      </c>
      <c r="O227" s="136">
        <v>1.3732827464664562E-2</v>
      </c>
      <c r="P227" s="74"/>
      <c r="Q227" s="137"/>
      <c r="R227" s="136"/>
      <c r="S227" s="137"/>
      <c r="T227" s="137"/>
    </row>
    <row r="228" spans="2:20" ht="15" customHeight="1" x14ac:dyDescent="0.2">
      <c r="B228" s="74">
        <v>587</v>
      </c>
      <c r="C228" s="137">
        <v>3.1776300000000003E-5</v>
      </c>
      <c r="D228" s="137">
        <v>0.50087000000000004</v>
      </c>
      <c r="E228" s="137">
        <v>0.92891699999999999</v>
      </c>
      <c r="F228" s="136">
        <v>7.9299999999999995E-2</v>
      </c>
      <c r="G228" s="137">
        <v>1.5147000000000001E-2</v>
      </c>
      <c r="H228" s="74"/>
      <c r="J228" s="74">
        <v>587</v>
      </c>
      <c r="K228" s="136">
        <v>2.4220925914034245E-5</v>
      </c>
      <c r="L228" s="136">
        <v>0.46125935541618696</v>
      </c>
      <c r="M228" s="136">
        <v>0.89681166155596603</v>
      </c>
      <c r="N228" s="136">
        <v>6.8292099467055334E-2</v>
      </c>
      <c r="O228" s="136">
        <v>1.2617529348445065E-2</v>
      </c>
      <c r="P228" s="74"/>
      <c r="Q228" s="137"/>
      <c r="R228" s="136"/>
      <c r="S228" s="137"/>
      <c r="T228" s="137"/>
    </row>
    <row r="229" spans="2:20" ht="15" customHeight="1" x14ac:dyDescent="0.2">
      <c r="B229" s="74">
        <v>588</v>
      </c>
      <c r="C229" s="137">
        <v>2.9028799999999999E-5</v>
      </c>
      <c r="D229" s="137">
        <v>0.48535</v>
      </c>
      <c r="E229" s="137">
        <v>0.92217700000000002</v>
      </c>
      <c r="F229" s="136">
        <v>7.4499999999999997E-2</v>
      </c>
      <c r="G229" s="137">
        <v>1.39314E-2</v>
      </c>
      <c r="H229" s="74"/>
      <c r="J229" s="74">
        <v>588</v>
      </c>
      <c r="K229" s="136">
        <v>2.2089061922467372E-5</v>
      </c>
      <c r="L229" s="136">
        <v>0.44620658667789337</v>
      </c>
      <c r="M229" s="136">
        <v>0.88879048674071581</v>
      </c>
      <c r="N229" s="136">
        <v>6.4049290729330854E-2</v>
      </c>
      <c r="O229" s="136">
        <v>1.1585191988154688E-2</v>
      </c>
      <c r="P229" s="74"/>
      <c r="Q229" s="137"/>
      <c r="R229" s="136"/>
      <c r="S229" s="137"/>
      <c r="T229" s="137"/>
    </row>
    <row r="230" spans="2:20" ht="15" customHeight="1" x14ac:dyDescent="0.2">
      <c r="B230" s="74">
        <v>589</v>
      </c>
      <c r="C230" s="137">
        <v>2.65294E-5</v>
      </c>
      <c r="D230" s="137">
        <v>0.469777</v>
      </c>
      <c r="E230" s="137">
        <v>0.91472900000000001</v>
      </c>
      <c r="F230" s="136">
        <v>6.9900000000000004E-2</v>
      </c>
      <c r="G230" s="137">
        <v>1.2812E-2</v>
      </c>
      <c r="H230" s="74"/>
      <c r="J230" s="74">
        <v>589</v>
      </c>
      <c r="K230" s="136">
        <v>2.0152904581473931E-5</v>
      </c>
      <c r="L230" s="136">
        <v>0.43115628807534812</v>
      </c>
      <c r="M230" s="136">
        <v>0.88011533947621134</v>
      </c>
      <c r="N230" s="136">
        <v>5.9992541291105921E-2</v>
      </c>
      <c r="O230" s="136">
        <v>1.0636223009885946E-2</v>
      </c>
      <c r="P230" s="74"/>
      <c r="Q230" s="137"/>
      <c r="R230" s="136"/>
      <c r="S230" s="137"/>
      <c r="T230" s="137"/>
    </row>
    <row r="231" spans="2:20" ht="15" customHeight="1" x14ac:dyDescent="0.2">
      <c r="B231" s="74">
        <v>590</v>
      </c>
      <c r="C231" s="137">
        <v>2.42549E-5</v>
      </c>
      <c r="D231" s="137">
        <v>0.45414199999999999</v>
      </c>
      <c r="E231" s="137">
        <v>0.90669299999999997</v>
      </c>
      <c r="F231" s="136">
        <v>6.5500000000000003E-2</v>
      </c>
      <c r="G231" s="137">
        <v>1.17901E-2</v>
      </c>
      <c r="H231" s="74"/>
      <c r="J231" s="74">
        <v>590</v>
      </c>
      <c r="K231" s="136">
        <v>1.8393864898031908E-5</v>
      </c>
      <c r="L231" s="136">
        <v>0.41610020094531897</v>
      </c>
      <c r="M231" s="136">
        <v>0.87090480851125829</v>
      </c>
      <c r="N231" s="136">
        <v>5.6120905088145795E-2</v>
      </c>
      <c r="O231" s="136">
        <v>9.7712759070305317E-3</v>
      </c>
      <c r="P231" s="74"/>
      <c r="Q231" s="137"/>
      <c r="R231" s="136"/>
      <c r="S231" s="137"/>
      <c r="T231" s="137"/>
    </row>
    <row r="232" spans="2:20" ht="15" customHeight="1" x14ac:dyDescent="0.2">
      <c r="B232" s="74">
        <v>591</v>
      </c>
      <c r="C232" s="137">
        <v>2.2184700000000001E-5</v>
      </c>
      <c r="D232" s="137">
        <v>0.43845400000000001</v>
      </c>
      <c r="E232" s="137">
        <v>0.89817000000000002</v>
      </c>
      <c r="F232" s="136">
        <v>6.13E-2</v>
      </c>
      <c r="G232" s="137">
        <v>1.08488E-2</v>
      </c>
      <c r="H232" s="74"/>
      <c r="J232" s="74">
        <v>591</v>
      </c>
      <c r="K232" s="136">
        <v>1.6795448084000975E-5</v>
      </c>
      <c r="L232" s="136">
        <v>0.40104658682161687</v>
      </c>
      <c r="M232" s="136">
        <v>0.86125846079483293</v>
      </c>
      <c r="N232" s="136">
        <v>5.2433442459357764E-2</v>
      </c>
      <c r="O232" s="136">
        <v>8.9759416663238514E-3</v>
      </c>
      <c r="P232" s="74"/>
      <c r="Q232" s="137"/>
      <c r="R232" s="136"/>
      <c r="S232" s="137"/>
      <c r="T232" s="137"/>
    </row>
    <row r="233" spans="2:20" ht="15" customHeight="1" x14ac:dyDescent="0.2">
      <c r="B233" s="74">
        <v>592</v>
      </c>
      <c r="C233" s="137">
        <v>2.0299600000000001E-5</v>
      </c>
      <c r="D233" s="137">
        <v>0.42277799999999999</v>
      </c>
      <c r="E233" s="137">
        <v>0.88918799999999998</v>
      </c>
      <c r="F233" s="136">
        <v>5.74E-2</v>
      </c>
      <c r="G233" s="137">
        <v>9.97112E-3</v>
      </c>
      <c r="H233" s="74"/>
      <c r="J233" s="74">
        <v>592</v>
      </c>
      <c r="K233" s="136">
        <v>1.5342328915010835E-5</v>
      </c>
      <c r="L233" s="136">
        <v>0.38605478716207087</v>
      </c>
      <c r="M233" s="136">
        <v>0.85120530880546896</v>
      </c>
      <c r="N233" s="136">
        <v>4.9014611401772885E-2</v>
      </c>
      <c r="O233" s="136">
        <v>8.2358425551265681E-3</v>
      </c>
      <c r="P233" s="74"/>
      <c r="Q233" s="137"/>
      <c r="R233" s="136"/>
      <c r="S233" s="137"/>
      <c r="T233" s="137"/>
    </row>
    <row r="234" spans="2:20" ht="15" customHeight="1" x14ac:dyDescent="0.2">
      <c r="B234" s="74">
        <v>593</v>
      </c>
      <c r="C234" s="137">
        <v>1.8582600000000001E-5</v>
      </c>
      <c r="D234" s="137">
        <v>0.40718799999999999</v>
      </c>
      <c r="E234" s="137">
        <v>0.87975899999999996</v>
      </c>
      <c r="F234" s="136">
        <v>5.3699999999999998E-2</v>
      </c>
      <c r="G234" s="137">
        <v>9.1585E-3</v>
      </c>
      <c r="H234" s="74"/>
      <c r="J234" s="74">
        <v>593</v>
      </c>
      <c r="K234" s="136">
        <v>1.4020945485138493E-5</v>
      </c>
      <c r="L234" s="136">
        <v>0.37119194753086499</v>
      </c>
      <c r="M234" s="136">
        <v>0.84075887860937848</v>
      </c>
      <c r="N234" s="136">
        <v>4.5777805592155892E-2</v>
      </c>
      <c r="O234" s="136">
        <v>7.5518865282847465E-3</v>
      </c>
      <c r="P234" s="74"/>
      <c r="Q234" s="137"/>
      <c r="R234" s="136"/>
      <c r="S234" s="137"/>
      <c r="T234" s="137"/>
    </row>
    <row r="235" spans="2:20" ht="15" customHeight="1" x14ac:dyDescent="0.2">
      <c r="B235" s="74">
        <v>594</v>
      </c>
      <c r="C235" s="137">
        <v>1.7018199999999999E-5</v>
      </c>
      <c r="D235" s="137">
        <v>0.39175199999999999</v>
      </c>
      <c r="E235" s="137">
        <v>0.86989399999999995</v>
      </c>
      <c r="F235" s="136">
        <v>5.0200000000000002E-2</v>
      </c>
      <c r="G235" s="137">
        <v>8.4124200000000003E-3</v>
      </c>
      <c r="H235" s="74"/>
      <c r="J235" s="74">
        <v>594</v>
      </c>
      <c r="K235" s="136">
        <v>1.2818957089245107E-5</v>
      </c>
      <c r="L235" s="136">
        <v>0.35651930095089834</v>
      </c>
      <c r="M235" s="136">
        <v>0.82993165112748379</v>
      </c>
      <c r="N235" s="136">
        <v>4.2722105711072614E-2</v>
      </c>
      <c r="O235" s="136">
        <v>6.9250083540149344E-3</v>
      </c>
      <c r="P235" s="74"/>
      <c r="Q235" s="137"/>
      <c r="R235" s="136"/>
      <c r="S235" s="137"/>
      <c r="T235" s="137"/>
    </row>
    <row r="236" spans="2:20" ht="15" customHeight="1" x14ac:dyDescent="0.2">
      <c r="B236" s="74">
        <v>595</v>
      </c>
      <c r="C236" s="137">
        <v>1.55924E-5</v>
      </c>
      <c r="D236" s="137">
        <v>0.376527</v>
      </c>
      <c r="E236" s="137">
        <v>0.85960499999999995</v>
      </c>
      <c r="F236" s="136">
        <v>4.6899999999999997E-2</v>
      </c>
      <c r="G236" s="137">
        <v>7.7343000000000004E-3</v>
      </c>
      <c r="H236" s="74"/>
      <c r="J236" s="74">
        <v>595</v>
      </c>
      <c r="K236" s="136">
        <v>1.1725233960784562E-5</v>
      </c>
      <c r="L236" s="136">
        <v>0.34208767491776443</v>
      </c>
      <c r="M236" s="136">
        <v>0.81873697583256166</v>
      </c>
      <c r="N236" s="136">
        <v>3.9846598619387573E-2</v>
      </c>
      <c r="O236" s="136">
        <v>6.3560872080714193E-3</v>
      </c>
      <c r="P236" s="74"/>
      <c r="Q236" s="137"/>
      <c r="R236" s="136"/>
      <c r="S236" s="137"/>
      <c r="T236" s="137"/>
    </row>
    <row r="237" spans="2:20" ht="15" customHeight="1" x14ac:dyDescent="0.2">
      <c r="B237" s="74">
        <v>596</v>
      </c>
      <c r="C237" s="137">
        <v>1.4292400000000001E-5</v>
      </c>
      <c r="D237" s="137">
        <v>0.36155900000000002</v>
      </c>
      <c r="E237" s="137">
        <v>0.848912</v>
      </c>
      <c r="F237" s="136">
        <v>4.3799999999999999E-2</v>
      </c>
      <c r="G237" s="137">
        <v>7.1125499999999996E-3</v>
      </c>
      <c r="H237" s="74"/>
      <c r="J237" s="74">
        <v>596</v>
      </c>
      <c r="K237" s="136">
        <v>1.0729621896264207E-5</v>
      </c>
      <c r="L237" s="136">
        <v>0.32793757869444318</v>
      </c>
      <c r="M237" s="136">
        <v>0.80719571947659252</v>
      </c>
      <c r="N237" s="136">
        <v>3.7150377306415891E-2</v>
      </c>
      <c r="O237" s="136">
        <v>5.8353226203779135E-3</v>
      </c>
      <c r="P237" s="74"/>
      <c r="Q237" s="137"/>
      <c r="R237" s="136"/>
      <c r="S237" s="137"/>
      <c r="T237" s="137"/>
    </row>
    <row r="238" spans="2:20" ht="15" customHeight="1" x14ac:dyDescent="0.2">
      <c r="B238" s="74">
        <v>597</v>
      </c>
      <c r="C238" s="137">
        <v>1.3106599999999999E-5</v>
      </c>
      <c r="D238" s="137">
        <v>0.346856</v>
      </c>
      <c r="E238" s="137">
        <v>0.83786499999999997</v>
      </c>
      <c r="F238" s="136">
        <v>4.0899999999999999E-2</v>
      </c>
      <c r="G238" s="137">
        <v>6.5347599999999997E-3</v>
      </c>
      <c r="H238" s="74"/>
      <c r="J238" s="74">
        <v>597</v>
      </c>
      <c r="K238" s="136">
        <v>9.8229340847000354E-6</v>
      </c>
      <c r="L238" s="136">
        <v>0.31407484148293219</v>
      </c>
      <c r="M238" s="136">
        <v>0.79535708699263563</v>
      </c>
      <c r="N238" s="136">
        <v>3.4632540838596189E-2</v>
      </c>
      <c r="O238" s="136">
        <v>5.3523081630198642E-3</v>
      </c>
      <c r="P238" s="74"/>
      <c r="Q238" s="137"/>
      <c r="R238" s="136"/>
      <c r="S238" s="137"/>
      <c r="T238" s="137"/>
    </row>
    <row r="239" spans="2:20" ht="15" customHeight="1" x14ac:dyDescent="0.2">
      <c r="B239" s="74">
        <v>598</v>
      </c>
      <c r="C239" s="137">
        <v>1.20248E-5</v>
      </c>
      <c r="D239" s="137">
        <v>0.332422</v>
      </c>
      <c r="E239" s="137">
        <v>0.82652199999999998</v>
      </c>
      <c r="F239" s="138">
        <v>3.8159999999999999E-2</v>
      </c>
      <c r="G239" s="137">
        <v>6.0010999999999997E-3</v>
      </c>
      <c r="H239" s="74"/>
      <c r="J239" s="74">
        <v>598</v>
      </c>
      <c r="K239" s="136">
        <v>8.9970926613341843E-6</v>
      </c>
      <c r="L239" s="136">
        <v>0.30050163758837461</v>
      </c>
      <c r="M239" s="136">
        <v>0.78327753561569702</v>
      </c>
      <c r="N239" s="136">
        <v>3.2258380492648508E-2</v>
      </c>
      <c r="O239" s="136">
        <v>4.9069934600694479E-3</v>
      </c>
      <c r="P239" s="74"/>
      <c r="Q239" s="137"/>
      <c r="R239" s="138"/>
      <c r="S239" s="137"/>
      <c r="T239" s="137"/>
    </row>
    <row r="240" spans="2:20" ht="15" customHeight="1" x14ac:dyDescent="0.2">
      <c r="B240" s="74">
        <v>599</v>
      </c>
      <c r="C240" s="137">
        <v>1.10373E-5</v>
      </c>
      <c r="D240" s="137">
        <v>0.31826100000000002</v>
      </c>
      <c r="E240" s="137">
        <v>0.81494</v>
      </c>
      <c r="F240" s="138">
        <v>3.5580000000000001E-2</v>
      </c>
      <c r="G240" s="137">
        <v>5.5117400000000002E-3</v>
      </c>
      <c r="H240" s="74"/>
      <c r="J240" s="74">
        <v>599</v>
      </c>
      <c r="K240" s="136">
        <v>8.2444471849030628E-6</v>
      </c>
      <c r="L240" s="136">
        <v>0.28722012679634668</v>
      </c>
      <c r="M240" s="136">
        <v>0.77101219947397659</v>
      </c>
      <c r="N240" s="136">
        <v>3.0027176688663653E-2</v>
      </c>
      <c r="O240" s="136">
        <v>4.4993284719990262E-3</v>
      </c>
      <c r="P240" s="74"/>
      <c r="Q240" s="137"/>
      <c r="R240" s="138"/>
      <c r="S240" s="137"/>
      <c r="T240" s="137"/>
    </row>
    <row r="241" spans="2:20" ht="15" customHeight="1" x14ac:dyDescent="0.2">
      <c r="B241" s="74">
        <v>600</v>
      </c>
      <c r="C241" s="137">
        <v>1.01356E-5</v>
      </c>
      <c r="D241" s="137">
        <v>0.30437799999999998</v>
      </c>
      <c r="E241" s="137">
        <v>0.80317300000000003</v>
      </c>
      <c r="F241" s="138">
        <v>3.3149999999999999E-2</v>
      </c>
      <c r="G241" s="137">
        <v>5.0668600000000003E-3</v>
      </c>
      <c r="H241" s="74"/>
      <c r="J241" s="74">
        <v>600</v>
      </c>
      <c r="K241" s="136">
        <v>7.5582930779409794E-6</v>
      </c>
      <c r="L241" s="136">
        <v>0.27423335545698346</v>
      </c>
      <c r="M241" s="136">
        <v>0.75861301157463368</v>
      </c>
      <c r="N241" s="136">
        <v>2.7929789368104314E-2</v>
      </c>
      <c r="O241" s="136">
        <v>4.1292716424450836E-3</v>
      </c>
      <c r="P241" s="74"/>
      <c r="Q241" s="137"/>
      <c r="R241" s="138"/>
      <c r="S241" s="137"/>
      <c r="T241" s="137"/>
    </row>
    <row r="242" spans="2:20" ht="15" customHeight="1" x14ac:dyDescent="0.2">
      <c r="B242" s="74">
        <v>601</v>
      </c>
      <c r="C242" s="137">
        <v>9.3120199999999997E-6</v>
      </c>
      <c r="D242" s="137">
        <v>0.29078399999999999</v>
      </c>
      <c r="E242" s="137">
        <v>0.79125299999999998</v>
      </c>
      <c r="F242" s="138">
        <v>3.0870000000000002E-2</v>
      </c>
      <c r="G242" s="137">
        <v>4.6586900000000001E-3</v>
      </c>
      <c r="H242" s="74"/>
      <c r="J242" s="74">
        <v>601</v>
      </c>
      <c r="K242" s="136">
        <v>6.9325808565943608E-6</v>
      </c>
      <c r="L242" s="136">
        <v>0.26154974642934892</v>
      </c>
      <c r="M242" s="136">
        <v>0.74611081441427229</v>
      </c>
      <c r="N242" s="136">
        <v>2.5965550561835256E-2</v>
      </c>
      <c r="O242" s="136">
        <v>3.7903135658544627E-3</v>
      </c>
      <c r="P242" s="74"/>
      <c r="Q242" s="137"/>
      <c r="R242" s="138"/>
      <c r="S242" s="137"/>
      <c r="T242" s="137"/>
    </row>
    <row r="243" spans="2:20" ht="15" customHeight="1" x14ac:dyDescent="0.2">
      <c r="B243" s="74">
        <v>602</v>
      </c>
      <c r="C243" s="137">
        <v>8.5594100000000004E-6</v>
      </c>
      <c r="D243" s="137">
        <v>0.27750599999999997</v>
      </c>
      <c r="E243" s="137">
        <v>0.77911799999999998</v>
      </c>
      <c r="F243" s="138">
        <v>2.8740000000000002E-2</v>
      </c>
      <c r="G243" s="137">
        <v>4.2794599999999997E-3</v>
      </c>
      <c r="H243" s="74"/>
      <c r="J243" s="74">
        <v>602</v>
      </c>
      <c r="K243" s="136">
        <v>6.3616951500699158E-6</v>
      </c>
      <c r="L243" s="136">
        <v>0.24919203412501117</v>
      </c>
      <c r="M243" s="136">
        <v>0.73344775563655551</v>
      </c>
      <c r="N243" s="136">
        <v>2.4133796739054372E-2</v>
      </c>
      <c r="O243" s="136">
        <v>3.4759880885381479E-3</v>
      </c>
      <c r="P243" s="74"/>
      <c r="Q243" s="137"/>
      <c r="R243" s="138"/>
      <c r="S243" s="137"/>
      <c r="T243" s="137"/>
    </row>
    <row r="244" spans="2:20" ht="15" customHeight="1" x14ac:dyDescent="0.2">
      <c r="B244" s="74">
        <v>603</v>
      </c>
      <c r="C244" s="137">
        <v>7.8714099999999996E-6</v>
      </c>
      <c r="D244" s="137">
        <v>0.264575</v>
      </c>
      <c r="E244" s="137">
        <v>0.76669100000000001</v>
      </c>
      <c r="F244" s="138">
        <v>2.674E-2</v>
      </c>
      <c r="G244" s="137">
        <v>3.9293899999999996E-3</v>
      </c>
      <c r="H244" s="74"/>
      <c r="J244" s="74">
        <v>603</v>
      </c>
      <c r="K244" s="136">
        <v>5.840644022933146E-6</v>
      </c>
      <c r="L244" s="136">
        <v>0.2371863880697421</v>
      </c>
      <c r="M244" s="136">
        <v>0.72055226933434902</v>
      </c>
      <c r="N244" s="136">
        <v>2.2417102052425933E-2</v>
      </c>
      <c r="O244" s="136">
        <v>3.1863510587385258E-3</v>
      </c>
      <c r="P244" s="74"/>
      <c r="Q244" s="137"/>
      <c r="R244" s="138"/>
      <c r="S244" s="137"/>
      <c r="T244" s="137"/>
    </row>
    <row r="245" spans="2:20" ht="15" customHeight="1" x14ac:dyDescent="0.2">
      <c r="B245" s="74">
        <v>604</v>
      </c>
      <c r="C245" s="137">
        <v>7.2422099999999997E-6</v>
      </c>
      <c r="D245" s="137">
        <v>0.25201200000000001</v>
      </c>
      <c r="E245" s="137">
        <v>0.75390000000000001</v>
      </c>
      <c r="F245" s="138">
        <v>2.487E-2</v>
      </c>
      <c r="G245" s="137">
        <v>3.6087200000000002E-3</v>
      </c>
      <c r="H245" s="74"/>
      <c r="J245" s="74">
        <v>604</v>
      </c>
      <c r="K245" s="136">
        <v>5.3648760272945486E-6</v>
      </c>
      <c r="L245" s="136">
        <v>0.22554985451633228</v>
      </c>
      <c r="M245" s="136">
        <v>0.7073579548717337</v>
      </c>
      <c r="N245" s="136">
        <v>2.081489501617435E-2</v>
      </c>
      <c r="O245" s="136">
        <v>2.9214741460353261E-3</v>
      </c>
      <c r="P245" s="74"/>
      <c r="Q245" s="137"/>
      <c r="R245" s="138"/>
      <c r="S245" s="137"/>
      <c r="T245" s="137"/>
    </row>
    <row r="246" spans="2:20" ht="15" customHeight="1" x14ac:dyDescent="0.2">
      <c r="B246" s="74">
        <v>605</v>
      </c>
      <c r="C246" s="137">
        <v>6.6665700000000003E-6</v>
      </c>
      <c r="D246" s="137">
        <v>0.23983699999999999</v>
      </c>
      <c r="E246" s="137">
        <v>0.74068000000000001</v>
      </c>
      <c r="F246" s="138">
        <v>2.3120000000000002E-2</v>
      </c>
      <c r="G246" s="137">
        <v>3.3176600000000001E-3</v>
      </c>
      <c r="H246" s="74"/>
      <c r="J246" s="74">
        <v>605</v>
      </c>
      <c r="K246" s="136">
        <v>4.9302913535052131E-6</v>
      </c>
      <c r="L246" s="136">
        <v>0.21429847349792136</v>
      </c>
      <c r="M246" s="136">
        <v>0.69380540762403564</v>
      </c>
      <c r="N246" s="136">
        <v>1.9318252277493637E-2</v>
      </c>
      <c r="O246" s="136">
        <v>2.6814042995133907E-3</v>
      </c>
      <c r="P246" s="74"/>
      <c r="Q246" s="137"/>
      <c r="R246" s="138"/>
      <c r="S246" s="137"/>
      <c r="T246" s="137"/>
    </row>
    <row r="247" spans="2:20" ht="15" customHeight="1" x14ac:dyDescent="0.2">
      <c r="B247" s="74">
        <v>606</v>
      </c>
      <c r="C247" s="137">
        <v>6.1396999999999998E-6</v>
      </c>
      <c r="D247" s="137">
        <v>0.22806499999999999</v>
      </c>
      <c r="E247" s="137">
        <v>0.72699499999999995</v>
      </c>
      <c r="F247" s="138">
        <v>2.147E-2</v>
      </c>
      <c r="G247" s="137">
        <v>3.0510899999999998E-3</v>
      </c>
      <c r="H247" s="74"/>
      <c r="J247" s="74">
        <v>606</v>
      </c>
      <c r="K247" s="136">
        <v>4.5331495036839304E-6</v>
      </c>
      <c r="L247" s="136">
        <v>0.20344371895932989</v>
      </c>
      <c r="M247" s="136">
        <v>0.67986273495927563</v>
      </c>
      <c r="N247" s="136">
        <v>1.79099675263414E-2</v>
      </c>
      <c r="O247" s="136">
        <v>2.461887446129323E-3</v>
      </c>
      <c r="P247" s="74"/>
      <c r="Q247" s="137"/>
      <c r="R247" s="138"/>
      <c r="S247" s="137"/>
      <c r="T247" s="137"/>
    </row>
    <row r="248" spans="2:20" ht="15" customHeight="1" x14ac:dyDescent="0.2">
      <c r="B248" s="74">
        <v>607</v>
      </c>
      <c r="C248" s="137">
        <v>5.6572699999999996E-6</v>
      </c>
      <c r="D248" s="137">
        <v>0.21670300000000001</v>
      </c>
      <c r="E248" s="137">
        <v>0.71290500000000001</v>
      </c>
      <c r="F248" s="138">
        <v>1.9939999999999999E-2</v>
      </c>
      <c r="G248" s="137">
        <v>2.8037399999999999E-3</v>
      </c>
      <c r="H248" s="74"/>
      <c r="J248" s="74">
        <v>607</v>
      </c>
      <c r="K248" s="136">
        <v>4.1700737031594414E-6</v>
      </c>
      <c r="L248" s="136">
        <v>0.19298986464965975</v>
      </c>
      <c r="M248" s="136">
        <v>0.66558788267395341</v>
      </c>
      <c r="N248" s="136">
        <v>1.6606260296540359E-2</v>
      </c>
      <c r="O248" s="136">
        <v>2.2585767124883773E-3</v>
      </c>
      <c r="P248" s="74"/>
      <c r="Q248" s="137"/>
      <c r="R248" s="138"/>
      <c r="S248" s="137"/>
      <c r="T248" s="137"/>
    </row>
    <row r="249" spans="2:20" ht="15" customHeight="1" x14ac:dyDescent="0.2">
      <c r="B249" s="74">
        <v>608</v>
      </c>
      <c r="C249" s="137">
        <v>5.21535E-6</v>
      </c>
      <c r="D249" s="137">
        <v>0.20575399999999999</v>
      </c>
      <c r="E249" s="137">
        <v>0.69849099999999997</v>
      </c>
      <c r="F249" s="138">
        <v>1.8509999999999999E-2</v>
      </c>
      <c r="G249" s="137">
        <v>2.5755999999999999E-3</v>
      </c>
      <c r="H249" s="74"/>
      <c r="J249" s="74">
        <v>608</v>
      </c>
      <c r="K249" s="136">
        <v>3.8380037550070538E-6</v>
      </c>
      <c r="L249" s="136">
        <v>0.182937599767836</v>
      </c>
      <c r="M249" s="136">
        <v>0.6510579892777133</v>
      </c>
      <c r="N249" s="136">
        <v>1.5389985746713825E-2</v>
      </c>
      <c r="O249" s="136">
        <v>2.0713840918478027E-3</v>
      </c>
      <c r="P249" s="74"/>
      <c r="Q249" s="137"/>
      <c r="R249" s="138"/>
      <c r="S249" s="137"/>
      <c r="T249" s="137"/>
    </row>
    <row r="250" spans="2:20" ht="15" customHeight="1" x14ac:dyDescent="0.2">
      <c r="B250" s="74">
        <v>609</v>
      </c>
      <c r="C250" s="137">
        <v>4.8103600000000003E-6</v>
      </c>
      <c r="D250" s="137">
        <v>0.19522100000000001</v>
      </c>
      <c r="E250" s="137">
        <v>0.68382900000000002</v>
      </c>
      <c r="F250" s="138">
        <v>1.7180000000000001E-2</v>
      </c>
      <c r="G250" s="137">
        <v>2.3666799999999999E-3</v>
      </c>
      <c r="H250" s="74"/>
      <c r="J250" s="74">
        <v>609</v>
      </c>
      <c r="K250" s="136">
        <v>3.534156706041853E-6</v>
      </c>
      <c r="L250" s="136">
        <v>0.17328760898602577</v>
      </c>
      <c r="M250" s="136">
        <v>0.63634503381513585</v>
      </c>
      <c r="N250" s="136">
        <v>1.4260713174004772E-2</v>
      </c>
      <c r="O250" s="136">
        <v>1.9002382137664859E-3</v>
      </c>
      <c r="P250" s="74"/>
      <c r="Q250" s="137"/>
      <c r="R250" s="138"/>
      <c r="S250" s="137"/>
      <c r="T250" s="137"/>
    </row>
    <row r="251" spans="2:20" ht="15" customHeight="1" x14ac:dyDescent="0.2">
      <c r="B251" s="74">
        <v>610</v>
      </c>
      <c r="C251" s="137">
        <v>4.4390600000000002E-6</v>
      </c>
      <c r="D251" s="137">
        <v>0.18510399999999999</v>
      </c>
      <c r="E251" s="137">
        <v>0.668991</v>
      </c>
      <c r="F251" s="138">
        <v>1.593E-2</v>
      </c>
      <c r="G251" s="137">
        <v>2.1769799999999998E-3</v>
      </c>
      <c r="H251" s="74"/>
      <c r="J251" s="74">
        <v>610</v>
      </c>
      <c r="K251" s="136">
        <v>3.256017239403979E-6</v>
      </c>
      <c r="L251" s="136">
        <v>0.16403791390701578</v>
      </c>
      <c r="M251" s="136">
        <v>0.62151680719256164</v>
      </c>
      <c r="N251" s="136">
        <v>1.3201440386733971E-2</v>
      </c>
      <c r="O251" s="136">
        <v>1.7450601598383978E-3</v>
      </c>
      <c r="P251" s="74"/>
      <c r="Q251" s="137"/>
      <c r="R251" s="138"/>
      <c r="S251" s="137"/>
      <c r="T251" s="137"/>
    </row>
    <row r="252" spans="2:20" ht="15" customHeight="1" x14ac:dyDescent="0.2">
      <c r="B252" s="74">
        <v>611</v>
      </c>
      <c r="C252" s="137">
        <v>4.0984999999999998E-6</v>
      </c>
      <c r="D252" s="137">
        <v>0.175398</v>
      </c>
      <c r="E252" s="137">
        <v>0.65403699999999998</v>
      </c>
      <c r="F252" s="138">
        <v>1.477E-2</v>
      </c>
      <c r="G252" s="137">
        <v>2.0031699999999999E-3</v>
      </c>
      <c r="H252" s="74"/>
      <c r="J252" s="74">
        <v>611</v>
      </c>
      <c r="K252" s="136">
        <v>3.0012988698073541E-6</v>
      </c>
      <c r="L252" s="136">
        <v>0.15518212537123624</v>
      </c>
      <c r="M252" s="136">
        <v>0.60662952632603584</v>
      </c>
      <c r="N252" s="136">
        <v>1.2220097280384526E-2</v>
      </c>
      <c r="O252" s="136">
        <v>1.6031065797963158E-3</v>
      </c>
      <c r="P252" s="74"/>
      <c r="Q252" s="137"/>
      <c r="R252" s="138"/>
      <c r="S252" s="137"/>
      <c r="T252" s="137"/>
    </row>
    <row r="253" spans="2:20" ht="15" customHeight="1" x14ac:dyDescent="0.2">
      <c r="B253" s="74">
        <v>612</v>
      </c>
      <c r="C253" s="137">
        <v>3.78599E-6</v>
      </c>
      <c r="D253" s="137">
        <v>0.16609099999999999</v>
      </c>
      <c r="E253" s="137">
        <v>0.63897899999999996</v>
      </c>
      <c r="F253" s="138">
        <v>1.3690000000000001E-2</v>
      </c>
      <c r="G253" s="137">
        <v>1.8419E-3</v>
      </c>
      <c r="H253" s="74"/>
      <c r="J253" s="74">
        <v>612</v>
      </c>
      <c r="K253" s="136">
        <v>2.7679201411365577E-6</v>
      </c>
      <c r="L253" s="136">
        <v>0.14670771289802914</v>
      </c>
      <c r="M253" s="136">
        <v>0.59169459269787361</v>
      </c>
      <c r="N253" s="136">
        <v>1.1308041772375951E-2</v>
      </c>
      <c r="O253" s="136">
        <v>1.4716360742232514E-3</v>
      </c>
      <c r="P253" s="74"/>
      <c r="Q253" s="137"/>
      <c r="R253" s="138"/>
      <c r="S253" s="137"/>
      <c r="T253" s="137"/>
    </row>
    <row r="254" spans="2:20" ht="15" customHeight="1" x14ac:dyDescent="0.2">
      <c r="B254" s="74">
        <v>613</v>
      </c>
      <c r="C254" s="137">
        <v>3.4991099999999999E-6</v>
      </c>
      <c r="D254" s="137">
        <v>0.157169</v>
      </c>
      <c r="E254" s="137">
        <v>0.62382499999999996</v>
      </c>
      <c r="F254" s="138">
        <v>1.269E-2</v>
      </c>
      <c r="G254" s="137">
        <v>1.6931699999999999E-3</v>
      </c>
      <c r="H254" s="74"/>
      <c r="J254" s="74">
        <v>613</v>
      </c>
      <c r="K254" s="136">
        <v>2.554010253132682E-6</v>
      </c>
      <c r="L254" s="136">
        <v>0.13860046405921145</v>
      </c>
      <c r="M254" s="136">
        <v>0.57671963543463489</v>
      </c>
      <c r="N254" s="136">
        <v>1.0464934771688639E-2</v>
      </c>
      <c r="O254" s="136">
        <v>1.3505973393289808E-3</v>
      </c>
      <c r="P254" s="74"/>
      <c r="Q254" s="137"/>
      <c r="R254" s="138"/>
      <c r="S254" s="137"/>
      <c r="T254" s="137"/>
    </row>
    <row r="255" spans="2:20" ht="15" customHeight="1" x14ac:dyDescent="0.2">
      <c r="B255" s="74">
        <v>614</v>
      </c>
      <c r="C255" s="137">
        <v>3.23563E-6</v>
      </c>
      <c r="D255" s="137">
        <v>0.14862</v>
      </c>
      <c r="E255" s="137">
        <v>0.60857899999999998</v>
      </c>
      <c r="F255" s="138">
        <v>1.175E-2</v>
      </c>
      <c r="G255" s="137">
        <v>1.55692E-3</v>
      </c>
      <c r="H255" s="74"/>
      <c r="J255" s="74">
        <v>614</v>
      </c>
      <c r="K255" s="136">
        <v>2.3578490488305778E-6</v>
      </c>
      <c r="L255" s="136">
        <v>0.13084801985570133</v>
      </c>
      <c r="M255" s="136">
        <v>0.56170854202663512</v>
      </c>
      <c r="N255" s="136">
        <v>9.6739730592428751E-3</v>
      </c>
      <c r="O255" s="136">
        <v>1.2398916230708117E-3</v>
      </c>
      <c r="P255" s="74"/>
      <c r="Q255" s="137"/>
      <c r="R255" s="138"/>
      <c r="S255" s="137"/>
      <c r="T255" s="137"/>
    </row>
    <row r="256" spans="2:20" ht="15" customHeight="1" x14ac:dyDescent="0.2">
      <c r="B256" s="74">
        <v>615</v>
      </c>
      <c r="C256" s="137">
        <v>2.9935400000000001E-6</v>
      </c>
      <c r="D256" s="137">
        <v>0.140431</v>
      </c>
      <c r="E256" s="137">
        <v>0.593248</v>
      </c>
      <c r="F256" s="138">
        <v>1.0880000000000001E-2</v>
      </c>
      <c r="G256" s="137">
        <v>1.4331400000000001E-3</v>
      </c>
      <c r="H256" s="74"/>
      <c r="J256" s="74">
        <v>615</v>
      </c>
      <c r="K256" s="136">
        <v>2.177887615691173E-6</v>
      </c>
      <c r="L256" s="136">
        <v>0.12343722268373185</v>
      </c>
      <c r="M256" s="136">
        <v>0.54666793912866052</v>
      </c>
      <c r="N256" s="136">
        <v>8.9431220490740516E-3</v>
      </c>
      <c r="O256" s="136">
        <v>1.1394605696824496E-3</v>
      </c>
      <c r="P256" s="74"/>
      <c r="Q256" s="137"/>
      <c r="R256" s="138"/>
      <c r="S256" s="137"/>
      <c r="T256" s="137"/>
    </row>
    <row r="257" spans="2:20" ht="15" customHeight="1" x14ac:dyDescent="0.2">
      <c r="B257" s="74">
        <v>616</v>
      </c>
      <c r="C257" s="137"/>
      <c r="D257" s="137">
        <v>0.13259099999999999</v>
      </c>
      <c r="E257" s="137">
        <v>0.57785699999999995</v>
      </c>
      <c r="F257" s="138">
        <v>1.0070000000000001E-2</v>
      </c>
      <c r="G257" s="137">
        <v>1.3197199999999999E-3</v>
      </c>
      <c r="H257" s="74"/>
      <c r="J257" s="74">
        <v>616</v>
      </c>
      <c r="K257" s="136" t="s">
        <v>342</v>
      </c>
      <c r="L257" s="136">
        <v>0.11635675550150122</v>
      </c>
      <c r="M257" s="136">
        <v>0.53162097013258869</v>
      </c>
      <c r="N257" s="136">
        <v>8.2638825567611929E-3</v>
      </c>
      <c r="O257" s="136">
        <v>1.0475792453892828E-3</v>
      </c>
      <c r="P257" s="74"/>
      <c r="Q257" s="137"/>
      <c r="R257" s="138"/>
      <c r="S257" s="137"/>
      <c r="T257" s="137"/>
    </row>
    <row r="258" spans="2:20" ht="15" customHeight="1" x14ac:dyDescent="0.2">
      <c r="B258" s="74">
        <v>617</v>
      </c>
      <c r="C258" s="137"/>
      <c r="D258" s="137">
        <v>0.12509200000000001</v>
      </c>
      <c r="E258" s="137">
        <v>0.56249300000000002</v>
      </c>
      <c r="F258" s="136">
        <v>9.3200000000000002E-3</v>
      </c>
      <c r="G258" s="137">
        <v>1.21451E-3</v>
      </c>
      <c r="H258" s="74"/>
      <c r="J258" s="74">
        <v>617</v>
      </c>
      <c r="K258" s="136" t="s">
        <v>342</v>
      </c>
      <c r="L258" s="136">
        <v>0.10959800305294594</v>
      </c>
      <c r="M258" s="136">
        <v>0.51664757514460913</v>
      </c>
      <c r="N258" s="136">
        <v>7.6360036348917092E-3</v>
      </c>
      <c r="O258" s="136">
        <v>9.6250219903201131E-4</v>
      </c>
      <c r="P258" s="74"/>
      <c r="Q258" s="137"/>
      <c r="R258" s="136"/>
      <c r="S258" s="137"/>
      <c r="T258" s="137"/>
    </row>
    <row r="259" spans="2:20" ht="15" customHeight="1" x14ac:dyDescent="0.2">
      <c r="B259" s="74">
        <v>618</v>
      </c>
      <c r="C259" s="137"/>
      <c r="D259" s="137">
        <v>0.11792800000000001</v>
      </c>
      <c r="E259" s="137">
        <v>0.54724799999999996</v>
      </c>
      <c r="F259" s="136">
        <v>8.6199999999999992E-3</v>
      </c>
      <c r="G259" s="137">
        <v>1.11743E-3</v>
      </c>
      <c r="H259" s="74"/>
      <c r="J259" s="74">
        <v>618</v>
      </c>
      <c r="K259" s="136" t="s">
        <v>342</v>
      </c>
      <c r="L259" s="136">
        <v>0.10315415528714759</v>
      </c>
      <c r="M259" s="136">
        <v>0.501831761908064</v>
      </c>
      <c r="N259" s="136">
        <v>7.0510560808639501E-3</v>
      </c>
      <c r="O259" s="136">
        <v>8.8413310252534363E-4</v>
      </c>
      <c r="P259" s="74"/>
      <c r="Q259" s="137"/>
      <c r="R259" s="136"/>
      <c r="S259" s="137"/>
      <c r="T259" s="137"/>
    </row>
    <row r="260" spans="2:20" ht="15" customHeight="1" x14ac:dyDescent="0.2">
      <c r="B260" s="74">
        <v>619</v>
      </c>
      <c r="C260" s="137"/>
      <c r="D260" s="137">
        <v>0.111091</v>
      </c>
      <c r="E260" s="137">
        <v>0.53220900000000004</v>
      </c>
      <c r="F260" s="136">
        <v>7.9699999999999997E-3</v>
      </c>
      <c r="G260" s="137">
        <v>1.0283899999999999E-3</v>
      </c>
      <c r="H260" s="74"/>
      <c r="J260" s="74">
        <v>619</v>
      </c>
      <c r="K260" s="136" t="s">
        <v>342</v>
      </c>
      <c r="L260" s="136">
        <v>9.7016699543249527E-2</v>
      </c>
      <c r="M260" s="136">
        <v>0.48725241766361649</v>
      </c>
      <c r="N260" s="136">
        <v>6.5088318266592988E-3</v>
      </c>
      <c r="O260" s="136">
        <v>8.1236835084049614E-4</v>
      </c>
      <c r="P260" s="74"/>
      <c r="Q260" s="137"/>
      <c r="R260" s="136"/>
      <c r="S260" s="137"/>
      <c r="T260" s="137"/>
    </row>
    <row r="261" spans="2:20" ht="15" customHeight="1" x14ac:dyDescent="0.2">
      <c r="B261" s="74">
        <v>620</v>
      </c>
      <c r="C261" s="137"/>
      <c r="D261" s="137">
        <v>0.104573</v>
      </c>
      <c r="E261" s="137">
        <v>0.51744900000000005</v>
      </c>
      <c r="F261" s="136">
        <v>7.3699999999999998E-3</v>
      </c>
      <c r="G261" s="137">
        <v>9.4731299999999997E-4</v>
      </c>
      <c r="H261" s="74"/>
      <c r="J261" s="74">
        <v>620</v>
      </c>
      <c r="K261" s="136" t="s">
        <v>342</v>
      </c>
      <c r="L261" s="136">
        <v>9.1177178080787721E-2</v>
      </c>
      <c r="M261" s="136">
        <v>0.47297512397857155</v>
      </c>
      <c r="N261" s="136">
        <v>6.0091241466334478E-3</v>
      </c>
      <c r="O261" s="136">
        <v>7.471152600496317E-4</v>
      </c>
      <c r="P261" s="74"/>
      <c r="Q261" s="137"/>
      <c r="R261" s="136"/>
      <c r="S261" s="137"/>
      <c r="T261" s="137"/>
    </row>
    <row r="262" spans="2:20" ht="15" customHeight="1" x14ac:dyDescent="0.2">
      <c r="B262" s="74">
        <v>621</v>
      </c>
      <c r="C262" s="137"/>
      <c r="D262" s="137">
        <v>9.8366300000000004E-2</v>
      </c>
      <c r="E262" s="137">
        <v>0.50299300000000002</v>
      </c>
      <c r="F262" s="136">
        <v>6.8199999999999997E-3</v>
      </c>
      <c r="G262" s="137">
        <v>8.7281399999999997E-4</v>
      </c>
      <c r="H262" s="74"/>
      <c r="J262" s="74">
        <v>621</v>
      </c>
      <c r="K262" s="136" t="s">
        <v>342</v>
      </c>
      <c r="L262" s="136">
        <v>8.5627448786230742E-2</v>
      </c>
      <c r="M262" s="136">
        <v>0.45902123616572882</v>
      </c>
      <c r="N262" s="136">
        <v>5.5517276467082401E-3</v>
      </c>
      <c r="O262" s="136">
        <v>6.8725182689521381E-4</v>
      </c>
      <c r="P262" s="74"/>
      <c r="Q262" s="137"/>
      <c r="R262" s="136"/>
      <c r="S262" s="137"/>
      <c r="T262" s="137"/>
    </row>
    <row r="263" spans="2:20" ht="15" customHeight="1" x14ac:dyDescent="0.2">
      <c r="B263" s="74">
        <v>622</v>
      </c>
      <c r="C263" s="137"/>
      <c r="D263" s="137">
        <v>9.2468499999999995E-2</v>
      </c>
      <c r="E263" s="137">
        <v>0.48869200000000002</v>
      </c>
      <c r="F263" s="136">
        <v>6.3E-3</v>
      </c>
      <c r="G263" s="137">
        <v>8.0357599999999996E-4</v>
      </c>
      <c r="H263" s="74"/>
      <c r="J263" s="74">
        <v>622</v>
      </c>
      <c r="K263" s="136" t="s">
        <v>342</v>
      </c>
      <c r="L263" s="136">
        <v>8.0364028117118291E-2</v>
      </c>
      <c r="M263" s="136">
        <v>0.44525343861232436</v>
      </c>
      <c r="N263" s="136">
        <v>5.1201837022320975E-3</v>
      </c>
      <c r="O263" s="136">
        <v>6.3171672054333512E-4</v>
      </c>
      <c r="P263" s="74"/>
      <c r="Q263" s="137"/>
      <c r="R263" s="136"/>
      <c r="S263" s="137"/>
      <c r="T263" s="137"/>
    </row>
    <row r="264" spans="2:20" ht="15" customHeight="1" x14ac:dyDescent="0.2">
      <c r="B264" s="74">
        <v>623</v>
      </c>
      <c r="C264" s="137"/>
      <c r="D264" s="137">
        <v>8.6875900000000006E-2</v>
      </c>
      <c r="E264" s="137">
        <v>0.47437600000000002</v>
      </c>
      <c r="F264" s="136">
        <v>5.8199999999999997E-3</v>
      </c>
      <c r="G264" s="137">
        <v>7.3961999999999997E-4</v>
      </c>
      <c r="H264" s="74"/>
      <c r="J264" s="74">
        <v>623</v>
      </c>
      <c r="K264" s="136" t="s">
        <v>342</v>
      </c>
      <c r="L264" s="136">
        <v>7.5382326885610862E-2</v>
      </c>
      <c r="M264" s="136">
        <v>0.43151619469383301</v>
      </c>
      <c r="N264" s="136">
        <v>4.7224820529002736E-3</v>
      </c>
      <c r="O264" s="136">
        <v>5.8050558059970052E-4</v>
      </c>
      <c r="P264" s="74"/>
      <c r="Q264" s="137"/>
      <c r="R264" s="136"/>
      <c r="S264" s="137"/>
      <c r="T264" s="137"/>
    </row>
    <row r="265" spans="2:20" ht="15" customHeight="1" x14ac:dyDescent="0.2">
      <c r="B265" s="74">
        <v>624</v>
      </c>
      <c r="C265" s="137"/>
      <c r="D265" s="137">
        <v>8.15834E-2</v>
      </c>
      <c r="E265" s="137">
        <v>0.45989600000000003</v>
      </c>
      <c r="F265" s="136">
        <v>5.3800000000000002E-3</v>
      </c>
      <c r="G265" s="137">
        <v>6.8097000000000003E-4</v>
      </c>
      <c r="H265" s="74"/>
      <c r="J265" s="74">
        <v>624</v>
      </c>
      <c r="K265" s="136" t="s">
        <v>342</v>
      </c>
      <c r="L265" s="136">
        <v>7.0676572486757572E-2</v>
      </c>
      <c r="M265" s="136">
        <v>0.41767403685508286</v>
      </c>
      <c r="N265" s="136">
        <v>4.358459995370728E-3</v>
      </c>
      <c r="O265" s="136">
        <v>5.3361642545797386E-4</v>
      </c>
      <c r="P265" s="74"/>
      <c r="Q265" s="137"/>
      <c r="R265" s="136"/>
      <c r="S265" s="137"/>
      <c r="T265" s="137"/>
    </row>
    <row r="266" spans="2:20" ht="15" customHeight="1" x14ac:dyDescent="0.2">
      <c r="B266" s="74">
        <v>625</v>
      </c>
      <c r="C266" s="137"/>
      <c r="D266" s="137">
        <v>7.6584100000000002E-2</v>
      </c>
      <c r="E266" s="137">
        <v>0.44512499999999999</v>
      </c>
      <c r="F266" s="136">
        <v>4.9699999999999996E-3</v>
      </c>
      <c r="G266" s="137">
        <v>6.2764799999999996E-4</v>
      </c>
      <c r="H266" s="74"/>
      <c r="J266" s="74">
        <v>625</v>
      </c>
      <c r="K266" s="136" t="s">
        <v>342</v>
      </c>
      <c r="L266" s="136">
        <v>6.6239472395991317E-2</v>
      </c>
      <c r="M266" s="136">
        <v>0.40361231279695964</v>
      </c>
      <c r="N266" s="136">
        <v>4.0198676028084246E-3</v>
      </c>
      <c r="O266" s="136">
        <v>4.9104572147718243E-4</v>
      </c>
      <c r="P266" s="74"/>
      <c r="Q266" s="137"/>
      <c r="R266" s="136"/>
      <c r="S266" s="137"/>
      <c r="T266" s="137"/>
    </row>
    <row r="267" spans="2:20" ht="15" customHeight="1" x14ac:dyDescent="0.2">
      <c r="B267" s="74">
        <v>626</v>
      </c>
      <c r="C267" s="137"/>
      <c r="D267" s="137">
        <v>7.1868299999999996E-2</v>
      </c>
      <c r="E267" s="137">
        <v>0.43000699999999997</v>
      </c>
      <c r="F267" s="136">
        <v>4.5900000000000003E-3</v>
      </c>
      <c r="G267" s="137">
        <v>5.7875299999999999E-4</v>
      </c>
      <c r="H267" s="74"/>
      <c r="J267" s="74">
        <v>626</v>
      </c>
      <c r="K267" s="136" t="s">
        <v>342</v>
      </c>
      <c r="L267" s="136">
        <v>6.2061362766126053E-2</v>
      </c>
      <c r="M267" s="136">
        <v>0.3892813784692758</v>
      </c>
      <c r="N267" s="136">
        <v>3.7065830078093706E-3</v>
      </c>
      <c r="O267" s="136">
        <v>4.5206899428005631E-4</v>
      </c>
      <c r="P267" s="74"/>
      <c r="Q267" s="137"/>
      <c r="R267" s="136"/>
      <c r="S267" s="137"/>
      <c r="T267" s="137"/>
    </row>
    <row r="268" spans="2:20" ht="15" customHeight="1" x14ac:dyDescent="0.2">
      <c r="B268" s="74">
        <v>627</v>
      </c>
      <c r="C268" s="137"/>
      <c r="D268" s="137">
        <v>6.7418599999999995E-2</v>
      </c>
      <c r="E268" s="137">
        <v>0.41468699999999997</v>
      </c>
      <c r="F268" s="136">
        <v>4.2399999999999998E-3</v>
      </c>
      <c r="G268" s="137">
        <v>5.3335800000000005E-4</v>
      </c>
      <c r="H268" s="74"/>
      <c r="J268" s="74">
        <v>627</v>
      </c>
      <c r="K268" s="136" t="s">
        <v>342</v>
      </c>
      <c r="L268" s="136">
        <v>5.8126002725621816E-2</v>
      </c>
      <c r="M268" s="136">
        <v>0.37481357976706003</v>
      </c>
      <c r="N268" s="136">
        <v>3.4184851204330695E-3</v>
      </c>
      <c r="O268" s="136">
        <v>4.1594611490011551E-4</v>
      </c>
      <c r="P268" s="74"/>
      <c r="Q268" s="137"/>
      <c r="R268" s="136"/>
      <c r="S268" s="137"/>
      <c r="T268" s="137"/>
    </row>
    <row r="269" spans="2:20" ht="15" customHeight="1" x14ac:dyDescent="0.2">
      <c r="B269" s="74">
        <v>628</v>
      </c>
      <c r="C269" s="137"/>
      <c r="D269" s="137">
        <v>6.3217599999999999E-2</v>
      </c>
      <c r="E269" s="137">
        <v>0.39933999999999997</v>
      </c>
      <c r="F269" s="138">
        <v>3.9129999999999998E-3</v>
      </c>
      <c r="G269" s="137">
        <v>4.9144E-4</v>
      </c>
      <c r="H269" s="74"/>
      <c r="J269" s="74">
        <v>628</v>
      </c>
      <c r="K269" s="136" t="s">
        <v>342</v>
      </c>
      <c r="L269" s="136">
        <v>5.4417254847980261E-2</v>
      </c>
      <c r="M269" s="136">
        <v>0.36036749184892658</v>
      </c>
      <c r="N269" s="136">
        <v>3.1498188834017979E-3</v>
      </c>
      <c r="O269" s="136">
        <v>3.8264554202161784E-4</v>
      </c>
      <c r="P269" s="74"/>
      <c r="Q269" s="137"/>
      <c r="R269" s="138"/>
      <c r="S269" s="137"/>
      <c r="T269" s="137"/>
    </row>
    <row r="270" spans="2:20" ht="15" customHeight="1" x14ac:dyDescent="0.2">
      <c r="B270" s="74">
        <v>629</v>
      </c>
      <c r="C270" s="137"/>
      <c r="D270" s="137">
        <v>5.9249200000000002E-2</v>
      </c>
      <c r="E270" s="137">
        <v>0.38412200000000002</v>
      </c>
      <c r="F270" s="138">
        <v>3.6129999999999999E-3</v>
      </c>
      <c r="G270" s="137">
        <v>4.5298000000000002E-4</v>
      </c>
      <c r="H270" s="74"/>
      <c r="J270" s="74">
        <v>629</v>
      </c>
      <c r="K270" s="136" t="s">
        <v>342</v>
      </c>
      <c r="L270" s="136">
        <v>5.09202015810227E-2</v>
      </c>
      <c r="M270" s="136">
        <v>0.34608356295880188</v>
      </c>
      <c r="N270" s="136">
        <v>2.9037063495733623E-3</v>
      </c>
      <c r="O270" s="136">
        <v>3.5213904444234787E-4</v>
      </c>
      <c r="P270" s="74"/>
      <c r="Q270" s="137"/>
      <c r="R270" s="138"/>
      <c r="S270" s="137"/>
      <c r="T270" s="137"/>
    </row>
    <row r="271" spans="2:20" ht="15" customHeight="1" x14ac:dyDescent="0.2">
      <c r="B271" s="74">
        <v>630</v>
      </c>
      <c r="C271" s="137"/>
      <c r="D271" s="137">
        <v>5.5499E-2</v>
      </c>
      <c r="E271" s="137">
        <v>0.369168</v>
      </c>
      <c r="F271" s="138">
        <v>3.3349999999999999E-3</v>
      </c>
      <c r="G271" s="137">
        <v>4.1795500000000002E-4</v>
      </c>
      <c r="H271" s="74"/>
      <c r="J271" s="74">
        <v>630</v>
      </c>
      <c r="K271" s="136" t="s">
        <v>342</v>
      </c>
      <c r="L271" s="136">
        <v>4.7621478789397292E-2</v>
      </c>
      <c r="M271" s="136">
        <v>0.33208245920449486</v>
      </c>
      <c r="N271" s="136">
        <v>2.676028084252758E-3</v>
      </c>
      <c r="O271" s="136">
        <v>3.2439546560876248E-4</v>
      </c>
      <c r="P271" s="74"/>
      <c r="Q271" s="137"/>
      <c r="R271" s="138"/>
      <c r="S271" s="137"/>
      <c r="T271" s="137"/>
    </row>
    <row r="272" spans="2:20" ht="15" customHeight="1" x14ac:dyDescent="0.2">
      <c r="B272" s="74">
        <v>631</v>
      </c>
      <c r="C272" s="137"/>
      <c r="D272" s="137">
        <v>5.1955000000000001E-2</v>
      </c>
      <c r="E272" s="137">
        <v>0.35458000000000001</v>
      </c>
      <c r="F272" s="138">
        <v>3.0790000000000001E-3</v>
      </c>
      <c r="G272" s="137">
        <v>3.8578899999999999E-4</v>
      </c>
      <c r="H272" s="74"/>
      <c r="J272" s="74">
        <v>631</v>
      </c>
      <c r="K272" s="136" t="s">
        <v>342</v>
      </c>
      <c r="L272" s="136">
        <v>4.4509863135609562E-2</v>
      </c>
      <c r="M272" s="136">
        <v>0.3184544439019692</v>
      </c>
      <c r="N272" s="136">
        <v>2.4666964443250511E-3</v>
      </c>
      <c r="O272" s="136">
        <v>2.989553161371302E-4</v>
      </c>
      <c r="P272" s="74"/>
      <c r="Q272" s="137"/>
      <c r="R272" s="138"/>
      <c r="S272" s="137"/>
      <c r="T272" s="137"/>
    </row>
    <row r="273" spans="2:20" ht="15" customHeight="1" x14ac:dyDescent="0.2">
      <c r="B273" s="74">
        <v>632</v>
      </c>
      <c r="C273" s="137"/>
      <c r="D273" s="137">
        <v>4.8610300000000002E-2</v>
      </c>
      <c r="E273" s="137">
        <v>0.340389</v>
      </c>
      <c r="F273" s="138">
        <v>2.8419999999999999E-3</v>
      </c>
      <c r="G273" s="137">
        <v>3.55905E-4</v>
      </c>
      <c r="H273" s="74"/>
      <c r="J273" s="74">
        <v>632</v>
      </c>
      <c r="K273" s="136" t="s">
        <v>342</v>
      </c>
      <c r="L273" s="136">
        <v>4.1578564574137347E-2</v>
      </c>
      <c r="M273" s="136">
        <v>0.3052255436458351</v>
      </c>
      <c r="N273" s="136">
        <v>2.2732247375036501E-3</v>
      </c>
      <c r="O273" s="136">
        <v>2.7536124111128101E-4</v>
      </c>
      <c r="P273" s="74"/>
      <c r="Q273" s="137"/>
      <c r="R273" s="138"/>
      <c r="S273" s="137"/>
      <c r="T273" s="137"/>
    </row>
    <row r="274" spans="2:20" ht="15" customHeight="1" x14ac:dyDescent="0.2">
      <c r="B274" s="74">
        <v>633</v>
      </c>
      <c r="C274" s="137"/>
      <c r="D274" s="137">
        <v>4.5459100000000002E-2</v>
      </c>
      <c r="E274" s="137">
        <v>0.32660899999999998</v>
      </c>
      <c r="F274" s="138">
        <v>2.6229999999999999E-3</v>
      </c>
      <c r="G274" s="137">
        <v>3.28289E-4</v>
      </c>
      <c r="H274" s="74"/>
      <c r="J274" s="74">
        <v>633</v>
      </c>
      <c r="K274" s="136" t="s">
        <v>342</v>
      </c>
      <c r="L274" s="136">
        <v>3.8821775359375761E-2</v>
      </c>
      <c r="M274" s="136">
        <v>0.29240640081109992</v>
      </c>
      <c r="N274" s="136">
        <v>2.0947391938849723E-3</v>
      </c>
      <c r="O274" s="136">
        <v>2.5359367677158553E-4</v>
      </c>
      <c r="P274" s="74"/>
      <c r="Q274" s="137"/>
      <c r="R274" s="138"/>
      <c r="S274" s="137"/>
      <c r="T274" s="137"/>
    </row>
    <row r="275" spans="2:20" ht="15" customHeight="1" x14ac:dyDescent="0.2">
      <c r="B275" s="74">
        <v>634</v>
      </c>
      <c r="C275" s="137"/>
      <c r="D275" s="137">
        <v>4.2494499999999998E-2</v>
      </c>
      <c r="E275" s="137">
        <v>0.313249</v>
      </c>
      <c r="F275" s="138">
        <v>2.421E-3</v>
      </c>
      <c r="G275" s="137">
        <v>3.0292600000000002E-4</v>
      </c>
      <c r="H275" s="74"/>
      <c r="J275" s="74">
        <v>634</v>
      </c>
      <c r="K275" s="136" t="s">
        <v>342</v>
      </c>
      <c r="L275" s="136">
        <v>3.6232786476503631E-2</v>
      </c>
      <c r="M275" s="136">
        <v>0.28000312129061772</v>
      </c>
      <c r="N275" s="136">
        <v>1.9303715563093063E-3</v>
      </c>
      <c r="O275" s="136">
        <v>2.3363241153665166E-4</v>
      </c>
      <c r="P275" s="74"/>
      <c r="Q275" s="137"/>
      <c r="R275" s="138"/>
      <c r="S275" s="137"/>
      <c r="T275" s="137"/>
    </row>
    <row r="276" spans="2:20" ht="15" customHeight="1" x14ac:dyDescent="0.2">
      <c r="B276" s="74">
        <v>635</v>
      </c>
      <c r="C276" s="137"/>
      <c r="D276" s="137">
        <v>3.9709700000000001E-2</v>
      </c>
      <c r="E276" s="137">
        <v>0.30031600000000003</v>
      </c>
      <c r="F276" s="138">
        <v>2.235E-3</v>
      </c>
      <c r="G276" s="137">
        <v>2.7980099999999999E-4</v>
      </c>
      <c r="H276" s="74"/>
      <c r="J276" s="74">
        <v>635</v>
      </c>
      <c r="K276" s="136" t="s">
        <v>342</v>
      </c>
      <c r="L276" s="136">
        <v>3.380501630258495E-2</v>
      </c>
      <c r="M276" s="136">
        <v>0.26801998759512335</v>
      </c>
      <c r="N276" s="136">
        <v>1.7792590369533799E-3</v>
      </c>
      <c r="O276" s="136">
        <v>2.1545736114213527E-4</v>
      </c>
      <c r="P276" s="74"/>
      <c r="Q276" s="137"/>
      <c r="R276" s="138"/>
      <c r="S276" s="137"/>
      <c r="T276" s="137"/>
    </row>
    <row r="277" spans="2:20" ht="15" customHeight="1" x14ac:dyDescent="0.2">
      <c r="B277" s="74">
        <v>636</v>
      </c>
      <c r="C277" s="137"/>
      <c r="D277" s="137">
        <v>3.7095200000000002E-2</v>
      </c>
      <c r="E277" s="137">
        <v>0.28781699999999999</v>
      </c>
      <c r="F277" s="138">
        <v>2.062E-3</v>
      </c>
      <c r="G277" s="137">
        <v>2.5854399999999998E-4</v>
      </c>
      <c r="H277" s="74"/>
      <c r="J277" s="74">
        <v>636</v>
      </c>
      <c r="K277" s="136" t="s">
        <v>342</v>
      </c>
      <c r="L277" s="136">
        <v>3.1529629702453807E-2</v>
      </c>
      <c r="M277" s="136">
        <v>0.25646125530132191</v>
      </c>
      <c r="N277" s="136">
        <v>1.6389545996480007E-3</v>
      </c>
      <c r="O277" s="136">
        <v>1.9877563401894053E-4</v>
      </c>
      <c r="P277" s="74"/>
      <c r="Q277" s="137"/>
      <c r="R277" s="138"/>
      <c r="S277" s="137"/>
      <c r="T277" s="137"/>
    </row>
    <row r="278" spans="2:20" ht="15" customHeight="1" x14ac:dyDescent="0.2">
      <c r="B278" s="74">
        <v>637</v>
      </c>
      <c r="C278" s="137"/>
      <c r="D278" s="137">
        <v>3.4634699999999997E-2</v>
      </c>
      <c r="E278" s="137">
        <v>0.27576200000000001</v>
      </c>
      <c r="F278" s="138">
        <v>1.903E-3</v>
      </c>
      <c r="G278" s="137">
        <v>2.3878500000000001E-4</v>
      </c>
      <c r="H278" s="74"/>
      <c r="J278" s="74">
        <v>637</v>
      </c>
      <c r="K278" s="136" t="s">
        <v>342</v>
      </c>
      <c r="L278" s="136">
        <v>2.9392076330539259E-2</v>
      </c>
      <c r="M278" s="136">
        <v>0.24533382223678896</v>
      </c>
      <c r="N278" s="136">
        <v>1.5102009324677328E-3</v>
      </c>
      <c r="O278" s="136">
        <v>1.8329617779149819E-4</v>
      </c>
      <c r="P278" s="74"/>
      <c r="Q278" s="137"/>
      <c r="R278" s="138"/>
      <c r="S278" s="137"/>
      <c r="T278" s="137"/>
    </row>
    <row r="279" spans="2:20" ht="15" customHeight="1" x14ac:dyDescent="0.2">
      <c r="B279" s="74">
        <v>638</v>
      </c>
      <c r="C279" s="137"/>
      <c r="D279" s="137">
        <v>3.2312500000000001E-2</v>
      </c>
      <c r="E279" s="137">
        <v>0.264158</v>
      </c>
      <c r="F279" s="138">
        <v>1.7570000000000001E-3</v>
      </c>
      <c r="G279" s="137">
        <v>2.2050800000000001E-4</v>
      </c>
      <c r="H279" s="74"/>
      <c r="J279" s="74">
        <v>638</v>
      </c>
      <c r="K279" s="136" t="s">
        <v>342</v>
      </c>
      <c r="L279" s="136">
        <v>2.7378405446456745E-2</v>
      </c>
      <c r="M279" s="136">
        <v>0.23464187819238913</v>
      </c>
      <c r="N279" s="136">
        <v>1.3921513757573661E-3</v>
      </c>
      <c r="O279" s="136">
        <v>1.6900107647662986E-4</v>
      </c>
      <c r="P279" s="74"/>
      <c r="Q279" s="137"/>
      <c r="R279" s="138"/>
      <c r="S279" s="137"/>
      <c r="T279" s="137"/>
    </row>
    <row r="280" spans="2:20" ht="15" customHeight="1" x14ac:dyDescent="0.2">
      <c r="B280" s="74">
        <v>639</v>
      </c>
      <c r="C280" s="137"/>
      <c r="D280" s="137">
        <v>3.0115099999999999E-2</v>
      </c>
      <c r="E280" s="137">
        <v>0.25300899999999998</v>
      </c>
      <c r="F280" s="138">
        <v>1.621E-3</v>
      </c>
      <c r="G280" s="137">
        <v>2.03699E-4</v>
      </c>
      <c r="H280" s="74"/>
      <c r="J280" s="74">
        <v>639</v>
      </c>
      <c r="K280" s="136" t="s">
        <v>342</v>
      </c>
      <c r="L280" s="136">
        <v>2.5476614782893051E-2</v>
      </c>
      <c r="M280" s="136">
        <v>0.22438692611192182</v>
      </c>
      <c r="N280" s="136">
        <v>1.2823823583426334E-3</v>
      </c>
      <c r="O280" s="136">
        <v>1.5587405667645503E-4</v>
      </c>
      <c r="P280" s="74"/>
      <c r="Q280" s="137"/>
      <c r="R280" s="138"/>
      <c r="S280" s="137"/>
      <c r="T280" s="137"/>
    </row>
    <row r="281" spans="2:20" ht="15" customHeight="1" x14ac:dyDescent="0.2">
      <c r="B281" s="74">
        <v>640</v>
      </c>
      <c r="C281" s="137"/>
      <c r="D281" s="137">
        <v>2.8031400000000001E-2</v>
      </c>
      <c r="E281" s="137">
        <v>0.242316</v>
      </c>
      <c r="F281" s="138">
        <v>1.4970000000000001E-3</v>
      </c>
      <c r="G281" s="137">
        <v>1.8834099999999999E-4</v>
      </c>
      <c r="H281" s="74"/>
      <c r="J281" s="74">
        <v>640</v>
      </c>
      <c r="K281" s="136" t="s">
        <v>342</v>
      </c>
      <c r="L281" s="136">
        <v>2.3676804253747255E-2</v>
      </c>
      <c r="M281" s="136">
        <v>0.2145678030831141</v>
      </c>
      <c r="N281" s="136">
        <v>1.1824348044132398E-3</v>
      </c>
      <c r="O281" s="136">
        <v>1.4389665463603496E-4</v>
      </c>
      <c r="P281" s="74"/>
      <c r="Q281" s="137"/>
      <c r="R281" s="138"/>
      <c r="S281" s="137"/>
      <c r="T281" s="137"/>
    </row>
    <row r="282" spans="2:20" ht="15" customHeight="1" x14ac:dyDescent="0.2">
      <c r="B282" s="74">
        <v>641</v>
      </c>
      <c r="C282" s="137"/>
      <c r="D282" s="137">
        <v>2.60564E-2</v>
      </c>
      <c r="E282" s="137">
        <v>0.23206099999999999</v>
      </c>
      <c r="F282" s="138">
        <v>1.382E-3</v>
      </c>
      <c r="G282" s="137">
        <v>1.7419199999999999E-4</v>
      </c>
      <c r="H282" s="74"/>
      <c r="J282" s="74">
        <v>641</v>
      </c>
      <c r="K282" s="136" t="s">
        <v>342</v>
      </c>
      <c r="L282" s="136">
        <v>2.1974279896785329E-2</v>
      </c>
      <c r="M282" s="136">
        <v>0.20516655543385648</v>
      </c>
      <c r="N282" s="136">
        <v>1.0898968355925812E-3</v>
      </c>
      <c r="O282" s="136">
        <v>1.3287888506666588E-4</v>
      </c>
      <c r="P282" s="74"/>
      <c r="Q282" s="137"/>
      <c r="R282" s="138"/>
      <c r="S282" s="137"/>
      <c r="T282" s="137"/>
    </row>
    <row r="283" spans="2:20" ht="15" customHeight="1" x14ac:dyDescent="0.2">
      <c r="B283" s="74">
        <v>642</v>
      </c>
      <c r="C283" s="137"/>
      <c r="D283" s="137">
        <v>2.42011E-2</v>
      </c>
      <c r="E283" s="137">
        <v>0.22215799999999999</v>
      </c>
      <c r="F283" s="138">
        <v>1.276E-3</v>
      </c>
      <c r="G283" s="137">
        <v>1.6102E-4</v>
      </c>
      <c r="H283" s="74"/>
      <c r="J283" s="74">
        <v>642</v>
      </c>
      <c r="K283" s="136" t="s">
        <v>342</v>
      </c>
      <c r="L283" s="136">
        <v>2.0377849341506819E-2</v>
      </c>
      <c r="M283" s="136">
        <v>0.19610531577890578</v>
      </c>
      <c r="N283" s="136">
        <v>1.0047338276511777E-3</v>
      </c>
      <c r="O283" s="136">
        <v>1.2263956280661855E-4</v>
      </c>
      <c r="P283" s="74"/>
      <c r="Q283" s="137"/>
      <c r="R283" s="138"/>
      <c r="S283" s="137"/>
      <c r="T283" s="137"/>
    </row>
    <row r="284" spans="2:20" ht="15" customHeight="1" x14ac:dyDescent="0.2">
      <c r="B284" s="74">
        <v>643</v>
      </c>
      <c r="C284" s="137"/>
      <c r="D284" s="137">
        <v>2.2475999999999999E-2</v>
      </c>
      <c r="E284" s="137">
        <v>0.21251600000000001</v>
      </c>
      <c r="F284" s="138">
        <v>1.178E-3</v>
      </c>
      <c r="G284" s="137">
        <v>1.4882099999999999E-4</v>
      </c>
      <c r="H284" s="74"/>
      <c r="J284" s="74">
        <v>643</v>
      </c>
      <c r="K284" s="136" t="s">
        <v>342</v>
      </c>
      <c r="L284" s="136">
        <v>1.8895845070511015E-2</v>
      </c>
      <c r="M284" s="136">
        <v>0.18730229435254545</v>
      </c>
      <c r="N284" s="136">
        <v>9.2612518738174085E-4</v>
      </c>
      <c r="O284" s="136">
        <v>1.1317201407972955E-4</v>
      </c>
      <c r="P284" s="74"/>
      <c r="Q284" s="137"/>
      <c r="R284" s="138"/>
      <c r="S284" s="137"/>
      <c r="T284" s="137"/>
    </row>
    <row r="285" spans="2:20" ht="15" customHeight="1" x14ac:dyDescent="0.2">
      <c r="B285" s="74">
        <v>644</v>
      </c>
      <c r="C285" s="137"/>
      <c r="D285" s="137">
        <v>2.0886999999999999E-2</v>
      </c>
      <c r="E285" s="137">
        <v>0.20305999999999999</v>
      </c>
      <c r="F285" s="138">
        <v>1.088E-3</v>
      </c>
      <c r="G285" s="137">
        <v>1.37594E-4</v>
      </c>
      <c r="H285" s="74"/>
      <c r="J285" s="74">
        <v>644</v>
      </c>
      <c r="K285" s="136" t="s">
        <v>342</v>
      </c>
      <c r="L285" s="136">
        <v>1.7532686541291524E-2</v>
      </c>
      <c r="M285" s="136">
        <v>0.17869028920218913</v>
      </c>
      <c r="N285" s="136">
        <v>8.5404038201561199E-4</v>
      </c>
      <c r="O285" s="136">
        <v>1.0447188439122284E-4</v>
      </c>
      <c r="P285" s="74"/>
      <c r="Q285" s="137"/>
      <c r="R285" s="138"/>
      <c r="S285" s="137"/>
      <c r="T285" s="137"/>
    </row>
    <row r="286" spans="2:20" ht="15" customHeight="1" x14ac:dyDescent="0.2">
      <c r="B286" s="74">
        <v>645</v>
      </c>
      <c r="C286" s="137"/>
      <c r="D286" s="137">
        <v>1.9436599999999998E-2</v>
      </c>
      <c r="E286" s="137">
        <v>0.19373000000000001</v>
      </c>
      <c r="F286" s="138">
        <v>1.005E-3</v>
      </c>
      <c r="G286" s="137">
        <v>1.2733699999999999E-4</v>
      </c>
      <c r="H286" s="74"/>
      <c r="J286" s="74">
        <v>645</v>
      </c>
      <c r="K286" s="136" t="s">
        <v>342</v>
      </c>
      <c r="L286" s="136">
        <v>1.6289916246048419E-2</v>
      </c>
      <c r="M286" s="136">
        <v>0.17021569448124491</v>
      </c>
      <c r="N286" s="136">
        <v>7.876653215460334E-4</v>
      </c>
      <c r="O286" s="136">
        <v>9.6534088151660106E-5</v>
      </c>
      <c r="P286" s="74"/>
      <c r="Q286" s="137"/>
      <c r="R286" s="138"/>
      <c r="S286" s="137"/>
      <c r="T286" s="137"/>
    </row>
    <row r="287" spans="2:20" ht="15" customHeight="1" x14ac:dyDescent="0.2">
      <c r="B287" s="74">
        <v>646</v>
      </c>
      <c r="C287" s="137"/>
      <c r="D287" s="137">
        <v>1.8120000000000001E-2</v>
      </c>
      <c r="E287" s="137">
        <v>0.18449499999999999</v>
      </c>
      <c r="F287" s="136">
        <v>9.2800000000000001E-4</v>
      </c>
      <c r="G287" s="137">
        <v>1.17891E-4</v>
      </c>
      <c r="H287" s="74"/>
      <c r="J287" s="74">
        <v>646</v>
      </c>
      <c r="K287" s="136" t="s">
        <v>342</v>
      </c>
      <c r="L287" s="136">
        <v>1.5162958428566331E-2</v>
      </c>
      <c r="M287" s="136">
        <v>0.16185067690111021</v>
      </c>
      <c r="N287" s="136">
        <v>7.2619095677124257E-4</v>
      </c>
      <c r="O287" s="136">
        <v>8.9234733918138305E-5</v>
      </c>
      <c r="P287" s="74"/>
      <c r="Q287" s="137"/>
      <c r="R287" s="136"/>
      <c r="S287" s="137"/>
      <c r="T287" s="137"/>
    </row>
    <row r="288" spans="2:20" ht="15" customHeight="1" x14ac:dyDescent="0.2">
      <c r="B288" s="74">
        <v>647</v>
      </c>
      <c r="C288" s="137"/>
      <c r="D288" s="137">
        <v>1.69149E-2</v>
      </c>
      <c r="E288" s="137">
        <v>0.175402</v>
      </c>
      <c r="F288" s="136">
        <v>8.5700000000000001E-4</v>
      </c>
      <c r="G288" s="137">
        <v>1.09096E-4</v>
      </c>
      <c r="H288" s="74"/>
      <c r="J288" s="74">
        <v>647</v>
      </c>
      <c r="K288" s="136" t="s">
        <v>342</v>
      </c>
      <c r="L288" s="136">
        <v>1.4132644118045963E-2</v>
      </c>
      <c r="M288" s="136">
        <v>0.15363589602023883</v>
      </c>
      <c r="N288" s="136">
        <v>6.6959456421815671E-4</v>
      </c>
      <c r="O288" s="136">
        <v>8.2449940435907828E-5</v>
      </c>
      <c r="P288" s="74"/>
      <c r="Q288" s="137"/>
      <c r="R288" s="136"/>
      <c r="S288" s="137"/>
      <c r="T288" s="137"/>
    </row>
    <row r="289" spans="2:20" ht="15" customHeight="1" x14ac:dyDescent="0.2">
      <c r="B289" s="74">
        <v>648</v>
      </c>
      <c r="C289" s="137"/>
      <c r="D289" s="137">
        <v>1.57991E-2</v>
      </c>
      <c r="E289" s="137">
        <v>0.16650899999999999</v>
      </c>
      <c r="F289" s="136">
        <v>7.9199999999999995E-4</v>
      </c>
      <c r="G289" s="137">
        <v>1.00949E-4</v>
      </c>
      <c r="H289" s="74"/>
      <c r="J289" s="74">
        <v>648</v>
      </c>
      <c r="K289" s="136" t="s">
        <v>342</v>
      </c>
      <c r="L289" s="136">
        <v>1.3180006093180277E-2</v>
      </c>
      <c r="M289" s="136">
        <v>0.14562138052389603</v>
      </c>
      <c r="N289" s="136">
        <v>6.1785356068204606E-4</v>
      </c>
      <c r="O289" s="136">
        <v>7.6175061710581789E-5</v>
      </c>
      <c r="P289" s="74"/>
      <c r="Q289" s="137"/>
      <c r="R289" s="136"/>
      <c r="S289" s="137"/>
      <c r="T289" s="137"/>
    </row>
    <row r="290" spans="2:20" ht="15" customHeight="1" x14ac:dyDescent="0.2">
      <c r="B290" s="74">
        <v>649</v>
      </c>
      <c r="C290" s="137"/>
      <c r="D290" s="137">
        <v>1.47543E-2</v>
      </c>
      <c r="E290" s="137">
        <v>0.15786500000000001</v>
      </c>
      <c r="F290" s="136">
        <v>7.3200000000000001E-4</v>
      </c>
      <c r="G290" s="137">
        <v>9.3443700000000001E-5</v>
      </c>
      <c r="H290" s="74"/>
      <c r="J290" s="74">
        <v>649</v>
      </c>
      <c r="K290" s="136" t="s">
        <v>342</v>
      </c>
      <c r="L290" s="136">
        <v>1.2289442498776955E-2</v>
      </c>
      <c r="M290" s="136">
        <v>0.13784899188151567</v>
      </c>
      <c r="N290" s="136">
        <v>5.7016658604472901E-4</v>
      </c>
      <c r="O290" s="136">
        <v>7.0402994073902453E-5</v>
      </c>
      <c r="P290" s="74"/>
      <c r="Q290" s="137"/>
      <c r="R290" s="136"/>
      <c r="S290" s="137"/>
      <c r="T290" s="137"/>
    </row>
    <row r="291" spans="2:20" ht="15" customHeight="1" x14ac:dyDescent="0.2">
      <c r="B291" s="74">
        <v>650</v>
      </c>
      <c r="C291" s="137"/>
      <c r="D291" s="137">
        <v>1.3766E-2</v>
      </c>
      <c r="E291" s="137">
        <v>0.149509</v>
      </c>
      <c r="F291" s="136">
        <v>6.7699999999999998E-4</v>
      </c>
      <c r="G291" s="137">
        <v>8.6575099999999997E-5</v>
      </c>
      <c r="H291" s="74"/>
      <c r="J291" s="74">
        <v>650</v>
      </c>
      <c r="K291" s="136" t="s">
        <v>342</v>
      </c>
      <c r="L291" s="136">
        <v>1.1448607792499413E-2</v>
      </c>
      <c r="M291" s="136">
        <v>0.13035161530676481</v>
      </c>
      <c r="N291" s="136">
        <v>5.2651492940359538E-4</v>
      </c>
      <c r="O291" s="136">
        <v>6.5127655520566188E-5</v>
      </c>
      <c r="P291" s="74"/>
      <c r="Q291" s="137"/>
      <c r="R291" s="136"/>
      <c r="S291" s="137"/>
      <c r="T291" s="137"/>
    </row>
    <row r="292" spans="2:20" ht="15" customHeight="1" x14ac:dyDescent="0.2">
      <c r="B292" s="74">
        <v>651</v>
      </c>
      <c r="C292" s="137"/>
      <c r="D292" s="137">
        <v>1.28246E-2</v>
      </c>
      <c r="E292" s="137">
        <v>0.14147000000000001</v>
      </c>
      <c r="F292" s="136">
        <v>6.2600000000000004E-4</v>
      </c>
      <c r="G292" s="137">
        <v>8.0240499999999999E-5</v>
      </c>
      <c r="H292" s="74"/>
      <c r="J292" s="74">
        <v>651</v>
      </c>
      <c r="K292" s="136" t="s">
        <v>342</v>
      </c>
      <c r="L292" s="136">
        <v>1.0649301153624471E-2</v>
      </c>
      <c r="M292" s="136">
        <v>0.12315322869960044</v>
      </c>
      <c r="N292" s="136">
        <v>4.8610347170543891E-4</v>
      </c>
      <c r="O292" s="136">
        <v>6.0269617754450115E-5</v>
      </c>
      <c r="P292" s="74"/>
      <c r="Q292" s="137"/>
      <c r="R292" s="136"/>
      <c r="S292" s="137"/>
      <c r="T292" s="137"/>
    </row>
    <row r="293" spans="2:20" ht="15" customHeight="1" x14ac:dyDescent="0.2">
      <c r="B293" s="74">
        <v>652</v>
      </c>
      <c r="C293" s="137"/>
      <c r="D293" s="137">
        <v>1.1930400000000001E-2</v>
      </c>
      <c r="E293" s="137">
        <v>0.13375999999999999</v>
      </c>
      <c r="F293" s="136">
        <v>5.7899999999999998E-4</v>
      </c>
      <c r="G293" s="137">
        <v>7.4338299999999999E-5</v>
      </c>
      <c r="H293" s="74"/>
      <c r="J293" s="74">
        <v>652</v>
      </c>
      <c r="K293" s="136" t="s">
        <v>342</v>
      </c>
      <c r="L293" s="136">
        <v>9.8915802342397271E-3</v>
      </c>
      <c r="M293" s="136">
        <v>0.11626288662220347</v>
      </c>
      <c r="N293" s="136">
        <v>4.4891730405941747E-4</v>
      </c>
      <c r="O293" s="136">
        <v>5.5750764725787753E-5</v>
      </c>
      <c r="P293" s="74"/>
      <c r="Q293" s="137"/>
      <c r="R293" s="136"/>
      <c r="S293" s="137"/>
      <c r="T293" s="137"/>
    </row>
    <row r="294" spans="2:20" ht="15" customHeight="1" x14ac:dyDescent="0.2">
      <c r="B294" s="74">
        <v>653</v>
      </c>
      <c r="C294" s="137"/>
      <c r="D294" s="137">
        <v>1.1084999999999999E-2</v>
      </c>
      <c r="E294" s="137">
        <v>0.126383</v>
      </c>
      <c r="F294" s="136">
        <v>5.3600000000000002E-4</v>
      </c>
      <c r="G294" s="137">
        <v>6.8864999999999999E-5</v>
      </c>
      <c r="H294" s="74"/>
      <c r="J294" s="74">
        <v>653</v>
      </c>
      <c r="K294" s="136" t="s">
        <v>342</v>
      </c>
      <c r="L294" s="136">
        <v>9.1765785220112393E-3</v>
      </c>
      <c r="M294" s="136">
        <v>0.10968264529901342</v>
      </c>
      <c r="N294" s="136">
        <v>4.1494160890020754E-4</v>
      </c>
      <c r="O294" s="136">
        <v>5.1566917317673523E-5</v>
      </c>
      <c r="P294" s="74"/>
      <c r="Q294" s="137"/>
      <c r="R294" s="136"/>
      <c r="S294" s="137"/>
      <c r="T294" s="137"/>
    </row>
    <row r="295" spans="2:20" ht="15" customHeight="1" x14ac:dyDescent="0.2">
      <c r="B295" s="74">
        <v>654</v>
      </c>
      <c r="C295" s="137"/>
      <c r="D295" s="137">
        <v>1.02892E-2</v>
      </c>
      <c r="E295" s="137">
        <v>0.119343</v>
      </c>
      <c r="F295" s="136">
        <v>4.9600000000000002E-4</v>
      </c>
      <c r="G295" s="137">
        <v>6.3817200000000003E-5</v>
      </c>
      <c r="H295" s="74"/>
      <c r="J295" s="74">
        <v>654</v>
      </c>
      <c r="K295" s="136" t="s">
        <v>342</v>
      </c>
      <c r="L295" s="136">
        <v>8.5047613146159665E-3</v>
      </c>
      <c r="M295" s="136">
        <v>0.10341454837817342</v>
      </c>
      <c r="N295" s="136">
        <v>3.8338869820470583E-4</v>
      </c>
      <c r="O295" s="136">
        <v>4.7713996740222113E-5</v>
      </c>
      <c r="P295" s="74"/>
      <c r="Q295" s="137"/>
      <c r="R295" s="136"/>
      <c r="S295" s="137"/>
      <c r="T295" s="137"/>
    </row>
    <row r="296" spans="2:20" ht="15" customHeight="1" x14ac:dyDescent="0.2">
      <c r="B296" s="74">
        <v>655</v>
      </c>
      <c r="C296" s="137"/>
      <c r="D296" s="137">
        <v>9.5431500000000002E-3</v>
      </c>
      <c r="E296" s="137">
        <v>0.112638</v>
      </c>
      <c r="F296" s="136">
        <v>4.5899999999999999E-4</v>
      </c>
      <c r="G296" s="137">
        <v>5.9191399999999997E-5</v>
      </c>
      <c r="H296" s="74"/>
      <c r="J296" s="74">
        <v>655</v>
      </c>
      <c r="K296" s="136" t="s">
        <v>342</v>
      </c>
      <c r="L296" s="136">
        <v>7.876054616889271E-3</v>
      </c>
      <c r="M296" s="136">
        <v>9.7455435772231272E-2</v>
      </c>
      <c r="N296" s="136">
        <v>3.54247475250178E-4</v>
      </c>
      <c r="O296" s="136">
        <v>4.4187874459664099E-5</v>
      </c>
      <c r="P296" s="74"/>
      <c r="Q296" s="137"/>
      <c r="R296" s="136"/>
      <c r="S296" s="137"/>
      <c r="T296" s="137"/>
    </row>
    <row r="297" spans="2:20" ht="15" customHeight="1" x14ac:dyDescent="0.2">
      <c r="B297" s="74">
        <v>656</v>
      </c>
      <c r="C297" s="137"/>
      <c r="D297" s="137">
        <v>8.8460899999999992E-3</v>
      </c>
      <c r="E297" s="137">
        <v>0.106264</v>
      </c>
      <c r="F297" s="136">
        <v>4.2499999999999998E-4</v>
      </c>
      <c r="G297" s="137">
        <v>5.4920300000000003E-5</v>
      </c>
      <c r="H297" s="74"/>
      <c r="J297" s="74">
        <v>656</v>
      </c>
      <c r="K297" s="136" t="s">
        <v>342</v>
      </c>
      <c r="L297" s="136">
        <v>7.2896349978614937E-3</v>
      </c>
      <c r="M297" s="136">
        <v>9.1800438881959961E-2</v>
      </c>
      <c r="N297" s="136">
        <v>3.275069109768329E-4</v>
      </c>
      <c r="O297" s="136">
        <v>4.0936891409639221E-5</v>
      </c>
      <c r="P297" s="74"/>
      <c r="Q297" s="137"/>
      <c r="R297" s="136"/>
      <c r="S297" s="137"/>
      <c r="T297" s="137"/>
    </row>
    <row r="298" spans="2:20" ht="15" customHeight="1" x14ac:dyDescent="0.2">
      <c r="B298" s="74">
        <v>657</v>
      </c>
      <c r="C298" s="137"/>
      <c r="D298" s="137">
        <v>8.1960000000000002E-3</v>
      </c>
      <c r="E298" s="137">
        <v>0.10020800000000001</v>
      </c>
      <c r="F298" s="138">
        <v>3.9350000000000002E-4</v>
      </c>
      <c r="G298" s="137">
        <v>5.0937399999999998E-5</v>
      </c>
      <c r="H298" s="74"/>
      <c r="J298" s="74">
        <v>657</v>
      </c>
      <c r="K298" s="136" t="s">
        <v>342</v>
      </c>
      <c r="L298" s="136">
        <v>6.7436473151442728E-3</v>
      </c>
      <c r="M298" s="136">
        <v>8.6436955570938112E-2</v>
      </c>
      <c r="N298" s="136">
        <v>3.0277132768167516E-4</v>
      </c>
      <c r="O298" s="136">
        <v>3.7910298440825934E-5</v>
      </c>
      <c r="P298" s="74"/>
      <c r="Q298" s="137"/>
      <c r="R298" s="138"/>
      <c r="S298" s="137"/>
      <c r="T298" s="137"/>
    </row>
    <row r="299" spans="2:20" ht="15" customHeight="1" x14ac:dyDescent="0.2">
      <c r="B299" s="74">
        <v>658</v>
      </c>
      <c r="C299" s="137"/>
      <c r="D299" s="137">
        <v>7.5905900000000004E-3</v>
      </c>
      <c r="E299" s="137">
        <v>9.4455800000000006E-2</v>
      </c>
      <c r="F299" s="138">
        <v>3.6450000000000002E-4</v>
      </c>
      <c r="G299" s="137">
        <v>4.7240400000000003E-5</v>
      </c>
      <c r="H299" s="74"/>
      <c r="J299" s="74">
        <v>658</v>
      </c>
      <c r="K299" s="136" t="s">
        <v>342</v>
      </c>
      <c r="L299" s="136">
        <v>6.2360258861403695E-3</v>
      </c>
      <c r="M299" s="136">
        <v>8.1351426794083539E-2</v>
      </c>
      <c r="N299" s="136">
        <v>2.8003158411404427E-4</v>
      </c>
      <c r="O299" s="136">
        <v>3.5105363318380667E-5</v>
      </c>
      <c r="P299" s="74"/>
      <c r="Q299" s="137"/>
      <c r="R299" s="138"/>
      <c r="S299" s="137"/>
      <c r="T299" s="137"/>
    </row>
    <row r="300" spans="2:20" ht="15" customHeight="1" x14ac:dyDescent="0.2">
      <c r="B300" s="74">
        <v>659</v>
      </c>
      <c r="C300" s="137"/>
      <c r="D300" s="137">
        <v>7.0275399999999997E-3</v>
      </c>
      <c r="E300" s="137">
        <v>8.89934E-2</v>
      </c>
      <c r="F300" s="138">
        <v>3.3770000000000002E-4</v>
      </c>
      <c r="G300" s="137">
        <v>4.3826899999999999E-5</v>
      </c>
      <c r="H300" s="74"/>
      <c r="J300" s="74">
        <v>659</v>
      </c>
      <c r="K300" s="136" t="s">
        <v>342</v>
      </c>
      <c r="L300" s="136">
        <v>5.7646929575303251E-3</v>
      </c>
      <c r="M300" s="136">
        <v>7.6530547798556503E-2</v>
      </c>
      <c r="N300" s="136">
        <v>2.5904846557883059E-4</v>
      </c>
      <c r="O300" s="136">
        <v>3.2519296192187826E-5</v>
      </c>
      <c r="P300" s="74"/>
      <c r="Q300" s="137"/>
      <c r="R300" s="138"/>
      <c r="S300" s="137"/>
      <c r="T300" s="137"/>
    </row>
    <row r="301" spans="2:20" ht="15" customHeight="1" x14ac:dyDescent="0.2">
      <c r="B301" s="74">
        <v>660</v>
      </c>
      <c r="C301" s="137"/>
      <c r="D301" s="137">
        <v>6.5045499999999996E-3</v>
      </c>
      <c r="E301" s="137">
        <v>8.3807699999999999E-2</v>
      </c>
      <c r="F301" s="138">
        <v>3.1290000000000002E-4</v>
      </c>
      <c r="G301" s="137">
        <v>4.0694500000000001E-5</v>
      </c>
      <c r="H301" s="74"/>
      <c r="J301" s="74">
        <v>660</v>
      </c>
      <c r="K301" s="136" t="s">
        <v>342</v>
      </c>
      <c r="L301" s="136">
        <v>5.3275997495868532E-3</v>
      </c>
      <c r="M301" s="136">
        <v>7.1961867255524406E-2</v>
      </c>
      <c r="N301" s="136">
        <v>2.3966080058356891E-4</v>
      </c>
      <c r="O301" s="136">
        <v>3.0149324120314334E-5</v>
      </c>
      <c r="P301" s="74"/>
      <c r="Q301" s="137"/>
      <c r="R301" s="138"/>
      <c r="S301" s="137"/>
      <c r="T301" s="137"/>
    </row>
    <row r="302" spans="2:20" ht="15" customHeight="1" x14ac:dyDescent="0.2">
      <c r="B302" s="74">
        <v>661</v>
      </c>
      <c r="C302" s="137"/>
      <c r="D302" s="137">
        <v>6.0195200000000004E-3</v>
      </c>
      <c r="E302" s="137">
        <v>7.8886600000000001E-2</v>
      </c>
      <c r="F302" s="138">
        <v>2.901E-4</v>
      </c>
      <c r="G302" s="137">
        <v>3.7799000000000002E-5</v>
      </c>
      <c r="H302" s="74"/>
      <c r="J302" s="74">
        <v>661</v>
      </c>
      <c r="K302" s="136" t="s">
        <v>342</v>
      </c>
      <c r="L302" s="136">
        <v>4.9228734442989452E-3</v>
      </c>
      <c r="M302" s="136">
        <v>6.7633866540167314E-2</v>
      </c>
      <c r="N302" s="136">
        <v>2.2186134803806273E-4</v>
      </c>
      <c r="O302" s="136">
        <v>2.7961769436244986E-5</v>
      </c>
      <c r="P302" s="74"/>
      <c r="Q302" s="137"/>
      <c r="R302" s="138"/>
      <c r="S302" s="137"/>
      <c r="T302" s="137"/>
    </row>
    <row r="303" spans="2:20" ht="15" customHeight="1" x14ac:dyDescent="0.2">
      <c r="B303" s="74">
        <v>662</v>
      </c>
      <c r="C303" s="137"/>
      <c r="D303" s="137">
        <v>5.57093E-3</v>
      </c>
      <c r="E303" s="137">
        <v>7.4219199999999999E-2</v>
      </c>
      <c r="F303" s="138">
        <v>2.6889999999999998E-4</v>
      </c>
      <c r="G303" s="137">
        <v>3.5096599999999999E-5</v>
      </c>
      <c r="H303" s="74"/>
      <c r="J303" s="74">
        <v>662</v>
      </c>
      <c r="K303" s="136" t="s">
        <v>342</v>
      </c>
      <c r="L303" s="136">
        <v>4.5491261578567066E-3</v>
      </c>
      <c r="M303" s="136">
        <v>6.3536123899181604E-2</v>
      </c>
      <c r="N303" s="136">
        <v>2.0533746253867339E-4</v>
      </c>
      <c r="O303" s="136">
        <v>2.5923453416486603E-5</v>
      </c>
      <c r="P303" s="74"/>
      <c r="Q303" s="137"/>
      <c r="R303" s="138"/>
      <c r="S303" s="137"/>
      <c r="T303" s="137"/>
    </row>
    <row r="304" spans="2:20" ht="15" customHeight="1" x14ac:dyDescent="0.2">
      <c r="B304" s="74">
        <v>663</v>
      </c>
      <c r="C304" s="137"/>
      <c r="D304" s="137">
        <v>5.1572800000000002E-3</v>
      </c>
      <c r="E304" s="137">
        <v>6.9795300000000005E-2</v>
      </c>
      <c r="F304" s="138">
        <v>2.4929999999999999E-4</v>
      </c>
      <c r="G304" s="137">
        <v>3.2585700000000002E-5</v>
      </c>
      <c r="H304" s="74"/>
      <c r="J304" s="74">
        <v>663</v>
      </c>
      <c r="K304" s="136" t="s">
        <v>342</v>
      </c>
      <c r="L304" s="136">
        <v>4.2049946868315362E-3</v>
      </c>
      <c r="M304" s="136">
        <v>5.9658878794103969E-2</v>
      </c>
      <c r="N304" s="136">
        <v>1.9008337228881213E-4</v>
      </c>
      <c r="O304" s="136">
        <v>2.4032520745125192E-5</v>
      </c>
      <c r="P304" s="74"/>
      <c r="Q304" s="137"/>
      <c r="R304" s="138"/>
      <c r="S304" s="137"/>
      <c r="T304" s="137"/>
    </row>
    <row r="305" spans="2:20" ht="15" customHeight="1" x14ac:dyDescent="0.2">
      <c r="B305" s="74">
        <v>664</v>
      </c>
      <c r="C305" s="137"/>
      <c r="D305" s="137">
        <v>4.7768699999999999E-3</v>
      </c>
      <c r="E305" s="137">
        <v>6.5604999999999997E-2</v>
      </c>
      <c r="F305" s="138">
        <v>2.3130000000000001E-4</v>
      </c>
      <c r="G305" s="137">
        <v>3.0264699999999998E-5</v>
      </c>
      <c r="H305" s="74"/>
      <c r="J305" s="74">
        <v>664</v>
      </c>
      <c r="K305" s="136" t="s">
        <v>342</v>
      </c>
      <c r="L305" s="136">
        <v>3.8889612152017009E-3</v>
      </c>
      <c r="M305" s="136">
        <v>5.5992685529490611E-2</v>
      </c>
      <c r="N305" s="136">
        <v>1.7609334026174911E-4</v>
      </c>
      <c r="O305" s="136">
        <v>2.2287127282848637E-5</v>
      </c>
      <c r="P305" s="74"/>
      <c r="Q305" s="137"/>
      <c r="R305" s="138"/>
      <c r="S305" s="137"/>
      <c r="T305" s="137"/>
    </row>
    <row r="306" spans="2:20" ht="15" customHeight="1" x14ac:dyDescent="0.2">
      <c r="B306" s="74">
        <v>665</v>
      </c>
      <c r="C306" s="137"/>
      <c r="D306" s="137">
        <v>4.42794E-3</v>
      </c>
      <c r="E306" s="137">
        <v>6.1638400000000003E-2</v>
      </c>
      <c r="F306" s="138">
        <v>2.1460000000000001E-4</v>
      </c>
      <c r="G306" s="137">
        <v>2.8132000000000001E-5</v>
      </c>
      <c r="H306" s="74"/>
      <c r="J306" s="74">
        <v>665</v>
      </c>
      <c r="K306" s="136" t="s">
        <v>342</v>
      </c>
      <c r="L306" s="136">
        <v>3.5994682827220495E-3</v>
      </c>
      <c r="M306" s="136">
        <v>5.2528155226111019E-2</v>
      </c>
      <c r="N306" s="136">
        <v>1.63133611360397E-4</v>
      </c>
      <c r="O306" s="136">
        <v>2.0685439982912126E-5</v>
      </c>
      <c r="P306" s="74"/>
      <c r="Q306" s="137"/>
      <c r="R306" s="138"/>
      <c r="S306" s="137"/>
      <c r="T306" s="137"/>
    </row>
    <row r="307" spans="2:20" ht="15" customHeight="1" x14ac:dyDescent="0.2">
      <c r="B307" s="74">
        <v>666</v>
      </c>
      <c r="C307" s="137"/>
      <c r="D307" s="137">
        <v>4.1083200000000004E-3</v>
      </c>
      <c r="E307" s="137">
        <v>5.7885699999999998E-2</v>
      </c>
      <c r="F307" s="138">
        <v>1.9909999999999999E-4</v>
      </c>
      <c r="G307" s="137">
        <v>2.6158700000000001E-5</v>
      </c>
      <c r="H307" s="74"/>
      <c r="J307" s="74">
        <v>666</v>
      </c>
      <c r="K307" s="136" t="s">
        <v>342</v>
      </c>
      <c r="L307" s="136">
        <v>3.3346349950800114E-3</v>
      </c>
      <c r="M307" s="136">
        <v>4.9256040486297094E-2</v>
      </c>
      <c r="N307" s="136">
        <v>1.5112364119385181E-4</v>
      </c>
      <c r="O307" s="136">
        <v>1.9205593277544605E-5</v>
      </c>
      <c r="P307" s="74"/>
      <c r="Q307" s="137"/>
      <c r="R307" s="138"/>
      <c r="S307" s="137"/>
      <c r="T307" s="137"/>
    </row>
    <row r="308" spans="2:20" ht="15" customHeight="1" x14ac:dyDescent="0.2">
      <c r="B308" s="74">
        <v>667</v>
      </c>
      <c r="C308" s="137"/>
      <c r="D308" s="137">
        <v>3.8146999999999999E-3</v>
      </c>
      <c r="E308" s="137">
        <v>5.4336599999999999E-2</v>
      </c>
      <c r="F308" s="138">
        <v>1.8479999999999999E-4</v>
      </c>
      <c r="G308" s="137">
        <v>2.4315799999999998E-5</v>
      </c>
      <c r="H308" s="74"/>
      <c r="J308" s="74">
        <v>667</v>
      </c>
      <c r="K308" s="136" t="s">
        <v>342</v>
      </c>
      <c r="L308" s="136">
        <v>3.0916678114811776E-3</v>
      </c>
      <c r="M308" s="136">
        <v>4.6166724547421482E-2</v>
      </c>
      <c r="N308" s="136">
        <v>1.4005915798369622E-4</v>
      </c>
      <c r="O308" s="136">
        <v>1.7825779417367008E-5</v>
      </c>
      <c r="P308" s="74"/>
      <c r="Q308" s="137"/>
      <c r="R308" s="138"/>
      <c r="S308" s="137"/>
      <c r="T308" s="137"/>
    </row>
    <row r="309" spans="2:20" ht="15" customHeight="1" x14ac:dyDescent="0.2">
      <c r="B309" s="74">
        <v>668</v>
      </c>
      <c r="C309" s="137"/>
      <c r="D309" s="137">
        <v>3.5439199999999999E-3</v>
      </c>
      <c r="E309" s="137">
        <v>5.0981100000000001E-2</v>
      </c>
      <c r="F309" s="138">
        <v>1.716E-4</v>
      </c>
      <c r="G309" s="137">
        <v>2.2601700000000001E-5</v>
      </c>
      <c r="H309" s="74"/>
      <c r="J309" s="74">
        <v>668</v>
      </c>
      <c r="K309" s="136" t="s">
        <v>342</v>
      </c>
      <c r="L309" s="136">
        <v>2.8679113061683297E-3</v>
      </c>
      <c r="M309" s="136">
        <v>4.3250902743655652E-2</v>
      </c>
      <c r="N309" s="136">
        <v>1.2986023940083721E-4</v>
      </c>
      <c r="O309" s="136">
        <v>1.6544377957778122E-5</v>
      </c>
      <c r="P309" s="74"/>
      <c r="Q309" s="137"/>
      <c r="R309" s="138"/>
      <c r="S309" s="137"/>
      <c r="T309" s="137"/>
    </row>
    <row r="310" spans="2:20" ht="15" customHeight="1" x14ac:dyDescent="0.2">
      <c r="B310" s="74">
        <v>669</v>
      </c>
      <c r="C310" s="137"/>
      <c r="D310" s="137">
        <v>3.2932899999999999E-3</v>
      </c>
      <c r="E310" s="137">
        <v>4.7809600000000001E-2</v>
      </c>
      <c r="F310" s="138">
        <v>1.593E-4</v>
      </c>
      <c r="G310" s="137">
        <v>2.1014800000000001E-5</v>
      </c>
      <c r="H310" s="74"/>
      <c r="J310" s="74">
        <v>669</v>
      </c>
      <c r="K310" s="136" t="s">
        <v>342</v>
      </c>
      <c r="L310" s="136">
        <v>2.6611057085495246E-3</v>
      </c>
      <c r="M310" s="136">
        <v>4.0499664883727346E-2</v>
      </c>
      <c r="N310" s="136">
        <v>1.2037187796573576E-4</v>
      </c>
      <c r="O310" s="136">
        <v>1.5359778142933667E-5</v>
      </c>
      <c r="P310" s="74"/>
      <c r="Q310" s="137"/>
      <c r="R310" s="138"/>
      <c r="S310" s="137"/>
      <c r="T310" s="137"/>
    </row>
    <row r="311" spans="2:20" ht="15" customHeight="1" x14ac:dyDescent="0.2">
      <c r="B311" s="74">
        <v>670</v>
      </c>
      <c r="C311" s="137"/>
      <c r="D311" s="137">
        <v>3.0604999999999999E-3</v>
      </c>
      <c r="E311" s="137">
        <v>4.4813199999999997E-2</v>
      </c>
      <c r="F311" s="138">
        <v>1.4799999999999999E-4</v>
      </c>
      <c r="G311" s="137">
        <v>1.9553499999999998E-5</v>
      </c>
      <c r="H311" s="74"/>
      <c r="J311" s="74">
        <v>670</v>
      </c>
      <c r="K311" s="136" t="s">
        <v>342</v>
      </c>
      <c r="L311" s="136">
        <v>2.4693113356088108E-3</v>
      </c>
      <c r="M311" s="136">
        <v>3.7904746058738975E-2</v>
      </c>
      <c r="N311" s="136">
        <v>1.1166634231051362E-4</v>
      </c>
      <c r="O311" s="136">
        <v>1.4270378833442185E-5</v>
      </c>
      <c r="P311" s="74"/>
      <c r="Q311" s="137"/>
      <c r="R311" s="138"/>
      <c r="S311" s="137"/>
      <c r="T311" s="137"/>
    </row>
    <row r="312" spans="2:20" ht="15" customHeight="1" x14ac:dyDescent="0.2">
      <c r="B312" s="74">
        <v>671</v>
      </c>
      <c r="C312" s="137"/>
      <c r="D312" s="137">
        <v>2.8436899999999998E-3</v>
      </c>
      <c r="E312" s="137">
        <v>4.1983100000000002E-2</v>
      </c>
      <c r="F312" s="138">
        <v>1.3750000000000001E-4</v>
      </c>
      <c r="G312" s="137">
        <v>1.8198200000000001E-5</v>
      </c>
      <c r="H312" s="74"/>
      <c r="J312" s="74">
        <v>671</v>
      </c>
      <c r="K312" s="136" t="s">
        <v>342</v>
      </c>
      <c r="L312" s="136">
        <v>2.2909626008683162E-3</v>
      </c>
      <c r="M312" s="136">
        <v>3.5458015086826188E-2</v>
      </c>
      <c r="N312" s="136">
        <v>1.0358945689527599E-4</v>
      </c>
      <c r="O312" s="136">
        <v>1.3261471396476326E-5</v>
      </c>
      <c r="P312" s="74"/>
      <c r="Q312" s="137"/>
      <c r="R312" s="138"/>
      <c r="S312" s="137"/>
      <c r="T312" s="137"/>
    </row>
    <row r="313" spans="2:20" ht="15" customHeight="1" x14ac:dyDescent="0.2">
      <c r="B313" s="74">
        <v>672</v>
      </c>
      <c r="C313" s="137"/>
      <c r="D313" s="137">
        <v>2.64175E-3</v>
      </c>
      <c r="E313" s="137">
        <v>3.9311100000000002E-2</v>
      </c>
      <c r="F313" s="138">
        <v>1.2769999999999999E-4</v>
      </c>
      <c r="G313" s="137">
        <v>1.6930199999999999E-5</v>
      </c>
      <c r="H313" s="74"/>
      <c r="J313" s="74">
        <v>672</v>
      </c>
      <c r="K313" s="136" t="s">
        <v>342</v>
      </c>
      <c r="L313" s="136">
        <v>2.1251065603415768E-3</v>
      </c>
      <c r="M313" s="136">
        <v>3.3151895178906911E-2</v>
      </c>
      <c r="N313" s="136">
        <v>9.6063189568706115E-5</v>
      </c>
      <c r="O313" s="136">
        <v>1.2319089626536058E-5</v>
      </c>
      <c r="P313" s="74"/>
      <c r="Q313" s="137"/>
      <c r="R313" s="138"/>
      <c r="S313" s="137"/>
      <c r="T313" s="137"/>
    </row>
    <row r="314" spans="2:20" ht="15" customHeight="1" x14ac:dyDescent="0.2">
      <c r="B314" s="74">
        <v>673</v>
      </c>
      <c r="C314" s="137"/>
      <c r="D314" s="137">
        <v>2.4537399999999998E-3</v>
      </c>
      <c r="E314" s="137">
        <v>3.6789200000000001E-2</v>
      </c>
      <c r="F314" s="138">
        <v>1.187E-4</v>
      </c>
      <c r="G314" s="137">
        <v>1.5749299999999998E-5</v>
      </c>
      <c r="H314" s="74"/>
      <c r="J314" s="74">
        <v>673</v>
      </c>
      <c r="K314" s="136" t="s">
        <v>342</v>
      </c>
      <c r="L314" s="136">
        <v>1.970932484031968E-3</v>
      </c>
      <c r="M314" s="136">
        <v>3.0979022992501958E-2</v>
      </c>
      <c r="N314" s="136">
        <v>8.9160199767206527E-5</v>
      </c>
      <c r="O314" s="136">
        <v>1.1442791663579286E-5</v>
      </c>
      <c r="P314" s="74"/>
      <c r="Q314" s="137"/>
      <c r="R314" s="138"/>
      <c r="S314" s="137"/>
      <c r="T314" s="137"/>
    </row>
    <row r="315" spans="2:20" ht="15" customHeight="1" x14ac:dyDescent="0.2">
      <c r="B315" s="74">
        <v>674</v>
      </c>
      <c r="C315" s="137"/>
      <c r="D315" s="137">
        <v>2.27875E-3</v>
      </c>
      <c r="E315" s="137">
        <v>3.4409799999999997E-2</v>
      </c>
      <c r="F315" s="138">
        <v>1.104E-4</v>
      </c>
      <c r="G315" s="137">
        <v>1.46553E-5</v>
      </c>
      <c r="H315" s="74"/>
      <c r="J315" s="74">
        <v>674</v>
      </c>
      <c r="K315" s="136" t="s">
        <v>342</v>
      </c>
      <c r="L315" s="136">
        <v>1.8276585147267235E-3</v>
      </c>
      <c r="M315" s="136">
        <v>2.8932415212112469E-2</v>
      </c>
      <c r="N315" s="136">
        <v>8.2802710803032235E-5</v>
      </c>
      <c r="O315" s="136">
        <v>1.06321382698787E-5</v>
      </c>
      <c r="P315" s="74"/>
      <c r="Q315" s="137"/>
      <c r="R315" s="138"/>
      <c r="S315" s="137"/>
      <c r="T315" s="137"/>
    </row>
    <row r="316" spans="2:20" ht="15" customHeight="1" x14ac:dyDescent="0.2">
      <c r="B316" s="74">
        <v>675</v>
      </c>
      <c r="C316" s="137"/>
      <c r="D316" s="137">
        <v>2.1159600000000001E-3</v>
      </c>
      <c r="E316" s="137">
        <v>3.2166E-2</v>
      </c>
      <c r="F316" s="138">
        <v>1.026E-4</v>
      </c>
      <c r="G316" s="137">
        <v>1.3648E-5</v>
      </c>
      <c r="H316" s="74"/>
      <c r="J316" s="74">
        <v>675</v>
      </c>
      <c r="K316" s="136" t="s">
        <v>342</v>
      </c>
      <c r="L316" s="136">
        <v>1.6945795054913704E-3</v>
      </c>
      <c r="M316" s="136">
        <v>2.7005717606221731E-2</v>
      </c>
      <c r="N316" s="136">
        <v>7.6838515546639923E-5</v>
      </c>
      <c r="O316" s="136">
        <v>9.8866928105972265E-6</v>
      </c>
      <c r="P316" s="74"/>
      <c r="Q316" s="137"/>
      <c r="R316" s="138"/>
      <c r="S316" s="137"/>
      <c r="T316" s="137"/>
    </row>
    <row r="317" spans="2:20" ht="15" customHeight="1" x14ac:dyDescent="0.2">
      <c r="B317" s="74">
        <v>676</v>
      </c>
      <c r="C317" s="137"/>
      <c r="D317" s="137">
        <v>1.9645600000000002E-3</v>
      </c>
      <c r="E317" s="137">
        <v>3.0050899999999998E-2</v>
      </c>
      <c r="F317" s="136">
        <v>9.5400000000000001E-5</v>
      </c>
      <c r="G317" s="137">
        <v>1.27143E-5</v>
      </c>
      <c r="H317" s="74"/>
      <c r="J317" s="74">
        <v>676</v>
      </c>
      <c r="K317" s="136" t="s">
        <v>342</v>
      </c>
      <c r="L317" s="136">
        <v>1.5710024785726712E-3</v>
      </c>
      <c r="M317" s="136">
        <v>2.5192613542316073E-2</v>
      </c>
      <c r="N317" s="136">
        <v>7.1340649166434209E-5</v>
      </c>
      <c r="O317" s="136">
        <v>9.1966902211216563E-6</v>
      </c>
      <c r="P317" s="74"/>
      <c r="Q317" s="137"/>
      <c r="R317" s="136"/>
      <c r="S317" s="137"/>
      <c r="T317" s="137"/>
    </row>
    <row r="318" spans="2:20" ht="15" customHeight="1" x14ac:dyDescent="0.2">
      <c r="B318" s="74">
        <v>677</v>
      </c>
      <c r="C318" s="137"/>
      <c r="D318" s="137">
        <v>1.8237800000000001E-3</v>
      </c>
      <c r="E318" s="137">
        <v>2.8059400000000002E-2</v>
      </c>
      <c r="F318" s="136">
        <v>8.8800000000000004E-5</v>
      </c>
      <c r="G318" s="137">
        <v>1.18407E-5</v>
      </c>
      <c r="H318" s="74"/>
      <c r="J318" s="74">
        <v>677</v>
      </c>
      <c r="K318" s="136" t="s">
        <v>342</v>
      </c>
      <c r="L318" s="136">
        <v>1.4562704902293876E-3</v>
      </c>
      <c r="M318" s="136">
        <v>2.3488330476798772E-2</v>
      </c>
      <c r="N318" s="136">
        <v>6.6307045212446797E-5</v>
      </c>
      <c r="O318" s="136">
        <v>8.5521342265639529E-6</v>
      </c>
      <c r="P318" s="74"/>
      <c r="Q318" s="137"/>
      <c r="R318" s="136"/>
      <c r="S318" s="137"/>
      <c r="T318" s="137"/>
    </row>
    <row r="319" spans="2:20" ht="15" customHeight="1" x14ac:dyDescent="0.2">
      <c r="B319" s="74">
        <v>678</v>
      </c>
      <c r="C319" s="137"/>
      <c r="D319" s="137">
        <v>1.69287E-3</v>
      </c>
      <c r="E319" s="137">
        <v>2.61861E-2</v>
      </c>
      <c r="F319" s="136">
        <v>8.2600000000000002E-5</v>
      </c>
      <c r="G319" s="137">
        <v>1.1026899999999999E-5</v>
      </c>
      <c r="H319" s="74"/>
      <c r="J319" s="74">
        <v>678</v>
      </c>
      <c r="K319" s="136" t="s">
        <v>342</v>
      </c>
      <c r="L319" s="136">
        <v>1.3497464187446468E-3</v>
      </c>
      <c r="M319" s="136">
        <v>2.1887873265133972E-2</v>
      </c>
      <c r="N319" s="136">
        <v>6.1586529500004447E-5</v>
      </c>
      <c r="O319" s="136">
        <v>7.9526073756031146E-6</v>
      </c>
      <c r="P319" s="74"/>
      <c r="Q319" s="137"/>
      <c r="R319" s="136"/>
      <c r="S319" s="137"/>
      <c r="T319" s="137"/>
    </row>
    <row r="320" spans="2:20" ht="15" customHeight="1" x14ac:dyDescent="0.2">
      <c r="B320" s="74">
        <v>679</v>
      </c>
      <c r="C320" s="137"/>
      <c r="D320" s="137">
        <v>1.5711500000000001E-3</v>
      </c>
      <c r="E320" s="137">
        <v>2.4426E-2</v>
      </c>
      <c r="F320" s="136">
        <v>7.6899999999999999E-5</v>
      </c>
      <c r="G320" s="137">
        <v>1.02723E-5</v>
      </c>
      <c r="H320" s="74"/>
      <c r="J320" s="74">
        <v>679</v>
      </c>
      <c r="K320" s="136" t="s">
        <v>342</v>
      </c>
      <c r="L320" s="136">
        <v>1.2508526253740507E-3</v>
      </c>
      <c r="M320" s="136">
        <v>2.0386610040242323E-2</v>
      </c>
      <c r="N320" s="136">
        <v>5.7252168877767321E-5</v>
      </c>
      <c r="O320" s="136">
        <v>7.397478634582946E-6</v>
      </c>
      <c r="P320" s="74"/>
      <c r="Q320" s="137"/>
      <c r="R320" s="136"/>
      <c r="S320" s="137"/>
      <c r="T320" s="137"/>
    </row>
    <row r="321" spans="2:20" ht="15" customHeight="1" x14ac:dyDescent="0.2">
      <c r="B321" s="74">
        <v>680</v>
      </c>
      <c r="C321" s="137"/>
      <c r="D321" s="137">
        <v>1.45798E-3</v>
      </c>
      <c r="E321" s="137">
        <v>2.27738E-2</v>
      </c>
      <c r="F321" s="136">
        <v>7.1500000000000003E-5</v>
      </c>
      <c r="G321" s="137">
        <v>9.5763699999999999E-6</v>
      </c>
      <c r="H321" s="74"/>
      <c r="J321" s="74">
        <v>680</v>
      </c>
      <c r="K321" s="136" t="s">
        <v>342</v>
      </c>
      <c r="L321" s="136">
        <v>1.1590466679468586E-3</v>
      </c>
      <c r="M321" s="136">
        <v>1.8979686161305069E-2</v>
      </c>
      <c r="N321" s="136">
        <v>5.3153578382205442E-5</v>
      </c>
      <c r="O321" s="136">
        <v>6.8861710173724874E-6</v>
      </c>
      <c r="P321" s="74"/>
      <c r="Q321" s="137"/>
      <c r="R321" s="136"/>
      <c r="S321" s="137"/>
      <c r="T321" s="137"/>
    </row>
    <row r="322" spans="2:20" ht="15" customHeight="1" x14ac:dyDescent="0.2">
      <c r="B322" s="74">
        <v>681</v>
      </c>
      <c r="C322" s="137"/>
      <c r="D322" s="137">
        <v>1.3527400000000001E-3</v>
      </c>
      <c r="E322" s="137">
        <v>2.1223800000000001E-2</v>
      </c>
      <c r="F322" s="136">
        <v>6.6600000000000006E-5</v>
      </c>
      <c r="G322" s="137">
        <v>8.9303300000000003E-6</v>
      </c>
      <c r="H322" s="74"/>
      <c r="J322" s="74">
        <v>681</v>
      </c>
      <c r="K322" s="136" t="s">
        <v>342</v>
      </c>
      <c r="L322" s="136">
        <v>1.0738051664453971E-3</v>
      </c>
      <c r="M322" s="136">
        <v>1.7661942631774293E-2</v>
      </c>
      <c r="N322" s="136">
        <v>4.9438182388575424E-5</v>
      </c>
      <c r="O322" s="136">
        <v>6.4121872326208316E-6</v>
      </c>
      <c r="P322" s="74"/>
      <c r="Q322" s="137"/>
      <c r="R322" s="136"/>
      <c r="S322" s="137"/>
      <c r="T322" s="137"/>
    </row>
    <row r="323" spans="2:20" ht="15" customHeight="1" x14ac:dyDescent="0.2">
      <c r="B323" s="74">
        <v>682</v>
      </c>
      <c r="C323" s="137"/>
      <c r="D323" s="137">
        <v>1.2547599999999999E-3</v>
      </c>
      <c r="E323" s="137">
        <v>1.9767900000000001E-2</v>
      </c>
      <c r="F323" s="136">
        <v>6.2000000000000003E-5</v>
      </c>
      <c r="G323" s="137">
        <v>8.3254300000000003E-6</v>
      </c>
      <c r="H323" s="74"/>
      <c r="J323" s="74">
        <v>682</v>
      </c>
      <c r="K323" s="136" t="s">
        <v>342</v>
      </c>
      <c r="L323" s="136">
        <v>9.9456817872029544E-4</v>
      </c>
      <c r="M323" s="136">
        <v>1.6426256418587769E-2</v>
      </c>
      <c r="N323" s="136">
        <v>4.5956049968086077E-5</v>
      </c>
      <c r="O323" s="136">
        <v>5.9690896053795458E-6</v>
      </c>
      <c r="P323" s="74"/>
      <c r="Q323" s="137"/>
      <c r="R323" s="136"/>
      <c r="S323" s="137"/>
      <c r="T323" s="137"/>
    </row>
    <row r="324" spans="2:20" ht="15" customHeight="1" x14ac:dyDescent="0.2">
      <c r="B324" s="74">
        <v>683</v>
      </c>
      <c r="C324" s="137"/>
      <c r="D324" s="137">
        <v>1.1634E-3</v>
      </c>
      <c r="E324" s="137">
        <v>1.8398600000000001E-2</v>
      </c>
      <c r="F324" s="136">
        <v>5.7800000000000002E-5</v>
      </c>
      <c r="G324" s="137">
        <v>7.7613499999999998E-6</v>
      </c>
      <c r="H324" s="74"/>
      <c r="J324" s="74">
        <v>683</v>
      </c>
      <c r="K324" s="136" t="s">
        <v>342</v>
      </c>
      <c r="L324" s="136">
        <v>9.2080278620187592E-4</v>
      </c>
      <c r="M324" s="136">
        <v>1.5266044048499509E-2</v>
      </c>
      <c r="N324" s="136">
        <v>4.2780170673073392E-5</v>
      </c>
      <c r="O324" s="136">
        <v>5.5565133769895686E-6</v>
      </c>
      <c r="P324" s="74"/>
      <c r="Q324" s="137"/>
      <c r="R324" s="136"/>
      <c r="S324" s="137"/>
      <c r="T324" s="137"/>
    </row>
    <row r="325" spans="2:20" ht="15" customHeight="1" x14ac:dyDescent="0.2">
      <c r="B325" s="74">
        <v>684</v>
      </c>
      <c r="C325" s="137"/>
      <c r="D325" s="137">
        <v>1.0781199999999999E-3</v>
      </c>
      <c r="E325" s="137">
        <v>1.7109200000000001E-2</v>
      </c>
      <c r="F325" s="136">
        <v>5.38E-5</v>
      </c>
      <c r="G325" s="137">
        <v>7.2377299999999997E-6</v>
      </c>
      <c r="H325" s="74"/>
      <c r="J325" s="74">
        <v>684</v>
      </c>
      <c r="K325" s="136" t="s">
        <v>342</v>
      </c>
      <c r="L325" s="136">
        <v>8.5205821865679671E-4</v>
      </c>
      <c r="M325" s="136">
        <v>1.4175423369203044E-2</v>
      </c>
      <c r="N325" s="136">
        <v>3.9761389431452249E-5</v>
      </c>
      <c r="O325" s="136">
        <v>5.174067326910527E-6</v>
      </c>
      <c r="P325" s="74"/>
      <c r="Q325" s="137"/>
      <c r="R325" s="136"/>
      <c r="S325" s="137"/>
      <c r="T325" s="137"/>
    </row>
    <row r="326" spans="2:20" ht="15" customHeight="1" x14ac:dyDescent="0.2">
      <c r="B326" s="74">
        <v>685</v>
      </c>
      <c r="C326" s="137"/>
      <c r="D326" s="137">
        <v>9.9842399999999993E-4</v>
      </c>
      <c r="E326" s="137">
        <v>1.5893899999999999E-2</v>
      </c>
      <c r="F326" s="136">
        <v>5.0099999999999998E-5</v>
      </c>
      <c r="G326" s="137">
        <v>6.7542499999999997E-6</v>
      </c>
      <c r="H326" s="74"/>
      <c r="J326" s="74">
        <v>685</v>
      </c>
      <c r="K326" s="136" t="s">
        <v>342</v>
      </c>
      <c r="L326" s="136">
        <v>7.8792106133719717E-4</v>
      </c>
      <c r="M326" s="136">
        <v>1.3149291161884725E-2</v>
      </c>
      <c r="N326" s="136">
        <v>3.697281625899596E-5</v>
      </c>
      <c r="O326" s="136">
        <v>4.8213910723299489E-6</v>
      </c>
      <c r="P326" s="74"/>
      <c r="Q326" s="137"/>
      <c r="R326" s="136"/>
      <c r="S326" s="137"/>
      <c r="T326" s="137"/>
    </row>
    <row r="327" spans="2:20" ht="15" customHeight="1" x14ac:dyDescent="0.2">
      <c r="B327" s="74">
        <v>686</v>
      </c>
      <c r="C327" s="137"/>
      <c r="D327" s="137">
        <v>9.2396199999999996E-4</v>
      </c>
      <c r="E327" s="137">
        <v>1.4749200000000001E-2</v>
      </c>
      <c r="F327" s="136">
        <v>4.6699999999999997E-5</v>
      </c>
      <c r="G327" s="137">
        <v>6.3049899999999999E-6</v>
      </c>
      <c r="H327" s="74"/>
      <c r="J327" s="74">
        <v>686</v>
      </c>
      <c r="K327" s="136" t="s">
        <v>342</v>
      </c>
      <c r="L327" s="136">
        <v>7.2809536017909846E-4</v>
      </c>
      <c r="M327" s="136">
        <v>1.2184474019043601E-2</v>
      </c>
      <c r="N327" s="136">
        <v>3.4413444414877278E-5</v>
      </c>
      <c r="O327" s="136">
        <v>4.4941347070069106E-6</v>
      </c>
      <c r="P327" s="74"/>
      <c r="Q327" s="137"/>
      <c r="R327" s="136"/>
      <c r="S327" s="137"/>
      <c r="T327" s="137"/>
    </row>
    <row r="328" spans="2:20" ht="15" customHeight="1" x14ac:dyDescent="0.2">
      <c r="B328" s="74">
        <v>687</v>
      </c>
      <c r="C328" s="137"/>
      <c r="D328" s="137">
        <v>8.54713E-4</v>
      </c>
      <c r="E328" s="137">
        <v>1.36773E-2</v>
      </c>
      <c r="F328" s="136">
        <v>4.3600000000000003E-5</v>
      </c>
      <c r="G328" s="137">
        <v>5.8840699999999997E-6</v>
      </c>
      <c r="H328" s="74"/>
      <c r="J328" s="74">
        <v>687</v>
      </c>
      <c r="K328" s="136" t="s">
        <v>342</v>
      </c>
      <c r="L328" s="136">
        <v>6.7254576364841434E-4</v>
      </c>
      <c r="M328" s="136">
        <v>1.128251898767837E-2</v>
      </c>
      <c r="N328" s="136">
        <v>3.2082273019933161E-5</v>
      </c>
      <c r="O328" s="136">
        <v>4.1880021217695048E-6</v>
      </c>
      <c r="P328" s="74"/>
      <c r="Q328" s="137"/>
      <c r="R328" s="136"/>
      <c r="S328" s="137"/>
      <c r="T328" s="137"/>
    </row>
    <row r="329" spans="2:20" ht="15" customHeight="1" x14ac:dyDescent="0.2">
      <c r="B329" s="74">
        <v>688</v>
      </c>
      <c r="C329" s="137"/>
      <c r="D329" s="137">
        <v>7.9065199999999998E-4</v>
      </c>
      <c r="E329" s="137">
        <v>1.26804E-2</v>
      </c>
      <c r="F329" s="136">
        <v>4.0599999999999998E-5</v>
      </c>
      <c r="G329" s="137">
        <v>5.4911499999999999E-6</v>
      </c>
      <c r="H329" s="74"/>
      <c r="J329" s="74">
        <v>688</v>
      </c>
      <c r="K329" s="136" t="s">
        <v>342</v>
      </c>
      <c r="L329" s="136">
        <v>6.2123398284859538E-4</v>
      </c>
      <c r="M329" s="136">
        <v>1.0444964120328443E-2</v>
      </c>
      <c r="N329" s="136">
        <v>2.9831354528702385E-5</v>
      </c>
      <c r="O329" s="136">
        <v>3.9026595629657069E-6</v>
      </c>
      <c r="P329" s="74"/>
      <c r="Q329" s="137"/>
      <c r="R329" s="136"/>
      <c r="S329" s="137"/>
      <c r="T329" s="137"/>
    </row>
    <row r="330" spans="2:20" ht="15" customHeight="1" x14ac:dyDescent="0.2">
      <c r="B330" s="74">
        <v>689</v>
      </c>
      <c r="C330" s="137"/>
      <c r="D330" s="137">
        <v>7.3168400000000002E-4</v>
      </c>
      <c r="E330" s="137">
        <v>1.1759E-2</v>
      </c>
      <c r="F330" s="138">
        <v>3.7889999999999998E-5</v>
      </c>
      <c r="G330" s="137">
        <v>5.12592E-6</v>
      </c>
      <c r="H330" s="74"/>
      <c r="J330" s="74">
        <v>689</v>
      </c>
      <c r="K330" s="136" t="s">
        <v>342</v>
      </c>
      <c r="L330" s="136">
        <v>5.7406703034048473E-4</v>
      </c>
      <c r="M330" s="136">
        <v>9.6719402668145535E-3</v>
      </c>
      <c r="N330" s="136">
        <v>2.779974175065108E-5</v>
      </c>
      <c r="O330" s="136">
        <v>3.6377965051520509E-6</v>
      </c>
      <c r="P330" s="74"/>
      <c r="Q330" s="137"/>
      <c r="R330" s="138"/>
      <c r="S330" s="137"/>
      <c r="T330" s="137"/>
    </row>
    <row r="331" spans="2:20" ht="15" customHeight="1" x14ac:dyDescent="0.2">
      <c r="B331" s="74">
        <v>690</v>
      </c>
      <c r="C331" s="137"/>
      <c r="D331" s="137">
        <v>6.7765299999999996E-4</v>
      </c>
      <c r="E331" s="137">
        <v>1.09123E-2</v>
      </c>
      <c r="F331" s="138">
        <v>3.5330000000000002E-5</v>
      </c>
      <c r="G331" s="137">
        <v>4.78804E-6</v>
      </c>
      <c r="H331" s="74"/>
      <c r="J331" s="74">
        <v>690</v>
      </c>
      <c r="K331" s="136" t="s">
        <v>342</v>
      </c>
      <c r="L331" s="136">
        <v>5.3090466752436609E-4</v>
      </c>
      <c r="M331" s="136">
        <v>8.9625098000770467E-3</v>
      </c>
      <c r="N331" s="136">
        <v>2.5883912607387381E-5</v>
      </c>
      <c r="O331" s="136">
        <v>3.3930829632918625E-6</v>
      </c>
      <c r="P331" s="74"/>
      <c r="Q331" s="137"/>
      <c r="R331" s="138"/>
      <c r="S331" s="137"/>
      <c r="T331" s="137"/>
    </row>
    <row r="332" spans="2:20" ht="15" customHeight="1" x14ac:dyDescent="0.2">
      <c r="B332" s="74">
        <v>691</v>
      </c>
      <c r="C332" s="137"/>
      <c r="D332" s="137">
        <v>6.2829699999999999E-4</v>
      </c>
      <c r="E332" s="137">
        <v>1.01373E-2</v>
      </c>
      <c r="F332" s="138">
        <v>3.2950000000000001E-5</v>
      </c>
      <c r="G332" s="137">
        <v>4.47347E-6</v>
      </c>
      <c r="H332" s="74"/>
      <c r="J332" s="74">
        <v>691</v>
      </c>
      <c r="K332" s="136" t="s">
        <v>342</v>
      </c>
      <c r="L332" s="136">
        <v>4.915245424855553E-4</v>
      </c>
      <c r="M332" s="136">
        <v>8.3139362276824693E-3</v>
      </c>
      <c r="N332" s="136">
        <v>2.4105311593245726E-5</v>
      </c>
      <c r="O332" s="136">
        <v>3.1655726224004351E-6</v>
      </c>
      <c r="P332" s="74"/>
      <c r="Q332" s="137"/>
      <c r="R332" s="138"/>
      <c r="S332" s="137"/>
      <c r="T332" s="137"/>
    </row>
    <row r="333" spans="2:20" ht="15" customHeight="1" x14ac:dyDescent="0.2">
      <c r="B333" s="74">
        <v>692</v>
      </c>
      <c r="C333" s="137"/>
      <c r="D333" s="137">
        <v>5.8310800000000004E-4</v>
      </c>
      <c r="E333" s="137">
        <v>9.4256800000000005E-3</v>
      </c>
      <c r="F333" s="138">
        <v>3.0750000000000002E-5</v>
      </c>
      <c r="G333" s="137">
        <v>4.1782899999999996E-6</v>
      </c>
      <c r="H333" s="74"/>
      <c r="J333" s="74">
        <v>692</v>
      </c>
      <c r="K333" s="136" t="s">
        <v>342</v>
      </c>
      <c r="L333" s="136">
        <v>4.5551341783210182E-4</v>
      </c>
      <c r="M333" s="136">
        <v>7.7191420715507567E-3</v>
      </c>
      <c r="N333" s="136">
        <v>2.2463343788591208E-5</v>
      </c>
      <c r="O333" s="136">
        <v>2.9524209914009972E-6</v>
      </c>
      <c r="P333" s="74"/>
      <c r="Q333" s="137"/>
      <c r="R333" s="138"/>
      <c r="S333" s="137"/>
      <c r="T333" s="137"/>
    </row>
    <row r="334" spans="2:20" ht="15" customHeight="1" x14ac:dyDescent="0.2">
      <c r="B334" s="74">
        <v>693</v>
      </c>
      <c r="C334" s="137"/>
      <c r="D334" s="137">
        <v>5.4158400000000001E-4</v>
      </c>
      <c r="E334" s="137">
        <v>8.7691699999999997E-3</v>
      </c>
      <c r="F334" s="138">
        <v>2.87E-5</v>
      </c>
      <c r="G334" s="137">
        <v>3.9024299999999997E-6</v>
      </c>
      <c r="H334" s="74"/>
      <c r="J334" s="74">
        <v>693</v>
      </c>
      <c r="K334" s="136" t="s">
        <v>342</v>
      </c>
      <c r="L334" s="136">
        <v>4.2246512170861298E-4</v>
      </c>
      <c r="M334" s="136">
        <v>7.1711315931605431E-3</v>
      </c>
      <c r="N334" s="136">
        <v>2.0935533874350322E-5</v>
      </c>
      <c r="O334" s="136">
        <v>2.7535165200594733E-6</v>
      </c>
      <c r="P334" s="74"/>
      <c r="Q334" s="137"/>
      <c r="R334" s="138"/>
      <c r="S334" s="137"/>
      <c r="T334" s="137"/>
    </row>
    <row r="335" spans="2:20" ht="15" customHeight="1" x14ac:dyDescent="0.2">
      <c r="B335" s="74">
        <v>694</v>
      </c>
      <c r="C335" s="137"/>
      <c r="D335" s="137">
        <v>5.0329400000000005E-4</v>
      </c>
      <c r="E335" s="137">
        <v>8.1607599999999995E-3</v>
      </c>
      <c r="F335" s="138">
        <v>2.6789999999999999E-5</v>
      </c>
      <c r="G335" s="137">
        <v>3.6458299999999999E-6</v>
      </c>
      <c r="H335" s="74"/>
      <c r="J335" s="74">
        <v>694</v>
      </c>
      <c r="K335" s="136" t="s">
        <v>342</v>
      </c>
      <c r="L335" s="136">
        <v>3.9203112738468439E-4</v>
      </c>
      <c r="M335" s="136">
        <v>6.6639782760665213E-3</v>
      </c>
      <c r="N335" s="136">
        <v>1.9514104272471594E-5</v>
      </c>
      <c r="O335" s="136">
        <v>2.568755346818008E-6</v>
      </c>
      <c r="P335" s="74"/>
      <c r="Q335" s="137"/>
      <c r="R335" s="138"/>
      <c r="S335" s="137"/>
      <c r="T335" s="137"/>
    </row>
    <row r="336" spans="2:20" ht="15" customHeight="1" x14ac:dyDescent="0.2">
      <c r="B336" s="74">
        <v>695</v>
      </c>
      <c r="C336" s="137"/>
      <c r="D336" s="137">
        <v>4.6787E-4</v>
      </c>
      <c r="E336" s="137">
        <v>7.5945300000000004E-3</v>
      </c>
      <c r="F336" s="138">
        <v>2.5009999999999999E-5</v>
      </c>
      <c r="G336" s="137">
        <v>3.4084100000000001E-6</v>
      </c>
      <c r="H336" s="74"/>
      <c r="J336" s="74">
        <v>695</v>
      </c>
      <c r="K336" s="136" t="s">
        <v>342</v>
      </c>
      <c r="L336" s="136">
        <v>3.6391391606260186E-4</v>
      </c>
      <c r="M336" s="136">
        <v>6.192678513443791E-3</v>
      </c>
      <c r="N336" s="136">
        <v>1.8191322167942676E-5</v>
      </c>
      <c r="O336" s="136">
        <v>2.3980201366878216E-6</v>
      </c>
      <c r="P336" s="74"/>
      <c r="Q336" s="137"/>
      <c r="R336" s="138"/>
      <c r="S336" s="137"/>
      <c r="T336" s="137"/>
    </row>
    <row r="337" spans="2:20" ht="15" customHeight="1" x14ac:dyDescent="0.2">
      <c r="B337" s="74">
        <v>696</v>
      </c>
      <c r="C337" s="137"/>
      <c r="D337" s="137">
        <v>4.35007E-4</v>
      </c>
      <c r="E337" s="137">
        <v>7.0658800000000001E-3</v>
      </c>
      <c r="F337" s="138">
        <v>2.336E-5</v>
      </c>
      <c r="G337" s="137">
        <v>3.1873899999999999E-6</v>
      </c>
      <c r="H337" s="74"/>
      <c r="J337" s="74">
        <v>696</v>
      </c>
      <c r="K337" s="136" t="s">
        <v>342</v>
      </c>
      <c r="L337" s="136">
        <v>3.3786661044104421E-4</v>
      </c>
      <c r="M337" s="136">
        <v>5.7533322535194917E-3</v>
      </c>
      <c r="N337" s="136">
        <v>1.6966762356033617E-5</v>
      </c>
      <c r="O337" s="136">
        <v>2.2392973469818541E-6</v>
      </c>
      <c r="P337" s="74"/>
      <c r="Q337" s="137"/>
      <c r="R337" s="138"/>
      <c r="S337" s="137"/>
      <c r="T337" s="137"/>
    </row>
    <row r="338" spans="2:20" ht="15" customHeight="1" x14ac:dyDescent="0.2">
      <c r="B338" s="74">
        <v>697</v>
      </c>
      <c r="C338" s="137"/>
      <c r="D338" s="137">
        <v>4.0449000000000003E-4</v>
      </c>
      <c r="E338" s="137">
        <v>6.5725200000000001E-3</v>
      </c>
      <c r="F338" s="138">
        <v>2.1820000000000001E-5</v>
      </c>
      <c r="G338" s="137">
        <v>2.9799800000000001E-6</v>
      </c>
      <c r="H338" s="74"/>
      <c r="J338" s="74">
        <v>697</v>
      </c>
      <c r="K338" s="136" t="s">
        <v>342</v>
      </c>
      <c r="L338" s="136">
        <v>3.1371355203964113E-4</v>
      </c>
      <c r="M338" s="136">
        <v>5.3439400256006971E-3</v>
      </c>
      <c r="N338" s="136">
        <v>1.5825496575810645E-5</v>
      </c>
      <c r="O338" s="136">
        <v>2.0905779750853371E-6</v>
      </c>
      <c r="P338" s="74"/>
      <c r="Q338" s="137"/>
      <c r="R338" s="138"/>
      <c r="S338" s="137"/>
      <c r="T338" s="137"/>
    </row>
    <row r="339" spans="2:20" ht="15" customHeight="1" x14ac:dyDescent="0.2">
      <c r="B339" s="74">
        <v>698</v>
      </c>
      <c r="C339" s="137"/>
      <c r="D339" s="137">
        <v>3.7613799999999998E-4</v>
      </c>
      <c r="E339" s="137">
        <v>6.11262E-3</v>
      </c>
      <c r="F339" s="138">
        <v>2.0380000000000001E-5</v>
      </c>
      <c r="G339" s="137">
        <v>2.7860399999999999E-6</v>
      </c>
      <c r="H339" s="74"/>
      <c r="J339" s="74">
        <v>698</v>
      </c>
      <c r="K339" s="136" t="s">
        <v>342</v>
      </c>
      <c r="L339" s="136">
        <v>2.9130642089057962E-4</v>
      </c>
      <c r="M339" s="136">
        <v>4.9628872951260261E-3</v>
      </c>
      <c r="N339" s="136">
        <v>1.4759924472558075E-5</v>
      </c>
      <c r="O339" s="136">
        <v>1.9517209513442462E-6</v>
      </c>
      <c r="P339" s="74"/>
      <c r="Q339" s="137"/>
      <c r="R339" s="138"/>
      <c r="S339" s="137"/>
      <c r="T339" s="137"/>
    </row>
    <row r="340" spans="2:20" ht="15" customHeight="1" x14ac:dyDescent="0.2">
      <c r="B340" s="74">
        <v>699</v>
      </c>
      <c r="C340" s="137"/>
      <c r="D340" s="137">
        <v>3.4978400000000001E-4</v>
      </c>
      <c r="E340" s="137">
        <v>5.6844E-3</v>
      </c>
      <c r="F340" s="138">
        <v>1.9049999999999999E-5</v>
      </c>
      <c r="G340" s="137">
        <v>2.6054800000000002E-6</v>
      </c>
      <c r="H340" s="74"/>
      <c r="J340" s="74">
        <v>699</v>
      </c>
      <c r="K340" s="136" t="s">
        <v>342</v>
      </c>
      <c r="L340" s="136">
        <v>2.7050857280596047E-4</v>
      </c>
      <c r="M340" s="136">
        <v>4.6086093039863132E-3</v>
      </c>
      <c r="N340" s="136">
        <v>1.3776953177127951E-5</v>
      </c>
      <c r="O340" s="136">
        <v>1.8226209900536748E-6</v>
      </c>
      <c r="P340" s="74"/>
      <c r="Q340" s="137"/>
      <c r="R340" s="138"/>
      <c r="S340" s="137"/>
      <c r="T340" s="137"/>
    </row>
    <row r="341" spans="2:20" ht="15" customHeight="1" x14ac:dyDescent="0.2">
      <c r="B341" s="74">
        <v>700</v>
      </c>
      <c r="C341" s="137"/>
      <c r="D341" s="137">
        <v>3.2527800000000003E-4</v>
      </c>
      <c r="E341" s="137">
        <v>5.2860700000000004E-3</v>
      </c>
      <c r="F341" s="138">
        <v>1.7799999999999999E-5</v>
      </c>
      <c r="G341" s="137">
        <v>2.4381899999999999E-6</v>
      </c>
      <c r="H341" s="74"/>
      <c r="J341" s="74">
        <v>700</v>
      </c>
      <c r="K341" s="136" t="s">
        <v>342</v>
      </c>
      <c r="L341" s="136">
        <v>2.5119727274170377E-4</v>
      </c>
      <c r="M341" s="136">
        <v>4.2795421396610595E-3</v>
      </c>
      <c r="N341" s="136">
        <v>1.2854563691073219E-5</v>
      </c>
      <c r="O341" s="136">
        <v>1.7031594364545601E-6</v>
      </c>
      <c r="P341" s="74"/>
      <c r="Q341" s="137"/>
      <c r="R341" s="138"/>
      <c r="S341" s="137"/>
      <c r="T341" s="137"/>
    </row>
    <row r="342" spans="2:20" ht="15" customHeight="1" x14ac:dyDescent="0.2">
      <c r="B342" s="74">
        <v>701</v>
      </c>
      <c r="C342" s="137"/>
      <c r="D342" s="137">
        <v>3.02477E-4</v>
      </c>
      <c r="E342" s="137">
        <v>4.9157300000000001E-3</v>
      </c>
      <c r="F342" s="138">
        <v>1.664E-5</v>
      </c>
      <c r="G342" s="137">
        <v>2.28225E-6</v>
      </c>
      <c r="H342" s="74"/>
      <c r="J342" s="74">
        <v>701</v>
      </c>
      <c r="K342" s="136" t="s">
        <v>342</v>
      </c>
      <c r="L342" s="136">
        <v>2.3325588406360179E-4</v>
      </c>
      <c r="M342" s="136">
        <v>3.9740418858152226E-3</v>
      </c>
      <c r="N342" s="136">
        <v>1.1999708111495685E-5</v>
      </c>
      <c r="O342" s="136">
        <v>1.5919557693304518E-6</v>
      </c>
      <c r="P342" s="74"/>
      <c r="Q342" s="137"/>
      <c r="R342" s="138"/>
      <c r="S342" s="137"/>
      <c r="T342" s="137"/>
    </row>
    <row r="343" spans="2:20" ht="15" customHeight="1" x14ac:dyDescent="0.2">
      <c r="B343" s="74">
        <v>702</v>
      </c>
      <c r="C343" s="137"/>
      <c r="D343" s="137">
        <v>2.8123699999999999E-4</v>
      </c>
      <c r="E343" s="137">
        <v>4.5708600000000004E-3</v>
      </c>
      <c r="F343" s="138">
        <v>1.556E-5</v>
      </c>
      <c r="G343" s="137">
        <v>2.1357999999999999E-6</v>
      </c>
      <c r="H343" s="74"/>
      <c r="J343" s="74">
        <v>702</v>
      </c>
      <c r="K343" s="136" t="s">
        <v>342</v>
      </c>
      <c r="L343" s="136">
        <v>2.1656766467969643E-4</v>
      </c>
      <c r="M343" s="136">
        <v>3.689973478253874E-3</v>
      </c>
      <c r="N343" s="136">
        <v>1.1204896741506571E-5</v>
      </c>
      <c r="O343" s="136">
        <v>1.4876791263353292E-6</v>
      </c>
      <c r="P343" s="74"/>
      <c r="Q343" s="137"/>
      <c r="R343" s="138"/>
      <c r="S343" s="137"/>
      <c r="T343" s="137"/>
    </row>
    <row r="344" spans="2:20" ht="15" customHeight="1" x14ac:dyDescent="0.2">
      <c r="B344" s="74">
        <v>703</v>
      </c>
      <c r="C344" s="137"/>
      <c r="D344" s="137">
        <v>2.61427E-4</v>
      </c>
      <c r="E344" s="137">
        <v>4.2490799999999997E-3</v>
      </c>
      <c r="F344" s="138">
        <v>1.454E-5</v>
      </c>
      <c r="G344" s="137">
        <v>1.9987399999999999E-6</v>
      </c>
      <c r="H344" s="74"/>
      <c r="J344" s="74">
        <v>703</v>
      </c>
      <c r="K344" s="136" t="s">
        <v>342</v>
      </c>
      <c r="L344" s="136">
        <v>2.0102653321037457E-4</v>
      </c>
      <c r="M344" s="136">
        <v>3.4253268598119129E-3</v>
      </c>
      <c r="N344" s="136">
        <v>1.0455491652767691E-5</v>
      </c>
      <c r="O344" s="136">
        <v>1.3902303915715893E-6</v>
      </c>
      <c r="P344" s="74"/>
      <c r="Q344" s="137"/>
      <c r="R344" s="138"/>
      <c r="S344" s="137"/>
      <c r="T344" s="137"/>
    </row>
    <row r="345" spans="2:20" ht="15" customHeight="1" x14ac:dyDescent="0.2">
      <c r="B345" s="74">
        <v>704</v>
      </c>
      <c r="C345" s="137"/>
      <c r="D345" s="137">
        <v>2.4293000000000001E-4</v>
      </c>
      <c r="E345" s="137">
        <v>3.94832E-3</v>
      </c>
      <c r="F345" s="138">
        <v>1.36E-5</v>
      </c>
      <c r="G345" s="137">
        <v>1.87101E-6</v>
      </c>
      <c r="H345" s="74"/>
      <c r="J345" s="74">
        <v>704</v>
      </c>
      <c r="K345" s="136" t="s">
        <v>342</v>
      </c>
      <c r="L345" s="136">
        <v>1.8653776113938526E-4</v>
      </c>
      <c r="M345" s="136">
        <v>3.1783529405971806E-3</v>
      </c>
      <c r="N345" s="136">
        <v>9.7656606182182918E-6</v>
      </c>
      <c r="O345" s="136">
        <v>1.2995387949158359E-6</v>
      </c>
      <c r="P345" s="74"/>
      <c r="Q345" s="137"/>
      <c r="R345" s="138"/>
      <c r="S345" s="137"/>
      <c r="T345" s="137"/>
    </row>
    <row r="346" spans="2:20" ht="15" customHeight="1" x14ac:dyDescent="0.2">
      <c r="B346" s="74">
        <v>705</v>
      </c>
      <c r="C346" s="137"/>
      <c r="D346" s="137">
        <v>2.25641E-4</v>
      </c>
      <c r="E346" s="137">
        <v>3.6667499999999999E-3</v>
      </c>
      <c r="F346" s="138">
        <v>1.273E-5</v>
      </c>
      <c r="G346" s="137">
        <v>1.7525200000000001E-6</v>
      </c>
      <c r="H346" s="74"/>
      <c r="J346" s="74">
        <v>705</v>
      </c>
      <c r="K346" s="136" t="s">
        <v>342</v>
      </c>
      <c r="L346" s="136">
        <v>1.7301635874281522E-4</v>
      </c>
      <c r="M346" s="136">
        <v>2.9475054778784582E-3</v>
      </c>
      <c r="N346" s="136">
        <v>9.1279796837320463E-6</v>
      </c>
      <c r="O346" s="136">
        <v>1.2155131603714883E-6</v>
      </c>
      <c r="P346" s="74"/>
      <c r="Q346" s="137"/>
      <c r="R346" s="138"/>
      <c r="S346" s="137"/>
      <c r="T346" s="137"/>
    </row>
    <row r="347" spans="2:20" ht="15" customHeight="1" x14ac:dyDescent="0.2">
      <c r="B347" s="74">
        <v>706</v>
      </c>
      <c r="C347" s="137"/>
      <c r="D347" s="137">
        <v>2.09478E-4</v>
      </c>
      <c r="E347" s="137">
        <v>3.40297E-3</v>
      </c>
      <c r="F347" s="138">
        <v>1.1909999999999999E-5</v>
      </c>
      <c r="G347" s="137">
        <v>1.6419699999999999E-6</v>
      </c>
      <c r="H347" s="74"/>
      <c r="J347" s="74">
        <v>706</v>
      </c>
      <c r="K347" s="136" t="s">
        <v>342</v>
      </c>
      <c r="L347" s="136">
        <v>1.603954287189663E-4</v>
      </c>
      <c r="M347" s="136">
        <v>2.7315921540617266E-3</v>
      </c>
      <c r="N347" s="136">
        <v>8.5279066661741605E-6</v>
      </c>
      <c r="O347" s="136">
        <v>1.13722478519988E-6</v>
      </c>
      <c r="P347" s="74"/>
      <c r="Q347" s="137"/>
      <c r="R347" s="138"/>
      <c r="S347" s="137"/>
      <c r="T347" s="137"/>
    </row>
    <row r="348" spans="2:20" ht="15" customHeight="1" x14ac:dyDescent="0.2">
      <c r="B348" s="74">
        <v>707</v>
      </c>
      <c r="C348" s="137"/>
      <c r="D348" s="137">
        <v>1.9440000000000001E-4</v>
      </c>
      <c r="E348" s="137">
        <v>3.1563199999999998E-3</v>
      </c>
      <c r="F348" s="138">
        <v>1.114E-5</v>
      </c>
      <c r="G348" s="137">
        <v>1.5380600000000001E-6</v>
      </c>
      <c r="H348" s="74"/>
      <c r="J348" s="74">
        <v>707</v>
      </c>
      <c r="K348" s="136" t="s">
        <v>342</v>
      </c>
      <c r="L348" s="136">
        <v>1.4863980118084283E-4</v>
      </c>
      <c r="M348" s="136">
        <v>2.5300205612811179E-3</v>
      </c>
      <c r="N348" s="136">
        <v>7.9652819845675634E-6</v>
      </c>
      <c r="O348" s="136">
        <v>1.0637502209918425E-6</v>
      </c>
      <c r="P348" s="74"/>
      <c r="Q348" s="137"/>
      <c r="R348" s="138"/>
      <c r="S348" s="137"/>
      <c r="T348" s="137"/>
    </row>
    <row r="349" spans="2:20" ht="15" customHeight="1" x14ac:dyDescent="0.2">
      <c r="B349" s="74">
        <v>708</v>
      </c>
      <c r="C349" s="137"/>
      <c r="D349" s="137">
        <v>1.8037000000000001E-4</v>
      </c>
      <c r="E349" s="137">
        <v>2.9262400000000001E-3</v>
      </c>
      <c r="F349" s="138">
        <v>1.043E-5</v>
      </c>
      <c r="G349" s="137">
        <v>1.44073E-6</v>
      </c>
      <c r="H349" s="74"/>
      <c r="J349" s="74">
        <v>708</v>
      </c>
      <c r="K349" s="136" t="s">
        <v>342</v>
      </c>
      <c r="L349" s="136">
        <v>1.3771755905367923E-4</v>
      </c>
      <c r="M349" s="136">
        <v>2.342281682680893E-3</v>
      </c>
      <c r="N349" s="136">
        <v>7.4470870237832135E-6</v>
      </c>
      <c r="O349" s="136">
        <v>9.9502763176564088E-7</v>
      </c>
      <c r="P349" s="74"/>
      <c r="Q349" s="137"/>
      <c r="R349" s="138"/>
      <c r="S349" s="137"/>
      <c r="T349" s="137"/>
    </row>
    <row r="350" spans="2:20" ht="15" customHeight="1" x14ac:dyDescent="0.2">
      <c r="B350" s="74">
        <v>709</v>
      </c>
      <c r="C350" s="137"/>
      <c r="D350" s="137">
        <v>1.6734700000000001E-4</v>
      </c>
      <c r="E350" s="137">
        <v>2.7121300000000001E-3</v>
      </c>
      <c r="F350" s="136">
        <v>9.7599999999999997E-6</v>
      </c>
      <c r="G350" s="137">
        <v>1.34993E-6</v>
      </c>
      <c r="H350" s="74"/>
      <c r="J350" s="74">
        <v>709</v>
      </c>
      <c r="K350" s="136" t="s">
        <v>342</v>
      </c>
      <c r="L350" s="136">
        <v>1.2759391552616292E-4</v>
      </c>
      <c r="M350" s="136">
        <v>2.1678374006802621E-3</v>
      </c>
      <c r="N350" s="136">
        <v>6.9588738005271105E-6</v>
      </c>
      <c r="O350" s="136">
        <v>9.3100242707450669E-7</v>
      </c>
      <c r="P350" s="74"/>
      <c r="Q350" s="137"/>
      <c r="R350" s="136"/>
      <c r="S350" s="137"/>
      <c r="T350" s="137"/>
    </row>
    <row r="351" spans="2:20" ht="15" customHeight="1" x14ac:dyDescent="0.2">
      <c r="B351" s="74">
        <v>710</v>
      </c>
      <c r="C351" s="137"/>
      <c r="D351" s="137">
        <v>1.55286E-4</v>
      </c>
      <c r="E351" s="137">
        <v>2.5132700000000002E-3</v>
      </c>
      <c r="F351" s="136">
        <v>9.1400000000000006E-6</v>
      </c>
      <c r="G351" s="137">
        <v>1.2656E-6</v>
      </c>
      <c r="H351" s="74"/>
      <c r="J351" s="74">
        <v>710</v>
      </c>
      <c r="K351" s="136" t="s">
        <v>342</v>
      </c>
      <c r="L351" s="136">
        <v>1.1823123425984632E-4</v>
      </c>
      <c r="M351" s="136">
        <v>2.0060568470306544E-3</v>
      </c>
      <c r="N351" s="136">
        <v>6.5076355828047532E-6</v>
      </c>
      <c r="O351" s="136">
        <v>8.7161343706522533E-7</v>
      </c>
      <c r="P351" s="74"/>
      <c r="Q351" s="137"/>
      <c r="R351" s="136"/>
      <c r="S351" s="137"/>
      <c r="T351" s="137"/>
    </row>
    <row r="352" spans="2:20" ht="15" customHeight="1" x14ac:dyDescent="0.2">
      <c r="B352" s="74">
        <v>711</v>
      </c>
      <c r="C352" s="137"/>
      <c r="D352" s="137">
        <v>1.4413499999999999E-4</v>
      </c>
      <c r="E352" s="137">
        <v>2.3289500000000002E-3</v>
      </c>
      <c r="F352" s="136">
        <v>8.5599999999999994E-6</v>
      </c>
      <c r="G352" s="137">
        <v>1.18683E-6</v>
      </c>
      <c r="H352" s="74"/>
      <c r="J352" s="74">
        <v>711</v>
      </c>
      <c r="K352" s="136" t="s">
        <v>342</v>
      </c>
      <c r="L352" s="136">
        <v>1.0958676850870035E-4</v>
      </c>
      <c r="M352" s="136">
        <v>1.856320673305392E-3</v>
      </c>
      <c r="N352" s="136">
        <v>6.0861064205274043E-6</v>
      </c>
      <c r="O352" s="136">
        <v>8.1621526790226884E-7</v>
      </c>
      <c r="P352" s="74"/>
      <c r="Q352" s="137"/>
      <c r="R352" s="136"/>
      <c r="S352" s="137"/>
      <c r="T352" s="137"/>
    </row>
    <row r="353" spans="2:20" ht="15" customHeight="1" x14ac:dyDescent="0.2">
      <c r="B353" s="74">
        <v>712</v>
      </c>
      <c r="C353" s="137"/>
      <c r="D353" s="137">
        <v>1.3383000000000001E-4</v>
      </c>
      <c r="E353" s="137">
        <v>2.1583599999999998E-3</v>
      </c>
      <c r="F353" s="136">
        <v>8.0199999999999994E-6</v>
      </c>
      <c r="G353" s="137">
        <v>1.1127299999999999E-6</v>
      </c>
      <c r="H353" s="74"/>
      <c r="J353" s="74">
        <v>712</v>
      </c>
      <c r="K353" s="136" t="s">
        <v>342</v>
      </c>
      <c r="L353" s="136">
        <v>1.0160890081384642E-4</v>
      </c>
      <c r="M353" s="136">
        <v>1.7179334161761108E-3</v>
      </c>
      <c r="N353" s="136">
        <v>5.6941611350906645E-6</v>
      </c>
      <c r="O353" s="136">
        <v>7.6417988678391164E-7</v>
      </c>
      <c r="P353" s="74"/>
      <c r="Q353" s="137"/>
      <c r="R353" s="136"/>
      <c r="S353" s="137"/>
      <c r="T353" s="137"/>
    </row>
    <row r="354" spans="2:20" ht="15" customHeight="1" x14ac:dyDescent="0.2">
      <c r="B354" s="74">
        <v>713</v>
      </c>
      <c r="C354" s="137"/>
      <c r="D354" s="137">
        <v>1.2430899999999999E-4</v>
      </c>
      <c r="E354" s="137">
        <v>2.0007100000000002E-3</v>
      </c>
      <c r="F354" s="136">
        <v>7.5100000000000001E-6</v>
      </c>
      <c r="G354" s="137">
        <v>1.04326E-6</v>
      </c>
      <c r="H354" s="74"/>
      <c r="J354" s="74">
        <v>713</v>
      </c>
      <c r="K354" s="136" t="s">
        <v>342</v>
      </c>
      <c r="L354" s="136">
        <v>9.4247819642900908E-5</v>
      </c>
      <c r="M354" s="136">
        <v>1.5902194104828276E-3</v>
      </c>
      <c r="N354" s="136">
        <v>5.3245852564706739E-6</v>
      </c>
      <c r="O354" s="136">
        <v>7.1546571260835166E-7</v>
      </c>
      <c r="P354" s="74"/>
      <c r="Q354" s="137"/>
      <c r="R354" s="136"/>
      <c r="S354" s="137"/>
      <c r="T354" s="137"/>
    </row>
    <row r="355" spans="2:20" ht="15" customHeight="1" x14ac:dyDescent="0.2">
      <c r="B355" s="74">
        <v>714</v>
      </c>
      <c r="C355" s="137"/>
      <c r="D355" s="137">
        <v>1.15513E-4</v>
      </c>
      <c r="E355" s="137">
        <v>1.8552099999999999E-3</v>
      </c>
      <c r="F355" s="136">
        <v>7.0400000000000004E-6</v>
      </c>
      <c r="G355" s="137">
        <v>9.7838500000000004E-7</v>
      </c>
      <c r="H355" s="74"/>
      <c r="J355" s="74">
        <v>714</v>
      </c>
      <c r="K355" s="136" t="s">
        <v>342</v>
      </c>
      <c r="L355" s="136">
        <v>8.7456263855305034E-5</v>
      </c>
      <c r="M355" s="136">
        <v>1.4725067763045495E-3</v>
      </c>
      <c r="N355" s="136">
        <v>4.9843648592837338E-6</v>
      </c>
      <c r="O355" s="136">
        <v>6.7003482140906476E-7</v>
      </c>
      <c r="P355" s="74"/>
      <c r="Q355" s="137"/>
      <c r="R355" s="136"/>
      <c r="S355" s="137"/>
      <c r="T355" s="137"/>
    </row>
    <row r="356" spans="2:20" ht="15" customHeight="1" x14ac:dyDescent="0.2">
      <c r="B356" s="74">
        <v>715</v>
      </c>
      <c r="C356" s="137"/>
      <c r="D356" s="137">
        <v>1.07388E-4</v>
      </c>
      <c r="E356" s="137">
        <v>1.72108E-3</v>
      </c>
      <c r="F356" s="136">
        <v>6.6000000000000003E-6</v>
      </c>
      <c r="G356" s="137">
        <v>9.1807799999999997E-7</v>
      </c>
      <c r="H356" s="74"/>
      <c r="J356" s="74">
        <v>715</v>
      </c>
      <c r="K356" s="136" t="s">
        <v>342</v>
      </c>
      <c r="L356" s="136">
        <v>8.1191016973368297E-5</v>
      </c>
      <c r="M356" s="136">
        <v>1.3641353185315497E-3</v>
      </c>
      <c r="N356" s="136">
        <v>4.6663066121441247E-6</v>
      </c>
      <c r="O356" s="136">
        <v>6.2785497241974536E-7</v>
      </c>
      <c r="P356" s="74"/>
      <c r="Q356" s="137"/>
      <c r="R356" s="136"/>
      <c r="S356" s="137"/>
      <c r="T356" s="137"/>
    </row>
    <row r="357" spans="2:20" ht="15" customHeight="1" x14ac:dyDescent="0.2">
      <c r="B357" s="74">
        <v>716</v>
      </c>
      <c r="C357" s="137"/>
      <c r="D357" s="137">
        <v>9.9879999999999999E-5</v>
      </c>
      <c r="E357" s="137">
        <v>1.5975E-3</v>
      </c>
      <c r="F357" s="136">
        <v>6.1800000000000001E-6</v>
      </c>
      <c r="G357" s="137">
        <v>8.6170499999999997E-7</v>
      </c>
      <c r="H357" s="74"/>
      <c r="J357" s="74">
        <v>716</v>
      </c>
      <c r="K357" s="136" t="s">
        <v>342</v>
      </c>
      <c r="L357" s="136">
        <v>7.5409103952236666E-5</v>
      </c>
      <c r="M357" s="136">
        <v>1.2644168704045984E-3</v>
      </c>
      <c r="N357" s="136">
        <v>4.3632573698749885E-6</v>
      </c>
      <c r="O357" s="136">
        <v>5.8847956973867357E-7</v>
      </c>
      <c r="P357" s="74"/>
      <c r="Q357" s="137"/>
      <c r="R357" s="136"/>
      <c r="S357" s="137"/>
      <c r="T357" s="137"/>
    </row>
    <row r="358" spans="2:20" ht="15" customHeight="1" x14ac:dyDescent="0.2">
      <c r="B358" s="74">
        <v>717</v>
      </c>
      <c r="C358" s="137"/>
      <c r="D358" s="137">
        <v>9.2931999999999997E-5</v>
      </c>
      <c r="E358" s="137">
        <v>1.4834200000000001E-3</v>
      </c>
      <c r="F358" s="136">
        <v>5.8000000000000004E-6</v>
      </c>
      <c r="G358" s="137">
        <v>8.0864000000000002E-7</v>
      </c>
      <c r="H358" s="74"/>
      <c r="J358" s="74">
        <v>717</v>
      </c>
      <c r="K358" s="136" t="s">
        <v>342</v>
      </c>
      <c r="L358" s="136">
        <v>7.0065527664135721E-5</v>
      </c>
      <c r="M358" s="136">
        <v>1.1724853138374266E-3</v>
      </c>
      <c r="N358" s="136">
        <v>4.0892552133387615E-6</v>
      </c>
      <c r="O358" s="136">
        <v>5.5146996471084755E-7</v>
      </c>
      <c r="P358" s="74"/>
      <c r="Q358" s="137"/>
      <c r="R358" s="136"/>
      <c r="S358" s="137"/>
      <c r="T358" s="137"/>
    </row>
    <row r="359" spans="2:20" ht="15" customHeight="1" x14ac:dyDescent="0.2">
      <c r="B359" s="74">
        <v>718</v>
      </c>
      <c r="C359" s="137"/>
      <c r="D359" s="137">
        <v>8.6490700000000002E-5</v>
      </c>
      <c r="E359" s="137">
        <v>1.37787E-3</v>
      </c>
      <c r="F359" s="136">
        <v>5.4399999999999996E-6</v>
      </c>
      <c r="G359" s="137">
        <v>7.5885300000000003E-7</v>
      </c>
      <c r="H359" s="74"/>
      <c r="J359" s="74">
        <v>718</v>
      </c>
      <c r="K359" s="136" t="s">
        <v>342</v>
      </c>
      <c r="L359" s="136">
        <v>6.5118327369395219E-5</v>
      </c>
      <c r="M359" s="136">
        <v>1.0875424993166192E-3</v>
      </c>
      <c r="N359" s="136">
        <v>3.8300975349446668E-6</v>
      </c>
      <c r="O359" s="136">
        <v>5.1679584171781598E-7</v>
      </c>
      <c r="P359" s="74"/>
      <c r="Q359" s="137"/>
      <c r="R359" s="136"/>
      <c r="S359" s="137"/>
      <c r="T359" s="137"/>
    </row>
    <row r="360" spans="2:20" ht="15" customHeight="1" x14ac:dyDescent="0.2">
      <c r="B360" s="74">
        <v>719</v>
      </c>
      <c r="C360" s="137"/>
      <c r="D360" s="137">
        <v>8.0508999999999998E-5</v>
      </c>
      <c r="E360" s="137">
        <v>1.27998E-3</v>
      </c>
      <c r="F360" s="136">
        <v>5.1000000000000003E-6</v>
      </c>
      <c r="G360" s="137">
        <v>7.1231299999999998E-7</v>
      </c>
      <c r="H360" s="74"/>
      <c r="J360" s="74">
        <v>719</v>
      </c>
      <c r="K360" s="136" t="s">
        <v>342</v>
      </c>
      <c r="L360" s="136">
        <v>6.0530437218192923E-5</v>
      </c>
      <c r="M360" s="136">
        <v>1.0088735371364961E-3</v>
      </c>
      <c r="N360" s="136">
        <v>3.5857223966754225E-6</v>
      </c>
      <c r="O360" s="136">
        <v>4.8442637372031727E-7</v>
      </c>
      <c r="P360" s="74"/>
      <c r="Q360" s="137"/>
      <c r="R360" s="136"/>
      <c r="S360" s="137"/>
      <c r="T360" s="137"/>
    </row>
    <row r="361" spans="2:20" ht="15" customHeight="1" x14ac:dyDescent="0.2">
      <c r="B361" s="74">
        <v>720</v>
      </c>
      <c r="C361" s="137"/>
      <c r="D361" s="137">
        <v>7.4945300000000002E-5</v>
      </c>
      <c r="E361" s="137">
        <v>1.189E-3</v>
      </c>
      <c r="F361" s="136">
        <v>4.78E-6</v>
      </c>
      <c r="G361" s="137">
        <v>6.6899100000000004E-7</v>
      </c>
      <c r="H361" s="74"/>
      <c r="J361" s="74">
        <v>720</v>
      </c>
      <c r="K361" s="136" t="s">
        <v>342</v>
      </c>
      <c r="L361" s="136">
        <v>5.6269126696438496E-5</v>
      </c>
      <c r="M361" s="136">
        <v>9.3586196120702865E-4</v>
      </c>
      <c r="N361" s="136">
        <v>3.3560682046138416E-6</v>
      </c>
      <c r="O361" s="136">
        <v>4.5433226320163097E-7</v>
      </c>
      <c r="P361" s="74"/>
      <c r="Q361" s="137"/>
      <c r="R361" s="136"/>
      <c r="S361" s="137"/>
      <c r="T361" s="137"/>
    </row>
    <row r="362" spans="2:20" ht="15" customHeight="1" x14ac:dyDescent="0.2">
      <c r="B362" s="74">
        <v>721</v>
      </c>
      <c r="C362" s="137"/>
      <c r="D362" s="137">
        <v>6.9765199999999994E-5</v>
      </c>
      <c r="E362" s="137">
        <v>1.1043299999999999E-3</v>
      </c>
      <c r="F362" s="136">
        <v>4.4900000000000002E-6</v>
      </c>
      <c r="G362" s="137">
        <v>6.2844400000000004E-7</v>
      </c>
      <c r="H362" s="74"/>
      <c r="J362" s="74">
        <v>721</v>
      </c>
      <c r="K362" s="136" t="s">
        <v>342</v>
      </c>
      <c r="L362" s="136">
        <v>5.2307245155195731E-5</v>
      </c>
      <c r="M362" s="136">
        <v>8.6801262675569252E-4</v>
      </c>
      <c r="N362" s="136">
        <v>3.1480850317944127E-6</v>
      </c>
      <c r="O362" s="136">
        <v>4.2620360507089898E-7</v>
      </c>
      <c r="P362" s="74"/>
      <c r="Q362" s="137"/>
      <c r="R362" s="136"/>
      <c r="S362" s="137"/>
      <c r="T362" s="137"/>
    </row>
    <row r="363" spans="2:20" ht="15" customHeight="1" x14ac:dyDescent="0.2">
      <c r="B363" s="74">
        <v>722</v>
      </c>
      <c r="C363" s="137"/>
      <c r="D363" s="137">
        <v>6.4947E-5</v>
      </c>
      <c r="E363" s="137">
        <v>1.02563E-3</v>
      </c>
      <c r="F363" s="136">
        <v>4.2100000000000003E-6</v>
      </c>
      <c r="G363" s="137">
        <v>5.90239E-7</v>
      </c>
      <c r="H363" s="74"/>
      <c r="J363" s="74">
        <v>722</v>
      </c>
      <c r="K363" s="136" t="s">
        <v>342</v>
      </c>
      <c r="L363" s="136">
        <v>4.8627301144480237E-5</v>
      </c>
      <c r="M363" s="136">
        <v>8.0503721132121865E-4</v>
      </c>
      <c r="N363" s="136">
        <v>2.9476796039086791E-6</v>
      </c>
      <c r="O363" s="136">
        <v>3.9973898365655183E-7</v>
      </c>
      <c r="P363" s="74"/>
      <c r="Q363" s="137"/>
      <c r="R363" s="136"/>
      <c r="S363" s="137"/>
      <c r="T363" s="137"/>
    </row>
    <row r="364" spans="2:20" ht="15" customHeight="1" x14ac:dyDescent="0.2">
      <c r="B364" s="74">
        <v>723</v>
      </c>
      <c r="C364" s="137"/>
      <c r="D364" s="137">
        <v>6.0471799999999999E-5</v>
      </c>
      <c r="E364" s="137">
        <v>9.5260199999999998E-4</v>
      </c>
      <c r="F364" s="138">
        <v>3.9509999999999999E-6</v>
      </c>
      <c r="G364" s="137">
        <v>5.5436299999999997E-7</v>
      </c>
      <c r="H364" s="74"/>
      <c r="J364" s="74">
        <v>723</v>
      </c>
      <c r="K364" s="136" t="s">
        <v>342</v>
      </c>
      <c r="L364" s="136">
        <v>4.5213993510099645E-5</v>
      </c>
      <c r="M364" s="136">
        <v>7.4668190861855086E-4</v>
      </c>
      <c r="N364" s="136">
        <v>2.7625116011936223E-6</v>
      </c>
      <c r="O364" s="136">
        <v>3.7492270217764793E-7</v>
      </c>
      <c r="P364" s="74"/>
      <c r="Q364" s="137"/>
      <c r="R364" s="138"/>
      <c r="S364" s="137"/>
      <c r="T364" s="137"/>
    </row>
    <row r="365" spans="2:20" ht="15" customHeight="1" x14ac:dyDescent="0.2">
      <c r="B365" s="74">
        <v>724</v>
      </c>
      <c r="C365" s="137"/>
      <c r="D365" s="137">
        <v>5.6320699999999998E-5</v>
      </c>
      <c r="E365" s="137">
        <v>8.8495900000000005E-4</v>
      </c>
      <c r="F365" s="138">
        <v>3.709E-6</v>
      </c>
      <c r="G365" s="137">
        <v>5.20798E-7</v>
      </c>
      <c r="H365" s="74"/>
      <c r="J365" s="74">
        <v>724</v>
      </c>
      <c r="K365" s="136" t="s">
        <v>342</v>
      </c>
      <c r="L365" s="136">
        <v>4.2052105634625074E-5</v>
      </c>
      <c r="M365" s="136">
        <v>6.9270292487305814E-4</v>
      </c>
      <c r="N365" s="136">
        <v>2.5897249760330719E-6</v>
      </c>
      <c r="O365" s="136">
        <v>3.5173577368327651E-7</v>
      </c>
      <c r="P365" s="74"/>
      <c r="Q365" s="137"/>
      <c r="R365" s="138"/>
      <c r="S365" s="137"/>
      <c r="T365" s="137"/>
    </row>
    <row r="366" spans="2:20" ht="15" customHeight="1" x14ac:dyDescent="0.2">
      <c r="B366" s="74">
        <v>725</v>
      </c>
      <c r="C366" s="137"/>
      <c r="D366" s="137">
        <v>5.2474800000000001E-5</v>
      </c>
      <c r="E366" s="137">
        <v>8.2239599999999998E-4</v>
      </c>
      <c r="F366" s="138">
        <v>3.4819999999999999E-6</v>
      </c>
      <c r="G366" s="137">
        <v>4.8953100000000004E-7</v>
      </c>
      <c r="H366" s="74"/>
      <c r="J366" s="74">
        <v>725</v>
      </c>
      <c r="K366" s="136" t="s">
        <v>342</v>
      </c>
      <c r="L366" s="136">
        <v>3.9126504854378989E-5</v>
      </c>
      <c r="M366" s="136">
        <v>6.4284374128725633E-4</v>
      </c>
      <c r="N366" s="136">
        <v>2.4278739667277693E-6</v>
      </c>
      <c r="O366" s="136">
        <v>3.3016268821285101E-7</v>
      </c>
      <c r="P366" s="74"/>
      <c r="Q366" s="137"/>
      <c r="R366" s="138"/>
      <c r="S366" s="137"/>
      <c r="T366" s="137"/>
    </row>
    <row r="367" spans="2:20" ht="15" customHeight="1" x14ac:dyDescent="0.2">
      <c r="B367" s="74">
        <v>726</v>
      </c>
      <c r="C367" s="137"/>
      <c r="D367" s="137">
        <v>4.89142E-5</v>
      </c>
      <c r="E367" s="137">
        <v>7.6458500000000003E-4</v>
      </c>
      <c r="F367" s="138">
        <v>3.27E-6</v>
      </c>
      <c r="G367" s="137">
        <v>4.6025099999999998E-7</v>
      </c>
      <c r="H367" s="74"/>
      <c r="J367" s="74">
        <v>726</v>
      </c>
      <c r="K367" s="136" t="s">
        <v>342</v>
      </c>
      <c r="L367" s="136">
        <v>3.6421397283613541E-5</v>
      </c>
      <c r="M367" s="136">
        <v>5.9683129870324479E-4</v>
      </c>
      <c r="N367" s="136">
        <v>2.2769133847824463E-6</v>
      </c>
      <c r="O367" s="136">
        <v>3.0998731290913314E-7</v>
      </c>
      <c r="P367" s="74"/>
      <c r="Q367" s="137"/>
      <c r="R367" s="138"/>
      <c r="S367" s="137"/>
      <c r="T367" s="137"/>
    </row>
    <row r="368" spans="2:20" ht="15" customHeight="1" x14ac:dyDescent="0.2">
      <c r="B368" s="74">
        <v>727</v>
      </c>
      <c r="C368" s="137"/>
      <c r="D368" s="137">
        <v>4.56137E-5</v>
      </c>
      <c r="E368" s="137">
        <v>7.1111000000000004E-4</v>
      </c>
      <c r="F368" s="138">
        <v>3.0699999999999998E-6</v>
      </c>
      <c r="G368" s="137">
        <v>4.32648E-7</v>
      </c>
      <c r="H368" s="74"/>
      <c r="J368" s="74">
        <v>727</v>
      </c>
      <c r="K368" s="136" t="s">
        <v>342</v>
      </c>
      <c r="L368" s="136">
        <v>3.3917134996403312E-5</v>
      </c>
      <c r="M368" s="136">
        <v>5.5432544247119666E-4</v>
      </c>
      <c r="N368" s="136">
        <v>2.1347122523002296E-6</v>
      </c>
      <c r="O368" s="136">
        <v>2.9099537668306236E-7</v>
      </c>
      <c r="P368" s="74"/>
      <c r="Q368" s="137"/>
      <c r="R368" s="138"/>
      <c r="S368" s="137"/>
      <c r="T368" s="137"/>
    </row>
    <row r="369" spans="2:20" ht="15" customHeight="1" x14ac:dyDescent="0.2">
      <c r="B369" s="74">
        <v>728</v>
      </c>
      <c r="C369" s="137"/>
      <c r="D369" s="137">
        <v>4.2549000000000002E-5</v>
      </c>
      <c r="E369" s="137">
        <v>6.6157E-4</v>
      </c>
      <c r="F369" s="138">
        <v>2.8839999999999998E-6</v>
      </c>
      <c r="G369" s="137">
        <v>4.0671000000000002E-7</v>
      </c>
      <c r="H369" s="74"/>
      <c r="J369" s="74">
        <v>728</v>
      </c>
      <c r="K369" s="136" t="s">
        <v>342</v>
      </c>
      <c r="L369" s="136">
        <v>3.1594846319286749E-5</v>
      </c>
      <c r="M369" s="136">
        <v>5.14999563681883E-4</v>
      </c>
      <c r="N369" s="136">
        <v>2.0026232543785199E-6</v>
      </c>
      <c r="O369" s="136">
        <v>2.7317394271366582E-7</v>
      </c>
      <c r="P369" s="74"/>
      <c r="Q369" s="137"/>
      <c r="R369" s="138"/>
      <c r="S369" s="137"/>
      <c r="T369" s="137"/>
    </row>
    <row r="370" spans="2:20" ht="15" customHeight="1" x14ac:dyDescent="0.2">
      <c r="B370" s="74">
        <v>729</v>
      </c>
      <c r="C370" s="137"/>
      <c r="D370" s="137">
        <v>3.96989E-5</v>
      </c>
      <c r="E370" s="137">
        <v>6.1561199999999997E-4</v>
      </c>
      <c r="F370" s="138">
        <v>2.7099999999999999E-6</v>
      </c>
      <c r="G370" s="137">
        <v>3.8242000000000001E-7</v>
      </c>
      <c r="H370" s="74"/>
      <c r="J370" s="74">
        <v>729</v>
      </c>
      <c r="K370" s="136" t="s">
        <v>342</v>
      </c>
      <c r="L370" s="136">
        <v>2.9438061880743109E-5</v>
      </c>
      <c r="M370" s="136">
        <v>4.7856615989166646E-4</v>
      </c>
      <c r="N370" s="136">
        <v>1.8792179006154265E-6</v>
      </c>
      <c r="O370" s="136">
        <v>2.5650679143251161E-7</v>
      </c>
      <c r="P370" s="74"/>
      <c r="Q370" s="137"/>
      <c r="R370" s="138"/>
      <c r="S370" s="137"/>
      <c r="T370" s="137"/>
    </row>
    <row r="371" spans="2:20" ht="15" customHeight="1" x14ac:dyDescent="0.2">
      <c r="B371" s="74">
        <v>730</v>
      </c>
      <c r="C371" s="137"/>
      <c r="D371" s="137">
        <v>3.70443E-5</v>
      </c>
      <c r="E371" s="137">
        <v>5.7291700000000004E-4</v>
      </c>
      <c r="F371" s="138">
        <v>2.5459999999999998E-6</v>
      </c>
      <c r="G371" s="137">
        <v>3.5976599999999999E-7</v>
      </c>
      <c r="H371" s="74"/>
      <c r="J371" s="74">
        <v>730</v>
      </c>
      <c r="K371" s="136" t="s">
        <v>342</v>
      </c>
      <c r="L371" s="136">
        <v>2.7431957639428878E-5</v>
      </c>
      <c r="M371" s="136">
        <v>4.4476569881997082E-4</v>
      </c>
      <c r="N371" s="136">
        <v>1.7630755279537241E-6</v>
      </c>
      <c r="O371" s="136">
        <v>2.4098114128275028E-7</v>
      </c>
      <c r="P371" s="74"/>
      <c r="Q371" s="137"/>
      <c r="R371" s="138"/>
      <c r="S371" s="137"/>
      <c r="T371" s="137"/>
    </row>
    <row r="372" spans="2:20" ht="15" customHeight="1" x14ac:dyDescent="0.2">
      <c r="B372" s="74">
        <v>731</v>
      </c>
      <c r="C372" s="137"/>
      <c r="D372" s="137">
        <v>3.45688E-5</v>
      </c>
      <c r="E372" s="137">
        <v>5.3320600000000004E-4</v>
      </c>
      <c r="F372" s="138">
        <v>2.3929999999999998E-6</v>
      </c>
      <c r="G372" s="137">
        <v>3.38528E-7</v>
      </c>
      <c r="H372" s="74"/>
      <c r="J372" s="74">
        <v>731</v>
      </c>
      <c r="K372" s="136" t="s">
        <v>342</v>
      </c>
      <c r="L372" s="136">
        <v>2.5563787332981803E-5</v>
      </c>
      <c r="M372" s="136">
        <v>4.1337107857008392E-4</v>
      </c>
      <c r="N372" s="136">
        <v>1.6548578704650201E-6</v>
      </c>
      <c r="O372" s="136">
        <v>2.2644514713254079E-7</v>
      </c>
      <c r="P372" s="74"/>
      <c r="Q372" s="137"/>
      <c r="R372" s="138"/>
      <c r="S372" s="137"/>
      <c r="T372" s="137"/>
    </row>
    <row r="373" spans="2:20" ht="15" customHeight="1" x14ac:dyDescent="0.2">
      <c r="B373" s="74">
        <v>732</v>
      </c>
      <c r="C373" s="137"/>
      <c r="D373" s="137">
        <v>3.2258799999999997E-5</v>
      </c>
      <c r="E373" s="137">
        <v>4.9623400000000002E-4</v>
      </c>
      <c r="F373" s="138">
        <v>2.2500000000000001E-6</v>
      </c>
      <c r="G373" s="137">
        <v>3.1848999999999999E-7</v>
      </c>
      <c r="H373" s="74"/>
      <c r="J373" s="74">
        <v>732</v>
      </c>
      <c r="K373" s="136" t="s">
        <v>342</v>
      </c>
      <c r="L373" s="136">
        <v>2.3822942134978356E-5</v>
      </c>
      <c r="M373" s="136">
        <v>3.8418276092951124E-4</v>
      </c>
      <c r="N373" s="136">
        <v>1.5538418534291399E-6</v>
      </c>
      <c r="O373" s="136">
        <v>2.1275046559413013E-7</v>
      </c>
      <c r="P373" s="74"/>
      <c r="Q373" s="137"/>
      <c r="R373" s="138"/>
      <c r="S373" s="137"/>
      <c r="T373" s="137"/>
    </row>
    <row r="374" spans="2:20" ht="15" customHeight="1" x14ac:dyDescent="0.2">
      <c r="B374" s="74">
        <v>733</v>
      </c>
      <c r="C374" s="137"/>
      <c r="D374" s="137">
        <v>3.0102599999999999E-5</v>
      </c>
      <c r="E374" s="137">
        <v>4.6178199999999999E-4</v>
      </c>
      <c r="F374" s="138">
        <v>2.1150000000000001E-6</v>
      </c>
      <c r="G374" s="137">
        <v>2.9964400000000001E-7</v>
      </c>
      <c r="H374" s="74"/>
      <c r="J374" s="74">
        <v>733</v>
      </c>
      <c r="K374" s="136" t="s">
        <v>342</v>
      </c>
      <c r="L374" s="136">
        <v>2.220027233669409E-5</v>
      </c>
      <c r="M374" s="136">
        <v>3.5702239822574938E-4</v>
      </c>
      <c r="N374" s="136">
        <v>1.458618693734683E-6</v>
      </c>
      <c r="O374" s="136">
        <v>1.9988831668098951E-7</v>
      </c>
      <c r="P374" s="74"/>
      <c r="Q374" s="137"/>
      <c r="R374" s="138"/>
      <c r="S374" s="137"/>
      <c r="T374" s="137"/>
    </row>
    <row r="375" spans="2:20" ht="15" customHeight="1" x14ac:dyDescent="0.2">
      <c r="B375" s="74">
        <v>734</v>
      </c>
      <c r="C375" s="137"/>
      <c r="D375" s="137">
        <v>2.8089299999999999E-5</v>
      </c>
      <c r="E375" s="137">
        <v>4.2965400000000002E-4</v>
      </c>
      <c r="F375" s="138">
        <v>1.9889999999999999E-6</v>
      </c>
      <c r="G375" s="137">
        <v>2.8198100000000002E-7</v>
      </c>
      <c r="H375" s="74"/>
      <c r="J375" s="74">
        <v>734</v>
      </c>
      <c r="K375" s="136" t="s">
        <v>342</v>
      </c>
      <c r="L375" s="136">
        <v>2.0687267277275264E-5</v>
      </c>
      <c r="M375" s="136">
        <v>3.3173037271482712E-4</v>
      </c>
      <c r="N375" s="136">
        <v>1.3698534294983041E-6</v>
      </c>
      <c r="O375" s="136">
        <v>1.878493020767669E-7</v>
      </c>
      <c r="P375" s="74"/>
      <c r="Q375" s="137"/>
      <c r="R375" s="138"/>
      <c r="S375" s="137"/>
      <c r="T375" s="137"/>
    </row>
    <row r="376" spans="2:20" ht="15" customHeight="1" x14ac:dyDescent="0.2">
      <c r="B376" s="74">
        <v>735</v>
      </c>
      <c r="C376" s="137"/>
      <c r="D376" s="137">
        <v>2.6208799999999999E-5</v>
      </c>
      <c r="E376" s="137">
        <v>3.9966999999999997E-4</v>
      </c>
      <c r="F376" s="138">
        <v>1.8700000000000001E-6</v>
      </c>
      <c r="G376" s="137">
        <v>2.6549300000000001E-7</v>
      </c>
      <c r="H376" s="74"/>
      <c r="J376" s="74">
        <v>735</v>
      </c>
      <c r="K376" s="136" t="s">
        <v>342</v>
      </c>
      <c r="L376" s="136">
        <v>1.9276050996474414E-5</v>
      </c>
      <c r="M376" s="136">
        <v>3.0816027190932923E-4</v>
      </c>
      <c r="N376" s="136">
        <v>1.2861441467258919E-6</v>
      </c>
      <c r="O376" s="136">
        <v>1.7662473988320789E-7</v>
      </c>
      <c r="P376" s="74"/>
      <c r="Q376" s="137"/>
      <c r="R376" s="138"/>
      <c r="S376" s="137"/>
      <c r="T376" s="137"/>
    </row>
    <row r="377" spans="2:20" ht="15" customHeight="1" x14ac:dyDescent="0.2">
      <c r="B377" s="74">
        <v>736</v>
      </c>
      <c r="C377" s="137"/>
      <c r="D377" s="137">
        <v>2.4452900000000001E-5</v>
      </c>
      <c r="E377" s="137">
        <v>3.7168999999999999E-4</v>
      </c>
      <c r="F377" s="138">
        <v>1.759E-6</v>
      </c>
      <c r="G377" s="137">
        <v>2.5002600000000002E-7</v>
      </c>
      <c r="H377" s="74"/>
      <c r="J377" s="74">
        <v>736</v>
      </c>
      <c r="K377" s="136" t="s">
        <v>342</v>
      </c>
      <c r="L377" s="136">
        <v>1.7960185851718968E-5</v>
      </c>
      <c r="M377" s="136">
        <v>2.8619727860911291E-4</v>
      </c>
      <c r="N377" s="136">
        <v>1.2081570799354585E-6</v>
      </c>
      <c r="O377" s="136">
        <v>1.6610899781930822E-7</v>
      </c>
      <c r="P377" s="74"/>
      <c r="Q377" s="137"/>
      <c r="R377" s="138"/>
      <c r="S377" s="137"/>
      <c r="T377" s="137"/>
    </row>
    <row r="378" spans="2:20" ht="15" customHeight="1" x14ac:dyDescent="0.2">
      <c r="B378" s="74">
        <v>737</v>
      </c>
      <c r="C378" s="137"/>
      <c r="D378" s="137">
        <v>2.28177E-5</v>
      </c>
      <c r="E378" s="137">
        <v>3.4565000000000003E-4</v>
      </c>
      <c r="F378" s="138">
        <v>1.655E-6</v>
      </c>
      <c r="G378" s="137">
        <v>2.35424E-7</v>
      </c>
      <c r="H378" s="74"/>
      <c r="J378" s="74">
        <v>737</v>
      </c>
      <c r="K378" s="136" t="s">
        <v>342</v>
      </c>
      <c r="L378" s="136">
        <v>1.6736423122342207E-5</v>
      </c>
      <c r="M378" s="136">
        <v>2.65785638549744E-4</v>
      </c>
      <c r="N378" s="136">
        <v>1.1351830253310813E-6</v>
      </c>
      <c r="O378" s="136">
        <v>1.5619568998269519E-7</v>
      </c>
      <c r="P378" s="74"/>
      <c r="Q378" s="137"/>
      <c r="R378" s="138"/>
      <c r="S378" s="137"/>
      <c r="T378" s="137"/>
    </row>
    <row r="379" spans="2:20" ht="15" customHeight="1" x14ac:dyDescent="0.2">
      <c r="B379" s="74">
        <v>738</v>
      </c>
      <c r="C379" s="137"/>
      <c r="D379" s="137">
        <v>2.1299500000000002E-5</v>
      </c>
      <c r="E379" s="137">
        <v>3.2149400000000002E-4</v>
      </c>
      <c r="F379" s="138">
        <v>1.5570000000000001E-6</v>
      </c>
      <c r="G379" s="137">
        <v>2.2168100000000001E-7</v>
      </c>
      <c r="H379" s="74"/>
      <c r="J379" s="74">
        <v>738</v>
      </c>
      <c r="K379" s="136" t="s">
        <v>342</v>
      </c>
      <c r="L379" s="136">
        <v>1.5601678193989376E-5</v>
      </c>
      <c r="M379" s="136">
        <v>2.468760428778375E-4</v>
      </c>
      <c r="N379" s="136">
        <v>1.0665166230398513E-6</v>
      </c>
      <c r="O379" s="136">
        <v>1.468783920550767E-7</v>
      </c>
      <c r="P379" s="74"/>
      <c r="Q379" s="137"/>
      <c r="R379" s="138"/>
      <c r="S379" s="137"/>
      <c r="T379" s="137"/>
    </row>
    <row r="380" spans="2:20" ht="15" customHeight="1" x14ac:dyDescent="0.2">
      <c r="B380" s="74">
        <v>739</v>
      </c>
      <c r="C380" s="137"/>
      <c r="D380" s="137">
        <v>1.98941E-5</v>
      </c>
      <c r="E380" s="137">
        <v>2.99155E-4</v>
      </c>
      <c r="F380" s="138">
        <v>1.466E-6</v>
      </c>
      <c r="G380" s="137">
        <v>2.08789E-7</v>
      </c>
      <c r="H380" s="74"/>
      <c r="J380" s="74">
        <v>739</v>
      </c>
      <c r="K380" s="136" t="s">
        <v>342</v>
      </c>
      <c r="L380" s="136">
        <v>1.4552517398880188E-5</v>
      </c>
      <c r="M380" s="136">
        <v>2.2941101413785121E-4</v>
      </c>
      <c r="N380" s="136">
        <v>1.0028244408462193E-6</v>
      </c>
      <c r="O380" s="136">
        <v>1.3814939115144975E-7</v>
      </c>
      <c r="P380" s="74"/>
      <c r="Q380" s="137"/>
      <c r="R380" s="138"/>
      <c r="S380" s="137"/>
      <c r="T380" s="137"/>
    </row>
    <row r="381" spans="2:20" ht="15" customHeight="1" x14ac:dyDescent="0.2">
      <c r="B381" s="74">
        <v>740</v>
      </c>
      <c r="C381" s="137"/>
      <c r="D381" s="137">
        <v>1.8596500000000001E-5</v>
      </c>
      <c r="E381" s="137">
        <v>2.7855300000000001E-4</v>
      </c>
      <c r="F381" s="138">
        <v>1.3790000000000001E-6</v>
      </c>
      <c r="G381" s="137">
        <v>1.9674E-7</v>
      </c>
      <c r="H381" s="74"/>
      <c r="J381" s="74">
        <v>740</v>
      </c>
      <c r="K381" s="136" t="s">
        <v>342</v>
      </c>
      <c r="L381" s="136">
        <v>1.3584941221084259E-5</v>
      </c>
      <c r="M381" s="136">
        <v>2.1332342981118937E-4</v>
      </c>
      <c r="N381" s="136">
        <v>9.4203692157553754E-7</v>
      </c>
      <c r="O381" s="136">
        <v>1.3000101607808157E-7</v>
      </c>
      <c r="P381" s="74"/>
      <c r="Q381" s="137"/>
      <c r="R381" s="138"/>
      <c r="S381" s="137"/>
      <c r="T381" s="137"/>
    </row>
    <row r="382" spans="2:20" ht="15" customHeight="1" x14ac:dyDescent="0.2">
      <c r="B382" s="74">
        <v>741</v>
      </c>
      <c r="C382" s="137"/>
      <c r="D382" s="137">
        <v>1.74003E-5</v>
      </c>
      <c r="E382" s="137">
        <v>2.5958300000000003E-4</v>
      </c>
      <c r="F382" s="138">
        <v>1.299E-6</v>
      </c>
      <c r="G382" s="137">
        <v>1.8542600000000001E-7</v>
      </c>
      <c r="H382" s="74"/>
      <c r="J382" s="74">
        <v>741</v>
      </c>
      <c r="K382" s="136" t="s">
        <v>342</v>
      </c>
      <c r="L382" s="136">
        <v>1.2693950399778982E-5</v>
      </c>
      <c r="M382" s="136">
        <v>1.9852740987473229E-4</v>
      </c>
      <c r="N382" s="136">
        <v>8.8618893116596749E-7</v>
      </c>
      <c r="O382" s="136">
        <v>1.2235964865223399E-7</v>
      </c>
      <c r="P382" s="74"/>
      <c r="Q382" s="137"/>
      <c r="R382" s="138"/>
      <c r="S382" s="137"/>
      <c r="T382" s="137"/>
    </row>
    <row r="383" spans="2:20" ht="15" customHeight="1" x14ac:dyDescent="0.2">
      <c r="B383" s="74">
        <v>742</v>
      </c>
      <c r="C383" s="137"/>
      <c r="D383" s="137">
        <v>1.6293100000000002E-5</v>
      </c>
      <c r="E383" s="137">
        <v>2.4206100000000001E-4</v>
      </c>
      <c r="F383" s="138">
        <v>1.223E-6</v>
      </c>
      <c r="G383" s="137">
        <v>1.7473600000000001E-7</v>
      </c>
      <c r="H383" s="74"/>
      <c r="J383" s="74">
        <v>742</v>
      </c>
      <c r="K383" s="136" t="s">
        <v>342</v>
      </c>
      <c r="L383" s="136">
        <v>1.1870201374649555E-5</v>
      </c>
      <c r="M383" s="136">
        <v>1.8487720000504276E-4</v>
      </c>
      <c r="N383" s="136">
        <v>8.3321663102515084E-7</v>
      </c>
      <c r="O383" s="136">
        <v>1.1515009057071336E-7</v>
      </c>
      <c r="P383" s="74"/>
      <c r="Q383" s="137"/>
      <c r="R383" s="138"/>
      <c r="S383" s="137"/>
      <c r="T383" s="137"/>
    </row>
    <row r="384" spans="2:20" ht="15" customHeight="1" x14ac:dyDescent="0.2">
      <c r="B384" s="74">
        <v>743</v>
      </c>
      <c r="C384" s="137"/>
      <c r="D384" s="137">
        <v>1.52632E-5</v>
      </c>
      <c r="E384" s="137">
        <v>2.2580899999999999E-4</v>
      </c>
      <c r="F384" s="138">
        <v>1.1510000000000001E-6</v>
      </c>
      <c r="G384" s="137">
        <v>1.64666E-7</v>
      </c>
      <c r="H384" s="74"/>
      <c r="J384" s="74">
        <v>743</v>
      </c>
      <c r="K384" s="136" t="s">
        <v>342</v>
      </c>
      <c r="L384" s="136">
        <v>1.110491017993794E-5</v>
      </c>
      <c r="M384" s="136">
        <v>1.7223240696820734E-4</v>
      </c>
      <c r="N384" s="136">
        <v>7.8310841002145066E-7</v>
      </c>
      <c r="O384" s="136">
        <v>1.0836796589249931E-7</v>
      </c>
      <c r="P384" s="74"/>
      <c r="Q384" s="137"/>
      <c r="R384" s="138"/>
      <c r="S384" s="137"/>
      <c r="T384" s="137"/>
    </row>
    <row r="385" spans="2:20" ht="15" customHeight="1" x14ac:dyDescent="0.2">
      <c r="B385" s="74">
        <v>744</v>
      </c>
      <c r="C385" s="137"/>
      <c r="D385" s="137">
        <v>1.43005E-5</v>
      </c>
      <c r="E385" s="137">
        <v>2.10674E-4</v>
      </c>
      <c r="F385" s="138">
        <v>1.0839999999999999E-6</v>
      </c>
      <c r="G385" s="137">
        <v>1.55212E-7</v>
      </c>
      <c r="H385" s="74"/>
      <c r="J385" s="74">
        <v>744</v>
      </c>
      <c r="K385" s="136" t="s">
        <v>342</v>
      </c>
      <c r="L385" s="136">
        <v>1.0390502608578894E-5</v>
      </c>
      <c r="M385" s="136">
        <v>1.6047243507582646E-4</v>
      </c>
      <c r="N385" s="136">
        <v>7.3653217717669129E-7</v>
      </c>
      <c r="O385" s="136">
        <v>1.0200892220313616E-7</v>
      </c>
      <c r="P385" s="74"/>
      <c r="Q385" s="137"/>
      <c r="R385" s="138"/>
      <c r="S385" s="137"/>
      <c r="T385" s="137"/>
    </row>
    <row r="386" spans="2:20" ht="15" customHeight="1" x14ac:dyDescent="0.2">
      <c r="B386" s="74">
        <v>745</v>
      </c>
      <c r="C386" s="137"/>
      <c r="D386" s="137">
        <v>1.33965E-5</v>
      </c>
      <c r="E386" s="137">
        <v>1.9652800000000001E-4</v>
      </c>
      <c r="F386" s="138">
        <v>1.0219999999999999E-6</v>
      </c>
      <c r="G386" s="137">
        <v>1.4637000000000001E-7</v>
      </c>
      <c r="H386" s="74"/>
      <c r="J386" s="74">
        <v>745</v>
      </c>
      <c r="K386" s="136" t="s">
        <v>342</v>
      </c>
      <c r="L386" s="136">
        <v>9.7206060930141037E-6</v>
      </c>
      <c r="M386" s="136">
        <v>1.4949635331558113E-4</v>
      </c>
      <c r="N386" s="136">
        <v>6.9347370971976321E-7</v>
      </c>
      <c r="O386" s="136">
        <v>9.6068630456836453E-8</v>
      </c>
      <c r="P386" s="74"/>
      <c r="Q386" s="137"/>
      <c r="R386" s="138"/>
      <c r="S386" s="137"/>
      <c r="T386" s="137"/>
    </row>
    <row r="387" spans="2:20" ht="15" customHeight="1" x14ac:dyDescent="0.2">
      <c r="B387" s="74">
        <v>746</v>
      </c>
      <c r="C387" s="137"/>
      <c r="D387" s="137">
        <v>1.2544900000000001E-5</v>
      </c>
      <c r="E387" s="137">
        <v>1.8327099999999999E-4</v>
      </c>
      <c r="F387" s="136">
        <v>9.6200000000000006E-7</v>
      </c>
      <c r="G387" s="137">
        <v>1.3806200000000001E-7</v>
      </c>
      <c r="H387" s="74"/>
      <c r="J387" s="74">
        <v>746</v>
      </c>
      <c r="K387" s="136" t="s">
        <v>342</v>
      </c>
      <c r="L387" s="136">
        <v>9.0904764324430115E-6</v>
      </c>
      <c r="M387" s="136">
        <v>1.3922504255328537E-4</v>
      </c>
      <c r="N387" s="136">
        <v>6.5188595276445965E-7</v>
      </c>
      <c r="O387" s="136">
        <v>9.0494280692931197E-8</v>
      </c>
      <c r="P387" s="74"/>
      <c r="Q387" s="137"/>
      <c r="R387" s="136"/>
      <c r="S387" s="137"/>
      <c r="T387" s="137"/>
    </row>
    <row r="388" spans="2:20" ht="15" customHeight="1" x14ac:dyDescent="0.2">
      <c r="B388" s="74">
        <v>747</v>
      </c>
      <c r="C388" s="137"/>
      <c r="D388" s="137">
        <v>1.17441E-5</v>
      </c>
      <c r="E388" s="137">
        <v>1.7086799999999999E-4</v>
      </c>
      <c r="F388" s="136">
        <v>9.0699999999999996E-7</v>
      </c>
      <c r="G388" s="137">
        <v>1.30208E-7</v>
      </c>
      <c r="H388" s="74"/>
      <c r="J388" s="74">
        <v>747</v>
      </c>
      <c r="K388" s="136" t="s">
        <v>342</v>
      </c>
      <c r="L388" s="136">
        <v>8.4987960563577418E-6</v>
      </c>
      <c r="M388" s="136">
        <v>1.2962911961050398E-4</v>
      </c>
      <c r="N388" s="136">
        <v>6.1379318678928352E-7</v>
      </c>
      <c r="O388" s="136">
        <v>8.5232036567578888E-8</v>
      </c>
      <c r="P388" s="74"/>
      <c r="Q388" s="137"/>
      <c r="R388" s="136"/>
      <c r="S388" s="137"/>
      <c r="T388" s="137"/>
    </row>
    <row r="389" spans="2:20" ht="15" customHeight="1" x14ac:dyDescent="0.2">
      <c r="B389" s="74">
        <v>748</v>
      </c>
      <c r="C389" s="137"/>
      <c r="D389" s="137">
        <v>1.0992899999999999E-5</v>
      </c>
      <c r="E389" s="137">
        <v>1.5929E-4</v>
      </c>
      <c r="F389" s="136">
        <v>8.5499999999999997E-7</v>
      </c>
      <c r="G389" s="137">
        <v>1.2280499999999999E-7</v>
      </c>
      <c r="H389" s="74"/>
      <c r="J389" s="74">
        <v>748</v>
      </c>
      <c r="K389" s="136" t="s">
        <v>342</v>
      </c>
      <c r="L389" s="136">
        <v>7.9445435191610209E-6</v>
      </c>
      <c r="M389" s="136">
        <v>1.2068390425657731E-4</v>
      </c>
      <c r="N389" s="136">
        <v>5.7782974592225869E-7</v>
      </c>
      <c r="O389" s="136">
        <v>8.0278685194383139E-8</v>
      </c>
      <c r="P389" s="74"/>
      <c r="Q389" s="137"/>
      <c r="R389" s="136"/>
      <c r="S389" s="137"/>
      <c r="T389" s="137"/>
    </row>
    <row r="390" spans="2:20" ht="15" customHeight="1" x14ac:dyDescent="0.2">
      <c r="B390" s="74">
        <v>749</v>
      </c>
      <c r="C390" s="137"/>
      <c r="D390" s="137">
        <v>1.029E-5</v>
      </c>
      <c r="E390" s="137">
        <v>1.4850599999999999E-4</v>
      </c>
      <c r="F390" s="136">
        <v>8.0599999999999999E-7</v>
      </c>
      <c r="G390" s="137">
        <v>1.1584800000000001E-7</v>
      </c>
      <c r="H390" s="74"/>
      <c r="J390" s="74">
        <v>749</v>
      </c>
      <c r="K390" s="136" t="s">
        <v>342</v>
      </c>
      <c r="L390" s="136">
        <v>7.426630656957334E-6</v>
      </c>
      <c r="M390" s="136">
        <v>1.1236333481471557E-4</v>
      </c>
      <c r="N390" s="136">
        <v>5.4398710149139008E-7</v>
      </c>
      <c r="O390" s="136">
        <v>7.5629725173560417E-8</v>
      </c>
      <c r="P390" s="74"/>
      <c r="Q390" s="137"/>
      <c r="R390" s="136"/>
      <c r="S390" s="137"/>
      <c r="T390" s="137"/>
    </row>
    <row r="391" spans="2:20" ht="15" customHeight="1" x14ac:dyDescent="0.2">
      <c r="B391" s="74">
        <v>750</v>
      </c>
      <c r="C391" s="137"/>
      <c r="D391" s="137">
        <v>9.6339699999999992E-6</v>
      </c>
      <c r="E391" s="137">
        <v>1.3848199999999999E-4</v>
      </c>
      <c r="F391" s="136">
        <v>7.6000000000000003E-7</v>
      </c>
      <c r="G391" s="137">
        <v>1.09332E-7</v>
      </c>
      <c r="H391" s="74"/>
      <c r="J391" s="74">
        <v>750</v>
      </c>
      <c r="K391" s="136" t="s">
        <v>342</v>
      </c>
      <c r="L391" s="136">
        <v>6.9438814092264622E-6</v>
      </c>
      <c r="M391" s="136">
        <v>1.046392217555903E-4</v>
      </c>
      <c r="N391" s="136">
        <v>5.1225677031093282E-7</v>
      </c>
      <c r="O391" s="136">
        <v>7.1280679112792682E-8</v>
      </c>
      <c r="P391" s="74"/>
      <c r="Q391" s="137"/>
      <c r="R391" s="136"/>
      <c r="S391" s="137"/>
      <c r="T391" s="137"/>
    </row>
    <row r="392" spans="2:20" ht="15" customHeight="1" x14ac:dyDescent="0.2">
      <c r="B392" s="74">
        <v>751</v>
      </c>
      <c r="C392" s="137"/>
      <c r="D392" s="137">
        <v>9.0226299999999994E-6</v>
      </c>
      <c r="E392" s="137">
        <v>1.2917899999999999E-4</v>
      </c>
      <c r="F392" s="136">
        <v>7.1600000000000001E-7</v>
      </c>
      <c r="G392" s="137">
        <v>1.03202E-7</v>
      </c>
      <c r="H392" s="74"/>
      <c r="J392" s="74">
        <v>751</v>
      </c>
      <c r="K392" s="136" t="s">
        <v>342</v>
      </c>
      <c r="L392" s="136">
        <v>6.4945861213520078E-6</v>
      </c>
      <c r="M392" s="136">
        <v>9.7479752644323065E-5</v>
      </c>
      <c r="N392" s="136">
        <v>4.8195718981177883E-7</v>
      </c>
      <c r="O392" s="136">
        <v>6.7194538604788888E-8</v>
      </c>
      <c r="P392" s="74"/>
      <c r="Q392" s="137"/>
      <c r="R392" s="136"/>
      <c r="S392" s="137"/>
      <c r="T392" s="137"/>
    </row>
    <row r="393" spans="2:20" ht="15" customHeight="1" x14ac:dyDescent="0.2">
      <c r="B393" s="74">
        <v>752</v>
      </c>
      <c r="C393" s="137"/>
      <c r="D393" s="137">
        <v>8.4530099999999992E-6</v>
      </c>
      <c r="E393" s="137">
        <v>1.20542E-4</v>
      </c>
      <c r="F393" s="136">
        <v>6.75E-7</v>
      </c>
      <c r="G393" s="137">
        <v>9.7400499999999999E-8</v>
      </c>
      <c r="H393" s="74"/>
      <c r="J393" s="74">
        <v>752</v>
      </c>
      <c r="K393" s="136" t="s">
        <v>342</v>
      </c>
      <c r="L393" s="136">
        <v>6.0764763383120382E-6</v>
      </c>
      <c r="M393" s="136">
        <v>9.0841226558198275E-5</v>
      </c>
      <c r="N393" s="136">
        <v>4.537548816662754E-7</v>
      </c>
      <c r="O393" s="136">
        <v>6.3332866516910186E-8</v>
      </c>
      <c r="P393" s="74"/>
      <c r="Q393" s="137"/>
      <c r="R393" s="136"/>
      <c r="S393" s="137"/>
      <c r="T393" s="137"/>
    </row>
    <row r="394" spans="2:20" ht="15" customHeight="1" x14ac:dyDescent="0.2">
      <c r="B394" s="74">
        <v>753</v>
      </c>
      <c r="C394" s="137"/>
      <c r="D394" s="137">
        <v>7.9220699999999995E-6</v>
      </c>
      <c r="E394" s="137">
        <v>1.12519E-4</v>
      </c>
      <c r="F394" s="136">
        <v>6.37E-7</v>
      </c>
      <c r="G394" s="137">
        <v>9.1927399999999995E-8</v>
      </c>
      <c r="H394" s="74"/>
      <c r="J394" s="74">
        <v>753</v>
      </c>
      <c r="K394" s="136" t="s">
        <v>342</v>
      </c>
      <c r="L394" s="136">
        <v>5.6872454023869438E-6</v>
      </c>
      <c r="M394" s="136">
        <v>8.4682432534396917E-5</v>
      </c>
      <c r="N394" s="136">
        <v>4.2764149020767479E-7</v>
      </c>
      <c r="O394" s="136">
        <v>5.9694703615871066E-8</v>
      </c>
      <c r="P394" s="74"/>
      <c r="Q394" s="137"/>
      <c r="R394" s="136"/>
      <c r="S394" s="137"/>
      <c r="T394" s="137"/>
    </row>
    <row r="395" spans="2:20" ht="15" customHeight="1" x14ac:dyDescent="0.2">
      <c r="B395" s="74">
        <v>754</v>
      </c>
      <c r="C395" s="137"/>
      <c r="D395" s="137">
        <v>7.4270000000000002E-6</v>
      </c>
      <c r="E395" s="137">
        <v>1.05061E-4</v>
      </c>
      <c r="F395" s="136">
        <v>6.0100000000000005E-7</v>
      </c>
      <c r="G395" s="137">
        <v>8.6780699999999998E-8</v>
      </c>
      <c r="H395" s="74"/>
      <c r="J395" s="74">
        <v>754</v>
      </c>
      <c r="K395" s="136" t="s">
        <v>342</v>
      </c>
      <c r="L395" s="136">
        <v>5.3247637905292113E-6</v>
      </c>
      <c r="M395" s="136">
        <v>7.8964633058325974E-5</v>
      </c>
      <c r="N395" s="136">
        <v>4.029382577440545E-7</v>
      </c>
      <c r="O395" s="136">
        <v>5.6277863594465843E-8</v>
      </c>
      <c r="P395" s="74"/>
      <c r="Q395" s="137"/>
      <c r="R395" s="136"/>
      <c r="S395" s="137"/>
      <c r="T395" s="137"/>
    </row>
    <row r="396" spans="2:20" ht="15" customHeight="1" x14ac:dyDescent="0.2">
      <c r="B396" s="74">
        <v>755</v>
      </c>
      <c r="C396" s="137"/>
      <c r="D396" s="137">
        <v>6.9652200000000004E-6</v>
      </c>
      <c r="E396" s="137">
        <v>9.8122599999999995E-5</v>
      </c>
      <c r="F396" s="136">
        <v>5.6700000000000003E-7</v>
      </c>
      <c r="G396" s="137">
        <v>8.1958699999999997E-8</v>
      </c>
      <c r="H396" s="74"/>
      <c r="J396" s="74">
        <v>755</v>
      </c>
      <c r="K396" s="136" t="s">
        <v>342</v>
      </c>
      <c r="L396" s="136">
        <v>4.9870779412861231E-6</v>
      </c>
      <c r="M396" s="136">
        <v>7.3651998050348519E-5</v>
      </c>
      <c r="N396" s="136">
        <v>3.796395809946396E-7</v>
      </c>
      <c r="O396" s="136">
        <v>5.3080366022892429E-8</v>
      </c>
      <c r="P396" s="74"/>
      <c r="Q396" s="137"/>
      <c r="R396" s="136"/>
      <c r="S396" s="137"/>
      <c r="T396" s="137"/>
    </row>
    <row r="397" spans="2:20" ht="15" customHeight="1" x14ac:dyDescent="0.2">
      <c r="B397" s="74">
        <v>756</v>
      </c>
      <c r="C397" s="137"/>
      <c r="D397" s="137">
        <v>6.5342199999999998E-6</v>
      </c>
      <c r="E397" s="137">
        <v>9.1664100000000002E-5</v>
      </c>
      <c r="F397" s="136">
        <v>5.3499999999999996E-7</v>
      </c>
      <c r="G397" s="137">
        <v>7.7420199999999999E-8</v>
      </c>
      <c r="H397" s="74"/>
      <c r="J397" s="74">
        <v>756</v>
      </c>
      <c r="K397" s="136" t="s">
        <v>342</v>
      </c>
      <c r="L397" s="136">
        <v>4.672294683016144E-6</v>
      </c>
      <c r="M397" s="136">
        <v>6.8713159836819416E-5</v>
      </c>
      <c r="N397" s="136">
        <v>3.5773988632564355E-7</v>
      </c>
      <c r="O397" s="136">
        <v>5.0074692703208703E-8</v>
      </c>
      <c r="P397" s="74"/>
      <c r="Q397" s="137"/>
      <c r="R397" s="136"/>
      <c r="S397" s="137"/>
      <c r="T397" s="137"/>
    </row>
    <row r="398" spans="2:20" ht="15" customHeight="1" x14ac:dyDescent="0.2">
      <c r="B398" s="74">
        <v>757</v>
      </c>
      <c r="C398" s="137"/>
      <c r="D398" s="137">
        <v>6.1312900000000002E-6</v>
      </c>
      <c r="E398" s="137">
        <v>8.5645500000000005E-5</v>
      </c>
      <c r="F398" s="136">
        <v>5.0500000000000004E-7</v>
      </c>
      <c r="G398" s="137">
        <v>7.3124300000000003E-8</v>
      </c>
      <c r="H398" s="74"/>
      <c r="J398" s="74">
        <v>757</v>
      </c>
      <c r="K398" s="136" t="s">
        <v>342</v>
      </c>
      <c r="L398" s="136">
        <v>4.3783880265229419E-6</v>
      </c>
      <c r="M398" s="136">
        <v>6.4116691902724263E-5</v>
      </c>
      <c r="N398" s="136">
        <v>3.3723362955444934E-7</v>
      </c>
      <c r="O398" s="136">
        <v>4.723366462505861E-8</v>
      </c>
      <c r="P398" s="74"/>
      <c r="Q398" s="137"/>
      <c r="R398" s="136"/>
      <c r="S398" s="137"/>
      <c r="T398" s="137"/>
    </row>
    <row r="399" spans="2:20" ht="15" customHeight="1" x14ac:dyDescent="0.2">
      <c r="B399" s="74">
        <v>758</v>
      </c>
      <c r="C399" s="137"/>
      <c r="D399" s="137">
        <v>5.7539099999999999E-6</v>
      </c>
      <c r="E399" s="137">
        <v>8.0030200000000005E-5</v>
      </c>
      <c r="F399" s="136">
        <v>4.7700000000000005E-7</v>
      </c>
      <c r="G399" s="137">
        <v>6.9069299999999998E-8</v>
      </c>
      <c r="H399" s="74"/>
      <c r="J399" s="74">
        <v>758</v>
      </c>
      <c r="K399" s="136" t="s">
        <v>342</v>
      </c>
      <c r="L399" s="136">
        <v>4.1034781748971972E-6</v>
      </c>
      <c r="M399" s="136">
        <v>5.9833875552291504E-5</v>
      </c>
      <c r="N399" s="136">
        <v>3.1811529575533996E-7</v>
      </c>
      <c r="O399" s="136">
        <v>4.4555533514581626E-8</v>
      </c>
      <c r="P399" s="74"/>
      <c r="Q399" s="137"/>
      <c r="R399" s="136"/>
      <c r="S399" s="137"/>
      <c r="T399" s="137"/>
    </row>
    <row r="400" spans="2:20" ht="15" customHeight="1" x14ac:dyDescent="0.2">
      <c r="B400" s="74">
        <v>759</v>
      </c>
      <c r="C400" s="137"/>
      <c r="D400" s="137">
        <v>5.3998399999999998E-6</v>
      </c>
      <c r="E400" s="137">
        <v>7.4785799999999998E-5</v>
      </c>
      <c r="F400" s="136">
        <v>4.4999999999999998E-7</v>
      </c>
      <c r="G400" s="137">
        <v>6.5253400000000004E-8</v>
      </c>
      <c r="H400" s="74"/>
      <c r="J400" s="74">
        <v>759</v>
      </c>
      <c r="K400" s="136" t="s">
        <v>342</v>
      </c>
      <c r="L400" s="136">
        <v>3.8458946606016691E-6</v>
      </c>
      <c r="M400" s="136">
        <v>5.5839279395861222E-5</v>
      </c>
      <c r="N400" s="136">
        <v>2.9971336935708312E-7</v>
      </c>
      <c r="O400" s="136">
        <v>4.2038495888025019E-8</v>
      </c>
      <c r="P400" s="74"/>
      <c r="Q400" s="137"/>
      <c r="R400" s="136"/>
      <c r="S400" s="137"/>
      <c r="T400" s="137"/>
    </row>
    <row r="401" spans="2:20" ht="15" customHeight="1" x14ac:dyDescent="0.2">
      <c r="B401" s="74">
        <v>760</v>
      </c>
      <c r="C401" s="137"/>
      <c r="D401" s="137">
        <v>5.06711E-6</v>
      </c>
      <c r="E401" s="137">
        <v>6.9882700000000001E-5</v>
      </c>
      <c r="F401" s="136">
        <v>4.2500000000000001E-7</v>
      </c>
      <c r="G401" s="137">
        <v>6.1674899999999996E-8</v>
      </c>
      <c r="H401" s="74"/>
      <c r="J401" s="74">
        <v>760</v>
      </c>
      <c r="K401" s="136" t="s">
        <v>342</v>
      </c>
      <c r="L401" s="136">
        <v>3.6041678554374626E-6</v>
      </c>
      <c r="M401" s="136">
        <v>5.2109693779645148E-5</v>
      </c>
      <c r="N401" s="136">
        <v>2.826901757905295E-7</v>
      </c>
      <c r="O401" s="136">
        <v>3.9680822092344788E-8</v>
      </c>
      <c r="P401" s="74"/>
      <c r="Q401" s="137"/>
      <c r="R401" s="136"/>
      <c r="S401" s="137"/>
      <c r="T401" s="137"/>
    </row>
    <row r="402" spans="2:20" ht="15" customHeight="1" x14ac:dyDescent="0.2">
      <c r="B402" s="74">
        <v>761</v>
      </c>
      <c r="C402" s="137"/>
      <c r="D402" s="137">
        <v>4.7541300000000003E-6</v>
      </c>
      <c r="E402" s="137">
        <v>6.5296599999999994E-5</v>
      </c>
      <c r="F402" s="136">
        <v>4.01E-7</v>
      </c>
      <c r="G402" s="137">
        <v>5.8304399999999999E-8</v>
      </c>
      <c r="H402" s="74"/>
      <c r="J402" s="74">
        <v>761</v>
      </c>
      <c r="K402" s="136" t="s">
        <v>342</v>
      </c>
      <c r="L402" s="136">
        <v>3.3771057896897046E-6</v>
      </c>
      <c r="M402" s="136">
        <v>4.8625977922931987E-5</v>
      </c>
      <c r="N402" s="136">
        <v>2.6637600053774991E-7</v>
      </c>
      <c r="O402" s="136">
        <v>3.7462993168067527E-8</v>
      </c>
      <c r="P402" s="74"/>
      <c r="Q402" s="137"/>
      <c r="R402" s="136"/>
      <c r="S402" s="137"/>
      <c r="T402" s="137"/>
    </row>
    <row r="403" spans="2:20" ht="15" customHeight="1" x14ac:dyDescent="0.2">
      <c r="B403" s="74">
        <v>762</v>
      </c>
      <c r="C403" s="137"/>
      <c r="D403" s="137">
        <v>4.4601900000000002E-6</v>
      </c>
      <c r="E403" s="137">
        <v>6.10128E-5</v>
      </c>
      <c r="F403" s="138">
        <v>3.7899999999999999E-7</v>
      </c>
      <c r="G403" s="137">
        <v>5.5112399999999999E-8</v>
      </c>
      <c r="H403" s="74"/>
      <c r="J403" s="74">
        <v>762</v>
      </c>
      <c r="K403" s="136" t="s">
        <v>342</v>
      </c>
      <c r="L403" s="136">
        <v>3.1641470401150172E-6</v>
      </c>
      <c r="M403" s="136">
        <v>4.5376231200756701E-5</v>
      </c>
      <c r="N403" s="136">
        <v>2.5143145973353129E-7</v>
      </c>
      <c r="O403" s="136">
        <v>3.5365528447628301E-8</v>
      </c>
      <c r="P403" s="74"/>
      <c r="Q403" s="137"/>
      <c r="R403" s="138"/>
      <c r="S403" s="137"/>
      <c r="T403" s="137"/>
    </row>
    <row r="404" spans="2:20" ht="15" customHeight="1" x14ac:dyDescent="0.2">
      <c r="B404" s="74">
        <v>763</v>
      </c>
      <c r="C404" s="137"/>
      <c r="D404" s="137">
        <v>4.1846599999999997E-6</v>
      </c>
      <c r="E404" s="137">
        <v>5.7018300000000003E-5</v>
      </c>
      <c r="F404" s="138">
        <v>3.58E-7</v>
      </c>
      <c r="G404" s="137">
        <v>5.2097199999999997E-8</v>
      </c>
      <c r="H404" s="74"/>
      <c r="J404" s="74">
        <v>763</v>
      </c>
      <c r="K404" s="136" t="s">
        <v>342</v>
      </c>
      <c r="L404" s="136">
        <v>2.9647898059119561E-6</v>
      </c>
      <c r="M404" s="136">
        <v>4.2349878037909013E-5</v>
      </c>
      <c r="N404" s="136">
        <v>2.3718863011051504E-7</v>
      </c>
      <c r="O404" s="136">
        <v>3.3386865220053071E-8</v>
      </c>
      <c r="P404" s="74"/>
      <c r="Q404" s="137"/>
      <c r="R404" s="138"/>
      <c r="S404" s="137"/>
      <c r="T404" s="137"/>
    </row>
    <row r="405" spans="2:20" ht="15" customHeight="1" x14ac:dyDescent="0.2">
      <c r="B405" s="74">
        <v>764</v>
      </c>
      <c r="C405" s="137"/>
      <c r="D405" s="137">
        <v>3.9268999999999996E-6</v>
      </c>
      <c r="E405" s="137">
        <v>5.32996E-5</v>
      </c>
      <c r="F405" s="138">
        <v>3.382E-7</v>
      </c>
      <c r="G405" s="137">
        <v>4.9257500000000003E-8</v>
      </c>
      <c r="H405" s="74"/>
      <c r="J405" s="74">
        <v>764</v>
      </c>
      <c r="K405" s="136" t="s">
        <v>342</v>
      </c>
      <c r="L405" s="136">
        <v>2.7785278378817319E-6</v>
      </c>
      <c r="M405" s="136">
        <v>3.9536027343841345E-5</v>
      </c>
      <c r="N405" s="136">
        <v>2.2377709043360449E-7</v>
      </c>
      <c r="O405" s="136">
        <v>3.1525704963449492E-8</v>
      </c>
      <c r="P405" s="74"/>
      <c r="Q405" s="137"/>
      <c r="R405" s="138"/>
      <c r="S405" s="137"/>
      <c r="T405" s="137"/>
    </row>
    <row r="406" spans="2:20" ht="15" customHeight="1" x14ac:dyDescent="0.2">
      <c r="B406" s="74">
        <v>765</v>
      </c>
      <c r="C406" s="137"/>
      <c r="D406" s="137">
        <v>3.68617E-6</v>
      </c>
      <c r="E406" s="137">
        <v>4.9842999999999997E-5</v>
      </c>
      <c r="F406" s="138">
        <v>3.1959999999999998E-7</v>
      </c>
      <c r="G406" s="137">
        <v>4.6591600000000003E-8</v>
      </c>
      <c r="H406" s="74"/>
      <c r="J406" s="74">
        <v>765</v>
      </c>
      <c r="K406" s="136" t="s">
        <v>342</v>
      </c>
      <c r="L406" s="136">
        <v>2.6047868701053193E-6</v>
      </c>
      <c r="M406" s="136">
        <v>3.692369681487512E-5</v>
      </c>
      <c r="N406" s="136">
        <v>2.1119358074222667E-7</v>
      </c>
      <c r="O406" s="136">
        <v>2.978050027288345E-8</v>
      </c>
      <c r="P406" s="74"/>
      <c r="Q406" s="137"/>
      <c r="R406" s="138"/>
      <c r="S406" s="137"/>
      <c r="T406" s="137"/>
    </row>
    <row r="407" spans="2:20" ht="15" customHeight="1" x14ac:dyDescent="0.2">
      <c r="B407" s="74">
        <v>766</v>
      </c>
      <c r="C407" s="137"/>
      <c r="D407" s="137">
        <v>3.46157E-6</v>
      </c>
      <c r="E407" s="137">
        <v>4.6632199999999997E-5</v>
      </c>
      <c r="F407" s="138">
        <v>3.0209999999999999E-7</v>
      </c>
      <c r="G407" s="137">
        <v>4.4078199999999997E-8</v>
      </c>
      <c r="H407" s="74"/>
      <c r="J407" s="74">
        <v>766</v>
      </c>
      <c r="K407" s="136" t="s">
        <v>342</v>
      </c>
      <c r="L407" s="136">
        <v>2.4428827210021195E-6</v>
      </c>
      <c r="M407" s="136">
        <v>3.4500037930514976E-5</v>
      </c>
      <c r="N407" s="136">
        <v>1.9936886377147104E-7</v>
      </c>
      <c r="O407" s="136">
        <v>2.8137200216669721E-8</v>
      </c>
      <c r="P407" s="74"/>
      <c r="Q407" s="137"/>
      <c r="R407" s="138"/>
      <c r="S407" s="137"/>
      <c r="T407" s="137"/>
    </row>
    <row r="408" spans="2:20" ht="15" customHeight="1" x14ac:dyDescent="0.2">
      <c r="B408" s="74">
        <v>767</v>
      </c>
      <c r="C408" s="137"/>
      <c r="D408" s="137">
        <v>3.2515499999999998E-6</v>
      </c>
      <c r="E408" s="137">
        <v>4.3642400000000001E-5</v>
      </c>
      <c r="F408" s="138">
        <v>2.8550000000000001E-7</v>
      </c>
      <c r="G408" s="137">
        <v>4.1696200000000002E-8</v>
      </c>
      <c r="H408" s="74"/>
      <c r="J408" s="74">
        <v>767</v>
      </c>
      <c r="K408" s="136" t="s">
        <v>342</v>
      </c>
      <c r="L408" s="136">
        <v>2.2916766602376686E-6</v>
      </c>
      <c r="M408" s="136">
        <v>3.2245988795776554E-5</v>
      </c>
      <c r="N408" s="136">
        <v>1.88168155051857E-7</v>
      </c>
      <c r="O408" s="136">
        <v>2.658195464348032E-8</v>
      </c>
      <c r="P408" s="74"/>
      <c r="Q408" s="137"/>
      <c r="R408" s="138"/>
      <c r="S408" s="137"/>
      <c r="T408" s="137"/>
    </row>
    <row r="409" spans="2:20" ht="15" customHeight="1" x14ac:dyDescent="0.2">
      <c r="B409" s="74">
        <v>768</v>
      </c>
      <c r="C409" s="137"/>
      <c r="D409" s="137">
        <v>3.0546400000000002E-6</v>
      </c>
      <c r="E409" s="137">
        <v>4.0850099999999997E-5</v>
      </c>
      <c r="F409" s="138">
        <v>2.699E-7</v>
      </c>
      <c r="G409" s="137">
        <v>3.9444400000000001E-8</v>
      </c>
      <c r="H409" s="74"/>
      <c r="J409" s="74">
        <v>768</v>
      </c>
      <c r="K409" s="136" t="s">
        <v>342</v>
      </c>
      <c r="L409" s="136">
        <v>2.1500921985602609E-6</v>
      </c>
      <c r="M409" s="136">
        <v>3.0143546074566265E-5</v>
      </c>
      <c r="N409" s="136">
        <v>1.7765483951855567E-7</v>
      </c>
      <c r="O409" s="136">
        <v>2.5113655568559234E-8</v>
      </c>
      <c r="P409" s="74"/>
      <c r="Q409" s="137"/>
      <c r="R409" s="138"/>
      <c r="S409" s="137"/>
      <c r="T409" s="137"/>
    </row>
    <row r="410" spans="2:20" ht="15" customHeight="1" x14ac:dyDescent="0.2">
      <c r="B410" s="74">
        <v>769</v>
      </c>
      <c r="C410" s="137"/>
      <c r="D410" s="137">
        <v>2.8695100000000001E-6</v>
      </c>
      <c r="E410" s="137">
        <v>3.8234600000000002E-5</v>
      </c>
      <c r="F410" s="138">
        <v>2.5520000000000001E-7</v>
      </c>
      <c r="G410" s="137">
        <v>3.7321799999999997E-8</v>
      </c>
      <c r="H410" s="74"/>
      <c r="J410" s="74">
        <v>769</v>
      </c>
      <c r="K410" s="136" t="s">
        <v>342</v>
      </c>
      <c r="L410" s="136">
        <v>2.0171568608402852E-6</v>
      </c>
      <c r="M410" s="136">
        <v>2.8176863527082027E-5</v>
      </c>
      <c r="N410" s="136">
        <v>1.6776049866113295E-7</v>
      </c>
      <c r="O410" s="136">
        <v>2.3731327941801026E-8</v>
      </c>
      <c r="P410" s="74"/>
      <c r="Q410" s="137"/>
      <c r="R410" s="138"/>
      <c r="S410" s="137"/>
      <c r="T410" s="137"/>
    </row>
    <row r="411" spans="2:20" ht="15" customHeight="1" x14ac:dyDescent="0.2">
      <c r="B411" s="74">
        <v>770</v>
      </c>
      <c r="C411" s="137"/>
      <c r="D411" s="137">
        <v>2.6950399999999999E-6</v>
      </c>
      <c r="E411" s="137">
        <v>3.5778100000000002E-5</v>
      </c>
      <c r="F411" s="138">
        <v>2.4130000000000002E-7</v>
      </c>
      <c r="G411" s="137">
        <v>3.53272E-8</v>
      </c>
      <c r="H411" s="74"/>
      <c r="J411" s="74">
        <v>770</v>
      </c>
      <c r="K411" s="136" t="s">
        <v>342</v>
      </c>
      <c r="L411" s="136">
        <v>1.8920506540972819E-6</v>
      </c>
      <c r="M411" s="136">
        <v>2.6332311601660305E-5</v>
      </c>
      <c r="N411" s="136">
        <v>1.5841706938998818E-7</v>
      </c>
      <c r="O411" s="136">
        <v>2.243387477205242E-8</v>
      </c>
      <c r="P411" s="74"/>
      <c r="Q411" s="137"/>
      <c r="R411" s="138"/>
      <c r="S411" s="137"/>
      <c r="T411" s="137"/>
    </row>
    <row r="412" spans="2:20" ht="15" customHeight="1" x14ac:dyDescent="0.2">
      <c r="B412" s="74">
        <v>771</v>
      </c>
      <c r="C412" s="137"/>
      <c r="D412" s="137">
        <v>2.5303999999999999E-6</v>
      </c>
      <c r="E412" s="137">
        <v>3.3467599999999998E-5</v>
      </c>
      <c r="F412" s="138">
        <v>2.2819999999999999E-7</v>
      </c>
      <c r="G412" s="137">
        <v>3.3445099999999998E-8</v>
      </c>
      <c r="H412" s="74"/>
      <c r="J412" s="74">
        <v>771</v>
      </c>
      <c r="K412" s="136" t="s">
        <v>342</v>
      </c>
      <c r="L412" s="136">
        <v>1.7741611697301303E-6</v>
      </c>
      <c r="M412" s="136">
        <v>2.4599859625994979E-5</v>
      </c>
      <c r="N412" s="136">
        <v>1.4962240808027195E-7</v>
      </c>
      <c r="O412" s="136">
        <v>2.121113559117674E-8</v>
      </c>
      <c r="P412" s="74"/>
      <c r="Q412" s="137"/>
      <c r="R412" s="138"/>
      <c r="S412" s="137"/>
      <c r="T412" s="137"/>
    </row>
    <row r="413" spans="2:20" ht="15" customHeight="1" x14ac:dyDescent="0.2">
      <c r="B413" s="74">
        <v>772</v>
      </c>
      <c r="C413" s="137"/>
      <c r="D413" s="137">
        <v>2.3755E-6</v>
      </c>
      <c r="E413" s="137">
        <v>3.1300699999999997E-5</v>
      </c>
      <c r="F413" s="138">
        <v>2.1589999999999999E-7</v>
      </c>
      <c r="G413" s="137">
        <v>3.166E-8</v>
      </c>
      <c r="H413" s="74"/>
      <c r="J413" s="74">
        <v>772</v>
      </c>
      <c r="K413" s="136" t="s">
        <v>342</v>
      </c>
      <c r="L413" s="136">
        <v>1.663397342743849E-6</v>
      </c>
      <c r="M413" s="136">
        <v>2.2977310179440689E-5</v>
      </c>
      <c r="N413" s="136">
        <v>1.413743822139995E-7</v>
      </c>
      <c r="O413" s="136">
        <v>2.0053002575949944E-8</v>
      </c>
      <c r="P413" s="74"/>
      <c r="Q413" s="137"/>
      <c r="R413" s="138"/>
      <c r="S413" s="137"/>
      <c r="T413" s="137"/>
    </row>
    <row r="414" spans="2:20" ht="15" customHeight="1" x14ac:dyDescent="0.2">
      <c r="B414" s="74">
        <v>773</v>
      </c>
      <c r="C414" s="137"/>
      <c r="D414" s="137">
        <v>2.23033E-6</v>
      </c>
      <c r="E414" s="137">
        <v>2.9276099999999999E-5</v>
      </c>
      <c r="F414" s="138">
        <v>2.0419999999999999E-7</v>
      </c>
      <c r="G414" s="137">
        <v>2.9971200000000002E-8</v>
      </c>
      <c r="H414" s="74"/>
      <c r="J414" s="74">
        <v>773</v>
      </c>
      <c r="K414" s="136" t="s">
        <v>342</v>
      </c>
      <c r="L414" s="136">
        <v>1.5597245253364722E-6</v>
      </c>
      <c r="M414" s="136">
        <v>2.1463283658846701E-5</v>
      </c>
      <c r="N414" s="136">
        <v>1.3354007689303356E-7</v>
      </c>
      <c r="O414" s="136">
        <v>1.8958782194260334E-8</v>
      </c>
      <c r="P414" s="74"/>
      <c r="Q414" s="137"/>
      <c r="R414" s="138"/>
      <c r="S414" s="137"/>
      <c r="T414" s="137"/>
    </row>
    <row r="415" spans="2:20" ht="15" customHeight="1" x14ac:dyDescent="0.2">
      <c r="B415" s="74">
        <v>774</v>
      </c>
      <c r="C415" s="137"/>
      <c r="D415" s="137">
        <v>2.0947800000000001E-6</v>
      </c>
      <c r="E415" s="137">
        <v>2.7390799999999999E-5</v>
      </c>
      <c r="F415" s="138">
        <v>1.9320000000000001E-7</v>
      </c>
      <c r="G415" s="137">
        <v>2.8378199999999999E-8</v>
      </c>
      <c r="H415" s="74"/>
      <c r="J415" s="74">
        <v>774</v>
      </c>
      <c r="K415" s="136" t="s">
        <v>342</v>
      </c>
      <c r="L415" s="136">
        <v>1.4630384066613722E-6</v>
      </c>
      <c r="M415" s="136">
        <v>2.0055162874433847E-5</v>
      </c>
      <c r="N415" s="136">
        <v>1.2618320076508595E-7</v>
      </c>
      <c r="O415" s="136">
        <v>1.7927910848021658E-8</v>
      </c>
      <c r="P415" s="74"/>
      <c r="Q415" s="137"/>
      <c r="R415" s="138"/>
      <c r="S415" s="137"/>
      <c r="T415" s="137"/>
    </row>
    <row r="416" spans="2:20" ht="15" customHeight="1" x14ac:dyDescent="0.2">
      <c r="B416" s="74">
        <v>775</v>
      </c>
      <c r="C416" s="137"/>
      <c r="D416" s="137">
        <v>1.9686399999999999E-6</v>
      </c>
      <c r="E416" s="137">
        <v>2.5641100000000001E-5</v>
      </c>
      <c r="F416" s="138">
        <v>1.829E-7</v>
      </c>
      <c r="G416" s="137">
        <v>2.6880299999999999E-8</v>
      </c>
      <c r="H416" s="74"/>
      <c r="J416" s="74">
        <v>775</v>
      </c>
      <c r="K416" s="136" t="s">
        <v>342</v>
      </c>
      <c r="L416" s="136">
        <v>1.3731654622662594E-6</v>
      </c>
      <c r="M416" s="136">
        <v>1.8749832275562541E-5</v>
      </c>
      <c r="N416" s="136">
        <v>1.1930190571715145E-7</v>
      </c>
      <c r="O416" s="136">
        <v>1.6959701661192964E-8</v>
      </c>
      <c r="P416" s="74"/>
      <c r="Q416" s="137"/>
      <c r="R416" s="138"/>
      <c r="S416" s="137"/>
      <c r="T416" s="137"/>
    </row>
    <row r="417" spans="2:20" ht="15" customHeight="1" x14ac:dyDescent="0.2">
      <c r="B417" s="74">
        <v>776</v>
      </c>
      <c r="C417" s="137"/>
      <c r="D417" s="137">
        <v>1.8515200000000001E-6</v>
      </c>
      <c r="E417" s="137">
        <v>2.4020500000000002E-5</v>
      </c>
      <c r="F417" s="138">
        <v>1.7310000000000001E-7</v>
      </c>
      <c r="G417" s="137">
        <v>2.5480000000000001E-8</v>
      </c>
      <c r="H417" s="74"/>
      <c r="J417" s="74">
        <v>776</v>
      </c>
      <c r="K417" s="136" t="s">
        <v>342</v>
      </c>
      <c r="L417" s="136">
        <v>1.2898076703790167E-6</v>
      </c>
      <c r="M417" s="136">
        <v>1.754214753388544E-5</v>
      </c>
      <c r="N417" s="136">
        <v>1.1276406539205246E-7</v>
      </c>
      <c r="O417" s="136">
        <v>1.6055487686109906E-8</v>
      </c>
      <c r="P417" s="74"/>
      <c r="Q417" s="137"/>
      <c r="R417" s="138"/>
      <c r="S417" s="137"/>
      <c r="T417" s="137"/>
    </row>
    <row r="418" spans="2:20" ht="15" customHeight="1" x14ac:dyDescent="0.2">
      <c r="B418" s="74">
        <v>777</v>
      </c>
      <c r="C418" s="137"/>
      <c r="D418" s="137">
        <v>1.7424799999999999E-6</v>
      </c>
      <c r="E418" s="137">
        <v>2.2515999999999999E-5</v>
      </c>
      <c r="F418" s="138">
        <v>1.638E-7</v>
      </c>
      <c r="G418" s="137">
        <v>2.4165999999999999E-8</v>
      </c>
      <c r="H418" s="74"/>
      <c r="J418" s="74">
        <v>777</v>
      </c>
      <c r="K418" s="136" t="s">
        <v>342</v>
      </c>
      <c r="L418" s="136">
        <v>1.2122858950117289E-6</v>
      </c>
      <c r="M418" s="136">
        <v>1.6422249969797109E-5</v>
      </c>
      <c r="N418" s="136">
        <v>1.0656835370977798E-7</v>
      </c>
      <c r="O418" s="136">
        <v>1.5207910631594608E-8</v>
      </c>
      <c r="P418" s="74"/>
      <c r="Q418" s="137"/>
      <c r="R418" s="138"/>
      <c r="S418" s="137"/>
      <c r="T418" s="137"/>
    </row>
    <row r="419" spans="2:20" ht="15" customHeight="1" x14ac:dyDescent="0.2">
      <c r="B419" s="74">
        <v>778</v>
      </c>
      <c r="C419" s="137"/>
      <c r="D419" s="137">
        <v>1.6406E-6</v>
      </c>
      <c r="E419" s="137">
        <v>2.1114499999999999E-5</v>
      </c>
      <c r="F419" s="138">
        <v>1.5510000000000001E-7</v>
      </c>
      <c r="G419" s="137">
        <v>2.29167E-8</v>
      </c>
      <c r="H419" s="74"/>
      <c r="J419" s="74">
        <v>778</v>
      </c>
      <c r="K419" s="136" t="s">
        <v>342</v>
      </c>
      <c r="L419" s="136">
        <v>1.1399383884817599E-6</v>
      </c>
      <c r="M419" s="136">
        <v>1.5380258748826735E-5</v>
      </c>
      <c r="N419" s="136">
        <v>1.0077842782847257E-7</v>
      </c>
      <c r="O419" s="136">
        <v>1.4403176474581066E-8</v>
      </c>
      <c r="P419" s="74"/>
      <c r="Q419" s="137"/>
      <c r="R419" s="138"/>
      <c r="S419" s="137"/>
      <c r="T419" s="137"/>
    </row>
    <row r="420" spans="2:20" ht="15" customHeight="1" x14ac:dyDescent="0.2">
      <c r="B420" s="74">
        <v>779</v>
      </c>
      <c r="C420" s="137"/>
      <c r="D420" s="137">
        <v>1.5450700000000001E-6</v>
      </c>
      <c r="E420" s="137">
        <v>1.98046E-5</v>
      </c>
      <c r="F420" s="138">
        <v>1.4679999999999999E-7</v>
      </c>
      <c r="G420" s="137">
        <v>2.1710500000000001E-8</v>
      </c>
      <c r="H420" s="74"/>
      <c r="J420" s="74">
        <v>779</v>
      </c>
      <c r="K420" s="136" t="s">
        <v>342</v>
      </c>
      <c r="L420" s="136">
        <v>1.0721831342454764E-6</v>
      </c>
      <c r="M420" s="136">
        <v>1.4407580499662524E-5</v>
      </c>
      <c r="N420" s="136">
        <v>9.5262939009583292E-8</v>
      </c>
      <c r="O420" s="136">
        <v>1.3627562021389996E-8</v>
      </c>
      <c r="P420" s="74"/>
      <c r="Q420" s="137"/>
      <c r="R420" s="138"/>
      <c r="S420" s="137"/>
      <c r="T420" s="137"/>
    </row>
    <row r="421" spans="2:20" ht="15" customHeight="1" x14ac:dyDescent="0.2">
      <c r="B421" s="74">
        <v>780</v>
      </c>
      <c r="C421" s="137"/>
      <c r="D421" s="137">
        <v>1.4551799999999999E-6</v>
      </c>
      <c r="E421" s="137">
        <v>1.8576600000000001E-5</v>
      </c>
      <c r="F421" s="138">
        <v>1.3899999999999999E-7</v>
      </c>
      <c r="G421" s="137">
        <v>2.05258E-8</v>
      </c>
      <c r="H421" s="74"/>
      <c r="J421" s="74">
        <v>780</v>
      </c>
      <c r="K421" s="136" t="s">
        <v>342</v>
      </c>
      <c r="L421" s="136">
        <v>1.00851040531559E-6</v>
      </c>
      <c r="M421" s="136">
        <v>1.3496901061182759E-5</v>
      </c>
      <c r="N421" s="136">
        <v>9.0085641540004612E-8</v>
      </c>
      <c r="O421" s="136">
        <v>1.2867414453694322E-8</v>
      </c>
      <c r="P421" s="74"/>
      <c r="Q421" s="137"/>
      <c r="R421" s="138"/>
      <c r="S421" s="137"/>
      <c r="T421" s="137"/>
    </row>
    <row r="422" spans="2:20" ht="15" customHeight="1" x14ac:dyDescent="0.2"/>
    <row r="426" spans="2:20" ht="15" customHeight="1" x14ac:dyDescent="0.2"/>
  </sheetData>
  <sheetProtection password="CAB0" sheet="1" objects="1" scenarios="1"/>
  <pageMargins left="0.70866141732283472" right="0.70866141732283472" top="0.74803149606299213" bottom="0.74803149606299213" header="0.31496062992125984" footer="0.31496062992125984"/>
  <pageSetup paperSize="9" scale="6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30"/>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217</v>
      </c>
      <c r="C3" s="143" t="str">
        <f>Outputs!C3</f>
        <v>Please note the α-opic Toolbox is not part of CIE S 026. See Disclaimer sheet.</v>
      </c>
    </row>
    <row r="4" spans="2:10" x14ac:dyDescent="0.2"/>
    <row r="5" spans="2:10" x14ac:dyDescent="0.2">
      <c r="J5" s="59"/>
    </row>
    <row r="6" spans="2:10" x14ac:dyDescent="0.2"/>
    <row r="7" spans="2:10" x14ac:dyDescent="0.2">
      <c r="J7" s="59"/>
    </row>
    <row r="8" spans="2:10" x14ac:dyDescent="0.2"/>
    <row r="9" spans="2:10" x14ac:dyDescent="0.2">
      <c r="J9" s="59"/>
    </row>
    <row r="10" spans="2:10" x14ac:dyDescent="0.2"/>
    <row r="11" spans="2:10" x14ac:dyDescent="0.2"/>
    <row r="12" spans="2:10" x14ac:dyDescent="0.2"/>
    <row r="13" spans="2:10" x14ac:dyDescent="0.2"/>
    <row r="14" spans="2:10" x14ac:dyDescent="0.2"/>
    <row r="15" spans="2:10" x14ac:dyDescent="0.2"/>
    <row r="16" spans="2:10" x14ac:dyDescent="0.2"/>
    <row r="17" spans="10:15" x14ac:dyDescent="0.2"/>
    <row r="18" spans="10:15" x14ac:dyDescent="0.2"/>
    <row r="19" spans="10:15" x14ac:dyDescent="0.2"/>
    <row r="20" spans="10:15" x14ac:dyDescent="0.2"/>
    <row r="21" spans="10:15" x14ac:dyDescent="0.2"/>
    <row r="22" spans="10:15" x14ac:dyDescent="0.2"/>
    <row r="23" spans="10:15" x14ac:dyDescent="0.2"/>
    <row r="24" spans="10:15" x14ac:dyDescent="0.2"/>
    <row r="25" spans="10:15" x14ac:dyDescent="0.2"/>
    <row r="26" spans="10:15" x14ac:dyDescent="0.2"/>
    <row r="27" spans="10:15" x14ac:dyDescent="0.2"/>
    <row r="28" spans="10:15" x14ac:dyDescent="0.2"/>
    <row r="29" spans="10:15" hidden="1" x14ac:dyDescent="0.2">
      <c r="J29" s="57"/>
    </row>
    <row r="30" spans="10:15" hidden="1" x14ac:dyDescent="0.2">
      <c r="O30" s="119"/>
    </row>
  </sheetData>
  <sheetProtection password="CAB0" sheet="1" objects="1" scenarios="1"/>
  <pageMargins left="0.7" right="0.7" top="0.75" bottom="0.75" header="0.3" footer="0.3"/>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7" tint="-0.249977111117893"/>
    <pageSetUpPr fitToPage="1"/>
  </sheetPr>
  <dimension ref="A1:AA471"/>
  <sheetViews>
    <sheetView topLeftCell="H1" zoomScaleNormal="100" workbookViewId="0">
      <selection activeCell="I3" sqref="I3"/>
    </sheetView>
  </sheetViews>
  <sheetFormatPr baseColWidth="10" defaultColWidth="0" defaultRowHeight="15" zeroHeight="1" x14ac:dyDescent="0.2"/>
  <cols>
    <col min="1" max="1" width="5.6640625" style="1" hidden="1" customWidth="1"/>
    <col min="2" max="3" width="18.6640625" style="1" hidden="1" customWidth="1"/>
    <col min="4" max="4" width="5.6640625" style="1" hidden="1" customWidth="1"/>
    <col min="5" max="6" width="18.6640625" style="1" hidden="1" customWidth="1"/>
    <col min="7" max="7" width="5.6640625" style="1" hidden="1" customWidth="1"/>
    <col min="8" max="8" width="5.6640625" style="1" customWidth="1"/>
    <col min="9" max="10" width="18.6640625" style="1" customWidth="1"/>
    <col min="11" max="11" width="5.6640625" style="1" customWidth="1"/>
    <col min="12" max="13" width="18.6640625" style="1" customWidth="1"/>
    <col min="14" max="14" width="5.6640625" style="1" customWidth="1"/>
    <col min="15" max="16384" width="5.6640625" style="1" hidden="1"/>
  </cols>
  <sheetData>
    <row r="1" spans="1:27" ht="25" customHeight="1" x14ac:dyDescent="0.3">
      <c r="A1" s="36"/>
      <c r="B1" s="37"/>
      <c r="C1" s="36"/>
      <c r="D1" s="36"/>
      <c r="E1" s="38"/>
      <c r="F1" s="36"/>
      <c r="G1" s="36"/>
      <c r="H1" s="56"/>
      <c r="I1" s="72" t="str">
        <f>LEFT(Disclaimer!B1,Maintenance!I3)</f>
        <v>CIE S 026 α-opic Toolbox - v1.049a - 2020/11</v>
      </c>
      <c r="J1" s="56"/>
      <c r="K1" s="56"/>
      <c r="L1" s="56"/>
      <c r="M1" s="56"/>
      <c r="N1" s="56"/>
      <c r="P1" s="180"/>
      <c r="Q1" s="180"/>
      <c r="R1" s="180"/>
      <c r="S1" s="180"/>
      <c r="T1" s="180"/>
      <c r="U1" s="180"/>
      <c r="V1" s="180"/>
      <c r="W1" s="180"/>
      <c r="X1" s="180"/>
      <c r="Y1" s="180"/>
      <c r="Z1" s="180"/>
      <c r="AA1" s="180"/>
    </row>
    <row r="2" spans="1:27" ht="15" customHeight="1" x14ac:dyDescent="0.3">
      <c r="A2" s="36"/>
      <c r="B2" s="37"/>
      <c r="C2" s="36"/>
      <c r="D2" s="36"/>
      <c r="E2" s="38"/>
      <c r="F2" s="36"/>
      <c r="G2" s="36"/>
      <c r="H2" s="56"/>
      <c r="I2" s="72"/>
      <c r="J2" s="56"/>
      <c r="K2" s="56"/>
      <c r="L2" s="56"/>
      <c r="M2" s="56"/>
      <c r="N2" s="56"/>
      <c r="P2" s="180"/>
      <c r="Q2" s="180"/>
      <c r="R2" s="180"/>
      <c r="S2" s="180"/>
      <c r="T2" s="180"/>
      <c r="U2" s="180"/>
      <c r="V2" s="180"/>
      <c r="W2" s="180"/>
      <c r="X2" s="180"/>
      <c r="Y2" s="180"/>
      <c r="Z2" s="180"/>
      <c r="AA2" s="180"/>
    </row>
    <row r="3" spans="1:27" ht="15" customHeight="1" x14ac:dyDescent="0.3">
      <c r="A3" s="36"/>
      <c r="B3" s="37"/>
      <c r="C3" s="36"/>
      <c r="D3" s="36"/>
      <c r="E3" s="38"/>
      <c r="F3" s="36"/>
      <c r="G3" s="36"/>
      <c r="H3" s="56"/>
      <c r="I3" s="249" t="s">
        <v>202</v>
      </c>
      <c r="J3" s="248" t="s">
        <v>404</v>
      </c>
      <c r="K3" s="56"/>
      <c r="L3" s="56"/>
      <c r="M3" s="56"/>
      <c r="N3" s="56"/>
      <c r="P3" s="180"/>
      <c r="Q3" s="180"/>
      <c r="R3" s="180"/>
      <c r="S3" s="180"/>
      <c r="T3" s="180"/>
      <c r="U3" s="180"/>
      <c r="V3" s="180"/>
      <c r="W3" s="180"/>
      <c r="X3" s="180"/>
      <c r="Y3" s="180"/>
      <c r="Z3" s="180"/>
      <c r="AA3" s="180"/>
    </row>
    <row r="4" spans="1:27" ht="15" customHeight="1" x14ac:dyDescent="0.2">
      <c r="A4" s="36"/>
      <c r="B4" s="142"/>
      <c r="C4" s="36"/>
      <c r="D4" s="36"/>
      <c r="E4" s="36"/>
      <c r="F4" s="36"/>
      <c r="G4" s="36"/>
      <c r="H4" s="56"/>
      <c r="I4" s="56"/>
      <c r="J4" s="56"/>
      <c r="K4" s="56"/>
      <c r="L4" s="56"/>
      <c r="M4" s="56"/>
      <c r="N4" s="56"/>
      <c r="P4" s="180"/>
      <c r="Q4" s="180"/>
      <c r="R4" s="180"/>
      <c r="S4" s="180"/>
      <c r="T4" s="180"/>
      <c r="U4" s="180"/>
      <c r="V4" s="180"/>
      <c r="W4" s="180"/>
      <c r="X4" s="180"/>
      <c r="Y4" s="180"/>
      <c r="Z4" s="180"/>
      <c r="AA4" s="180"/>
    </row>
    <row r="5" spans="1:27" ht="15" customHeight="1" x14ac:dyDescent="0.2">
      <c r="A5" s="36"/>
      <c r="B5" s="251" t="s">
        <v>413</v>
      </c>
      <c r="C5" s="139"/>
      <c r="D5" s="36"/>
      <c r="E5" s="144"/>
      <c r="F5" s="36"/>
      <c r="G5" s="36"/>
      <c r="H5" s="56"/>
      <c r="I5" s="249" t="s">
        <v>202</v>
      </c>
      <c r="J5" s="225" t="s">
        <v>351</v>
      </c>
      <c r="K5" s="56"/>
      <c r="L5" s="82" t="s">
        <v>203</v>
      </c>
      <c r="M5" s="56"/>
      <c r="N5" s="56"/>
      <c r="P5" s="180"/>
      <c r="Q5" s="180"/>
      <c r="R5" s="180"/>
      <c r="S5" s="180"/>
      <c r="T5" s="180"/>
      <c r="U5" s="180"/>
      <c r="V5" s="180"/>
      <c r="W5" s="180"/>
      <c r="X5" s="180"/>
      <c r="Y5" s="180"/>
      <c r="Z5" s="180"/>
      <c r="AA5" s="180"/>
    </row>
    <row r="6" spans="1:27" ht="15" customHeight="1" thickBot="1" x14ac:dyDescent="0.25">
      <c r="A6" s="36"/>
      <c r="B6" s="36"/>
      <c r="C6" s="36"/>
      <c r="D6" s="36"/>
      <c r="E6" s="39"/>
      <c r="F6" s="36"/>
      <c r="G6" s="36"/>
      <c r="H6" s="56"/>
      <c r="I6" s="82"/>
      <c r="J6" s="226" t="s">
        <v>353</v>
      </c>
      <c r="K6" s="56"/>
      <c r="L6" s="56"/>
      <c r="M6" s="56"/>
      <c r="N6" s="56"/>
      <c r="P6" s="180"/>
      <c r="Q6" s="180"/>
      <c r="R6" s="180"/>
      <c r="S6" s="180"/>
      <c r="T6" s="180"/>
      <c r="U6" s="180"/>
      <c r="V6" s="180"/>
      <c r="W6" s="180"/>
      <c r="X6" s="180"/>
      <c r="Y6" s="180"/>
      <c r="Z6" s="180"/>
      <c r="AA6" s="180"/>
    </row>
    <row r="7" spans="1:27" ht="15" customHeight="1" thickBot="1" x14ac:dyDescent="0.25">
      <c r="A7" s="36"/>
      <c r="B7" s="267"/>
      <c r="C7" s="268"/>
      <c r="D7" s="36"/>
      <c r="E7" s="64"/>
      <c r="F7" s="65"/>
      <c r="G7" s="36"/>
      <c r="I7" s="56"/>
      <c r="J7" s="56"/>
      <c r="K7" s="56"/>
      <c r="L7" s="50" t="s">
        <v>354</v>
      </c>
      <c r="M7" s="40"/>
      <c r="N7" s="56"/>
      <c r="P7" s="180"/>
      <c r="Q7" s="180"/>
      <c r="R7" s="180"/>
      <c r="S7" s="180"/>
      <c r="T7" s="180"/>
      <c r="U7" s="180"/>
      <c r="V7" s="180"/>
      <c r="W7" s="180"/>
      <c r="X7" s="180"/>
      <c r="Y7" s="180"/>
      <c r="Z7" s="180"/>
      <c r="AA7" s="180"/>
    </row>
    <row r="8" spans="1:27" ht="15" customHeight="1" x14ac:dyDescent="0.2">
      <c r="A8" s="36"/>
      <c r="B8" s="36"/>
      <c r="C8" s="36"/>
      <c r="D8" s="36"/>
      <c r="E8" s="66"/>
      <c r="F8" s="67"/>
      <c r="G8" s="36"/>
      <c r="H8" s="56"/>
      <c r="I8" s="269" t="s">
        <v>170</v>
      </c>
      <c r="J8" s="269"/>
      <c r="K8" s="56"/>
      <c r="L8" s="51" t="s">
        <v>355</v>
      </c>
      <c r="M8" s="41"/>
      <c r="N8" s="56"/>
      <c r="P8" s="180"/>
      <c r="Q8" s="180"/>
      <c r="R8" s="180"/>
      <c r="S8" s="180"/>
      <c r="T8" s="180"/>
      <c r="U8" s="180"/>
      <c r="V8" s="180"/>
      <c r="W8" s="180"/>
      <c r="X8" s="180"/>
      <c r="Y8" s="180"/>
      <c r="Z8" s="180"/>
      <c r="AA8" s="180"/>
    </row>
    <row r="9" spans="1:27" ht="16" thickBot="1" x14ac:dyDescent="0.25">
      <c r="A9" s="36"/>
      <c r="B9" s="39"/>
      <c r="C9" s="48"/>
      <c r="D9" s="36"/>
      <c r="E9" s="66"/>
      <c r="F9" s="67"/>
      <c r="G9" s="36"/>
      <c r="H9" s="56"/>
      <c r="I9" s="56"/>
      <c r="J9" s="63" t="str">
        <f>IF(I8="Daylight (D65)",IF(J15&lt;&gt;"D65","Update title above for Reference spectrum",""),"To reset default title enter Daylight (D65)")</f>
        <v/>
      </c>
      <c r="K9" s="56"/>
      <c r="L9" s="51" t="s">
        <v>209</v>
      </c>
      <c r="M9" s="41"/>
      <c r="N9" s="56"/>
      <c r="P9" s="180"/>
      <c r="Q9" s="180"/>
      <c r="R9" s="180"/>
      <c r="S9" s="180"/>
      <c r="T9" s="180"/>
      <c r="U9" s="180"/>
      <c r="V9" s="180"/>
      <c r="W9" s="180"/>
      <c r="X9" s="180"/>
      <c r="Y9" s="180"/>
      <c r="Z9" s="180"/>
      <c r="AA9" s="180"/>
    </row>
    <row r="10" spans="1:27" ht="16" thickBot="1" x14ac:dyDescent="0.25">
      <c r="A10" s="44"/>
      <c r="B10" s="36"/>
      <c r="C10" s="7"/>
      <c r="D10" s="120"/>
      <c r="E10" s="66"/>
      <c r="F10" s="67"/>
      <c r="G10" s="36"/>
      <c r="H10" s="56"/>
      <c r="I10" s="57" t="s">
        <v>201</v>
      </c>
      <c r="J10" s="56"/>
      <c r="K10" s="56"/>
      <c r="L10" s="51" t="s">
        <v>401</v>
      </c>
      <c r="M10" s="41"/>
      <c r="N10" s="56"/>
      <c r="P10" s="180"/>
      <c r="Q10" s="180"/>
      <c r="R10" s="180"/>
      <c r="S10" s="180"/>
      <c r="T10" s="180"/>
      <c r="U10" s="180"/>
      <c r="V10" s="180"/>
      <c r="W10" s="180"/>
      <c r="X10" s="180"/>
      <c r="Y10" s="180"/>
      <c r="Z10" s="180"/>
      <c r="AA10" s="180"/>
    </row>
    <row r="11" spans="1:27" ht="15.75" customHeight="1" x14ac:dyDescent="0.2">
      <c r="A11" s="36"/>
      <c r="B11" s="36"/>
      <c r="C11" s="36"/>
      <c r="D11" s="36"/>
      <c r="E11" s="66"/>
      <c r="F11" s="67"/>
      <c r="G11" s="36"/>
      <c r="H11" s="56"/>
      <c r="I11" s="56" t="s">
        <v>194</v>
      </c>
      <c r="J11" s="222" t="str">
        <f>'Advanced Outputs'!$J$1</f>
        <v>CIE S 026</v>
      </c>
      <c r="K11" s="56"/>
      <c r="L11" s="51" t="s">
        <v>402</v>
      </c>
      <c r="M11" s="41"/>
      <c r="N11" s="56"/>
      <c r="P11" s="180"/>
      <c r="Q11" s="180"/>
      <c r="R11" s="180"/>
      <c r="S11" s="180"/>
      <c r="T11" s="180"/>
      <c r="U11" s="180"/>
      <c r="V11" s="180"/>
      <c r="W11" s="180"/>
      <c r="X11" s="180"/>
      <c r="Y11" s="180"/>
      <c r="Z11" s="180"/>
      <c r="AA11" s="180"/>
    </row>
    <row r="12" spans="1:27" ht="16" thickBot="1" x14ac:dyDescent="0.25">
      <c r="A12" s="36"/>
      <c r="B12" s="39"/>
      <c r="C12" s="36"/>
      <c r="D12" s="36"/>
      <c r="E12" s="66"/>
      <c r="F12" s="67"/>
      <c r="G12" s="36"/>
      <c r="H12" s="56"/>
      <c r="I12" s="60"/>
      <c r="J12" s="63" t="str">
        <f>IF(J11="Lucas et al., 2014","To conform to Lucas et al. select E in cell J13","For CIE S 026 (default) select D65 in cell J13")</f>
        <v>For CIE S 026 (default) select D65 in cell J13</v>
      </c>
      <c r="K12" s="56"/>
      <c r="L12" s="52" t="s">
        <v>400</v>
      </c>
      <c r="M12" s="41"/>
      <c r="N12" s="56"/>
      <c r="P12" s="180"/>
      <c r="Q12" s="180"/>
      <c r="R12" s="180"/>
      <c r="S12" s="180"/>
      <c r="T12" s="180"/>
      <c r="U12" s="180"/>
      <c r="V12" s="180"/>
      <c r="W12" s="180"/>
      <c r="X12" s="180"/>
      <c r="Y12" s="180"/>
      <c r="Z12" s="180"/>
      <c r="AA12" s="180"/>
    </row>
    <row r="13" spans="1:27" ht="15.75" customHeight="1" x14ac:dyDescent="0.2">
      <c r="A13" s="36"/>
      <c r="B13" s="36"/>
      <c r="C13" s="25"/>
      <c r="D13" s="42"/>
      <c r="E13" s="68"/>
      <c r="F13" s="67"/>
      <c r="G13" s="36"/>
      <c r="H13" s="56"/>
      <c r="I13" s="56"/>
      <c r="J13" s="56"/>
      <c r="K13" s="58"/>
      <c r="L13" s="51" t="s">
        <v>399</v>
      </c>
      <c r="M13" s="41"/>
      <c r="N13" s="56"/>
      <c r="P13" s="180"/>
      <c r="Q13" s="180"/>
      <c r="R13" s="180"/>
      <c r="S13" s="180"/>
      <c r="T13" s="180"/>
      <c r="U13" s="180"/>
      <c r="V13" s="180"/>
      <c r="W13" s="180"/>
      <c r="X13" s="180"/>
      <c r="Y13" s="180"/>
      <c r="Z13" s="180"/>
      <c r="AA13" s="180"/>
    </row>
    <row r="14" spans="1:27" ht="15" customHeight="1" x14ac:dyDescent="0.2">
      <c r="A14" s="36"/>
      <c r="B14" s="36"/>
      <c r="C14" s="2"/>
      <c r="D14" s="42"/>
      <c r="E14" s="69"/>
      <c r="F14" s="67"/>
      <c r="G14" s="36"/>
      <c r="H14" s="56"/>
      <c r="I14" s="57" t="s">
        <v>381</v>
      </c>
      <c r="J14" s="56"/>
      <c r="K14" s="122"/>
      <c r="L14" s="53" t="s">
        <v>356</v>
      </c>
      <c r="M14" s="41"/>
      <c r="N14" s="56"/>
      <c r="P14" s="180"/>
      <c r="Q14" s="180"/>
      <c r="R14" s="180"/>
      <c r="S14" s="180"/>
      <c r="T14" s="180"/>
      <c r="U14" s="180"/>
      <c r="V14" s="180"/>
      <c r="W14" s="180"/>
      <c r="X14" s="180"/>
      <c r="Y14" s="180"/>
      <c r="Z14" s="180"/>
      <c r="AA14" s="180"/>
    </row>
    <row r="15" spans="1:27" ht="16" thickBot="1" x14ac:dyDescent="0.25">
      <c r="A15" s="36"/>
      <c r="B15" s="36"/>
      <c r="C15" s="8"/>
      <c r="D15" s="42"/>
      <c r="E15" s="69"/>
      <c r="F15" s="67"/>
      <c r="G15" s="36"/>
      <c r="H15" s="59"/>
      <c r="I15" s="56" t="s">
        <v>403</v>
      </c>
      <c r="J15" s="222" t="str">
        <f>IF(J11="CIE S 026","D65","E")</f>
        <v>D65</v>
      </c>
      <c r="K15" s="58"/>
      <c r="L15" s="53" t="s">
        <v>398</v>
      </c>
      <c r="M15" s="41"/>
      <c r="N15" s="56"/>
      <c r="P15" s="180"/>
      <c r="Q15" s="180"/>
      <c r="R15" s="180"/>
      <c r="S15" s="180"/>
      <c r="T15" s="180"/>
      <c r="U15" s="180"/>
      <c r="V15" s="180"/>
      <c r="W15" s="180"/>
      <c r="X15" s="180"/>
      <c r="Y15" s="180"/>
      <c r="Z15" s="180"/>
      <c r="AA15" s="180"/>
    </row>
    <row r="16" spans="1:27" ht="15" customHeight="1" x14ac:dyDescent="0.2">
      <c r="A16" s="36"/>
      <c r="B16" s="36"/>
      <c r="C16" s="49"/>
      <c r="D16" s="36"/>
      <c r="E16" s="69"/>
      <c r="F16" s="67"/>
      <c r="G16" s="36"/>
      <c r="H16" s="56"/>
      <c r="I16" s="56"/>
      <c r="J16" s="63" t="str">
        <f>IF(AND(J11="CIE S 026",J15="D65"),"CIE S 026 reference spectrum selected",IF(AND(J11&lt;&gt;"CIE S 026",J15="E"),"Selected reference conforms to Lucas et al.","Non-standard combination in cells J9 &amp; J13"))</f>
        <v>CIE S 026 reference spectrum selected</v>
      </c>
      <c r="K16" s="56"/>
      <c r="L16" s="53" t="s">
        <v>208</v>
      </c>
      <c r="M16" s="41"/>
      <c r="N16" s="56"/>
      <c r="P16" s="180"/>
      <c r="Q16" s="180"/>
      <c r="R16" s="180"/>
      <c r="S16" s="180"/>
      <c r="T16" s="180"/>
      <c r="U16" s="180"/>
      <c r="V16" s="180"/>
      <c r="W16" s="180"/>
      <c r="X16" s="180"/>
      <c r="Y16" s="180"/>
      <c r="Z16" s="180"/>
      <c r="AA16" s="180"/>
    </row>
    <row r="17" spans="1:27" x14ac:dyDescent="0.2">
      <c r="A17" s="36"/>
      <c r="B17" s="39"/>
      <c r="C17" s="36"/>
      <c r="D17" s="36"/>
      <c r="E17" s="69"/>
      <c r="F17" s="67"/>
      <c r="G17" s="36"/>
      <c r="H17" s="56"/>
      <c r="I17" s="56"/>
      <c r="J17" s="63"/>
      <c r="K17" s="56"/>
      <c r="L17" s="52" t="s">
        <v>215</v>
      </c>
      <c r="M17" s="41"/>
      <c r="N17" s="56"/>
      <c r="P17" s="180"/>
      <c r="Q17" s="180"/>
      <c r="R17" s="180"/>
      <c r="S17" s="180"/>
      <c r="T17" s="180"/>
      <c r="U17" s="180"/>
      <c r="V17" s="180"/>
      <c r="W17" s="180"/>
      <c r="X17" s="180"/>
      <c r="Y17" s="180"/>
      <c r="Z17" s="180"/>
      <c r="AA17" s="180"/>
    </row>
    <row r="18" spans="1:27" ht="16" thickBot="1" x14ac:dyDescent="0.25">
      <c r="A18" s="36"/>
      <c r="B18" s="36"/>
      <c r="C18" s="49"/>
      <c r="D18" s="36"/>
      <c r="E18" s="69"/>
      <c r="F18" s="67"/>
      <c r="G18" s="36"/>
      <c r="H18" s="59"/>
      <c r="I18" s="57" t="str">
        <f>"R3. "&amp;IF($J$15="UserRef","Skip this input","Select measurements details")</f>
        <v>R3. Select measurements details</v>
      </c>
      <c r="J18" s="56"/>
      <c r="K18" s="56"/>
      <c r="L18" s="53" t="s">
        <v>357</v>
      </c>
      <c r="M18" s="41"/>
      <c r="N18" s="56"/>
      <c r="P18" s="180"/>
      <c r="Q18" s="180"/>
      <c r="R18" s="180"/>
      <c r="S18" s="180"/>
      <c r="T18" s="180"/>
      <c r="U18" s="180"/>
      <c r="V18" s="180"/>
      <c r="W18" s="180"/>
      <c r="X18" s="180"/>
      <c r="Y18" s="180"/>
      <c r="Z18" s="180"/>
      <c r="AA18" s="180"/>
    </row>
    <row r="19" spans="1:27" ht="15" customHeight="1" thickBot="1" x14ac:dyDescent="0.25">
      <c r="A19" s="36"/>
      <c r="B19" s="36"/>
      <c r="C19" s="24"/>
      <c r="D19" s="42"/>
      <c r="E19" s="68"/>
      <c r="F19" s="67"/>
      <c r="G19" s="36"/>
      <c r="H19" s="59"/>
      <c r="I19" s="56" t="s">
        <v>382</v>
      </c>
      <c r="J19" s="222" t="s">
        <v>165</v>
      </c>
      <c r="K19" s="58"/>
      <c r="L19" s="53" t="s">
        <v>204</v>
      </c>
      <c r="M19" s="41"/>
      <c r="N19" s="56"/>
      <c r="P19" s="180"/>
      <c r="Q19" s="180"/>
      <c r="R19" s="180"/>
      <c r="S19" s="180"/>
      <c r="T19" s="180"/>
      <c r="U19" s="180"/>
      <c r="V19" s="180"/>
      <c r="W19" s="180"/>
      <c r="X19" s="180"/>
      <c r="Y19" s="180"/>
      <c r="Z19" s="180"/>
      <c r="AA19" s="180"/>
    </row>
    <row r="20" spans="1:27" ht="15" customHeight="1" x14ac:dyDescent="0.2">
      <c r="A20" s="36"/>
      <c r="B20" s="45"/>
      <c r="C20" s="36"/>
      <c r="D20" s="36"/>
      <c r="E20" s="69"/>
      <c r="F20" s="67"/>
      <c r="G20" s="36"/>
      <c r="H20" s="56"/>
      <c r="I20" s="56"/>
      <c r="J20" s="62" t="str">
        <f>IF(J19="Photon system","NOTE: log = log base 10","")</f>
        <v/>
      </c>
      <c r="K20" s="56"/>
      <c r="L20" s="54" t="s">
        <v>205</v>
      </c>
      <c r="M20" s="41"/>
      <c r="N20" s="56"/>
      <c r="P20" s="180"/>
      <c r="Q20" s="180"/>
      <c r="R20" s="180"/>
      <c r="S20" s="180"/>
      <c r="T20" s="180"/>
      <c r="U20" s="180"/>
      <c r="V20" s="180"/>
      <c r="W20" s="180"/>
      <c r="X20" s="180"/>
      <c r="Y20" s="180"/>
      <c r="Z20" s="180"/>
      <c r="AA20" s="180"/>
    </row>
    <row r="21" spans="1:27" ht="15" customHeight="1" thickBot="1" x14ac:dyDescent="0.25">
      <c r="A21" s="36"/>
      <c r="B21" s="39"/>
      <c r="C21" s="36"/>
      <c r="D21" s="36"/>
      <c r="E21" s="69"/>
      <c r="F21" s="67"/>
      <c r="G21" s="36"/>
      <c r="H21" s="56"/>
      <c r="I21" s="57" t="str">
        <f>"R4. "&amp;IF($J$15="UserRef","Enter wavelength step","Skip this input")</f>
        <v>R4. Skip this input</v>
      </c>
      <c r="J21" s="56"/>
      <c r="K21" s="56"/>
      <c r="L21" s="53" t="s">
        <v>358</v>
      </c>
      <c r="M21" s="41"/>
      <c r="N21" s="56"/>
      <c r="P21" s="180"/>
      <c r="Q21" s="180"/>
      <c r="R21" s="180"/>
      <c r="S21" s="180"/>
      <c r="T21" s="180"/>
      <c r="U21" s="180"/>
      <c r="V21" s="180"/>
      <c r="W21" s="180"/>
      <c r="X21" s="180"/>
      <c r="Y21" s="180"/>
      <c r="Z21" s="180"/>
      <c r="AA21" s="180"/>
    </row>
    <row r="22" spans="1:27" ht="16" thickBot="1" x14ac:dyDescent="0.25">
      <c r="A22" s="36"/>
      <c r="B22" s="46"/>
      <c r="C22" s="9"/>
      <c r="D22" s="36"/>
      <c r="E22" s="70"/>
      <c r="F22" s="71"/>
      <c r="G22" s="36"/>
      <c r="H22" s="56"/>
      <c r="I22" s="61" t="str">
        <f>IF($J$15="UserRef","Step size, nm","Set this input to 1")</f>
        <v>Set this input to 1</v>
      </c>
      <c r="J22" s="223">
        <v>1</v>
      </c>
      <c r="K22" s="56"/>
      <c r="L22" s="55" t="s">
        <v>359</v>
      </c>
      <c r="M22" s="43"/>
      <c r="N22" s="56"/>
      <c r="P22" s="180"/>
      <c r="Q22" s="180"/>
      <c r="R22" s="180"/>
      <c r="S22" s="180"/>
      <c r="T22" s="180"/>
      <c r="U22" s="180"/>
      <c r="V22" s="180"/>
      <c r="W22" s="180"/>
      <c r="X22" s="180"/>
      <c r="Y22" s="180"/>
      <c r="Z22" s="180"/>
      <c r="AA22" s="180"/>
    </row>
    <row r="23" spans="1:27" ht="15" customHeight="1" x14ac:dyDescent="0.2">
      <c r="A23" s="36"/>
      <c r="B23" s="36"/>
      <c r="C23" s="36"/>
      <c r="D23" s="36"/>
      <c r="E23" s="36"/>
      <c r="F23" s="36"/>
      <c r="G23" s="36"/>
      <c r="H23" s="59"/>
      <c r="I23" s="56"/>
      <c r="J23" s="56"/>
      <c r="K23" s="56"/>
      <c r="L23" s="56"/>
      <c r="M23" s="56"/>
      <c r="N23" s="59"/>
      <c r="P23" s="180"/>
      <c r="Q23" s="180"/>
      <c r="R23" s="180"/>
      <c r="S23" s="180"/>
      <c r="T23" s="180"/>
      <c r="U23" s="180"/>
      <c r="V23" s="180"/>
      <c r="W23" s="180"/>
      <c r="X23" s="180"/>
      <c r="Y23" s="180"/>
      <c r="Z23" s="180"/>
      <c r="AA23" s="180"/>
    </row>
    <row r="24" spans="1:27" ht="15" customHeight="1" x14ac:dyDescent="0.2">
      <c r="A24" s="36"/>
      <c r="B24" s="39"/>
      <c r="C24" s="36"/>
      <c r="D24" s="36"/>
      <c r="E24" s="39"/>
      <c r="F24" s="36"/>
      <c r="G24" s="36"/>
      <c r="H24" s="56"/>
      <c r="I24" s="57" t="str">
        <f>"R5. "&amp;IF($J$15="UserRef","Enter spectral data","Skip this input")</f>
        <v>R5. Skip this input</v>
      </c>
      <c r="J24" s="56"/>
      <c r="K24" s="56"/>
      <c r="L24" s="82" t="s">
        <v>373</v>
      </c>
      <c r="M24" s="56"/>
      <c r="N24" s="56"/>
      <c r="P24" s="180"/>
      <c r="Q24" s="180"/>
      <c r="R24" s="180"/>
      <c r="S24" s="180"/>
      <c r="T24" s="180"/>
      <c r="U24" s="180"/>
      <c r="V24" s="180"/>
      <c r="W24" s="180"/>
      <c r="X24" s="180"/>
      <c r="Y24" s="180"/>
      <c r="Z24" s="180"/>
      <c r="AA24" s="180"/>
    </row>
    <row r="25" spans="1:27" ht="15" customHeight="1" thickBot="1" x14ac:dyDescent="0.25">
      <c r="A25" s="36"/>
      <c r="B25" s="47"/>
      <c r="C25" s="49"/>
      <c r="D25" s="36"/>
      <c r="E25" s="36"/>
      <c r="F25" s="36"/>
      <c r="G25" s="36"/>
      <c r="H25" s="59"/>
      <c r="I25" s="60" t="s">
        <v>12</v>
      </c>
      <c r="J25" s="62" t="str">
        <f>IF(NOT($J$15="UserRef"),"Clear spectral data",IF($J$19="Photon system","arbitrary log photon units","arbitrary radiometric units"))</f>
        <v>Clear spectral data</v>
      </c>
      <c r="K25" s="56"/>
      <c r="L25" s="56"/>
      <c r="M25" s="56"/>
      <c r="N25" s="56"/>
      <c r="P25" s="180"/>
      <c r="Q25" s="180"/>
      <c r="R25" s="180"/>
      <c r="S25" s="180"/>
      <c r="T25" s="180"/>
      <c r="U25" s="180"/>
      <c r="V25" s="180"/>
      <c r="W25" s="180"/>
      <c r="X25" s="180"/>
      <c r="Y25" s="180"/>
      <c r="Z25" s="180"/>
      <c r="AA25" s="180"/>
    </row>
    <row r="26" spans="1:27" ht="15" customHeight="1" thickBot="1" x14ac:dyDescent="0.25">
      <c r="A26" s="36"/>
      <c r="B26" s="47"/>
      <c r="C26" s="3"/>
      <c r="D26" s="36"/>
      <c r="E26" s="259"/>
      <c r="F26" s="260"/>
      <c r="G26" s="42"/>
      <c r="H26" s="56"/>
      <c r="I26" s="60">
        <f t="shared" ref="I26:I89" si="0">IF(380+J$22*(ROW()-ROW(I$25)-1)&gt;780,"",380+J$22*(ROW()-ROW(I$25)-1))</f>
        <v>380</v>
      </c>
      <c r="J26" s="224"/>
      <c r="K26" s="56"/>
      <c r="L26" s="270" t="str">
        <f ca="1">IF(OR(LEFT(L$28,5)="ERROR",LEFT(L$30,5)="ERROR",LEFT(L$32,5)="ERROR"),"At least one advanced input error.","No errors detected."&amp;IF(LEFT(L$34,7)="WARNING"," Non-standard results.",""))</f>
        <v>No errors detected.</v>
      </c>
      <c r="M26" s="271"/>
      <c r="N26" s="56"/>
      <c r="P26" s="180"/>
      <c r="Q26" s="180"/>
      <c r="R26" s="180"/>
      <c r="S26" s="180"/>
      <c r="T26" s="180"/>
      <c r="U26" s="180"/>
      <c r="V26" s="180"/>
      <c r="W26" s="180"/>
      <c r="X26" s="180"/>
      <c r="Y26" s="180"/>
      <c r="Z26" s="180"/>
      <c r="AA26" s="180"/>
    </row>
    <row r="27" spans="1:27" ht="15" customHeight="1" thickBot="1" x14ac:dyDescent="0.25">
      <c r="A27" s="36"/>
      <c r="B27" s="47"/>
      <c r="C27" s="4"/>
      <c r="D27" s="36"/>
      <c r="E27" s="36"/>
      <c r="F27" s="36"/>
      <c r="G27" s="36"/>
      <c r="H27" s="56"/>
      <c r="I27" s="60">
        <f t="shared" si="0"/>
        <v>381</v>
      </c>
      <c r="J27" s="224"/>
      <c r="K27" s="56"/>
      <c r="L27" s="56"/>
      <c r="M27" s="56"/>
      <c r="N27" s="56"/>
      <c r="P27" s="180"/>
      <c r="Q27" s="180"/>
      <c r="R27" s="180"/>
      <c r="S27" s="180"/>
      <c r="T27" s="180"/>
      <c r="U27" s="180"/>
      <c r="V27" s="180"/>
      <c r="W27" s="180"/>
      <c r="X27" s="180"/>
      <c r="Y27" s="180"/>
      <c r="Z27" s="180"/>
      <c r="AA27" s="180"/>
    </row>
    <row r="28" spans="1:27" ht="15" customHeight="1" thickBot="1" x14ac:dyDescent="0.25">
      <c r="A28" s="36"/>
      <c r="B28" s="47"/>
      <c r="C28" s="4"/>
      <c r="D28" s="36"/>
      <c r="E28" s="259"/>
      <c r="F28" s="260"/>
      <c r="G28" s="121"/>
      <c r="H28" s="56"/>
      <c r="I28" s="60">
        <f t="shared" si="0"/>
        <v>382</v>
      </c>
      <c r="J28" s="224"/>
      <c r="K28" s="56"/>
      <c r="L28" s="272" t="str">
        <f>IF(OR($J$15="UserRef",$J$19="Radiometric"),"Spectral system is permitted.","ERROR: Select Radiometric for input R3.")</f>
        <v>Spectral system is permitted.</v>
      </c>
      <c r="M28" s="273"/>
      <c r="N28" s="56"/>
    </row>
    <row r="29" spans="1:27" ht="15" customHeight="1" thickBot="1" x14ac:dyDescent="0.25">
      <c r="A29" s="36"/>
      <c r="B29" s="47"/>
      <c r="C29" s="4"/>
      <c r="D29" s="36"/>
      <c r="E29" s="36"/>
      <c r="F29" s="36"/>
      <c r="G29" s="36"/>
      <c r="H29" s="56"/>
      <c r="I29" s="60">
        <f t="shared" si="0"/>
        <v>383</v>
      </c>
      <c r="J29" s="224"/>
      <c r="K29" s="56"/>
      <c r="L29" s="56"/>
      <c r="M29" s="56"/>
      <c r="N29" s="56"/>
    </row>
    <row r="30" spans="1:27" ht="15" customHeight="1" thickBot="1" x14ac:dyDescent="0.25">
      <c r="A30" s="36"/>
      <c r="B30" s="47"/>
      <c r="C30" s="4"/>
      <c r="D30" s="36"/>
      <c r="E30" s="259"/>
      <c r="F30" s="260"/>
      <c r="G30" s="121"/>
      <c r="H30" s="59"/>
      <c r="I30" s="60">
        <f t="shared" si="0"/>
        <v>384</v>
      </c>
      <c r="J30" s="224"/>
      <c r="K30" s="56"/>
      <c r="L30" s="272" t="str">
        <f>IF(NOT(OR(AND(J11="Lucas et al., 2014",J15&lt;&gt;"E"),AND(J11="CIE S 026",J15&lt;&gt;"D65"))),"Results based on "&amp;$J$11&amp;".","WARNING: Steps R1 and R2 do not match.")</f>
        <v>Results based on CIE S 026.</v>
      </c>
      <c r="M30" s="273"/>
      <c r="N30" s="56"/>
    </row>
    <row r="31" spans="1:27" ht="15" customHeight="1" thickBot="1" x14ac:dyDescent="0.25">
      <c r="A31" s="36"/>
      <c r="B31" s="47"/>
      <c r="C31" s="4"/>
      <c r="D31" s="36"/>
      <c r="E31" s="36"/>
      <c r="F31" s="36"/>
      <c r="G31" s="36"/>
      <c r="H31" s="56"/>
      <c r="I31" s="60">
        <f t="shared" si="0"/>
        <v>385</v>
      </c>
      <c r="J31" s="224"/>
      <c r="K31" s="56"/>
      <c r="L31" s="56"/>
      <c r="M31" s="56"/>
      <c r="N31" s="56"/>
    </row>
    <row r="32" spans="1:27" ht="15" customHeight="1" thickBot="1" x14ac:dyDescent="0.25">
      <c r="A32" s="36"/>
      <c r="B32" s="47"/>
      <c r="C32" s="4"/>
      <c r="D32" s="36"/>
      <c r="E32" s="259"/>
      <c r="F32" s="260"/>
      <c r="G32" s="42"/>
      <c r="H32" s="56"/>
      <c r="I32" s="60">
        <f t="shared" si="0"/>
        <v>386</v>
      </c>
      <c r="J32" s="224"/>
      <c r="K32" s="56"/>
      <c r="L32" s="270" t="str">
        <f ca="1">IF(NOT($J$15="UserRef"),IF(COUNT(J$26:J$426)&lt;&gt;0,"ERROR: Clear spectral data.","Results based on illuminant "&amp;$J$15&amp;"."),IF(AND(MIN(J$26:J$426)&lt;0,LEFT($J$19,6)&lt;&gt;"Photon"),"ERROR: No negative quantities permitted.",IF($J$22="","ERROR: Enter a resolution in step R4.",IF(OR(COUNTBLANK(INDIRECT("I24:I"&amp;INT(24+400/$J$22)))&lt;&gt;0,COUNT(I26:I426)&lt;&gt;COUNT(J26:J426)),"ERROR: REF spectral range mismatch.","Results based on spectral data provided."))))</f>
        <v>Results based on illuminant D65.</v>
      </c>
      <c r="M32" s="271"/>
      <c r="N32" s="56"/>
    </row>
    <row r="33" spans="1:14" ht="15" customHeight="1" thickBot="1" x14ac:dyDescent="0.25">
      <c r="A33" s="36"/>
      <c r="B33" s="47"/>
      <c r="C33" s="4"/>
      <c r="D33" s="36"/>
      <c r="E33" s="36"/>
      <c r="F33" s="36"/>
      <c r="G33" s="36"/>
      <c r="H33" s="56"/>
      <c r="I33" s="60">
        <f t="shared" si="0"/>
        <v>387</v>
      </c>
      <c r="J33" s="224"/>
      <c r="K33" s="56"/>
      <c r="L33" s="56"/>
      <c r="M33" s="56"/>
      <c r="N33" s="56"/>
    </row>
    <row r="34" spans="1:14" ht="15" customHeight="1" thickBot="1" x14ac:dyDescent="0.25">
      <c r="A34" s="36"/>
      <c r="B34" s="47"/>
      <c r="C34" s="4"/>
      <c r="D34" s="36"/>
      <c r="E34" s="36"/>
      <c r="F34" s="36"/>
      <c r="G34" s="36"/>
      <c r="H34" s="56"/>
      <c r="I34" s="60">
        <f t="shared" si="0"/>
        <v>388</v>
      </c>
      <c r="J34" s="224"/>
      <c r="K34" s="56"/>
      <c r="L34" s="270" t="str">
        <f>IF(OR($J$11&lt;&gt;"CIE S 026",J$15&lt;&gt;"D65"),"WARNING: Non-standard calculations","Standard calculations based on CIE S 026.")</f>
        <v>Standard calculations based on CIE S 026.</v>
      </c>
      <c r="M34" s="271"/>
      <c r="N34" s="56"/>
    </row>
    <row r="35" spans="1:14" ht="15" customHeight="1" x14ac:dyDescent="0.2">
      <c r="A35" s="36"/>
      <c r="B35" s="47"/>
      <c r="C35" s="4"/>
      <c r="D35" s="36"/>
      <c r="E35" s="36"/>
      <c r="F35" s="36"/>
      <c r="G35" s="36"/>
      <c r="H35" s="56"/>
      <c r="I35" s="60">
        <f t="shared" si="0"/>
        <v>389</v>
      </c>
      <c r="J35" s="224"/>
      <c r="K35" s="56"/>
      <c r="L35" s="56"/>
      <c r="M35" s="56"/>
      <c r="N35" s="56"/>
    </row>
    <row r="36" spans="1:14" ht="15" customHeight="1" x14ac:dyDescent="0.2">
      <c r="A36" s="36"/>
      <c r="B36" s="47"/>
      <c r="C36" s="4"/>
      <c r="D36" s="36"/>
      <c r="E36" s="36"/>
      <c r="F36" s="36"/>
      <c r="G36" s="36"/>
      <c r="H36" s="56"/>
      <c r="I36" s="60">
        <f t="shared" si="0"/>
        <v>390</v>
      </c>
      <c r="J36" s="224"/>
      <c r="K36" s="56"/>
      <c r="L36" s="82" t="s">
        <v>389</v>
      </c>
      <c r="M36" s="56"/>
      <c r="N36" s="56"/>
    </row>
    <row r="37" spans="1:14" ht="15" customHeight="1" thickBot="1" x14ac:dyDescent="0.25">
      <c r="A37" s="36"/>
      <c r="B37" s="47"/>
      <c r="C37" s="4"/>
      <c r="D37" s="36"/>
      <c r="E37" s="36"/>
      <c r="F37" s="36"/>
      <c r="G37" s="36"/>
      <c r="H37" s="56"/>
      <c r="I37" s="60">
        <f t="shared" si="0"/>
        <v>391</v>
      </c>
      <c r="J37" s="224"/>
      <c r="K37" s="56"/>
      <c r="L37" s="56"/>
      <c r="M37" s="56"/>
      <c r="N37" s="56"/>
    </row>
    <row r="38" spans="1:14" ht="15" customHeight="1" x14ac:dyDescent="0.2">
      <c r="A38" s="36"/>
      <c r="B38" s="47"/>
      <c r="C38" s="4"/>
      <c r="D38" s="36"/>
      <c r="E38" s="36"/>
      <c r="F38" s="36"/>
      <c r="G38" s="36"/>
      <c r="H38" s="56"/>
      <c r="I38" s="60">
        <f t="shared" si="0"/>
        <v>392</v>
      </c>
      <c r="J38" s="224"/>
      <c r="K38" s="56"/>
      <c r="L38" s="244" t="s">
        <v>383</v>
      </c>
      <c r="M38" s="40"/>
      <c r="N38" s="56"/>
    </row>
    <row r="39" spans="1:14" ht="15" customHeight="1" x14ac:dyDescent="0.2">
      <c r="A39" s="36"/>
      <c r="B39" s="47"/>
      <c r="C39" s="4"/>
      <c r="D39" s="36"/>
      <c r="E39" s="36"/>
      <c r="F39" s="36"/>
      <c r="G39" s="36"/>
      <c r="H39" s="56"/>
      <c r="I39" s="60">
        <f t="shared" si="0"/>
        <v>393</v>
      </c>
      <c r="J39" s="224"/>
      <c r="K39" s="56"/>
      <c r="L39" s="245" t="s">
        <v>384</v>
      </c>
      <c r="M39" s="41"/>
      <c r="N39" s="56"/>
    </row>
    <row r="40" spans="1:14" ht="15" customHeight="1" x14ac:dyDescent="0.2">
      <c r="A40" s="36"/>
      <c r="B40" s="47"/>
      <c r="C40" s="4"/>
      <c r="D40" s="36"/>
      <c r="E40" s="36"/>
      <c r="F40" s="36"/>
      <c r="G40" s="36"/>
      <c r="H40" s="56"/>
      <c r="I40" s="60">
        <f t="shared" si="0"/>
        <v>394</v>
      </c>
      <c r="J40" s="224"/>
      <c r="K40" s="56"/>
      <c r="L40" s="245" t="s">
        <v>388</v>
      </c>
      <c r="M40" s="41"/>
      <c r="N40" s="56"/>
    </row>
    <row r="41" spans="1:14" ht="15" customHeight="1" x14ac:dyDescent="0.2">
      <c r="A41" s="36"/>
      <c r="B41" s="47"/>
      <c r="C41" s="4"/>
      <c r="D41" s="36"/>
      <c r="E41" s="39"/>
      <c r="F41" s="36"/>
      <c r="G41" s="36"/>
      <c r="H41" s="56"/>
      <c r="I41" s="60">
        <f t="shared" si="0"/>
        <v>395</v>
      </c>
      <c r="J41" s="224"/>
      <c r="K41" s="56"/>
      <c r="L41" s="246" t="s">
        <v>390</v>
      </c>
      <c r="M41" s="41"/>
      <c r="N41" s="56"/>
    </row>
    <row r="42" spans="1:14" ht="15" customHeight="1" x14ac:dyDescent="0.2">
      <c r="A42" s="36"/>
      <c r="B42" s="47"/>
      <c r="C42" s="4"/>
      <c r="D42" s="36"/>
      <c r="E42" s="36"/>
      <c r="F42" s="36"/>
      <c r="G42" s="36"/>
      <c r="H42" s="56"/>
      <c r="I42" s="60">
        <f t="shared" si="0"/>
        <v>396</v>
      </c>
      <c r="J42" s="224"/>
      <c r="K42" s="56"/>
      <c r="L42" s="246" t="s">
        <v>391</v>
      </c>
      <c r="M42" s="41"/>
      <c r="N42" s="56"/>
    </row>
    <row r="43" spans="1:14" ht="15" customHeight="1" x14ac:dyDescent="0.2">
      <c r="A43" s="36"/>
      <c r="B43" s="47"/>
      <c r="C43" s="4"/>
      <c r="D43" s="36"/>
      <c r="E43" s="36"/>
      <c r="F43" s="36"/>
      <c r="G43" s="36"/>
      <c r="H43" s="56"/>
      <c r="I43" s="60">
        <f t="shared" si="0"/>
        <v>397</v>
      </c>
      <c r="J43" s="224"/>
      <c r="K43" s="56"/>
      <c r="L43" s="245"/>
      <c r="M43" s="41"/>
      <c r="N43" s="56"/>
    </row>
    <row r="44" spans="1:14" ht="15" customHeight="1" x14ac:dyDescent="0.2">
      <c r="A44" s="36"/>
      <c r="B44" s="47"/>
      <c r="C44" s="4"/>
      <c r="D44" s="36"/>
      <c r="E44" s="36"/>
      <c r="F44" s="36"/>
      <c r="G44" s="36"/>
      <c r="H44" s="56"/>
      <c r="I44" s="60">
        <f t="shared" si="0"/>
        <v>398</v>
      </c>
      <c r="J44" s="224"/>
      <c r="K44" s="56"/>
      <c r="L44" s="245" t="s">
        <v>385</v>
      </c>
      <c r="M44" s="41"/>
      <c r="N44" s="56"/>
    </row>
    <row r="45" spans="1:14" ht="15" customHeight="1" x14ac:dyDescent="0.2">
      <c r="A45" s="36"/>
      <c r="B45" s="47"/>
      <c r="C45" s="4"/>
      <c r="D45" s="36"/>
      <c r="E45" s="36"/>
      <c r="F45" s="36"/>
      <c r="G45" s="36"/>
      <c r="H45" s="56"/>
      <c r="I45" s="60">
        <f t="shared" si="0"/>
        <v>399</v>
      </c>
      <c r="J45" s="224"/>
      <c r="K45" s="56"/>
      <c r="L45" s="245" t="s">
        <v>386</v>
      </c>
      <c r="M45" s="41"/>
      <c r="N45" s="56"/>
    </row>
    <row r="46" spans="1:14" ht="15" customHeight="1" x14ac:dyDescent="0.2">
      <c r="A46" s="36"/>
      <c r="B46" s="47"/>
      <c r="C46" s="4"/>
      <c r="D46" s="36"/>
      <c r="E46" s="36"/>
      <c r="F46" s="36"/>
      <c r="G46" s="36"/>
      <c r="H46" s="56"/>
      <c r="I46" s="60">
        <f t="shared" si="0"/>
        <v>400</v>
      </c>
      <c r="J46" s="224"/>
      <c r="K46" s="56"/>
      <c r="L46" s="245" t="s">
        <v>387</v>
      </c>
      <c r="M46" s="41"/>
      <c r="N46" s="56"/>
    </row>
    <row r="47" spans="1:14" ht="15" customHeight="1" x14ac:dyDescent="0.2">
      <c r="A47" s="36"/>
      <c r="B47" s="47"/>
      <c r="C47" s="4"/>
      <c r="D47" s="36"/>
      <c r="E47" s="36"/>
      <c r="F47" s="36"/>
      <c r="G47" s="36"/>
      <c r="H47" s="56"/>
      <c r="I47" s="60">
        <f t="shared" si="0"/>
        <v>401</v>
      </c>
      <c r="J47" s="224"/>
      <c r="K47" s="56"/>
      <c r="L47" s="246" t="s">
        <v>392</v>
      </c>
      <c r="M47" s="41"/>
      <c r="N47" s="56"/>
    </row>
    <row r="48" spans="1:14" ht="15" customHeight="1" x14ac:dyDescent="0.2">
      <c r="A48" s="36"/>
      <c r="B48" s="47"/>
      <c r="C48" s="4"/>
      <c r="D48" s="36"/>
      <c r="E48" s="36"/>
      <c r="F48" s="36"/>
      <c r="G48" s="36"/>
      <c r="H48" s="56"/>
      <c r="I48" s="60">
        <f t="shared" si="0"/>
        <v>402</v>
      </c>
      <c r="J48" s="224"/>
      <c r="K48" s="56"/>
      <c r="L48" s="246" t="s">
        <v>393</v>
      </c>
      <c r="M48" s="41"/>
      <c r="N48" s="56"/>
    </row>
    <row r="49" spans="1:14" ht="15" customHeight="1" x14ac:dyDescent="0.2">
      <c r="A49" s="36"/>
      <c r="B49" s="47"/>
      <c r="C49" s="4"/>
      <c r="D49" s="36"/>
      <c r="E49" s="36"/>
      <c r="F49" s="36"/>
      <c r="G49" s="36"/>
      <c r="H49" s="56"/>
      <c r="I49" s="60">
        <f t="shared" si="0"/>
        <v>403</v>
      </c>
      <c r="J49" s="224"/>
      <c r="K49" s="56"/>
      <c r="L49" s="245"/>
      <c r="M49" s="41"/>
      <c r="N49" s="56"/>
    </row>
    <row r="50" spans="1:14" ht="15" customHeight="1" x14ac:dyDescent="0.2">
      <c r="A50" s="36"/>
      <c r="B50" s="47"/>
      <c r="C50" s="4"/>
      <c r="D50" s="36"/>
      <c r="E50" s="36"/>
      <c r="F50" s="36"/>
      <c r="G50" s="36"/>
      <c r="H50" s="56"/>
      <c r="I50" s="60">
        <f t="shared" si="0"/>
        <v>404</v>
      </c>
      <c r="J50" s="224"/>
      <c r="K50" s="56"/>
      <c r="L50" s="245" t="s">
        <v>397</v>
      </c>
      <c r="M50" s="41"/>
      <c r="N50" s="56"/>
    </row>
    <row r="51" spans="1:14" ht="15" customHeight="1" x14ac:dyDescent="0.2">
      <c r="A51" s="36"/>
      <c r="B51" s="47"/>
      <c r="C51" s="4"/>
      <c r="D51" s="36"/>
      <c r="E51" s="36"/>
      <c r="F51" s="36"/>
      <c r="G51" s="36"/>
      <c r="H51" s="56"/>
      <c r="I51" s="60">
        <f t="shared" si="0"/>
        <v>405</v>
      </c>
      <c r="J51" s="224"/>
      <c r="K51" s="56"/>
      <c r="L51" s="246" t="s">
        <v>394</v>
      </c>
      <c r="M51" s="41"/>
      <c r="N51" s="56"/>
    </row>
    <row r="52" spans="1:14" ht="15" customHeight="1" x14ac:dyDescent="0.2">
      <c r="A52" s="36"/>
      <c r="B52" s="47"/>
      <c r="C52" s="4"/>
      <c r="D52" s="36"/>
      <c r="E52" s="36"/>
      <c r="F52" s="36"/>
      <c r="G52" s="36"/>
      <c r="H52" s="56"/>
      <c r="I52" s="60">
        <f t="shared" si="0"/>
        <v>406</v>
      </c>
      <c r="J52" s="224"/>
      <c r="K52" s="56"/>
      <c r="L52" s="246" t="s">
        <v>395</v>
      </c>
      <c r="M52" s="41"/>
      <c r="N52" s="56"/>
    </row>
    <row r="53" spans="1:14" ht="15" customHeight="1" thickBot="1" x14ac:dyDescent="0.25">
      <c r="A53" s="36"/>
      <c r="B53" s="47"/>
      <c r="C53" s="4"/>
      <c r="D53" s="36"/>
      <c r="E53" s="36"/>
      <c r="F53" s="36"/>
      <c r="G53" s="36"/>
      <c r="H53" s="56"/>
      <c r="I53" s="60">
        <f t="shared" si="0"/>
        <v>407</v>
      </c>
      <c r="J53" s="224"/>
      <c r="K53" s="56"/>
      <c r="L53" s="247" t="s">
        <v>396</v>
      </c>
      <c r="M53" s="43"/>
      <c r="N53" s="56"/>
    </row>
    <row r="54" spans="1:14" ht="15" customHeight="1" x14ac:dyDescent="0.2">
      <c r="A54" s="36"/>
      <c r="B54" s="47"/>
      <c r="C54" s="4"/>
      <c r="D54" s="36"/>
      <c r="E54" s="36"/>
      <c r="F54" s="36"/>
      <c r="G54" s="36"/>
      <c r="H54" s="56"/>
      <c r="I54" s="60">
        <f t="shared" si="0"/>
        <v>408</v>
      </c>
      <c r="J54" s="224"/>
      <c r="K54" s="56"/>
      <c r="L54" s="56"/>
      <c r="M54" s="56"/>
      <c r="N54" s="56"/>
    </row>
    <row r="55" spans="1:14" ht="15" customHeight="1" x14ac:dyDescent="0.2">
      <c r="A55" s="36"/>
      <c r="B55" s="47"/>
      <c r="C55" s="4"/>
      <c r="D55" s="36"/>
      <c r="E55" s="36"/>
      <c r="F55" s="36"/>
      <c r="G55" s="36"/>
      <c r="H55" s="56"/>
      <c r="I55" s="60">
        <f t="shared" si="0"/>
        <v>409</v>
      </c>
      <c r="J55" s="224"/>
      <c r="K55" s="56"/>
      <c r="L55" s="56"/>
      <c r="M55" s="56"/>
      <c r="N55" s="56"/>
    </row>
    <row r="56" spans="1:14" ht="15" customHeight="1" x14ac:dyDescent="0.2">
      <c r="A56" s="36"/>
      <c r="B56" s="47"/>
      <c r="C56" s="4"/>
      <c r="D56" s="36"/>
      <c r="E56" s="36"/>
      <c r="F56" s="36"/>
      <c r="G56" s="36"/>
      <c r="H56" s="56"/>
      <c r="I56" s="60">
        <f t="shared" si="0"/>
        <v>410</v>
      </c>
      <c r="J56" s="224"/>
      <c r="K56" s="56"/>
      <c r="L56" s="56"/>
      <c r="M56" s="56"/>
      <c r="N56" s="56"/>
    </row>
    <row r="57" spans="1:14" ht="15" customHeight="1" x14ac:dyDescent="0.2">
      <c r="A57" s="36"/>
      <c r="B57" s="47"/>
      <c r="C57" s="4"/>
      <c r="D57" s="36"/>
      <c r="E57" s="36"/>
      <c r="F57" s="36"/>
      <c r="G57" s="36"/>
      <c r="H57" s="56"/>
      <c r="I57" s="60">
        <f t="shared" si="0"/>
        <v>411</v>
      </c>
      <c r="J57" s="224"/>
      <c r="K57" s="56"/>
      <c r="L57" s="56"/>
      <c r="M57" s="56"/>
      <c r="N57" s="56"/>
    </row>
    <row r="58" spans="1:14" ht="15" customHeight="1" x14ac:dyDescent="0.2">
      <c r="A58" s="36"/>
      <c r="B58" s="47"/>
      <c r="C58" s="4"/>
      <c r="D58" s="36"/>
      <c r="E58" s="36"/>
      <c r="F58" s="36"/>
      <c r="G58" s="36"/>
      <c r="H58" s="56"/>
      <c r="I58" s="60">
        <f t="shared" si="0"/>
        <v>412</v>
      </c>
      <c r="J58" s="224"/>
      <c r="K58" s="56"/>
      <c r="L58" s="56"/>
      <c r="M58" s="56"/>
      <c r="N58" s="56"/>
    </row>
    <row r="59" spans="1:14" ht="15" customHeight="1" x14ac:dyDescent="0.2">
      <c r="A59" s="36"/>
      <c r="B59" s="47"/>
      <c r="C59" s="4"/>
      <c r="D59" s="36"/>
      <c r="E59" s="36"/>
      <c r="F59" s="36"/>
      <c r="G59" s="36"/>
      <c r="H59" s="56"/>
      <c r="I59" s="60">
        <f t="shared" si="0"/>
        <v>413</v>
      </c>
      <c r="J59" s="224"/>
      <c r="K59" s="56"/>
      <c r="L59" s="56"/>
      <c r="M59" s="56"/>
      <c r="N59" s="56"/>
    </row>
    <row r="60" spans="1:14" ht="15" customHeight="1" x14ac:dyDescent="0.2">
      <c r="A60" s="36"/>
      <c r="B60" s="47"/>
      <c r="C60" s="4"/>
      <c r="D60" s="36"/>
      <c r="E60" s="36"/>
      <c r="F60" s="36"/>
      <c r="G60" s="36"/>
      <c r="H60" s="56"/>
      <c r="I60" s="60">
        <f t="shared" si="0"/>
        <v>414</v>
      </c>
      <c r="J60" s="224"/>
      <c r="K60" s="56"/>
      <c r="L60" s="56"/>
      <c r="M60" s="56"/>
      <c r="N60" s="56"/>
    </row>
    <row r="61" spans="1:14" ht="15" customHeight="1" x14ac:dyDescent="0.2">
      <c r="A61" s="36"/>
      <c r="B61" s="47"/>
      <c r="C61" s="4"/>
      <c r="D61" s="36"/>
      <c r="E61" s="36"/>
      <c r="F61" s="36"/>
      <c r="G61" s="36"/>
      <c r="H61" s="56"/>
      <c r="I61" s="60">
        <f t="shared" si="0"/>
        <v>415</v>
      </c>
      <c r="J61" s="224"/>
      <c r="K61" s="56"/>
      <c r="L61" s="56"/>
      <c r="M61" s="56"/>
      <c r="N61" s="56"/>
    </row>
    <row r="62" spans="1:14" ht="15" customHeight="1" x14ac:dyDescent="0.2">
      <c r="A62" s="36"/>
      <c r="B62" s="47"/>
      <c r="C62" s="4"/>
      <c r="D62" s="36"/>
      <c r="E62" s="36"/>
      <c r="F62" s="36"/>
      <c r="G62" s="36"/>
      <c r="H62" s="56"/>
      <c r="I62" s="60">
        <f t="shared" si="0"/>
        <v>416</v>
      </c>
      <c r="J62" s="224"/>
      <c r="K62" s="56"/>
      <c r="L62" s="56"/>
      <c r="M62" s="56"/>
      <c r="N62" s="56"/>
    </row>
    <row r="63" spans="1:14" ht="15" customHeight="1" x14ac:dyDescent="0.2">
      <c r="A63" s="36"/>
      <c r="B63" s="47"/>
      <c r="C63" s="4"/>
      <c r="D63" s="36"/>
      <c r="E63" s="36"/>
      <c r="F63" s="36"/>
      <c r="G63" s="36"/>
      <c r="H63" s="56"/>
      <c r="I63" s="60">
        <f t="shared" si="0"/>
        <v>417</v>
      </c>
      <c r="J63" s="224"/>
      <c r="K63" s="56"/>
      <c r="L63" s="56"/>
      <c r="M63" s="56"/>
      <c r="N63" s="56"/>
    </row>
    <row r="64" spans="1:14" ht="15" customHeight="1" x14ac:dyDescent="0.2">
      <c r="A64" s="36"/>
      <c r="B64" s="47"/>
      <c r="C64" s="4"/>
      <c r="D64" s="36"/>
      <c r="E64" s="36"/>
      <c r="F64" s="36"/>
      <c r="G64" s="36"/>
      <c r="H64" s="56"/>
      <c r="I64" s="60">
        <f t="shared" si="0"/>
        <v>418</v>
      </c>
      <c r="J64" s="224"/>
      <c r="K64" s="56"/>
      <c r="L64" s="56"/>
      <c r="M64" s="56"/>
      <c r="N64" s="56"/>
    </row>
    <row r="65" spans="1:14" ht="15" customHeight="1" x14ac:dyDescent="0.2">
      <c r="A65" s="36"/>
      <c r="B65" s="47"/>
      <c r="C65" s="4"/>
      <c r="D65" s="36"/>
      <c r="E65" s="36"/>
      <c r="F65" s="36"/>
      <c r="G65" s="36"/>
      <c r="H65" s="56"/>
      <c r="I65" s="60">
        <f t="shared" si="0"/>
        <v>419</v>
      </c>
      <c r="J65" s="224"/>
      <c r="K65" s="56"/>
      <c r="L65" s="56"/>
      <c r="M65" s="56"/>
      <c r="N65" s="56"/>
    </row>
    <row r="66" spans="1:14" ht="15" customHeight="1" x14ac:dyDescent="0.2">
      <c r="A66" s="36"/>
      <c r="B66" s="47"/>
      <c r="C66" s="4"/>
      <c r="D66" s="36"/>
      <c r="E66" s="36"/>
      <c r="F66" s="36"/>
      <c r="G66" s="36"/>
      <c r="H66" s="56"/>
      <c r="I66" s="60">
        <f t="shared" si="0"/>
        <v>420</v>
      </c>
      <c r="J66" s="224"/>
      <c r="K66" s="56"/>
      <c r="L66" s="56"/>
      <c r="M66" s="56"/>
      <c r="N66" s="56"/>
    </row>
    <row r="67" spans="1:14" ht="15" customHeight="1" x14ac:dyDescent="0.2">
      <c r="A67" s="36"/>
      <c r="B67" s="47"/>
      <c r="C67" s="4"/>
      <c r="D67" s="36"/>
      <c r="E67" s="36"/>
      <c r="F67" s="36"/>
      <c r="G67" s="36"/>
      <c r="H67" s="56"/>
      <c r="I67" s="60">
        <f t="shared" si="0"/>
        <v>421</v>
      </c>
      <c r="J67" s="224"/>
      <c r="K67" s="56"/>
      <c r="L67" s="56"/>
      <c r="M67" s="56"/>
      <c r="N67" s="56"/>
    </row>
    <row r="68" spans="1:14" ht="15" customHeight="1" x14ac:dyDescent="0.2">
      <c r="A68" s="36"/>
      <c r="B68" s="47"/>
      <c r="C68" s="4"/>
      <c r="D68" s="36"/>
      <c r="E68" s="36"/>
      <c r="F68" s="36"/>
      <c r="G68" s="36"/>
      <c r="H68" s="56"/>
      <c r="I68" s="60">
        <f t="shared" si="0"/>
        <v>422</v>
      </c>
      <c r="J68" s="224"/>
      <c r="K68" s="56"/>
      <c r="L68" s="56"/>
      <c r="M68" s="56"/>
      <c r="N68" s="56"/>
    </row>
    <row r="69" spans="1:14" ht="15" customHeight="1" x14ac:dyDescent="0.2">
      <c r="A69" s="36"/>
      <c r="B69" s="47"/>
      <c r="C69" s="4"/>
      <c r="D69" s="36"/>
      <c r="E69" s="36"/>
      <c r="F69" s="36"/>
      <c r="G69" s="36"/>
      <c r="H69" s="56"/>
      <c r="I69" s="60">
        <f t="shared" si="0"/>
        <v>423</v>
      </c>
      <c r="J69" s="224"/>
      <c r="K69" s="56"/>
      <c r="L69" s="56"/>
      <c r="M69" s="56"/>
      <c r="N69" s="56"/>
    </row>
    <row r="70" spans="1:14" ht="15" customHeight="1" x14ac:dyDescent="0.2">
      <c r="A70" s="36"/>
      <c r="B70" s="47"/>
      <c r="C70" s="4"/>
      <c r="D70" s="36"/>
      <c r="E70" s="36"/>
      <c r="F70" s="36"/>
      <c r="G70" s="36"/>
      <c r="H70" s="56"/>
      <c r="I70" s="60">
        <f t="shared" si="0"/>
        <v>424</v>
      </c>
      <c r="J70" s="224"/>
      <c r="K70" s="56"/>
      <c r="L70" s="56"/>
      <c r="M70" s="56"/>
      <c r="N70" s="56"/>
    </row>
    <row r="71" spans="1:14" ht="15" customHeight="1" x14ac:dyDescent="0.2">
      <c r="A71" s="36"/>
      <c r="B71" s="47"/>
      <c r="C71" s="4"/>
      <c r="D71" s="36"/>
      <c r="E71" s="36"/>
      <c r="F71" s="36"/>
      <c r="G71" s="36"/>
      <c r="H71" s="56"/>
      <c r="I71" s="60">
        <f t="shared" si="0"/>
        <v>425</v>
      </c>
      <c r="J71" s="224"/>
      <c r="K71" s="56"/>
      <c r="L71" s="56"/>
      <c r="M71" s="56"/>
      <c r="N71" s="56"/>
    </row>
    <row r="72" spans="1:14" ht="15" customHeight="1" x14ac:dyDescent="0.2">
      <c r="A72" s="36"/>
      <c r="B72" s="47"/>
      <c r="C72" s="4"/>
      <c r="D72" s="36"/>
      <c r="E72" s="36"/>
      <c r="F72" s="36"/>
      <c r="G72" s="36"/>
      <c r="H72" s="56"/>
      <c r="I72" s="60">
        <f t="shared" si="0"/>
        <v>426</v>
      </c>
      <c r="J72" s="224"/>
      <c r="K72" s="56"/>
      <c r="L72" s="56"/>
      <c r="M72" s="56"/>
      <c r="N72" s="56"/>
    </row>
    <row r="73" spans="1:14" ht="15" customHeight="1" x14ac:dyDescent="0.2">
      <c r="A73" s="36"/>
      <c r="B73" s="47"/>
      <c r="C73" s="4"/>
      <c r="D73" s="36"/>
      <c r="E73" s="36"/>
      <c r="F73" s="36"/>
      <c r="G73" s="36"/>
      <c r="H73" s="56"/>
      <c r="I73" s="60">
        <f t="shared" si="0"/>
        <v>427</v>
      </c>
      <c r="J73" s="224"/>
      <c r="K73" s="56"/>
      <c r="L73" s="56"/>
      <c r="M73" s="56"/>
      <c r="N73" s="56"/>
    </row>
    <row r="74" spans="1:14" ht="15" customHeight="1" x14ac:dyDescent="0.2">
      <c r="A74" s="36"/>
      <c r="B74" s="47"/>
      <c r="C74" s="4"/>
      <c r="D74" s="36"/>
      <c r="E74" s="36"/>
      <c r="F74" s="36"/>
      <c r="G74" s="36"/>
      <c r="H74" s="56"/>
      <c r="I74" s="60">
        <f t="shared" si="0"/>
        <v>428</v>
      </c>
      <c r="J74" s="224"/>
      <c r="K74" s="56"/>
      <c r="L74" s="56"/>
      <c r="M74" s="56"/>
      <c r="N74" s="56"/>
    </row>
    <row r="75" spans="1:14" ht="15" customHeight="1" x14ac:dyDescent="0.2">
      <c r="A75" s="36"/>
      <c r="B75" s="47"/>
      <c r="C75" s="4"/>
      <c r="D75" s="36"/>
      <c r="E75" s="36"/>
      <c r="F75" s="36"/>
      <c r="G75" s="36"/>
      <c r="H75" s="56"/>
      <c r="I75" s="60">
        <f t="shared" si="0"/>
        <v>429</v>
      </c>
      <c r="J75" s="224"/>
      <c r="K75" s="56"/>
      <c r="L75" s="56"/>
      <c r="M75" s="56"/>
      <c r="N75" s="56"/>
    </row>
    <row r="76" spans="1:14" ht="15" customHeight="1" x14ac:dyDescent="0.2">
      <c r="A76" s="36"/>
      <c r="B76" s="47"/>
      <c r="C76" s="4"/>
      <c r="D76" s="36"/>
      <c r="E76" s="36"/>
      <c r="F76" s="36"/>
      <c r="G76" s="36"/>
      <c r="H76" s="56"/>
      <c r="I76" s="60">
        <f t="shared" si="0"/>
        <v>430</v>
      </c>
      <c r="J76" s="224"/>
      <c r="K76" s="56"/>
      <c r="L76" s="56"/>
      <c r="M76" s="56"/>
      <c r="N76" s="56"/>
    </row>
    <row r="77" spans="1:14" ht="15" customHeight="1" x14ac:dyDescent="0.2">
      <c r="A77" s="36"/>
      <c r="B77" s="47"/>
      <c r="C77" s="4"/>
      <c r="D77" s="36"/>
      <c r="E77" s="36"/>
      <c r="F77" s="36"/>
      <c r="G77" s="36"/>
      <c r="H77" s="56"/>
      <c r="I77" s="60">
        <f t="shared" si="0"/>
        <v>431</v>
      </c>
      <c r="J77" s="224"/>
      <c r="K77" s="56"/>
      <c r="L77" s="56"/>
      <c r="M77" s="56"/>
      <c r="N77" s="56"/>
    </row>
    <row r="78" spans="1:14" ht="15" customHeight="1" x14ac:dyDescent="0.2">
      <c r="A78" s="36"/>
      <c r="B78" s="47"/>
      <c r="C78" s="4"/>
      <c r="D78" s="36"/>
      <c r="E78" s="36"/>
      <c r="F78" s="36"/>
      <c r="G78" s="36"/>
      <c r="H78" s="56"/>
      <c r="I78" s="60">
        <f t="shared" si="0"/>
        <v>432</v>
      </c>
      <c r="J78" s="224"/>
      <c r="K78" s="56"/>
      <c r="L78" s="56"/>
      <c r="M78" s="56"/>
      <c r="N78" s="56"/>
    </row>
    <row r="79" spans="1:14" ht="15" customHeight="1" x14ac:dyDescent="0.2">
      <c r="A79" s="36"/>
      <c r="B79" s="47"/>
      <c r="C79" s="4"/>
      <c r="D79" s="36"/>
      <c r="E79" s="36"/>
      <c r="F79" s="36"/>
      <c r="G79" s="36"/>
      <c r="H79" s="56"/>
      <c r="I79" s="60">
        <f t="shared" si="0"/>
        <v>433</v>
      </c>
      <c r="J79" s="224"/>
      <c r="K79" s="56"/>
      <c r="L79" s="56"/>
      <c r="M79" s="56"/>
      <c r="N79" s="56"/>
    </row>
    <row r="80" spans="1:14" ht="15" customHeight="1" x14ac:dyDescent="0.2">
      <c r="A80" s="36"/>
      <c r="B80" s="47"/>
      <c r="C80" s="4"/>
      <c r="D80" s="36"/>
      <c r="E80" s="36"/>
      <c r="F80" s="36"/>
      <c r="G80" s="36"/>
      <c r="H80" s="56"/>
      <c r="I80" s="60">
        <f t="shared" si="0"/>
        <v>434</v>
      </c>
      <c r="J80" s="224"/>
      <c r="K80" s="56"/>
      <c r="L80" s="56"/>
      <c r="M80" s="56"/>
      <c r="N80" s="56"/>
    </row>
    <row r="81" spans="1:14" ht="15" customHeight="1" x14ac:dyDescent="0.2">
      <c r="A81" s="36"/>
      <c r="B81" s="47"/>
      <c r="C81" s="4"/>
      <c r="D81" s="36"/>
      <c r="E81" s="36"/>
      <c r="F81" s="36"/>
      <c r="G81" s="36"/>
      <c r="H81" s="56"/>
      <c r="I81" s="60">
        <f t="shared" si="0"/>
        <v>435</v>
      </c>
      <c r="J81" s="224"/>
      <c r="K81" s="56"/>
      <c r="L81" s="56"/>
      <c r="M81" s="56"/>
      <c r="N81" s="56"/>
    </row>
    <row r="82" spans="1:14" ht="15" customHeight="1" x14ac:dyDescent="0.2">
      <c r="A82" s="36"/>
      <c r="B82" s="47"/>
      <c r="C82" s="4"/>
      <c r="D82" s="36"/>
      <c r="E82" s="36"/>
      <c r="F82" s="36"/>
      <c r="G82" s="36"/>
      <c r="H82" s="56"/>
      <c r="I82" s="60">
        <f t="shared" si="0"/>
        <v>436</v>
      </c>
      <c r="J82" s="224"/>
      <c r="K82" s="56"/>
      <c r="L82" s="56"/>
      <c r="M82" s="56"/>
      <c r="N82" s="56"/>
    </row>
    <row r="83" spans="1:14" ht="15" customHeight="1" x14ac:dyDescent="0.2">
      <c r="A83" s="36"/>
      <c r="B83" s="47"/>
      <c r="C83" s="4"/>
      <c r="D83" s="36"/>
      <c r="E83" s="36"/>
      <c r="F83" s="36"/>
      <c r="G83" s="36"/>
      <c r="H83" s="56"/>
      <c r="I83" s="60">
        <f t="shared" si="0"/>
        <v>437</v>
      </c>
      <c r="J83" s="224"/>
      <c r="K83" s="56"/>
      <c r="L83" s="56"/>
      <c r="M83" s="56"/>
      <c r="N83" s="56"/>
    </row>
    <row r="84" spans="1:14" ht="15" customHeight="1" x14ac:dyDescent="0.2">
      <c r="A84" s="36"/>
      <c r="B84" s="47"/>
      <c r="C84" s="4"/>
      <c r="D84" s="36"/>
      <c r="E84" s="36"/>
      <c r="F84" s="36"/>
      <c r="G84" s="36"/>
      <c r="H84" s="56"/>
      <c r="I84" s="60">
        <f t="shared" si="0"/>
        <v>438</v>
      </c>
      <c r="J84" s="224"/>
      <c r="K84" s="56"/>
      <c r="L84" s="56"/>
      <c r="M84" s="56"/>
      <c r="N84" s="56"/>
    </row>
    <row r="85" spans="1:14" ht="15" customHeight="1" x14ac:dyDescent="0.2">
      <c r="A85" s="36"/>
      <c r="B85" s="47"/>
      <c r="C85" s="4"/>
      <c r="D85" s="36"/>
      <c r="E85" s="36"/>
      <c r="F85" s="36"/>
      <c r="G85" s="36"/>
      <c r="H85" s="56"/>
      <c r="I85" s="60">
        <f t="shared" si="0"/>
        <v>439</v>
      </c>
      <c r="J85" s="224"/>
      <c r="K85" s="56"/>
      <c r="L85" s="56"/>
      <c r="M85" s="56"/>
      <c r="N85" s="56"/>
    </row>
    <row r="86" spans="1:14" ht="15" customHeight="1" x14ac:dyDescent="0.2">
      <c r="A86" s="36"/>
      <c r="B86" s="47"/>
      <c r="C86" s="4"/>
      <c r="D86" s="36"/>
      <c r="E86" s="36"/>
      <c r="F86" s="36"/>
      <c r="G86" s="36"/>
      <c r="H86" s="56"/>
      <c r="I86" s="60">
        <f t="shared" si="0"/>
        <v>440</v>
      </c>
      <c r="J86" s="224"/>
      <c r="K86" s="56"/>
      <c r="L86" s="56"/>
      <c r="M86" s="56"/>
      <c r="N86" s="56"/>
    </row>
    <row r="87" spans="1:14" ht="15" customHeight="1" x14ac:dyDescent="0.2">
      <c r="A87" s="36"/>
      <c r="B87" s="47"/>
      <c r="C87" s="4"/>
      <c r="D87" s="36"/>
      <c r="E87" s="36"/>
      <c r="F87" s="36"/>
      <c r="G87" s="36"/>
      <c r="H87" s="56"/>
      <c r="I87" s="60">
        <f t="shared" si="0"/>
        <v>441</v>
      </c>
      <c r="J87" s="224"/>
      <c r="K87" s="56"/>
      <c r="L87" s="56"/>
      <c r="M87" s="56"/>
      <c r="N87" s="56"/>
    </row>
    <row r="88" spans="1:14" ht="15" customHeight="1" x14ac:dyDescent="0.2">
      <c r="A88" s="36"/>
      <c r="B88" s="47"/>
      <c r="C88" s="4"/>
      <c r="D88" s="36"/>
      <c r="E88" s="36"/>
      <c r="F88" s="36"/>
      <c r="G88" s="36"/>
      <c r="H88" s="56"/>
      <c r="I88" s="60">
        <f t="shared" si="0"/>
        <v>442</v>
      </c>
      <c r="J88" s="224"/>
      <c r="K88" s="56"/>
      <c r="L88" s="56"/>
      <c r="M88" s="56"/>
      <c r="N88" s="56"/>
    </row>
    <row r="89" spans="1:14" ht="15" customHeight="1" x14ac:dyDescent="0.2">
      <c r="A89" s="36"/>
      <c r="B89" s="47"/>
      <c r="C89" s="4"/>
      <c r="D89" s="36"/>
      <c r="E89" s="36"/>
      <c r="F89" s="36"/>
      <c r="G89" s="36"/>
      <c r="H89" s="56"/>
      <c r="I89" s="60">
        <f t="shared" si="0"/>
        <v>443</v>
      </c>
      <c r="J89" s="224"/>
      <c r="K89" s="56"/>
      <c r="L89" s="56"/>
      <c r="M89" s="56"/>
      <c r="N89" s="56"/>
    </row>
    <row r="90" spans="1:14" ht="15" customHeight="1" x14ac:dyDescent="0.2">
      <c r="A90" s="36"/>
      <c r="B90" s="47"/>
      <c r="C90" s="4"/>
      <c r="D90" s="36"/>
      <c r="E90" s="36"/>
      <c r="F90" s="36"/>
      <c r="G90" s="36"/>
      <c r="H90" s="56"/>
      <c r="I90" s="60">
        <f t="shared" ref="I90:I153" si="1">IF(380+J$22*(ROW()-ROW(I$25)-1)&gt;780,"",380+J$22*(ROW()-ROW(I$25)-1))</f>
        <v>444</v>
      </c>
      <c r="J90" s="224"/>
      <c r="K90" s="56"/>
      <c r="L90" s="56"/>
      <c r="M90" s="56"/>
      <c r="N90" s="56"/>
    </row>
    <row r="91" spans="1:14" ht="15" customHeight="1" x14ac:dyDescent="0.2">
      <c r="A91" s="36"/>
      <c r="B91" s="47"/>
      <c r="C91" s="4"/>
      <c r="D91" s="36"/>
      <c r="E91" s="36"/>
      <c r="F91" s="36"/>
      <c r="G91" s="36"/>
      <c r="H91" s="56"/>
      <c r="I91" s="60">
        <f t="shared" si="1"/>
        <v>445</v>
      </c>
      <c r="J91" s="224"/>
      <c r="K91" s="56"/>
      <c r="L91" s="56"/>
      <c r="M91" s="56"/>
      <c r="N91" s="56"/>
    </row>
    <row r="92" spans="1:14" ht="15" customHeight="1" x14ac:dyDescent="0.2">
      <c r="A92" s="36"/>
      <c r="B92" s="47"/>
      <c r="C92" s="4"/>
      <c r="D92" s="36"/>
      <c r="E92" s="36"/>
      <c r="F92" s="36"/>
      <c r="G92" s="36"/>
      <c r="H92" s="56"/>
      <c r="I92" s="60">
        <f t="shared" si="1"/>
        <v>446</v>
      </c>
      <c r="J92" s="224"/>
      <c r="K92" s="56"/>
      <c r="L92" s="56"/>
      <c r="M92" s="56"/>
      <c r="N92" s="56"/>
    </row>
    <row r="93" spans="1:14" ht="15" customHeight="1" x14ac:dyDescent="0.2">
      <c r="A93" s="36"/>
      <c r="B93" s="47"/>
      <c r="C93" s="4"/>
      <c r="D93" s="36"/>
      <c r="E93" s="36"/>
      <c r="F93" s="36"/>
      <c r="G93" s="36"/>
      <c r="H93" s="56"/>
      <c r="I93" s="60">
        <f t="shared" si="1"/>
        <v>447</v>
      </c>
      <c r="J93" s="224"/>
      <c r="K93" s="56"/>
      <c r="L93" s="56"/>
      <c r="M93" s="56"/>
      <c r="N93" s="56"/>
    </row>
    <row r="94" spans="1:14" ht="15" customHeight="1" x14ac:dyDescent="0.2">
      <c r="A94" s="36"/>
      <c r="B94" s="47"/>
      <c r="C94" s="4"/>
      <c r="D94" s="36"/>
      <c r="E94" s="36"/>
      <c r="F94" s="36"/>
      <c r="G94" s="36"/>
      <c r="H94" s="56"/>
      <c r="I94" s="60">
        <f t="shared" si="1"/>
        <v>448</v>
      </c>
      <c r="J94" s="224"/>
      <c r="K94" s="56"/>
      <c r="L94" s="56"/>
      <c r="M94" s="56"/>
      <c r="N94" s="56"/>
    </row>
    <row r="95" spans="1:14" ht="15" customHeight="1" x14ac:dyDescent="0.2">
      <c r="A95" s="36"/>
      <c r="B95" s="47"/>
      <c r="C95" s="4"/>
      <c r="D95" s="36"/>
      <c r="E95" s="36"/>
      <c r="F95" s="36"/>
      <c r="G95" s="36"/>
      <c r="H95" s="56"/>
      <c r="I95" s="60">
        <f t="shared" si="1"/>
        <v>449</v>
      </c>
      <c r="J95" s="224"/>
      <c r="K95" s="56"/>
      <c r="L95" s="56"/>
      <c r="M95" s="56"/>
      <c r="N95" s="56"/>
    </row>
    <row r="96" spans="1:14" ht="15" customHeight="1" x14ac:dyDescent="0.2">
      <c r="A96" s="36"/>
      <c r="B96" s="47"/>
      <c r="C96" s="4"/>
      <c r="D96" s="36"/>
      <c r="E96" s="36"/>
      <c r="F96" s="36"/>
      <c r="G96" s="36"/>
      <c r="H96" s="56"/>
      <c r="I96" s="60">
        <f t="shared" si="1"/>
        <v>450</v>
      </c>
      <c r="J96" s="224"/>
      <c r="K96" s="56"/>
      <c r="L96" s="56"/>
      <c r="M96" s="56"/>
      <c r="N96" s="56"/>
    </row>
    <row r="97" spans="1:14" ht="15" customHeight="1" x14ac:dyDescent="0.2">
      <c r="A97" s="36"/>
      <c r="B97" s="47"/>
      <c r="C97" s="4"/>
      <c r="D97" s="36"/>
      <c r="E97" s="36"/>
      <c r="F97" s="36"/>
      <c r="G97" s="36"/>
      <c r="H97" s="56"/>
      <c r="I97" s="60">
        <f t="shared" si="1"/>
        <v>451</v>
      </c>
      <c r="J97" s="224"/>
      <c r="K97" s="56"/>
      <c r="L97" s="56"/>
      <c r="M97" s="56"/>
      <c r="N97" s="56"/>
    </row>
    <row r="98" spans="1:14" ht="15" customHeight="1" x14ac:dyDescent="0.2">
      <c r="A98" s="36"/>
      <c r="B98" s="47"/>
      <c r="C98" s="4"/>
      <c r="D98" s="36"/>
      <c r="E98" s="36"/>
      <c r="F98" s="36"/>
      <c r="G98" s="36"/>
      <c r="H98" s="56"/>
      <c r="I98" s="60">
        <f t="shared" si="1"/>
        <v>452</v>
      </c>
      <c r="J98" s="224"/>
      <c r="K98" s="56"/>
      <c r="L98" s="56"/>
      <c r="M98" s="56"/>
      <c r="N98" s="56"/>
    </row>
    <row r="99" spans="1:14" ht="15" customHeight="1" x14ac:dyDescent="0.2">
      <c r="A99" s="36"/>
      <c r="B99" s="47"/>
      <c r="C99" s="4"/>
      <c r="D99" s="36"/>
      <c r="E99" s="36"/>
      <c r="F99" s="36"/>
      <c r="G99" s="36"/>
      <c r="H99" s="56"/>
      <c r="I99" s="60">
        <f t="shared" si="1"/>
        <v>453</v>
      </c>
      <c r="J99" s="224"/>
      <c r="K99" s="56"/>
      <c r="L99" s="56"/>
      <c r="M99" s="56"/>
      <c r="N99" s="56"/>
    </row>
    <row r="100" spans="1:14" ht="15" customHeight="1" x14ac:dyDescent="0.2">
      <c r="A100" s="36"/>
      <c r="B100" s="47"/>
      <c r="C100" s="4"/>
      <c r="D100" s="36"/>
      <c r="E100" s="36"/>
      <c r="F100" s="36"/>
      <c r="G100" s="36"/>
      <c r="H100" s="56"/>
      <c r="I100" s="60">
        <f t="shared" si="1"/>
        <v>454</v>
      </c>
      <c r="J100" s="224"/>
      <c r="K100" s="56"/>
      <c r="L100" s="56"/>
      <c r="M100" s="56"/>
      <c r="N100" s="56"/>
    </row>
    <row r="101" spans="1:14" ht="15" customHeight="1" x14ac:dyDescent="0.2">
      <c r="A101" s="36"/>
      <c r="B101" s="47"/>
      <c r="C101" s="4"/>
      <c r="D101" s="36"/>
      <c r="E101" s="36"/>
      <c r="F101" s="36"/>
      <c r="G101" s="36"/>
      <c r="H101" s="56"/>
      <c r="I101" s="60">
        <f t="shared" si="1"/>
        <v>455</v>
      </c>
      <c r="J101" s="224"/>
      <c r="K101" s="56"/>
      <c r="L101" s="56"/>
      <c r="M101" s="56"/>
      <c r="N101" s="56"/>
    </row>
    <row r="102" spans="1:14" ht="15" customHeight="1" x14ac:dyDescent="0.2">
      <c r="A102" s="36"/>
      <c r="B102" s="47"/>
      <c r="C102" s="4"/>
      <c r="D102" s="36"/>
      <c r="E102" s="36"/>
      <c r="F102" s="36"/>
      <c r="G102" s="36"/>
      <c r="H102" s="56"/>
      <c r="I102" s="60">
        <f t="shared" si="1"/>
        <v>456</v>
      </c>
      <c r="J102" s="224"/>
      <c r="K102" s="56"/>
      <c r="L102" s="56"/>
      <c r="M102" s="56"/>
      <c r="N102" s="56"/>
    </row>
    <row r="103" spans="1:14" ht="15" customHeight="1" x14ac:dyDescent="0.2">
      <c r="A103" s="36"/>
      <c r="B103" s="47"/>
      <c r="C103" s="4"/>
      <c r="D103" s="36"/>
      <c r="E103" s="36"/>
      <c r="F103" s="36"/>
      <c r="G103" s="36"/>
      <c r="H103" s="56"/>
      <c r="I103" s="60">
        <f t="shared" si="1"/>
        <v>457</v>
      </c>
      <c r="J103" s="224"/>
      <c r="K103" s="56"/>
      <c r="L103" s="56"/>
      <c r="M103" s="56"/>
      <c r="N103" s="56"/>
    </row>
    <row r="104" spans="1:14" ht="15" customHeight="1" x14ac:dyDescent="0.2">
      <c r="A104" s="36"/>
      <c r="B104" s="47"/>
      <c r="C104" s="4"/>
      <c r="D104" s="36"/>
      <c r="E104" s="36"/>
      <c r="F104" s="36"/>
      <c r="G104" s="36"/>
      <c r="H104" s="56"/>
      <c r="I104" s="60">
        <f t="shared" si="1"/>
        <v>458</v>
      </c>
      <c r="J104" s="224"/>
      <c r="K104" s="56"/>
      <c r="L104" s="56"/>
      <c r="M104" s="56"/>
      <c r="N104" s="56"/>
    </row>
    <row r="105" spans="1:14" ht="15" customHeight="1" x14ac:dyDescent="0.2">
      <c r="A105" s="36"/>
      <c r="B105" s="47"/>
      <c r="C105" s="4"/>
      <c r="D105" s="36"/>
      <c r="E105" s="36"/>
      <c r="F105" s="36"/>
      <c r="G105" s="36"/>
      <c r="H105" s="56"/>
      <c r="I105" s="60">
        <f t="shared" si="1"/>
        <v>459</v>
      </c>
      <c r="J105" s="224"/>
      <c r="K105" s="56"/>
      <c r="L105" s="56"/>
      <c r="M105" s="56"/>
      <c r="N105" s="56"/>
    </row>
    <row r="106" spans="1:14" ht="15" customHeight="1" x14ac:dyDescent="0.2">
      <c r="A106" s="36"/>
      <c r="B106" s="47"/>
      <c r="C106" s="4"/>
      <c r="D106" s="36"/>
      <c r="E106" s="36"/>
      <c r="F106" s="36"/>
      <c r="G106" s="36"/>
      <c r="H106" s="56"/>
      <c r="I106" s="60">
        <f t="shared" si="1"/>
        <v>460</v>
      </c>
      <c r="J106" s="224"/>
      <c r="K106" s="56"/>
      <c r="L106" s="56"/>
      <c r="M106" s="56"/>
      <c r="N106" s="56"/>
    </row>
    <row r="107" spans="1:14" ht="15" customHeight="1" x14ac:dyDescent="0.2">
      <c r="A107" s="36"/>
      <c r="B107" s="47"/>
      <c r="C107" s="4"/>
      <c r="D107" s="36"/>
      <c r="E107" s="36"/>
      <c r="F107" s="36"/>
      <c r="G107" s="36"/>
      <c r="H107" s="56"/>
      <c r="I107" s="60">
        <f t="shared" si="1"/>
        <v>461</v>
      </c>
      <c r="J107" s="224"/>
      <c r="K107" s="56"/>
      <c r="L107" s="56"/>
      <c r="M107" s="56"/>
      <c r="N107" s="56"/>
    </row>
    <row r="108" spans="1:14" ht="15" customHeight="1" x14ac:dyDescent="0.2">
      <c r="A108" s="36"/>
      <c r="B108" s="47"/>
      <c r="C108" s="4"/>
      <c r="D108" s="36"/>
      <c r="E108" s="36"/>
      <c r="F108" s="36"/>
      <c r="G108" s="36"/>
      <c r="H108" s="56"/>
      <c r="I108" s="60">
        <f t="shared" si="1"/>
        <v>462</v>
      </c>
      <c r="J108" s="224"/>
      <c r="K108" s="56"/>
      <c r="L108" s="56"/>
      <c r="M108" s="56"/>
      <c r="N108" s="56"/>
    </row>
    <row r="109" spans="1:14" ht="15" customHeight="1" x14ac:dyDescent="0.2">
      <c r="A109" s="36"/>
      <c r="B109" s="47"/>
      <c r="C109" s="4"/>
      <c r="D109" s="36"/>
      <c r="E109" s="36"/>
      <c r="F109" s="36"/>
      <c r="G109" s="36"/>
      <c r="H109" s="56"/>
      <c r="I109" s="60">
        <f t="shared" si="1"/>
        <v>463</v>
      </c>
      <c r="J109" s="224"/>
      <c r="K109" s="56"/>
      <c r="L109" s="56"/>
      <c r="M109" s="56"/>
      <c r="N109" s="56"/>
    </row>
    <row r="110" spans="1:14" ht="15" customHeight="1" x14ac:dyDescent="0.2">
      <c r="A110" s="36"/>
      <c r="B110" s="47"/>
      <c r="C110" s="4"/>
      <c r="D110" s="36"/>
      <c r="E110" s="36"/>
      <c r="F110" s="36"/>
      <c r="G110" s="36"/>
      <c r="H110" s="56"/>
      <c r="I110" s="60">
        <f t="shared" si="1"/>
        <v>464</v>
      </c>
      <c r="J110" s="224"/>
      <c r="K110" s="56"/>
      <c r="L110" s="56"/>
      <c r="M110" s="56"/>
      <c r="N110" s="56"/>
    </row>
    <row r="111" spans="1:14" ht="15" customHeight="1" x14ac:dyDescent="0.2">
      <c r="A111" s="36"/>
      <c r="B111" s="47"/>
      <c r="C111" s="4"/>
      <c r="D111" s="36"/>
      <c r="E111" s="36"/>
      <c r="F111" s="36"/>
      <c r="G111" s="36"/>
      <c r="H111" s="56"/>
      <c r="I111" s="60">
        <f t="shared" si="1"/>
        <v>465</v>
      </c>
      <c r="J111" s="224"/>
      <c r="K111" s="56"/>
      <c r="L111" s="56"/>
      <c r="M111" s="56"/>
      <c r="N111" s="56"/>
    </row>
    <row r="112" spans="1:14" ht="15" customHeight="1" x14ac:dyDescent="0.2">
      <c r="A112" s="36"/>
      <c r="B112" s="47"/>
      <c r="C112" s="4"/>
      <c r="D112" s="36"/>
      <c r="E112" s="36"/>
      <c r="F112" s="36"/>
      <c r="G112" s="36"/>
      <c r="H112" s="56"/>
      <c r="I112" s="60">
        <f t="shared" si="1"/>
        <v>466</v>
      </c>
      <c r="J112" s="224"/>
      <c r="K112" s="56"/>
      <c r="L112" s="56"/>
      <c r="M112" s="56"/>
      <c r="N112" s="56"/>
    </row>
    <row r="113" spans="1:14" ht="15" customHeight="1" x14ac:dyDescent="0.2">
      <c r="A113" s="36"/>
      <c r="B113" s="47"/>
      <c r="C113" s="4"/>
      <c r="D113" s="36"/>
      <c r="E113" s="36"/>
      <c r="F113" s="36"/>
      <c r="G113" s="36"/>
      <c r="H113" s="56"/>
      <c r="I113" s="60">
        <f t="shared" si="1"/>
        <v>467</v>
      </c>
      <c r="J113" s="224"/>
      <c r="K113" s="56"/>
      <c r="L113" s="56"/>
      <c r="M113" s="56"/>
      <c r="N113" s="56"/>
    </row>
    <row r="114" spans="1:14" ht="15" customHeight="1" x14ac:dyDescent="0.2">
      <c r="A114" s="36"/>
      <c r="B114" s="47"/>
      <c r="C114" s="4"/>
      <c r="D114" s="36"/>
      <c r="E114" s="36"/>
      <c r="F114" s="36"/>
      <c r="G114" s="36"/>
      <c r="H114" s="56"/>
      <c r="I114" s="60">
        <f t="shared" si="1"/>
        <v>468</v>
      </c>
      <c r="J114" s="224"/>
      <c r="K114" s="56"/>
      <c r="L114" s="56"/>
      <c r="M114" s="56"/>
      <c r="N114" s="56"/>
    </row>
    <row r="115" spans="1:14" ht="15" customHeight="1" x14ac:dyDescent="0.2">
      <c r="A115" s="36"/>
      <c r="B115" s="47"/>
      <c r="C115" s="4"/>
      <c r="D115" s="36"/>
      <c r="E115" s="36"/>
      <c r="F115" s="36"/>
      <c r="G115" s="36"/>
      <c r="H115" s="56"/>
      <c r="I115" s="60">
        <f t="shared" si="1"/>
        <v>469</v>
      </c>
      <c r="J115" s="224"/>
      <c r="K115" s="56"/>
      <c r="L115" s="56"/>
      <c r="M115" s="56"/>
      <c r="N115" s="56"/>
    </row>
    <row r="116" spans="1:14" ht="15" customHeight="1" x14ac:dyDescent="0.2">
      <c r="A116" s="36"/>
      <c r="B116" s="47"/>
      <c r="C116" s="4"/>
      <c r="D116" s="36"/>
      <c r="E116" s="36"/>
      <c r="F116" s="36"/>
      <c r="G116" s="36"/>
      <c r="H116" s="56"/>
      <c r="I116" s="60">
        <f t="shared" si="1"/>
        <v>470</v>
      </c>
      <c r="J116" s="224"/>
      <c r="K116" s="56"/>
      <c r="L116" s="56"/>
      <c r="M116" s="56"/>
      <c r="N116" s="56"/>
    </row>
    <row r="117" spans="1:14" ht="15" customHeight="1" x14ac:dyDescent="0.2">
      <c r="A117" s="36"/>
      <c r="B117" s="47"/>
      <c r="C117" s="4"/>
      <c r="D117" s="36"/>
      <c r="E117" s="36"/>
      <c r="F117" s="36"/>
      <c r="G117" s="36"/>
      <c r="H117" s="56"/>
      <c r="I117" s="60">
        <f t="shared" si="1"/>
        <v>471</v>
      </c>
      <c r="J117" s="224"/>
      <c r="K117" s="56"/>
      <c r="L117" s="56"/>
      <c r="M117" s="56"/>
      <c r="N117" s="56"/>
    </row>
    <row r="118" spans="1:14" ht="15" customHeight="1" x14ac:dyDescent="0.2">
      <c r="A118" s="36"/>
      <c r="B118" s="47"/>
      <c r="C118" s="4"/>
      <c r="D118" s="36"/>
      <c r="E118" s="36"/>
      <c r="F118" s="36"/>
      <c r="G118" s="36"/>
      <c r="H118" s="56"/>
      <c r="I118" s="60">
        <f t="shared" si="1"/>
        <v>472</v>
      </c>
      <c r="J118" s="224"/>
      <c r="K118" s="56"/>
      <c r="L118" s="56"/>
      <c r="M118" s="56"/>
      <c r="N118" s="56"/>
    </row>
    <row r="119" spans="1:14" ht="15" customHeight="1" x14ac:dyDescent="0.2">
      <c r="A119" s="36"/>
      <c r="B119" s="47"/>
      <c r="C119" s="4"/>
      <c r="D119" s="36"/>
      <c r="E119" s="36"/>
      <c r="F119" s="36"/>
      <c r="G119" s="36"/>
      <c r="H119" s="56"/>
      <c r="I119" s="60">
        <f t="shared" si="1"/>
        <v>473</v>
      </c>
      <c r="J119" s="224"/>
      <c r="K119" s="56"/>
      <c r="L119" s="56"/>
      <c r="M119" s="56"/>
      <c r="N119" s="56"/>
    </row>
    <row r="120" spans="1:14" ht="15" customHeight="1" x14ac:dyDescent="0.2">
      <c r="A120" s="36"/>
      <c r="B120" s="47"/>
      <c r="C120" s="4"/>
      <c r="D120" s="36"/>
      <c r="E120" s="36"/>
      <c r="F120" s="36"/>
      <c r="G120" s="36"/>
      <c r="H120" s="56"/>
      <c r="I120" s="60">
        <f t="shared" si="1"/>
        <v>474</v>
      </c>
      <c r="J120" s="224"/>
      <c r="K120" s="56"/>
      <c r="L120" s="56"/>
      <c r="M120" s="56"/>
      <c r="N120" s="56"/>
    </row>
    <row r="121" spans="1:14" ht="15" customHeight="1" x14ac:dyDescent="0.2">
      <c r="A121" s="36"/>
      <c r="B121" s="47"/>
      <c r="C121" s="4"/>
      <c r="D121" s="36"/>
      <c r="E121" s="36"/>
      <c r="F121" s="36"/>
      <c r="G121" s="36"/>
      <c r="H121" s="56"/>
      <c r="I121" s="60">
        <f t="shared" si="1"/>
        <v>475</v>
      </c>
      <c r="J121" s="224"/>
      <c r="K121" s="56"/>
      <c r="L121" s="56"/>
      <c r="M121" s="56"/>
      <c r="N121" s="56"/>
    </row>
    <row r="122" spans="1:14" ht="15" customHeight="1" x14ac:dyDescent="0.2">
      <c r="A122" s="36"/>
      <c r="B122" s="47"/>
      <c r="C122" s="4"/>
      <c r="D122" s="36"/>
      <c r="E122" s="36"/>
      <c r="F122" s="36"/>
      <c r="G122" s="36"/>
      <c r="H122" s="56"/>
      <c r="I122" s="60">
        <f t="shared" si="1"/>
        <v>476</v>
      </c>
      <c r="J122" s="224"/>
      <c r="K122" s="56"/>
      <c r="L122" s="56"/>
      <c r="M122" s="56"/>
      <c r="N122" s="56"/>
    </row>
    <row r="123" spans="1:14" ht="15" customHeight="1" x14ac:dyDescent="0.2">
      <c r="A123" s="36"/>
      <c r="B123" s="47"/>
      <c r="C123" s="4"/>
      <c r="D123" s="36"/>
      <c r="E123" s="36"/>
      <c r="F123" s="36"/>
      <c r="G123" s="36"/>
      <c r="H123" s="56"/>
      <c r="I123" s="60">
        <f t="shared" si="1"/>
        <v>477</v>
      </c>
      <c r="J123" s="224"/>
      <c r="K123" s="56"/>
      <c r="L123" s="56"/>
      <c r="M123" s="56"/>
      <c r="N123" s="56"/>
    </row>
    <row r="124" spans="1:14" ht="15" customHeight="1" x14ac:dyDescent="0.2">
      <c r="A124" s="36"/>
      <c r="B124" s="47"/>
      <c r="C124" s="4"/>
      <c r="D124" s="36"/>
      <c r="E124" s="36"/>
      <c r="F124" s="36"/>
      <c r="G124" s="36"/>
      <c r="H124" s="56"/>
      <c r="I124" s="60">
        <f t="shared" si="1"/>
        <v>478</v>
      </c>
      <c r="J124" s="224"/>
      <c r="K124" s="56"/>
      <c r="L124" s="56"/>
      <c r="M124" s="56"/>
      <c r="N124" s="56"/>
    </row>
    <row r="125" spans="1:14" ht="15" customHeight="1" x14ac:dyDescent="0.2">
      <c r="A125" s="36"/>
      <c r="B125" s="47"/>
      <c r="C125" s="4"/>
      <c r="D125" s="36"/>
      <c r="E125" s="36"/>
      <c r="F125" s="36"/>
      <c r="G125" s="36"/>
      <c r="H125" s="56"/>
      <c r="I125" s="60">
        <f t="shared" si="1"/>
        <v>479</v>
      </c>
      <c r="J125" s="224"/>
      <c r="K125" s="56"/>
      <c r="L125" s="56"/>
      <c r="M125" s="56"/>
      <c r="N125" s="56"/>
    </row>
    <row r="126" spans="1:14" ht="15" customHeight="1" x14ac:dyDescent="0.2">
      <c r="A126" s="36"/>
      <c r="B126" s="47"/>
      <c r="C126" s="4"/>
      <c r="D126" s="36"/>
      <c r="E126" s="36"/>
      <c r="F126" s="36"/>
      <c r="G126" s="36"/>
      <c r="H126" s="56"/>
      <c r="I126" s="60">
        <f t="shared" si="1"/>
        <v>480</v>
      </c>
      <c r="J126" s="224"/>
      <c r="K126" s="56"/>
      <c r="L126" s="56"/>
      <c r="M126" s="56"/>
      <c r="N126" s="56"/>
    </row>
    <row r="127" spans="1:14" ht="15" customHeight="1" x14ac:dyDescent="0.2">
      <c r="A127" s="36"/>
      <c r="B127" s="47"/>
      <c r="C127" s="4"/>
      <c r="D127" s="36"/>
      <c r="E127" s="36"/>
      <c r="F127" s="36"/>
      <c r="G127" s="36"/>
      <c r="H127" s="56"/>
      <c r="I127" s="60">
        <f t="shared" si="1"/>
        <v>481</v>
      </c>
      <c r="J127" s="224"/>
      <c r="K127" s="56"/>
      <c r="L127" s="56"/>
      <c r="M127" s="56"/>
      <c r="N127" s="56"/>
    </row>
    <row r="128" spans="1:14" ht="15" customHeight="1" x14ac:dyDescent="0.2">
      <c r="A128" s="36"/>
      <c r="B128" s="47"/>
      <c r="C128" s="4"/>
      <c r="D128" s="36"/>
      <c r="E128" s="36"/>
      <c r="F128" s="36"/>
      <c r="G128" s="36"/>
      <c r="H128" s="56"/>
      <c r="I128" s="60">
        <f t="shared" si="1"/>
        <v>482</v>
      </c>
      <c r="J128" s="224"/>
      <c r="K128" s="56"/>
      <c r="L128" s="56"/>
      <c r="M128" s="56"/>
      <c r="N128" s="56"/>
    </row>
    <row r="129" spans="1:14" ht="15" customHeight="1" x14ac:dyDescent="0.2">
      <c r="A129" s="36"/>
      <c r="B129" s="47"/>
      <c r="C129" s="4"/>
      <c r="D129" s="36"/>
      <c r="E129" s="36"/>
      <c r="F129" s="36"/>
      <c r="G129" s="36"/>
      <c r="H129" s="56"/>
      <c r="I129" s="60">
        <f t="shared" si="1"/>
        <v>483</v>
      </c>
      <c r="J129" s="224"/>
      <c r="K129" s="56"/>
      <c r="L129" s="56"/>
      <c r="M129" s="56"/>
      <c r="N129" s="56"/>
    </row>
    <row r="130" spans="1:14" ht="15" customHeight="1" x14ac:dyDescent="0.2">
      <c r="A130" s="36"/>
      <c r="B130" s="47"/>
      <c r="C130" s="4"/>
      <c r="D130" s="36"/>
      <c r="E130" s="36"/>
      <c r="F130" s="36"/>
      <c r="G130" s="36"/>
      <c r="H130" s="56"/>
      <c r="I130" s="60">
        <f t="shared" si="1"/>
        <v>484</v>
      </c>
      <c r="J130" s="224"/>
      <c r="K130" s="56"/>
      <c r="L130" s="56"/>
      <c r="M130" s="56"/>
      <c r="N130" s="56"/>
    </row>
    <row r="131" spans="1:14" ht="15" customHeight="1" x14ac:dyDescent="0.2">
      <c r="A131" s="36"/>
      <c r="B131" s="47"/>
      <c r="C131" s="4"/>
      <c r="D131" s="36"/>
      <c r="E131" s="36"/>
      <c r="F131" s="36"/>
      <c r="G131" s="36"/>
      <c r="H131" s="56"/>
      <c r="I131" s="60">
        <f t="shared" si="1"/>
        <v>485</v>
      </c>
      <c r="J131" s="224"/>
      <c r="K131" s="56"/>
      <c r="L131" s="56"/>
      <c r="M131" s="56"/>
      <c r="N131" s="56"/>
    </row>
    <row r="132" spans="1:14" ht="15" customHeight="1" x14ac:dyDescent="0.2">
      <c r="A132" s="36"/>
      <c r="B132" s="47"/>
      <c r="C132" s="4"/>
      <c r="D132" s="36"/>
      <c r="E132" s="36"/>
      <c r="F132" s="36"/>
      <c r="G132" s="36"/>
      <c r="H132" s="56"/>
      <c r="I132" s="60">
        <f t="shared" si="1"/>
        <v>486</v>
      </c>
      <c r="J132" s="224"/>
      <c r="K132" s="56"/>
      <c r="L132" s="56"/>
      <c r="M132" s="56"/>
      <c r="N132" s="56"/>
    </row>
    <row r="133" spans="1:14" ht="15" customHeight="1" x14ac:dyDescent="0.2">
      <c r="A133" s="36"/>
      <c r="B133" s="47"/>
      <c r="C133" s="4"/>
      <c r="D133" s="36"/>
      <c r="E133" s="36"/>
      <c r="F133" s="36"/>
      <c r="G133" s="36"/>
      <c r="H133" s="56"/>
      <c r="I133" s="60">
        <f t="shared" si="1"/>
        <v>487</v>
      </c>
      <c r="J133" s="224"/>
      <c r="K133" s="56"/>
      <c r="L133" s="56"/>
      <c r="M133" s="56"/>
      <c r="N133" s="56"/>
    </row>
    <row r="134" spans="1:14" ht="15" customHeight="1" x14ac:dyDescent="0.2">
      <c r="A134" s="36"/>
      <c r="B134" s="47"/>
      <c r="C134" s="4"/>
      <c r="D134" s="36"/>
      <c r="E134" s="36"/>
      <c r="F134" s="36"/>
      <c r="G134" s="36"/>
      <c r="H134" s="56"/>
      <c r="I134" s="60">
        <f t="shared" si="1"/>
        <v>488</v>
      </c>
      <c r="J134" s="224"/>
      <c r="K134" s="56"/>
      <c r="L134" s="56"/>
      <c r="M134" s="56"/>
      <c r="N134" s="56"/>
    </row>
    <row r="135" spans="1:14" ht="15" customHeight="1" x14ac:dyDescent="0.2">
      <c r="A135" s="36"/>
      <c r="B135" s="47"/>
      <c r="C135" s="4"/>
      <c r="D135" s="36"/>
      <c r="E135" s="36"/>
      <c r="F135" s="36"/>
      <c r="G135" s="36"/>
      <c r="H135" s="56"/>
      <c r="I135" s="60">
        <f t="shared" si="1"/>
        <v>489</v>
      </c>
      <c r="J135" s="224"/>
      <c r="K135" s="56"/>
      <c r="L135" s="56"/>
      <c r="M135" s="56"/>
      <c r="N135" s="56"/>
    </row>
    <row r="136" spans="1:14" ht="15" customHeight="1" x14ac:dyDescent="0.2">
      <c r="A136" s="36"/>
      <c r="B136" s="47"/>
      <c r="C136" s="4"/>
      <c r="D136" s="36"/>
      <c r="E136" s="36"/>
      <c r="F136" s="36"/>
      <c r="G136" s="36"/>
      <c r="H136" s="56"/>
      <c r="I136" s="60">
        <f t="shared" si="1"/>
        <v>490</v>
      </c>
      <c r="J136" s="224"/>
      <c r="K136" s="56"/>
      <c r="L136" s="56"/>
      <c r="M136" s="56"/>
      <c r="N136" s="56"/>
    </row>
    <row r="137" spans="1:14" ht="15" customHeight="1" x14ac:dyDescent="0.2">
      <c r="A137" s="36"/>
      <c r="B137" s="47"/>
      <c r="C137" s="4"/>
      <c r="D137" s="36"/>
      <c r="E137" s="36"/>
      <c r="F137" s="36"/>
      <c r="G137" s="36"/>
      <c r="H137" s="56"/>
      <c r="I137" s="60">
        <f t="shared" si="1"/>
        <v>491</v>
      </c>
      <c r="J137" s="224"/>
      <c r="K137" s="56"/>
      <c r="L137" s="56"/>
      <c r="M137" s="56"/>
      <c r="N137" s="56"/>
    </row>
    <row r="138" spans="1:14" ht="15" customHeight="1" x14ac:dyDescent="0.2">
      <c r="A138" s="36"/>
      <c r="B138" s="47"/>
      <c r="C138" s="4"/>
      <c r="D138" s="36"/>
      <c r="E138" s="36"/>
      <c r="F138" s="36"/>
      <c r="G138" s="36"/>
      <c r="H138" s="56"/>
      <c r="I138" s="60">
        <f t="shared" si="1"/>
        <v>492</v>
      </c>
      <c r="J138" s="224"/>
      <c r="K138" s="56"/>
      <c r="L138" s="56"/>
      <c r="M138" s="56"/>
      <c r="N138" s="56"/>
    </row>
    <row r="139" spans="1:14" ht="15" customHeight="1" x14ac:dyDescent="0.2">
      <c r="A139" s="36"/>
      <c r="B139" s="47"/>
      <c r="C139" s="4"/>
      <c r="D139" s="36"/>
      <c r="E139" s="36"/>
      <c r="F139" s="36"/>
      <c r="G139" s="36"/>
      <c r="H139" s="56"/>
      <c r="I139" s="60">
        <f t="shared" si="1"/>
        <v>493</v>
      </c>
      <c r="J139" s="224"/>
      <c r="K139" s="56"/>
      <c r="L139" s="56"/>
      <c r="M139" s="56"/>
      <c r="N139" s="56"/>
    </row>
    <row r="140" spans="1:14" ht="15" customHeight="1" x14ac:dyDescent="0.2">
      <c r="A140" s="36"/>
      <c r="B140" s="47"/>
      <c r="C140" s="4"/>
      <c r="D140" s="36"/>
      <c r="E140" s="36"/>
      <c r="F140" s="36"/>
      <c r="G140" s="36"/>
      <c r="H140" s="56"/>
      <c r="I140" s="60">
        <f t="shared" si="1"/>
        <v>494</v>
      </c>
      <c r="J140" s="224"/>
      <c r="K140" s="56"/>
      <c r="L140" s="56"/>
      <c r="M140" s="56"/>
      <c r="N140" s="56"/>
    </row>
    <row r="141" spans="1:14" ht="15" customHeight="1" x14ac:dyDescent="0.2">
      <c r="A141" s="36"/>
      <c r="B141" s="47"/>
      <c r="C141" s="4"/>
      <c r="D141" s="36"/>
      <c r="E141" s="36"/>
      <c r="F141" s="36"/>
      <c r="G141" s="36"/>
      <c r="H141" s="56"/>
      <c r="I141" s="60">
        <f t="shared" si="1"/>
        <v>495</v>
      </c>
      <c r="J141" s="224"/>
      <c r="K141" s="56"/>
      <c r="L141" s="56"/>
      <c r="M141" s="56"/>
      <c r="N141" s="56"/>
    </row>
    <row r="142" spans="1:14" ht="15" customHeight="1" x14ac:dyDescent="0.2">
      <c r="A142" s="36"/>
      <c r="B142" s="47"/>
      <c r="C142" s="4"/>
      <c r="D142" s="36"/>
      <c r="E142" s="36"/>
      <c r="F142" s="36"/>
      <c r="G142" s="36"/>
      <c r="H142" s="56"/>
      <c r="I142" s="60">
        <f t="shared" si="1"/>
        <v>496</v>
      </c>
      <c r="J142" s="224"/>
      <c r="K142" s="56"/>
      <c r="L142" s="56"/>
      <c r="M142" s="56"/>
      <c r="N142" s="56"/>
    </row>
    <row r="143" spans="1:14" ht="15" customHeight="1" x14ac:dyDescent="0.2">
      <c r="A143" s="36"/>
      <c r="B143" s="47"/>
      <c r="C143" s="4"/>
      <c r="D143" s="36"/>
      <c r="E143" s="36"/>
      <c r="F143" s="36"/>
      <c r="G143" s="36"/>
      <c r="H143" s="56"/>
      <c r="I143" s="60">
        <f t="shared" si="1"/>
        <v>497</v>
      </c>
      <c r="J143" s="224"/>
      <c r="K143" s="56"/>
      <c r="L143" s="56"/>
      <c r="M143" s="56"/>
      <c r="N143" s="56"/>
    </row>
    <row r="144" spans="1:14" ht="15" customHeight="1" x14ac:dyDescent="0.2">
      <c r="A144" s="36"/>
      <c r="B144" s="47"/>
      <c r="C144" s="4"/>
      <c r="D144" s="36"/>
      <c r="E144" s="36"/>
      <c r="F144" s="36"/>
      <c r="G144" s="36"/>
      <c r="H144" s="56"/>
      <c r="I144" s="60">
        <f t="shared" si="1"/>
        <v>498</v>
      </c>
      <c r="J144" s="224"/>
      <c r="K144" s="56"/>
      <c r="L144" s="56"/>
      <c r="M144" s="56"/>
      <c r="N144" s="56"/>
    </row>
    <row r="145" spans="1:14" ht="15" customHeight="1" x14ac:dyDescent="0.2">
      <c r="A145" s="36"/>
      <c r="B145" s="47"/>
      <c r="C145" s="4"/>
      <c r="D145" s="36"/>
      <c r="E145" s="36"/>
      <c r="F145" s="36"/>
      <c r="G145" s="36"/>
      <c r="H145" s="56"/>
      <c r="I145" s="60">
        <f t="shared" si="1"/>
        <v>499</v>
      </c>
      <c r="J145" s="224"/>
      <c r="K145" s="56"/>
      <c r="L145" s="56"/>
      <c r="M145" s="56"/>
      <c r="N145" s="56"/>
    </row>
    <row r="146" spans="1:14" ht="15" customHeight="1" x14ac:dyDescent="0.2">
      <c r="A146" s="36"/>
      <c r="B146" s="47"/>
      <c r="C146" s="4"/>
      <c r="D146" s="36"/>
      <c r="E146" s="36"/>
      <c r="F146" s="36"/>
      <c r="G146" s="36"/>
      <c r="H146" s="56"/>
      <c r="I146" s="60">
        <f t="shared" si="1"/>
        <v>500</v>
      </c>
      <c r="J146" s="224"/>
      <c r="K146" s="56"/>
      <c r="L146" s="56"/>
      <c r="M146" s="56"/>
      <c r="N146" s="56"/>
    </row>
    <row r="147" spans="1:14" ht="15" customHeight="1" x14ac:dyDescent="0.2">
      <c r="A147" s="36"/>
      <c r="B147" s="47"/>
      <c r="C147" s="4"/>
      <c r="D147" s="36"/>
      <c r="E147" s="36"/>
      <c r="F147" s="36"/>
      <c r="G147" s="36"/>
      <c r="H147" s="56"/>
      <c r="I147" s="60">
        <f t="shared" si="1"/>
        <v>501</v>
      </c>
      <c r="J147" s="224"/>
      <c r="K147" s="56"/>
      <c r="L147" s="56"/>
      <c r="M147" s="56"/>
      <c r="N147" s="56"/>
    </row>
    <row r="148" spans="1:14" ht="15" customHeight="1" x14ac:dyDescent="0.2">
      <c r="A148" s="36"/>
      <c r="B148" s="47"/>
      <c r="C148" s="4"/>
      <c r="D148" s="36"/>
      <c r="E148" s="36"/>
      <c r="F148" s="36"/>
      <c r="G148" s="36"/>
      <c r="H148" s="56"/>
      <c r="I148" s="60">
        <f t="shared" si="1"/>
        <v>502</v>
      </c>
      <c r="J148" s="224"/>
      <c r="K148" s="56"/>
      <c r="L148" s="56"/>
      <c r="M148" s="56"/>
      <c r="N148" s="56"/>
    </row>
    <row r="149" spans="1:14" ht="15" customHeight="1" x14ac:dyDescent="0.2">
      <c r="A149" s="36"/>
      <c r="B149" s="47"/>
      <c r="C149" s="4"/>
      <c r="D149" s="36"/>
      <c r="E149" s="36"/>
      <c r="F149" s="36"/>
      <c r="G149" s="36"/>
      <c r="H149" s="56"/>
      <c r="I149" s="60">
        <f t="shared" si="1"/>
        <v>503</v>
      </c>
      <c r="J149" s="224"/>
      <c r="K149" s="56"/>
      <c r="L149" s="56"/>
      <c r="M149" s="56"/>
      <c r="N149" s="56"/>
    </row>
    <row r="150" spans="1:14" ht="15" customHeight="1" x14ac:dyDescent="0.2">
      <c r="A150" s="36"/>
      <c r="B150" s="47"/>
      <c r="C150" s="4"/>
      <c r="D150" s="36"/>
      <c r="E150" s="36"/>
      <c r="F150" s="36"/>
      <c r="G150" s="36"/>
      <c r="H150" s="56"/>
      <c r="I150" s="60">
        <f t="shared" si="1"/>
        <v>504</v>
      </c>
      <c r="J150" s="224"/>
      <c r="K150" s="56"/>
      <c r="L150" s="56"/>
      <c r="M150" s="56"/>
      <c r="N150" s="56"/>
    </row>
    <row r="151" spans="1:14" ht="15" customHeight="1" x14ac:dyDescent="0.2">
      <c r="A151" s="36"/>
      <c r="B151" s="47"/>
      <c r="C151" s="4"/>
      <c r="D151" s="36"/>
      <c r="E151" s="36"/>
      <c r="F151" s="36"/>
      <c r="G151" s="36"/>
      <c r="H151" s="56"/>
      <c r="I151" s="60">
        <f t="shared" si="1"/>
        <v>505</v>
      </c>
      <c r="J151" s="224"/>
      <c r="K151" s="56"/>
      <c r="L151" s="56"/>
      <c r="M151" s="56"/>
      <c r="N151" s="56"/>
    </row>
    <row r="152" spans="1:14" ht="15" customHeight="1" x14ac:dyDescent="0.2">
      <c r="A152" s="36"/>
      <c r="B152" s="47"/>
      <c r="C152" s="4"/>
      <c r="D152" s="36"/>
      <c r="E152" s="36"/>
      <c r="F152" s="36"/>
      <c r="G152" s="36"/>
      <c r="H152" s="56"/>
      <c r="I152" s="60">
        <f t="shared" si="1"/>
        <v>506</v>
      </c>
      <c r="J152" s="224"/>
      <c r="K152" s="56"/>
      <c r="L152" s="56"/>
      <c r="M152" s="56"/>
      <c r="N152" s="56"/>
    </row>
    <row r="153" spans="1:14" ht="15" customHeight="1" x14ac:dyDescent="0.2">
      <c r="A153" s="36"/>
      <c r="B153" s="47"/>
      <c r="C153" s="4"/>
      <c r="D153" s="36"/>
      <c r="E153" s="36"/>
      <c r="F153" s="36"/>
      <c r="G153" s="36"/>
      <c r="H153" s="56"/>
      <c r="I153" s="60">
        <f t="shared" si="1"/>
        <v>507</v>
      </c>
      <c r="J153" s="224"/>
      <c r="K153" s="56"/>
      <c r="L153" s="56"/>
      <c r="M153" s="56"/>
      <c r="N153" s="56"/>
    </row>
    <row r="154" spans="1:14" ht="15" customHeight="1" x14ac:dyDescent="0.2">
      <c r="A154" s="36"/>
      <c r="B154" s="47"/>
      <c r="C154" s="4"/>
      <c r="D154" s="36"/>
      <c r="E154" s="36"/>
      <c r="F154" s="36"/>
      <c r="G154" s="36"/>
      <c r="H154" s="56"/>
      <c r="I154" s="60">
        <f t="shared" ref="I154:I217" si="2">IF(380+J$22*(ROW()-ROW(I$25)-1)&gt;780,"",380+J$22*(ROW()-ROW(I$25)-1))</f>
        <v>508</v>
      </c>
      <c r="J154" s="224"/>
      <c r="K154" s="56"/>
      <c r="L154" s="56"/>
      <c r="M154" s="56"/>
      <c r="N154" s="56"/>
    </row>
    <row r="155" spans="1:14" ht="15" customHeight="1" x14ac:dyDescent="0.2">
      <c r="A155" s="36"/>
      <c r="B155" s="47"/>
      <c r="C155" s="4"/>
      <c r="D155" s="36"/>
      <c r="E155" s="36"/>
      <c r="F155" s="36"/>
      <c r="G155" s="36"/>
      <c r="H155" s="56"/>
      <c r="I155" s="60">
        <f t="shared" si="2"/>
        <v>509</v>
      </c>
      <c r="J155" s="224"/>
      <c r="K155" s="56"/>
      <c r="L155" s="56"/>
      <c r="M155" s="56"/>
      <c r="N155" s="56"/>
    </row>
    <row r="156" spans="1:14" ht="15" customHeight="1" x14ac:dyDescent="0.2">
      <c r="A156" s="36"/>
      <c r="B156" s="47"/>
      <c r="C156" s="4"/>
      <c r="D156" s="36"/>
      <c r="E156" s="36"/>
      <c r="F156" s="36"/>
      <c r="G156" s="36"/>
      <c r="H156" s="56"/>
      <c r="I156" s="60">
        <f t="shared" si="2"/>
        <v>510</v>
      </c>
      <c r="J156" s="224"/>
      <c r="K156" s="56"/>
      <c r="L156" s="56"/>
      <c r="M156" s="56"/>
      <c r="N156" s="56"/>
    </row>
    <row r="157" spans="1:14" ht="15" customHeight="1" x14ac:dyDescent="0.2">
      <c r="A157" s="36"/>
      <c r="B157" s="47"/>
      <c r="C157" s="4"/>
      <c r="D157" s="36"/>
      <c r="E157" s="36"/>
      <c r="F157" s="36"/>
      <c r="G157" s="36"/>
      <c r="H157" s="56"/>
      <c r="I157" s="60">
        <f t="shared" si="2"/>
        <v>511</v>
      </c>
      <c r="J157" s="224"/>
      <c r="K157" s="56"/>
      <c r="L157" s="56"/>
      <c r="M157" s="56"/>
      <c r="N157" s="56"/>
    </row>
    <row r="158" spans="1:14" ht="15" customHeight="1" x14ac:dyDescent="0.2">
      <c r="A158" s="36"/>
      <c r="B158" s="47"/>
      <c r="C158" s="4"/>
      <c r="D158" s="36"/>
      <c r="E158" s="36"/>
      <c r="F158" s="36"/>
      <c r="G158" s="36"/>
      <c r="H158" s="56"/>
      <c r="I158" s="60">
        <f t="shared" si="2"/>
        <v>512</v>
      </c>
      <c r="J158" s="224"/>
      <c r="K158" s="56"/>
      <c r="L158" s="56"/>
      <c r="M158" s="56"/>
      <c r="N158" s="56"/>
    </row>
    <row r="159" spans="1:14" ht="15" customHeight="1" x14ac:dyDescent="0.2">
      <c r="A159" s="36"/>
      <c r="B159" s="47"/>
      <c r="C159" s="4"/>
      <c r="D159" s="36"/>
      <c r="E159" s="36"/>
      <c r="F159" s="36"/>
      <c r="G159" s="36"/>
      <c r="H159" s="56"/>
      <c r="I159" s="60">
        <f t="shared" si="2"/>
        <v>513</v>
      </c>
      <c r="J159" s="224"/>
      <c r="K159" s="56"/>
      <c r="L159" s="56"/>
      <c r="M159" s="56"/>
      <c r="N159" s="56"/>
    </row>
    <row r="160" spans="1:14" ht="15" customHeight="1" x14ac:dyDescent="0.2">
      <c r="A160" s="36"/>
      <c r="B160" s="47"/>
      <c r="C160" s="4"/>
      <c r="D160" s="36"/>
      <c r="E160" s="36"/>
      <c r="F160" s="36"/>
      <c r="G160" s="36"/>
      <c r="H160" s="56"/>
      <c r="I160" s="60">
        <f t="shared" si="2"/>
        <v>514</v>
      </c>
      <c r="J160" s="224"/>
      <c r="K160" s="56"/>
      <c r="L160" s="56"/>
      <c r="M160" s="56"/>
      <c r="N160" s="56"/>
    </row>
    <row r="161" spans="1:14" ht="15" customHeight="1" x14ac:dyDescent="0.2">
      <c r="A161" s="36"/>
      <c r="B161" s="47"/>
      <c r="C161" s="4"/>
      <c r="D161" s="36"/>
      <c r="E161" s="36"/>
      <c r="F161" s="36"/>
      <c r="G161" s="36"/>
      <c r="H161" s="56"/>
      <c r="I161" s="60">
        <f t="shared" si="2"/>
        <v>515</v>
      </c>
      <c r="J161" s="224"/>
      <c r="K161" s="56"/>
      <c r="L161" s="56"/>
      <c r="M161" s="56"/>
      <c r="N161" s="56"/>
    </row>
    <row r="162" spans="1:14" ht="15" customHeight="1" x14ac:dyDescent="0.2">
      <c r="A162" s="36"/>
      <c r="B162" s="47"/>
      <c r="C162" s="4"/>
      <c r="D162" s="36"/>
      <c r="E162" s="36"/>
      <c r="F162" s="36"/>
      <c r="G162" s="36"/>
      <c r="H162" s="56"/>
      <c r="I162" s="60">
        <f t="shared" si="2"/>
        <v>516</v>
      </c>
      <c r="J162" s="224"/>
      <c r="K162" s="56"/>
      <c r="L162" s="56"/>
      <c r="M162" s="56"/>
      <c r="N162" s="56"/>
    </row>
    <row r="163" spans="1:14" ht="15" customHeight="1" x14ac:dyDescent="0.2">
      <c r="A163" s="36"/>
      <c r="B163" s="47"/>
      <c r="C163" s="4"/>
      <c r="D163" s="36"/>
      <c r="E163" s="36"/>
      <c r="F163" s="36"/>
      <c r="G163" s="36"/>
      <c r="H163" s="56"/>
      <c r="I163" s="60">
        <f t="shared" si="2"/>
        <v>517</v>
      </c>
      <c r="J163" s="224"/>
      <c r="K163" s="56"/>
      <c r="L163" s="56"/>
      <c r="M163" s="56"/>
      <c r="N163" s="56"/>
    </row>
    <row r="164" spans="1:14" ht="15" customHeight="1" x14ac:dyDescent="0.2">
      <c r="A164" s="36"/>
      <c r="B164" s="47"/>
      <c r="C164" s="4"/>
      <c r="D164" s="36"/>
      <c r="E164" s="36"/>
      <c r="F164" s="36"/>
      <c r="G164" s="36"/>
      <c r="H164" s="56"/>
      <c r="I164" s="60">
        <f t="shared" si="2"/>
        <v>518</v>
      </c>
      <c r="J164" s="224"/>
      <c r="K164" s="56"/>
      <c r="L164" s="56"/>
      <c r="M164" s="56"/>
      <c r="N164" s="56"/>
    </row>
    <row r="165" spans="1:14" ht="15" customHeight="1" x14ac:dyDescent="0.2">
      <c r="A165" s="36"/>
      <c r="B165" s="47"/>
      <c r="C165" s="4"/>
      <c r="D165" s="36"/>
      <c r="E165" s="36"/>
      <c r="F165" s="36"/>
      <c r="G165" s="36"/>
      <c r="H165" s="56"/>
      <c r="I165" s="60">
        <f t="shared" si="2"/>
        <v>519</v>
      </c>
      <c r="J165" s="224"/>
      <c r="K165" s="56"/>
      <c r="L165" s="56"/>
      <c r="M165" s="56"/>
      <c r="N165" s="56"/>
    </row>
    <row r="166" spans="1:14" ht="15" customHeight="1" x14ac:dyDescent="0.2">
      <c r="A166" s="36"/>
      <c r="B166" s="47"/>
      <c r="C166" s="4"/>
      <c r="D166" s="36"/>
      <c r="E166" s="36"/>
      <c r="F166" s="36"/>
      <c r="G166" s="36"/>
      <c r="H166" s="56"/>
      <c r="I166" s="60">
        <f t="shared" si="2"/>
        <v>520</v>
      </c>
      <c r="J166" s="224"/>
      <c r="K166" s="56"/>
      <c r="L166" s="56"/>
      <c r="M166" s="56"/>
      <c r="N166" s="56"/>
    </row>
    <row r="167" spans="1:14" ht="15" customHeight="1" x14ac:dyDescent="0.2">
      <c r="A167" s="36"/>
      <c r="B167" s="47"/>
      <c r="C167" s="4"/>
      <c r="D167" s="36"/>
      <c r="E167" s="36"/>
      <c r="F167" s="36"/>
      <c r="G167" s="36"/>
      <c r="H167" s="56"/>
      <c r="I167" s="60">
        <f t="shared" si="2"/>
        <v>521</v>
      </c>
      <c r="J167" s="224"/>
      <c r="K167" s="56"/>
      <c r="L167" s="56"/>
      <c r="M167" s="56"/>
      <c r="N167" s="56"/>
    </row>
    <row r="168" spans="1:14" ht="15" customHeight="1" x14ac:dyDescent="0.2">
      <c r="A168" s="36"/>
      <c r="B168" s="47"/>
      <c r="C168" s="4"/>
      <c r="D168" s="36"/>
      <c r="E168" s="36"/>
      <c r="F168" s="36"/>
      <c r="G168" s="36"/>
      <c r="H168" s="56"/>
      <c r="I168" s="60">
        <f t="shared" si="2"/>
        <v>522</v>
      </c>
      <c r="J168" s="224"/>
      <c r="K168" s="56"/>
      <c r="L168" s="56"/>
      <c r="M168" s="56"/>
      <c r="N168" s="56"/>
    </row>
    <row r="169" spans="1:14" ht="15" customHeight="1" x14ac:dyDescent="0.2">
      <c r="A169" s="36"/>
      <c r="B169" s="47"/>
      <c r="C169" s="4"/>
      <c r="D169" s="36"/>
      <c r="E169" s="36"/>
      <c r="F169" s="36"/>
      <c r="G169" s="36"/>
      <c r="H169" s="56"/>
      <c r="I169" s="60">
        <f t="shared" si="2"/>
        <v>523</v>
      </c>
      <c r="J169" s="224"/>
      <c r="K169" s="56"/>
      <c r="L169" s="56"/>
      <c r="M169" s="56"/>
      <c r="N169" s="56"/>
    </row>
    <row r="170" spans="1:14" ht="15" customHeight="1" x14ac:dyDescent="0.2">
      <c r="A170" s="36"/>
      <c r="B170" s="47"/>
      <c r="C170" s="4"/>
      <c r="D170" s="36"/>
      <c r="E170" s="36"/>
      <c r="F170" s="36"/>
      <c r="G170" s="36"/>
      <c r="H170" s="56"/>
      <c r="I170" s="60">
        <f t="shared" si="2"/>
        <v>524</v>
      </c>
      <c r="J170" s="224"/>
      <c r="K170" s="56"/>
      <c r="L170" s="56"/>
      <c r="M170" s="56"/>
      <c r="N170" s="56"/>
    </row>
    <row r="171" spans="1:14" ht="15" customHeight="1" x14ac:dyDescent="0.2">
      <c r="A171" s="36"/>
      <c r="B171" s="47"/>
      <c r="C171" s="4"/>
      <c r="D171" s="36"/>
      <c r="E171" s="36"/>
      <c r="F171" s="36"/>
      <c r="G171" s="36"/>
      <c r="H171" s="56"/>
      <c r="I171" s="60">
        <f t="shared" si="2"/>
        <v>525</v>
      </c>
      <c r="J171" s="224"/>
      <c r="K171" s="56"/>
      <c r="L171" s="56"/>
      <c r="M171" s="56"/>
      <c r="N171" s="56"/>
    </row>
    <row r="172" spans="1:14" ht="15" customHeight="1" x14ac:dyDescent="0.2">
      <c r="A172" s="36"/>
      <c r="B172" s="47"/>
      <c r="C172" s="4"/>
      <c r="D172" s="36"/>
      <c r="E172" s="36"/>
      <c r="F172" s="36"/>
      <c r="G172" s="36"/>
      <c r="H172" s="56"/>
      <c r="I172" s="60">
        <f t="shared" si="2"/>
        <v>526</v>
      </c>
      <c r="J172" s="224"/>
      <c r="K172" s="56"/>
      <c r="L172" s="56"/>
      <c r="M172" s="56"/>
      <c r="N172" s="56"/>
    </row>
    <row r="173" spans="1:14" ht="15" customHeight="1" x14ac:dyDescent="0.2">
      <c r="A173" s="36"/>
      <c r="B173" s="47"/>
      <c r="C173" s="4"/>
      <c r="D173" s="36"/>
      <c r="E173" s="36"/>
      <c r="F173" s="36"/>
      <c r="G173" s="36"/>
      <c r="H173" s="56"/>
      <c r="I173" s="60">
        <f t="shared" si="2"/>
        <v>527</v>
      </c>
      <c r="J173" s="224"/>
      <c r="K173" s="56"/>
      <c r="L173" s="56"/>
      <c r="M173" s="56"/>
      <c r="N173" s="56"/>
    </row>
    <row r="174" spans="1:14" ht="15" customHeight="1" x14ac:dyDescent="0.2">
      <c r="A174" s="36"/>
      <c r="B174" s="47"/>
      <c r="C174" s="4"/>
      <c r="D174" s="36"/>
      <c r="E174" s="36"/>
      <c r="F174" s="36"/>
      <c r="G174" s="36"/>
      <c r="H174" s="56"/>
      <c r="I174" s="60">
        <f t="shared" si="2"/>
        <v>528</v>
      </c>
      <c r="J174" s="224"/>
      <c r="K174" s="56"/>
      <c r="L174" s="56"/>
      <c r="M174" s="56"/>
      <c r="N174" s="56"/>
    </row>
    <row r="175" spans="1:14" ht="15" customHeight="1" x14ac:dyDescent="0.2">
      <c r="A175" s="36"/>
      <c r="B175" s="47"/>
      <c r="C175" s="4"/>
      <c r="D175" s="36"/>
      <c r="E175" s="36"/>
      <c r="F175" s="36"/>
      <c r="G175" s="36"/>
      <c r="H175" s="56"/>
      <c r="I175" s="60">
        <f t="shared" si="2"/>
        <v>529</v>
      </c>
      <c r="J175" s="224"/>
      <c r="K175" s="56"/>
      <c r="L175" s="56"/>
      <c r="M175" s="56"/>
      <c r="N175" s="56"/>
    </row>
    <row r="176" spans="1:14" ht="15" customHeight="1" x14ac:dyDescent="0.2">
      <c r="A176" s="36"/>
      <c r="B176" s="47"/>
      <c r="C176" s="4"/>
      <c r="D176" s="36"/>
      <c r="E176" s="36"/>
      <c r="F176" s="36"/>
      <c r="G176" s="36"/>
      <c r="H176" s="56"/>
      <c r="I176" s="60">
        <f t="shared" si="2"/>
        <v>530</v>
      </c>
      <c r="J176" s="224"/>
      <c r="K176" s="56"/>
      <c r="L176" s="56"/>
      <c r="M176" s="56"/>
      <c r="N176" s="56"/>
    </row>
    <row r="177" spans="1:14" ht="15" customHeight="1" x14ac:dyDescent="0.2">
      <c r="A177" s="36"/>
      <c r="B177" s="47"/>
      <c r="C177" s="4"/>
      <c r="D177" s="36"/>
      <c r="E177" s="36"/>
      <c r="F177" s="36"/>
      <c r="G177" s="36"/>
      <c r="H177" s="56"/>
      <c r="I177" s="60">
        <f t="shared" si="2"/>
        <v>531</v>
      </c>
      <c r="J177" s="224"/>
      <c r="K177" s="56"/>
      <c r="L177" s="56"/>
      <c r="M177" s="56"/>
      <c r="N177" s="56"/>
    </row>
    <row r="178" spans="1:14" ht="15" customHeight="1" x14ac:dyDescent="0.2">
      <c r="A178" s="36"/>
      <c r="B178" s="47"/>
      <c r="C178" s="4"/>
      <c r="D178" s="36"/>
      <c r="E178" s="36"/>
      <c r="F178" s="36"/>
      <c r="G178" s="36"/>
      <c r="H178" s="56"/>
      <c r="I178" s="60">
        <f t="shared" si="2"/>
        <v>532</v>
      </c>
      <c r="J178" s="224"/>
      <c r="K178" s="56"/>
      <c r="L178" s="56"/>
      <c r="M178" s="56"/>
      <c r="N178" s="56"/>
    </row>
    <row r="179" spans="1:14" ht="15" customHeight="1" x14ac:dyDescent="0.2">
      <c r="A179" s="36"/>
      <c r="B179" s="47"/>
      <c r="C179" s="4"/>
      <c r="D179" s="36"/>
      <c r="E179" s="36"/>
      <c r="F179" s="36"/>
      <c r="G179" s="36"/>
      <c r="H179" s="56"/>
      <c r="I179" s="60">
        <f t="shared" si="2"/>
        <v>533</v>
      </c>
      <c r="J179" s="224"/>
      <c r="K179" s="56"/>
      <c r="L179" s="56"/>
      <c r="M179" s="56"/>
      <c r="N179" s="56"/>
    </row>
    <row r="180" spans="1:14" ht="15" customHeight="1" x14ac:dyDescent="0.2">
      <c r="A180" s="36"/>
      <c r="B180" s="47"/>
      <c r="C180" s="4"/>
      <c r="D180" s="36"/>
      <c r="E180" s="36"/>
      <c r="F180" s="36"/>
      <c r="G180" s="36"/>
      <c r="H180" s="56"/>
      <c r="I180" s="60">
        <f t="shared" si="2"/>
        <v>534</v>
      </c>
      <c r="J180" s="224"/>
      <c r="K180" s="56"/>
      <c r="L180" s="56"/>
      <c r="M180" s="56"/>
      <c r="N180" s="56"/>
    </row>
    <row r="181" spans="1:14" ht="15" customHeight="1" x14ac:dyDescent="0.2">
      <c r="A181" s="36"/>
      <c r="B181" s="47"/>
      <c r="C181" s="4"/>
      <c r="D181" s="36"/>
      <c r="E181" s="36"/>
      <c r="F181" s="36"/>
      <c r="G181" s="36"/>
      <c r="H181" s="56"/>
      <c r="I181" s="60">
        <f t="shared" si="2"/>
        <v>535</v>
      </c>
      <c r="J181" s="224"/>
      <c r="K181" s="56"/>
      <c r="L181" s="56"/>
      <c r="M181" s="56"/>
      <c r="N181" s="56"/>
    </row>
    <row r="182" spans="1:14" ht="15" customHeight="1" x14ac:dyDescent="0.2">
      <c r="A182" s="36"/>
      <c r="B182" s="47"/>
      <c r="C182" s="4"/>
      <c r="D182" s="36"/>
      <c r="E182" s="36"/>
      <c r="F182" s="36"/>
      <c r="G182" s="36"/>
      <c r="H182" s="56"/>
      <c r="I182" s="60">
        <f t="shared" si="2"/>
        <v>536</v>
      </c>
      <c r="J182" s="224"/>
      <c r="K182" s="56"/>
      <c r="L182" s="56"/>
      <c r="M182" s="56"/>
      <c r="N182" s="56"/>
    </row>
    <row r="183" spans="1:14" ht="15" customHeight="1" x14ac:dyDescent="0.2">
      <c r="A183" s="36"/>
      <c r="B183" s="47"/>
      <c r="C183" s="4"/>
      <c r="D183" s="36"/>
      <c r="E183" s="36"/>
      <c r="F183" s="36"/>
      <c r="G183" s="36"/>
      <c r="H183" s="56"/>
      <c r="I183" s="60">
        <f t="shared" si="2"/>
        <v>537</v>
      </c>
      <c r="J183" s="224"/>
      <c r="K183" s="56"/>
      <c r="L183" s="56"/>
      <c r="M183" s="56"/>
      <c r="N183" s="56"/>
    </row>
    <row r="184" spans="1:14" ht="15" customHeight="1" x14ac:dyDescent="0.2">
      <c r="A184" s="36"/>
      <c r="B184" s="47"/>
      <c r="C184" s="4"/>
      <c r="D184" s="36"/>
      <c r="E184" s="36"/>
      <c r="F184" s="36"/>
      <c r="G184" s="36"/>
      <c r="H184" s="56"/>
      <c r="I184" s="60">
        <f t="shared" si="2"/>
        <v>538</v>
      </c>
      <c r="J184" s="224"/>
      <c r="K184" s="56"/>
      <c r="L184" s="56"/>
      <c r="M184" s="56"/>
      <c r="N184" s="56"/>
    </row>
    <row r="185" spans="1:14" ht="15" customHeight="1" x14ac:dyDescent="0.2">
      <c r="A185" s="36"/>
      <c r="B185" s="47"/>
      <c r="C185" s="4"/>
      <c r="D185" s="36"/>
      <c r="E185" s="36"/>
      <c r="F185" s="36"/>
      <c r="G185" s="36"/>
      <c r="H185" s="56"/>
      <c r="I185" s="60">
        <f t="shared" si="2"/>
        <v>539</v>
      </c>
      <c r="J185" s="224"/>
      <c r="K185" s="56"/>
      <c r="L185" s="56"/>
      <c r="M185" s="56"/>
      <c r="N185" s="56"/>
    </row>
    <row r="186" spans="1:14" ht="15" customHeight="1" x14ac:dyDescent="0.2">
      <c r="A186" s="36"/>
      <c r="B186" s="47"/>
      <c r="C186" s="4"/>
      <c r="D186" s="36"/>
      <c r="E186" s="36"/>
      <c r="F186" s="36"/>
      <c r="G186" s="36"/>
      <c r="H186" s="56"/>
      <c r="I186" s="60">
        <f t="shared" si="2"/>
        <v>540</v>
      </c>
      <c r="J186" s="224"/>
      <c r="K186" s="56"/>
      <c r="L186" s="56"/>
      <c r="M186" s="56"/>
      <c r="N186" s="56"/>
    </row>
    <row r="187" spans="1:14" ht="15" customHeight="1" x14ac:dyDescent="0.2">
      <c r="A187" s="36"/>
      <c r="B187" s="47"/>
      <c r="C187" s="4"/>
      <c r="D187" s="36"/>
      <c r="E187" s="36"/>
      <c r="F187" s="36"/>
      <c r="G187" s="36"/>
      <c r="H187" s="56"/>
      <c r="I187" s="60">
        <f t="shared" si="2"/>
        <v>541</v>
      </c>
      <c r="J187" s="224"/>
      <c r="K187" s="56"/>
      <c r="L187" s="56"/>
      <c r="M187" s="56"/>
      <c r="N187" s="56"/>
    </row>
    <row r="188" spans="1:14" ht="15" customHeight="1" x14ac:dyDescent="0.2">
      <c r="A188" s="36"/>
      <c r="B188" s="47"/>
      <c r="C188" s="4"/>
      <c r="D188" s="36"/>
      <c r="E188" s="36"/>
      <c r="F188" s="36"/>
      <c r="G188" s="36"/>
      <c r="H188" s="56"/>
      <c r="I188" s="60">
        <f t="shared" si="2"/>
        <v>542</v>
      </c>
      <c r="J188" s="224"/>
      <c r="K188" s="56"/>
      <c r="L188" s="56"/>
      <c r="M188" s="56"/>
      <c r="N188" s="56"/>
    </row>
    <row r="189" spans="1:14" ht="15" customHeight="1" x14ac:dyDescent="0.2">
      <c r="A189" s="36"/>
      <c r="B189" s="47"/>
      <c r="C189" s="4"/>
      <c r="D189" s="36"/>
      <c r="E189" s="36"/>
      <c r="F189" s="36"/>
      <c r="G189" s="36"/>
      <c r="H189" s="56"/>
      <c r="I189" s="60">
        <f t="shared" si="2"/>
        <v>543</v>
      </c>
      <c r="J189" s="224"/>
      <c r="K189" s="56"/>
      <c r="L189" s="56"/>
      <c r="M189" s="56"/>
      <c r="N189" s="56"/>
    </row>
    <row r="190" spans="1:14" ht="15" customHeight="1" x14ac:dyDescent="0.2">
      <c r="A190" s="36"/>
      <c r="B190" s="47"/>
      <c r="C190" s="4"/>
      <c r="D190" s="36"/>
      <c r="E190" s="36"/>
      <c r="F190" s="36"/>
      <c r="G190" s="36"/>
      <c r="H190" s="56"/>
      <c r="I190" s="60">
        <f t="shared" si="2"/>
        <v>544</v>
      </c>
      <c r="J190" s="224"/>
      <c r="K190" s="56"/>
      <c r="L190" s="56"/>
      <c r="M190" s="56"/>
      <c r="N190" s="56"/>
    </row>
    <row r="191" spans="1:14" ht="15" customHeight="1" x14ac:dyDescent="0.2">
      <c r="A191" s="36"/>
      <c r="B191" s="47"/>
      <c r="C191" s="4"/>
      <c r="D191" s="36"/>
      <c r="E191" s="36"/>
      <c r="F191" s="36"/>
      <c r="G191" s="36"/>
      <c r="H191" s="56"/>
      <c r="I191" s="60">
        <f t="shared" si="2"/>
        <v>545</v>
      </c>
      <c r="J191" s="224"/>
      <c r="K191" s="56"/>
      <c r="L191" s="56"/>
      <c r="M191" s="56"/>
      <c r="N191" s="56"/>
    </row>
    <row r="192" spans="1:14" ht="15" customHeight="1" x14ac:dyDescent="0.2">
      <c r="A192" s="36"/>
      <c r="B192" s="47"/>
      <c r="C192" s="4"/>
      <c r="D192" s="36"/>
      <c r="E192" s="36"/>
      <c r="F192" s="36"/>
      <c r="G192" s="36"/>
      <c r="H192" s="56"/>
      <c r="I192" s="60">
        <f t="shared" si="2"/>
        <v>546</v>
      </c>
      <c r="J192" s="224"/>
      <c r="K192" s="56"/>
      <c r="L192" s="56"/>
      <c r="M192" s="56"/>
      <c r="N192" s="56"/>
    </row>
    <row r="193" spans="1:14" ht="15" customHeight="1" x14ac:dyDescent="0.2">
      <c r="A193" s="36"/>
      <c r="B193" s="47"/>
      <c r="C193" s="4"/>
      <c r="D193" s="36"/>
      <c r="E193" s="36"/>
      <c r="F193" s="36"/>
      <c r="G193" s="36"/>
      <c r="H193" s="56"/>
      <c r="I193" s="60">
        <f t="shared" si="2"/>
        <v>547</v>
      </c>
      <c r="J193" s="224"/>
      <c r="K193" s="56"/>
      <c r="L193" s="56"/>
      <c r="M193" s="56"/>
      <c r="N193" s="56"/>
    </row>
    <row r="194" spans="1:14" ht="15" customHeight="1" x14ac:dyDescent="0.2">
      <c r="A194" s="36"/>
      <c r="B194" s="47"/>
      <c r="C194" s="4"/>
      <c r="D194" s="36"/>
      <c r="E194" s="36"/>
      <c r="F194" s="36"/>
      <c r="G194" s="36"/>
      <c r="H194" s="56"/>
      <c r="I194" s="60">
        <f t="shared" si="2"/>
        <v>548</v>
      </c>
      <c r="J194" s="224"/>
      <c r="K194" s="56"/>
      <c r="L194" s="56"/>
      <c r="M194" s="56"/>
      <c r="N194" s="56"/>
    </row>
    <row r="195" spans="1:14" ht="15" customHeight="1" x14ac:dyDescent="0.2">
      <c r="A195" s="36"/>
      <c r="B195" s="47"/>
      <c r="C195" s="4"/>
      <c r="D195" s="36"/>
      <c r="E195" s="36"/>
      <c r="F195" s="36"/>
      <c r="G195" s="36"/>
      <c r="H195" s="56"/>
      <c r="I195" s="60">
        <f t="shared" si="2"/>
        <v>549</v>
      </c>
      <c r="J195" s="224"/>
      <c r="K195" s="56"/>
      <c r="L195" s="56"/>
      <c r="M195" s="56"/>
      <c r="N195" s="56"/>
    </row>
    <row r="196" spans="1:14" ht="15" customHeight="1" x14ac:dyDescent="0.2">
      <c r="A196" s="36"/>
      <c r="B196" s="47"/>
      <c r="C196" s="4"/>
      <c r="D196" s="36"/>
      <c r="E196" s="36"/>
      <c r="F196" s="36"/>
      <c r="G196" s="36"/>
      <c r="H196" s="56"/>
      <c r="I196" s="60">
        <f t="shared" si="2"/>
        <v>550</v>
      </c>
      <c r="J196" s="224"/>
      <c r="K196" s="56"/>
      <c r="L196" s="56"/>
      <c r="M196" s="56"/>
      <c r="N196" s="56"/>
    </row>
    <row r="197" spans="1:14" ht="15" customHeight="1" x14ac:dyDescent="0.2">
      <c r="A197" s="36"/>
      <c r="B197" s="47"/>
      <c r="C197" s="4"/>
      <c r="D197" s="36"/>
      <c r="E197" s="36"/>
      <c r="F197" s="36"/>
      <c r="G197" s="36"/>
      <c r="H197" s="56"/>
      <c r="I197" s="60">
        <f t="shared" si="2"/>
        <v>551</v>
      </c>
      <c r="J197" s="224"/>
      <c r="K197" s="56"/>
      <c r="L197" s="56"/>
      <c r="M197" s="56"/>
      <c r="N197" s="56"/>
    </row>
    <row r="198" spans="1:14" ht="15" customHeight="1" x14ac:dyDescent="0.2">
      <c r="A198" s="36"/>
      <c r="B198" s="47"/>
      <c r="C198" s="4"/>
      <c r="D198" s="36"/>
      <c r="E198" s="36"/>
      <c r="F198" s="36"/>
      <c r="G198" s="36"/>
      <c r="H198" s="56"/>
      <c r="I198" s="60">
        <f t="shared" si="2"/>
        <v>552</v>
      </c>
      <c r="J198" s="224"/>
      <c r="K198" s="56"/>
      <c r="L198" s="56"/>
      <c r="M198" s="56"/>
      <c r="N198" s="56"/>
    </row>
    <row r="199" spans="1:14" ht="15" customHeight="1" x14ac:dyDescent="0.2">
      <c r="A199" s="36"/>
      <c r="B199" s="47"/>
      <c r="C199" s="4"/>
      <c r="D199" s="36"/>
      <c r="E199" s="36"/>
      <c r="F199" s="36"/>
      <c r="G199" s="36"/>
      <c r="H199" s="56"/>
      <c r="I199" s="60">
        <f t="shared" si="2"/>
        <v>553</v>
      </c>
      <c r="J199" s="224"/>
      <c r="K199" s="56"/>
      <c r="L199" s="56"/>
      <c r="M199" s="56"/>
      <c r="N199" s="56"/>
    </row>
    <row r="200" spans="1:14" ht="15" customHeight="1" x14ac:dyDescent="0.2">
      <c r="A200" s="36"/>
      <c r="B200" s="47"/>
      <c r="C200" s="4"/>
      <c r="D200" s="36"/>
      <c r="E200" s="36"/>
      <c r="F200" s="36"/>
      <c r="G200" s="36"/>
      <c r="H200" s="56"/>
      <c r="I200" s="60">
        <f t="shared" si="2"/>
        <v>554</v>
      </c>
      <c r="J200" s="224"/>
      <c r="K200" s="56"/>
      <c r="L200" s="56"/>
      <c r="M200" s="56"/>
      <c r="N200" s="56"/>
    </row>
    <row r="201" spans="1:14" ht="15" customHeight="1" x14ac:dyDescent="0.2">
      <c r="A201" s="36"/>
      <c r="B201" s="47"/>
      <c r="C201" s="4"/>
      <c r="D201" s="36"/>
      <c r="E201" s="36"/>
      <c r="F201" s="36"/>
      <c r="G201" s="36"/>
      <c r="H201" s="56"/>
      <c r="I201" s="60">
        <f t="shared" si="2"/>
        <v>555</v>
      </c>
      <c r="J201" s="224"/>
      <c r="K201" s="56"/>
      <c r="L201" s="56"/>
      <c r="M201" s="56"/>
      <c r="N201" s="56"/>
    </row>
    <row r="202" spans="1:14" ht="15" customHeight="1" x14ac:dyDescent="0.2">
      <c r="A202" s="36"/>
      <c r="B202" s="47"/>
      <c r="C202" s="4"/>
      <c r="D202" s="36"/>
      <c r="E202" s="36"/>
      <c r="F202" s="36"/>
      <c r="G202" s="36"/>
      <c r="H202" s="56"/>
      <c r="I202" s="60">
        <f t="shared" si="2"/>
        <v>556</v>
      </c>
      <c r="J202" s="224"/>
      <c r="K202" s="56"/>
      <c r="L202" s="56"/>
      <c r="M202" s="56"/>
      <c r="N202" s="56"/>
    </row>
    <row r="203" spans="1:14" ht="15" customHeight="1" x14ac:dyDescent="0.2">
      <c r="A203" s="36"/>
      <c r="B203" s="47"/>
      <c r="C203" s="4"/>
      <c r="D203" s="36"/>
      <c r="E203" s="36"/>
      <c r="F203" s="36"/>
      <c r="G203" s="36"/>
      <c r="H203" s="56"/>
      <c r="I203" s="60">
        <f t="shared" si="2"/>
        <v>557</v>
      </c>
      <c r="J203" s="224"/>
      <c r="K203" s="56"/>
      <c r="L203" s="56"/>
      <c r="M203" s="56"/>
      <c r="N203" s="56"/>
    </row>
    <row r="204" spans="1:14" ht="15" customHeight="1" x14ac:dyDescent="0.2">
      <c r="A204" s="36"/>
      <c r="B204" s="47"/>
      <c r="C204" s="4"/>
      <c r="D204" s="36"/>
      <c r="E204" s="36"/>
      <c r="F204" s="36"/>
      <c r="G204" s="36"/>
      <c r="H204" s="56"/>
      <c r="I204" s="60">
        <f t="shared" si="2"/>
        <v>558</v>
      </c>
      <c r="J204" s="224"/>
      <c r="K204" s="56"/>
      <c r="L204" s="56"/>
      <c r="M204" s="56"/>
      <c r="N204" s="56"/>
    </row>
    <row r="205" spans="1:14" ht="15" customHeight="1" x14ac:dyDescent="0.2">
      <c r="A205" s="36"/>
      <c r="B205" s="47"/>
      <c r="C205" s="4"/>
      <c r="D205" s="36"/>
      <c r="E205" s="36"/>
      <c r="F205" s="36"/>
      <c r="G205" s="36"/>
      <c r="H205" s="56"/>
      <c r="I205" s="60">
        <f t="shared" si="2"/>
        <v>559</v>
      </c>
      <c r="J205" s="224"/>
      <c r="K205" s="56"/>
      <c r="L205" s="56"/>
      <c r="M205" s="56"/>
      <c r="N205" s="56"/>
    </row>
    <row r="206" spans="1:14" ht="15" customHeight="1" x14ac:dyDescent="0.2">
      <c r="A206" s="36"/>
      <c r="B206" s="47"/>
      <c r="C206" s="4"/>
      <c r="D206" s="36"/>
      <c r="E206" s="36"/>
      <c r="F206" s="36"/>
      <c r="G206" s="36"/>
      <c r="H206" s="56"/>
      <c r="I206" s="60">
        <f t="shared" si="2"/>
        <v>560</v>
      </c>
      <c r="J206" s="224"/>
      <c r="K206" s="56"/>
      <c r="L206" s="56"/>
      <c r="M206" s="56"/>
      <c r="N206" s="56"/>
    </row>
    <row r="207" spans="1:14" ht="15" customHeight="1" x14ac:dyDescent="0.2">
      <c r="A207" s="36"/>
      <c r="B207" s="47"/>
      <c r="C207" s="4"/>
      <c r="D207" s="36"/>
      <c r="E207" s="36"/>
      <c r="F207" s="36"/>
      <c r="G207" s="36"/>
      <c r="H207" s="56"/>
      <c r="I207" s="60">
        <f t="shared" si="2"/>
        <v>561</v>
      </c>
      <c r="J207" s="224"/>
      <c r="K207" s="56"/>
      <c r="L207" s="56"/>
      <c r="M207" s="56"/>
      <c r="N207" s="56"/>
    </row>
    <row r="208" spans="1:14" ht="15" customHeight="1" x14ac:dyDescent="0.2">
      <c r="A208" s="36"/>
      <c r="B208" s="47"/>
      <c r="C208" s="4"/>
      <c r="D208" s="36"/>
      <c r="E208" s="36"/>
      <c r="F208" s="36"/>
      <c r="G208" s="36"/>
      <c r="H208" s="56"/>
      <c r="I208" s="60">
        <f t="shared" si="2"/>
        <v>562</v>
      </c>
      <c r="J208" s="224"/>
      <c r="K208" s="56"/>
      <c r="L208" s="56"/>
      <c r="M208" s="56"/>
      <c r="N208" s="56"/>
    </row>
    <row r="209" spans="1:14" ht="15" customHeight="1" x14ac:dyDescent="0.2">
      <c r="A209" s="36"/>
      <c r="B209" s="47"/>
      <c r="C209" s="4"/>
      <c r="D209" s="36"/>
      <c r="E209" s="36"/>
      <c r="F209" s="36"/>
      <c r="G209" s="36"/>
      <c r="H209" s="56"/>
      <c r="I209" s="60">
        <f t="shared" si="2"/>
        <v>563</v>
      </c>
      <c r="J209" s="224"/>
      <c r="K209" s="56"/>
      <c r="L209" s="56"/>
      <c r="M209" s="56"/>
      <c r="N209" s="56"/>
    </row>
    <row r="210" spans="1:14" ht="15" customHeight="1" x14ac:dyDescent="0.2">
      <c r="A210" s="36"/>
      <c r="B210" s="47"/>
      <c r="C210" s="4"/>
      <c r="D210" s="36"/>
      <c r="E210" s="36"/>
      <c r="F210" s="36"/>
      <c r="G210" s="36"/>
      <c r="H210" s="56"/>
      <c r="I210" s="60">
        <f t="shared" si="2"/>
        <v>564</v>
      </c>
      <c r="J210" s="224"/>
      <c r="K210" s="56"/>
      <c r="L210" s="56"/>
      <c r="M210" s="56"/>
      <c r="N210" s="56"/>
    </row>
    <row r="211" spans="1:14" ht="15" customHeight="1" x14ac:dyDescent="0.2">
      <c r="A211" s="36"/>
      <c r="B211" s="47"/>
      <c r="C211" s="4"/>
      <c r="D211" s="36"/>
      <c r="E211" s="36"/>
      <c r="F211" s="36"/>
      <c r="G211" s="36"/>
      <c r="H211" s="56"/>
      <c r="I211" s="60">
        <f t="shared" si="2"/>
        <v>565</v>
      </c>
      <c r="J211" s="224"/>
      <c r="K211" s="56"/>
      <c r="L211" s="56"/>
      <c r="M211" s="56"/>
      <c r="N211" s="56"/>
    </row>
    <row r="212" spans="1:14" ht="15" customHeight="1" x14ac:dyDescent="0.2">
      <c r="A212" s="36"/>
      <c r="B212" s="47"/>
      <c r="C212" s="4"/>
      <c r="D212" s="36"/>
      <c r="E212" s="36"/>
      <c r="F212" s="36"/>
      <c r="G212" s="36"/>
      <c r="H212" s="56"/>
      <c r="I212" s="60">
        <f t="shared" si="2"/>
        <v>566</v>
      </c>
      <c r="J212" s="224"/>
      <c r="K212" s="56"/>
      <c r="L212" s="56"/>
      <c r="M212" s="56"/>
      <c r="N212" s="56"/>
    </row>
    <row r="213" spans="1:14" ht="15" customHeight="1" x14ac:dyDescent="0.2">
      <c r="A213" s="36"/>
      <c r="B213" s="47"/>
      <c r="C213" s="4"/>
      <c r="D213" s="36"/>
      <c r="E213" s="36"/>
      <c r="F213" s="36"/>
      <c r="G213" s="36"/>
      <c r="H213" s="56"/>
      <c r="I213" s="60">
        <f t="shared" si="2"/>
        <v>567</v>
      </c>
      <c r="J213" s="224"/>
      <c r="K213" s="56"/>
      <c r="L213" s="56"/>
      <c r="M213" s="56"/>
      <c r="N213" s="56"/>
    </row>
    <row r="214" spans="1:14" ht="15" customHeight="1" x14ac:dyDescent="0.2">
      <c r="A214" s="36"/>
      <c r="B214" s="47"/>
      <c r="C214" s="4"/>
      <c r="D214" s="36"/>
      <c r="E214" s="36"/>
      <c r="F214" s="36"/>
      <c r="G214" s="36"/>
      <c r="H214" s="56"/>
      <c r="I214" s="60">
        <f t="shared" si="2"/>
        <v>568</v>
      </c>
      <c r="J214" s="224"/>
      <c r="K214" s="56"/>
      <c r="L214" s="56"/>
      <c r="M214" s="56"/>
      <c r="N214" s="56"/>
    </row>
    <row r="215" spans="1:14" ht="15" customHeight="1" x14ac:dyDescent="0.2">
      <c r="A215" s="36"/>
      <c r="B215" s="47"/>
      <c r="C215" s="4"/>
      <c r="D215" s="36"/>
      <c r="E215" s="36"/>
      <c r="F215" s="36"/>
      <c r="G215" s="36"/>
      <c r="H215" s="56"/>
      <c r="I215" s="60">
        <f t="shared" si="2"/>
        <v>569</v>
      </c>
      <c r="J215" s="224"/>
      <c r="K215" s="56"/>
      <c r="L215" s="56"/>
      <c r="M215" s="56"/>
      <c r="N215" s="56"/>
    </row>
    <row r="216" spans="1:14" ht="15" customHeight="1" x14ac:dyDescent="0.2">
      <c r="A216" s="36"/>
      <c r="B216" s="47"/>
      <c r="C216" s="4"/>
      <c r="D216" s="36"/>
      <c r="E216" s="36"/>
      <c r="F216" s="36"/>
      <c r="G216" s="36"/>
      <c r="H216" s="56"/>
      <c r="I216" s="60">
        <f t="shared" si="2"/>
        <v>570</v>
      </c>
      <c r="J216" s="224"/>
      <c r="K216" s="56"/>
      <c r="L216" s="56"/>
      <c r="M216" s="56"/>
      <c r="N216" s="56"/>
    </row>
    <row r="217" spans="1:14" ht="15" customHeight="1" x14ac:dyDescent="0.2">
      <c r="A217" s="36"/>
      <c r="B217" s="47"/>
      <c r="C217" s="4"/>
      <c r="D217" s="36"/>
      <c r="E217" s="36"/>
      <c r="F217" s="36"/>
      <c r="G217" s="36"/>
      <c r="H217" s="56"/>
      <c r="I217" s="60">
        <f t="shared" si="2"/>
        <v>571</v>
      </c>
      <c r="J217" s="224"/>
      <c r="K217" s="56"/>
      <c r="L217" s="56"/>
      <c r="M217" s="56"/>
      <c r="N217" s="56"/>
    </row>
    <row r="218" spans="1:14" ht="15" customHeight="1" x14ac:dyDescent="0.2">
      <c r="A218" s="36"/>
      <c r="B218" s="47"/>
      <c r="C218" s="4"/>
      <c r="D218" s="36"/>
      <c r="E218" s="36"/>
      <c r="F218" s="36"/>
      <c r="G218" s="36"/>
      <c r="H218" s="56"/>
      <c r="I218" s="60">
        <f t="shared" ref="I218:I281" si="3">IF(380+J$22*(ROW()-ROW(I$25)-1)&gt;780,"",380+J$22*(ROW()-ROW(I$25)-1))</f>
        <v>572</v>
      </c>
      <c r="J218" s="224"/>
      <c r="K218" s="56"/>
      <c r="L218" s="56"/>
      <c r="M218" s="56"/>
      <c r="N218" s="56"/>
    </row>
    <row r="219" spans="1:14" ht="15" customHeight="1" x14ac:dyDescent="0.2">
      <c r="A219" s="36"/>
      <c r="B219" s="47"/>
      <c r="C219" s="4"/>
      <c r="D219" s="36"/>
      <c r="E219" s="36"/>
      <c r="F219" s="36"/>
      <c r="G219" s="36"/>
      <c r="H219" s="56"/>
      <c r="I219" s="60">
        <f t="shared" si="3"/>
        <v>573</v>
      </c>
      <c r="J219" s="224"/>
      <c r="K219" s="56"/>
      <c r="L219" s="56"/>
      <c r="M219" s="56"/>
      <c r="N219" s="56"/>
    </row>
    <row r="220" spans="1:14" ht="15" customHeight="1" x14ac:dyDescent="0.2">
      <c r="A220" s="36"/>
      <c r="B220" s="47"/>
      <c r="C220" s="4"/>
      <c r="D220" s="36"/>
      <c r="E220" s="36"/>
      <c r="F220" s="36"/>
      <c r="G220" s="36"/>
      <c r="H220" s="56"/>
      <c r="I220" s="60">
        <f t="shared" si="3"/>
        <v>574</v>
      </c>
      <c r="J220" s="224"/>
      <c r="K220" s="56"/>
      <c r="L220" s="56"/>
      <c r="M220" s="56"/>
      <c r="N220" s="56"/>
    </row>
    <row r="221" spans="1:14" ht="15" customHeight="1" x14ac:dyDescent="0.2">
      <c r="A221" s="36"/>
      <c r="B221" s="47"/>
      <c r="C221" s="4"/>
      <c r="D221" s="36"/>
      <c r="E221" s="36"/>
      <c r="F221" s="36"/>
      <c r="G221" s="36"/>
      <c r="H221" s="56"/>
      <c r="I221" s="60">
        <f t="shared" si="3"/>
        <v>575</v>
      </c>
      <c r="J221" s="224"/>
      <c r="K221" s="56"/>
      <c r="L221" s="56"/>
      <c r="M221" s="56"/>
      <c r="N221" s="56"/>
    </row>
    <row r="222" spans="1:14" ht="15" customHeight="1" x14ac:dyDescent="0.2">
      <c r="A222" s="36"/>
      <c r="B222" s="47"/>
      <c r="C222" s="4"/>
      <c r="D222" s="36"/>
      <c r="E222" s="36"/>
      <c r="F222" s="36"/>
      <c r="G222" s="36"/>
      <c r="H222" s="56"/>
      <c r="I222" s="60">
        <f t="shared" si="3"/>
        <v>576</v>
      </c>
      <c r="J222" s="224"/>
      <c r="K222" s="56"/>
      <c r="L222" s="56"/>
      <c r="M222" s="56"/>
      <c r="N222" s="56"/>
    </row>
    <row r="223" spans="1:14" ht="15" customHeight="1" x14ac:dyDescent="0.2">
      <c r="A223" s="36"/>
      <c r="B223" s="47"/>
      <c r="C223" s="4"/>
      <c r="D223" s="36"/>
      <c r="E223" s="36"/>
      <c r="F223" s="36"/>
      <c r="G223" s="36"/>
      <c r="H223" s="56"/>
      <c r="I223" s="60">
        <f t="shared" si="3"/>
        <v>577</v>
      </c>
      <c r="J223" s="224"/>
      <c r="K223" s="56"/>
      <c r="L223" s="56"/>
      <c r="M223" s="56"/>
      <c r="N223" s="56"/>
    </row>
    <row r="224" spans="1:14" ht="15" customHeight="1" x14ac:dyDescent="0.2">
      <c r="A224" s="36"/>
      <c r="B224" s="47"/>
      <c r="C224" s="4"/>
      <c r="D224" s="36"/>
      <c r="E224" s="36"/>
      <c r="F224" s="36"/>
      <c r="G224" s="36"/>
      <c r="H224" s="56"/>
      <c r="I224" s="60">
        <f t="shared" si="3"/>
        <v>578</v>
      </c>
      <c r="J224" s="224"/>
      <c r="K224" s="56"/>
      <c r="L224" s="56"/>
      <c r="M224" s="56"/>
      <c r="N224" s="56"/>
    </row>
    <row r="225" spans="1:14" ht="15" customHeight="1" x14ac:dyDescent="0.2">
      <c r="A225" s="36"/>
      <c r="B225" s="47"/>
      <c r="C225" s="4"/>
      <c r="D225" s="36"/>
      <c r="E225" s="36"/>
      <c r="F225" s="36"/>
      <c r="G225" s="36"/>
      <c r="H225" s="56"/>
      <c r="I225" s="60">
        <f t="shared" si="3"/>
        <v>579</v>
      </c>
      <c r="J225" s="224"/>
      <c r="K225" s="56"/>
      <c r="L225" s="56"/>
      <c r="M225" s="56"/>
      <c r="N225" s="56"/>
    </row>
    <row r="226" spans="1:14" ht="15" customHeight="1" x14ac:dyDescent="0.2">
      <c r="A226" s="36"/>
      <c r="B226" s="47"/>
      <c r="C226" s="4"/>
      <c r="D226" s="36"/>
      <c r="E226" s="36"/>
      <c r="F226" s="36"/>
      <c r="G226" s="36"/>
      <c r="H226" s="56"/>
      <c r="I226" s="60">
        <f t="shared" si="3"/>
        <v>580</v>
      </c>
      <c r="J226" s="224"/>
      <c r="K226" s="56"/>
      <c r="L226" s="56"/>
      <c r="M226" s="56"/>
      <c r="N226" s="56"/>
    </row>
    <row r="227" spans="1:14" ht="15" customHeight="1" x14ac:dyDescent="0.2">
      <c r="A227" s="36"/>
      <c r="B227" s="47"/>
      <c r="C227" s="4"/>
      <c r="D227" s="36"/>
      <c r="E227" s="36"/>
      <c r="F227" s="36"/>
      <c r="G227" s="36"/>
      <c r="H227" s="56"/>
      <c r="I227" s="60">
        <f t="shared" si="3"/>
        <v>581</v>
      </c>
      <c r="J227" s="224"/>
      <c r="K227" s="56"/>
      <c r="L227" s="56"/>
      <c r="M227" s="56"/>
      <c r="N227" s="56"/>
    </row>
    <row r="228" spans="1:14" ht="15" customHeight="1" x14ac:dyDescent="0.2">
      <c r="A228" s="36"/>
      <c r="B228" s="47"/>
      <c r="C228" s="4"/>
      <c r="D228" s="36"/>
      <c r="E228" s="36"/>
      <c r="F228" s="36"/>
      <c r="G228" s="36"/>
      <c r="H228" s="56"/>
      <c r="I228" s="60">
        <f t="shared" si="3"/>
        <v>582</v>
      </c>
      <c r="J228" s="224"/>
      <c r="K228" s="56"/>
      <c r="L228" s="56"/>
      <c r="M228" s="56"/>
      <c r="N228" s="56"/>
    </row>
    <row r="229" spans="1:14" ht="15" customHeight="1" x14ac:dyDescent="0.2">
      <c r="A229" s="36"/>
      <c r="B229" s="47"/>
      <c r="C229" s="4"/>
      <c r="D229" s="36"/>
      <c r="E229" s="36"/>
      <c r="F229" s="36"/>
      <c r="G229" s="36"/>
      <c r="H229" s="56"/>
      <c r="I229" s="60">
        <f t="shared" si="3"/>
        <v>583</v>
      </c>
      <c r="J229" s="224"/>
      <c r="K229" s="56"/>
      <c r="L229" s="56"/>
      <c r="M229" s="56"/>
      <c r="N229" s="56"/>
    </row>
    <row r="230" spans="1:14" ht="15" customHeight="1" x14ac:dyDescent="0.2">
      <c r="A230" s="36"/>
      <c r="B230" s="47"/>
      <c r="C230" s="4"/>
      <c r="D230" s="36"/>
      <c r="E230" s="36"/>
      <c r="F230" s="36"/>
      <c r="G230" s="36"/>
      <c r="H230" s="56"/>
      <c r="I230" s="60">
        <f t="shared" si="3"/>
        <v>584</v>
      </c>
      <c r="J230" s="224"/>
      <c r="K230" s="56"/>
      <c r="L230" s="56"/>
      <c r="M230" s="56"/>
      <c r="N230" s="56"/>
    </row>
    <row r="231" spans="1:14" ht="15" customHeight="1" x14ac:dyDescent="0.2">
      <c r="A231" s="36"/>
      <c r="B231" s="47"/>
      <c r="C231" s="4"/>
      <c r="D231" s="36"/>
      <c r="E231" s="36"/>
      <c r="F231" s="36"/>
      <c r="G231" s="36"/>
      <c r="H231" s="56"/>
      <c r="I231" s="60">
        <f t="shared" si="3"/>
        <v>585</v>
      </c>
      <c r="J231" s="224"/>
      <c r="K231" s="56"/>
      <c r="L231" s="56"/>
      <c r="M231" s="56"/>
      <c r="N231" s="56"/>
    </row>
    <row r="232" spans="1:14" ht="15" customHeight="1" x14ac:dyDescent="0.2">
      <c r="A232" s="36"/>
      <c r="B232" s="47"/>
      <c r="C232" s="4"/>
      <c r="D232" s="36"/>
      <c r="E232" s="36"/>
      <c r="F232" s="36"/>
      <c r="G232" s="36"/>
      <c r="H232" s="56"/>
      <c r="I232" s="60">
        <f t="shared" si="3"/>
        <v>586</v>
      </c>
      <c r="J232" s="224"/>
      <c r="K232" s="56"/>
      <c r="L232" s="56"/>
      <c r="M232" s="56"/>
      <c r="N232" s="56"/>
    </row>
    <row r="233" spans="1:14" ht="15" customHeight="1" x14ac:dyDescent="0.2">
      <c r="A233" s="36"/>
      <c r="B233" s="47"/>
      <c r="C233" s="4"/>
      <c r="D233" s="36"/>
      <c r="E233" s="36"/>
      <c r="F233" s="36"/>
      <c r="G233" s="36"/>
      <c r="H233" s="56"/>
      <c r="I233" s="60">
        <f t="shared" si="3"/>
        <v>587</v>
      </c>
      <c r="J233" s="224"/>
      <c r="K233" s="56"/>
      <c r="L233" s="56"/>
      <c r="M233" s="56"/>
      <c r="N233" s="56"/>
    </row>
    <row r="234" spans="1:14" ht="15" customHeight="1" x14ac:dyDescent="0.2">
      <c r="A234" s="36"/>
      <c r="B234" s="47"/>
      <c r="C234" s="4"/>
      <c r="D234" s="36"/>
      <c r="E234" s="36"/>
      <c r="F234" s="36"/>
      <c r="G234" s="36"/>
      <c r="H234" s="56"/>
      <c r="I234" s="60">
        <f t="shared" si="3"/>
        <v>588</v>
      </c>
      <c r="J234" s="224"/>
      <c r="K234" s="56"/>
      <c r="L234" s="56"/>
      <c r="M234" s="56"/>
      <c r="N234" s="56"/>
    </row>
    <row r="235" spans="1:14" ht="15" customHeight="1" x14ac:dyDescent="0.2">
      <c r="A235" s="36"/>
      <c r="B235" s="47"/>
      <c r="C235" s="4"/>
      <c r="D235" s="36"/>
      <c r="E235" s="36"/>
      <c r="F235" s="36"/>
      <c r="G235" s="36"/>
      <c r="H235" s="56"/>
      <c r="I235" s="60">
        <f t="shared" si="3"/>
        <v>589</v>
      </c>
      <c r="J235" s="224"/>
      <c r="K235" s="56"/>
      <c r="L235" s="56"/>
      <c r="M235" s="56"/>
      <c r="N235" s="56"/>
    </row>
    <row r="236" spans="1:14" ht="15" customHeight="1" x14ac:dyDescent="0.2">
      <c r="A236" s="36"/>
      <c r="B236" s="47"/>
      <c r="C236" s="4"/>
      <c r="D236" s="36"/>
      <c r="E236" s="36"/>
      <c r="F236" s="36"/>
      <c r="G236" s="36"/>
      <c r="H236" s="56"/>
      <c r="I236" s="60">
        <f t="shared" si="3"/>
        <v>590</v>
      </c>
      <c r="J236" s="224"/>
      <c r="K236" s="56"/>
      <c r="L236" s="56"/>
      <c r="M236" s="56"/>
      <c r="N236" s="56"/>
    </row>
    <row r="237" spans="1:14" ht="15" customHeight="1" x14ac:dyDescent="0.2">
      <c r="A237" s="36"/>
      <c r="B237" s="47"/>
      <c r="C237" s="4"/>
      <c r="D237" s="36"/>
      <c r="E237" s="36"/>
      <c r="F237" s="36"/>
      <c r="G237" s="36"/>
      <c r="H237" s="56"/>
      <c r="I237" s="60">
        <f t="shared" si="3"/>
        <v>591</v>
      </c>
      <c r="J237" s="224"/>
      <c r="K237" s="56"/>
      <c r="L237" s="56"/>
      <c r="M237" s="56"/>
      <c r="N237" s="56"/>
    </row>
    <row r="238" spans="1:14" ht="15" customHeight="1" x14ac:dyDescent="0.2">
      <c r="A238" s="36"/>
      <c r="B238" s="47"/>
      <c r="C238" s="4"/>
      <c r="D238" s="36"/>
      <c r="E238" s="36"/>
      <c r="F238" s="36"/>
      <c r="G238" s="36"/>
      <c r="H238" s="56"/>
      <c r="I238" s="60">
        <f t="shared" si="3"/>
        <v>592</v>
      </c>
      <c r="J238" s="224"/>
      <c r="K238" s="56"/>
      <c r="L238" s="56"/>
      <c r="M238" s="56"/>
      <c r="N238" s="56"/>
    </row>
    <row r="239" spans="1:14" ht="15" customHeight="1" x14ac:dyDescent="0.2">
      <c r="A239" s="36"/>
      <c r="B239" s="47"/>
      <c r="C239" s="4"/>
      <c r="D239" s="36"/>
      <c r="E239" s="36"/>
      <c r="F239" s="36"/>
      <c r="G239" s="36"/>
      <c r="H239" s="56"/>
      <c r="I239" s="60">
        <f t="shared" si="3"/>
        <v>593</v>
      </c>
      <c r="J239" s="224"/>
      <c r="K239" s="56"/>
      <c r="L239" s="56"/>
      <c r="M239" s="56"/>
      <c r="N239" s="56"/>
    </row>
    <row r="240" spans="1:14" ht="15" customHeight="1" x14ac:dyDescent="0.2">
      <c r="A240" s="36"/>
      <c r="B240" s="47"/>
      <c r="C240" s="4"/>
      <c r="D240" s="36"/>
      <c r="E240" s="36"/>
      <c r="F240" s="36"/>
      <c r="G240" s="36"/>
      <c r="H240" s="56"/>
      <c r="I240" s="60">
        <f t="shared" si="3"/>
        <v>594</v>
      </c>
      <c r="J240" s="224"/>
      <c r="K240" s="56"/>
      <c r="L240" s="56"/>
      <c r="M240" s="56"/>
      <c r="N240" s="56"/>
    </row>
    <row r="241" spans="1:14" ht="15" customHeight="1" x14ac:dyDescent="0.2">
      <c r="A241" s="36"/>
      <c r="B241" s="47"/>
      <c r="C241" s="4"/>
      <c r="D241" s="36"/>
      <c r="E241" s="36"/>
      <c r="F241" s="36"/>
      <c r="G241" s="36"/>
      <c r="H241" s="56"/>
      <c r="I241" s="60">
        <f t="shared" si="3"/>
        <v>595</v>
      </c>
      <c r="J241" s="224"/>
      <c r="K241" s="56"/>
      <c r="L241" s="56"/>
      <c r="M241" s="56"/>
      <c r="N241" s="56"/>
    </row>
    <row r="242" spans="1:14" ht="15" customHeight="1" x14ac:dyDescent="0.2">
      <c r="A242" s="36"/>
      <c r="B242" s="47"/>
      <c r="C242" s="4"/>
      <c r="D242" s="36"/>
      <c r="E242" s="36"/>
      <c r="F242" s="36"/>
      <c r="G242" s="36"/>
      <c r="H242" s="56"/>
      <c r="I242" s="60">
        <f t="shared" si="3"/>
        <v>596</v>
      </c>
      <c r="J242" s="224"/>
      <c r="K242" s="56"/>
      <c r="L242" s="56"/>
      <c r="M242" s="56"/>
      <c r="N242" s="56"/>
    </row>
    <row r="243" spans="1:14" ht="15" customHeight="1" x14ac:dyDescent="0.2">
      <c r="A243" s="36"/>
      <c r="B243" s="47"/>
      <c r="C243" s="4"/>
      <c r="D243" s="36"/>
      <c r="E243" s="36"/>
      <c r="F243" s="36"/>
      <c r="G243" s="36"/>
      <c r="H243" s="56"/>
      <c r="I243" s="60">
        <f t="shared" si="3"/>
        <v>597</v>
      </c>
      <c r="J243" s="224"/>
      <c r="K243" s="56"/>
      <c r="L243" s="56"/>
      <c r="M243" s="56"/>
      <c r="N243" s="56"/>
    </row>
    <row r="244" spans="1:14" ht="15" customHeight="1" x14ac:dyDescent="0.2">
      <c r="A244" s="36"/>
      <c r="B244" s="47"/>
      <c r="C244" s="4"/>
      <c r="D244" s="36"/>
      <c r="E244" s="36"/>
      <c r="F244" s="36"/>
      <c r="G244" s="36"/>
      <c r="H244" s="56"/>
      <c r="I244" s="60">
        <f t="shared" si="3"/>
        <v>598</v>
      </c>
      <c r="J244" s="224"/>
      <c r="K244" s="56"/>
      <c r="L244" s="56"/>
      <c r="M244" s="56"/>
      <c r="N244" s="56"/>
    </row>
    <row r="245" spans="1:14" ht="15" customHeight="1" x14ac:dyDescent="0.2">
      <c r="A245" s="36"/>
      <c r="B245" s="47"/>
      <c r="C245" s="4"/>
      <c r="D245" s="36"/>
      <c r="E245" s="36"/>
      <c r="F245" s="36"/>
      <c r="G245" s="36"/>
      <c r="H245" s="56"/>
      <c r="I245" s="60">
        <f t="shared" si="3"/>
        <v>599</v>
      </c>
      <c r="J245" s="224"/>
      <c r="K245" s="56"/>
      <c r="L245" s="56"/>
      <c r="M245" s="56"/>
      <c r="N245" s="56"/>
    </row>
    <row r="246" spans="1:14" ht="15" customHeight="1" x14ac:dyDescent="0.2">
      <c r="A246" s="36"/>
      <c r="B246" s="47"/>
      <c r="C246" s="4"/>
      <c r="D246" s="36"/>
      <c r="E246" s="36"/>
      <c r="F246" s="36"/>
      <c r="G246" s="36"/>
      <c r="H246" s="56"/>
      <c r="I246" s="60">
        <f t="shared" si="3"/>
        <v>600</v>
      </c>
      <c r="J246" s="224"/>
      <c r="K246" s="56"/>
      <c r="L246" s="56"/>
      <c r="M246" s="56"/>
      <c r="N246" s="56"/>
    </row>
    <row r="247" spans="1:14" ht="15" customHeight="1" x14ac:dyDescent="0.2">
      <c r="A247" s="36"/>
      <c r="B247" s="47"/>
      <c r="C247" s="4"/>
      <c r="D247" s="36"/>
      <c r="E247" s="36"/>
      <c r="F247" s="36"/>
      <c r="G247" s="36"/>
      <c r="H247" s="56"/>
      <c r="I247" s="60">
        <f t="shared" si="3"/>
        <v>601</v>
      </c>
      <c r="J247" s="224"/>
      <c r="K247" s="56"/>
      <c r="L247" s="56"/>
      <c r="M247" s="56"/>
      <c r="N247" s="56"/>
    </row>
    <row r="248" spans="1:14" ht="15" customHeight="1" x14ac:dyDescent="0.2">
      <c r="A248" s="36"/>
      <c r="B248" s="47"/>
      <c r="C248" s="4"/>
      <c r="D248" s="36"/>
      <c r="E248" s="36"/>
      <c r="F248" s="36"/>
      <c r="G248" s="36"/>
      <c r="H248" s="56"/>
      <c r="I248" s="60">
        <f t="shared" si="3"/>
        <v>602</v>
      </c>
      <c r="J248" s="224"/>
      <c r="K248" s="56"/>
      <c r="L248" s="56"/>
      <c r="M248" s="56"/>
      <c r="N248" s="56"/>
    </row>
    <row r="249" spans="1:14" ht="15" customHeight="1" x14ac:dyDescent="0.2">
      <c r="A249" s="36"/>
      <c r="B249" s="47"/>
      <c r="C249" s="4"/>
      <c r="D249" s="36"/>
      <c r="E249" s="36"/>
      <c r="F249" s="36"/>
      <c r="G249" s="36"/>
      <c r="H249" s="56"/>
      <c r="I249" s="60">
        <f t="shared" si="3"/>
        <v>603</v>
      </c>
      <c r="J249" s="224"/>
      <c r="K249" s="56"/>
      <c r="L249" s="56"/>
      <c r="M249" s="56"/>
      <c r="N249" s="56"/>
    </row>
    <row r="250" spans="1:14" ht="15" customHeight="1" x14ac:dyDescent="0.2">
      <c r="A250" s="36"/>
      <c r="B250" s="47"/>
      <c r="C250" s="4"/>
      <c r="D250" s="36"/>
      <c r="E250" s="36"/>
      <c r="F250" s="36"/>
      <c r="G250" s="36"/>
      <c r="H250" s="56"/>
      <c r="I250" s="60">
        <f t="shared" si="3"/>
        <v>604</v>
      </c>
      <c r="J250" s="224"/>
      <c r="K250" s="56"/>
      <c r="L250" s="56"/>
      <c r="M250" s="56"/>
      <c r="N250" s="56"/>
    </row>
    <row r="251" spans="1:14" ht="15" customHeight="1" x14ac:dyDescent="0.2">
      <c r="A251" s="36"/>
      <c r="B251" s="47"/>
      <c r="C251" s="4"/>
      <c r="D251" s="36"/>
      <c r="E251" s="36"/>
      <c r="F251" s="36"/>
      <c r="G251" s="36"/>
      <c r="H251" s="56"/>
      <c r="I251" s="60">
        <f t="shared" si="3"/>
        <v>605</v>
      </c>
      <c r="J251" s="224"/>
      <c r="K251" s="56"/>
      <c r="L251" s="56"/>
      <c r="M251" s="56"/>
      <c r="N251" s="56"/>
    </row>
    <row r="252" spans="1:14" ht="15" customHeight="1" x14ac:dyDescent="0.2">
      <c r="A252" s="36"/>
      <c r="B252" s="47"/>
      <c r="C252" s="4"/>
      <c r="D252" s="36"/>
      <c r="E252" s="36"/>
      <c r="F252" s="36"/>
      <c r="G252" s="36"/>
      <c r="H252" s="56"/>
      <c r="I252" s="60">
        <f t="shared" si="3"/>
        <v>606</v>
      </c>
      <c r="J252" s="224"/>
      <c r="K252" s="56"/>
      <c r="L252" s="56"/>
      <c r="M252" s="56"/>
      <c r="N252" s="56"/>
    </row>
    <row r="253" spans="1:14" ht="15" customHeight="1" x14ac:dyDescent="0.2">
      <c r="A253" s="36"/>
      <c r="B253" s="47"/>
      <c r="C253" s="4"/>
      <c r="D253" s="36"/>
      <c r="E253" s="36"/>
      <c r="F253" s="36"/>
      <c r="G253" s="36"/>
      <c r="H253" s="56"/>
      <c r="I253" s="60">
        <f t="shared" si="3"/>
        <v>607</v>
      </c>
      <c r="J253" s="224"/>
      <c r="K253" s="56"/>
      <c r="L253" s="56"/>
      <c r="M253" s="56"/>
      <c r="N253" s="56"/>
    </row>
    <row r="254" spans="1:14" ht="15" customHeight="1" x14ac:dyDescent="0.2">
      <c r="A254" s="36"/>
      <c r="B254" s="47"/>
      <c r="C254" s="4"/>
      <c r="D254" s="36"/>
      <c r="E254" s="36"/>
      <c r="F254" s="36"/>
      <c r="G254" s="36"/>
      <c r="H254" s="56"/>
      <c r="I254" s="60">
        <f t="shared" si="3"/>
        <v>608</v>
      </c>
      <c r="J254" s="224"/>
      <c r="K254" s="56"/>
      <c r="L254" s="56"/>
      <c r="M254" s="56"/>
      <c r="N254" s="56"/>
    </row>
    <row r="255" spans="1:14" ht="15" customHeight="1" x14ac:dyDescent="0.2">
      <c r="A255" s="36"/>
      <c r="B255" s="47"/>
      <c r="C255" s="4"/>
      <c r="D255" s="36"/>
      <c r="E255" s="36"/>
      <c r="F255" s="36"/>
      <c r="G255" s="36"/>
      <c r="H255" s="56"/>
      <c r="I255" s="60">
        <f t="shared" si="3"/>
        <v>609</v>
      </c>
      <c r="J255" s="224"/>
      <c r="K255" s="56"/>
      <c r="L255" s="56"/>
      <c r="M255" s="56"/>
      <c r="N255" s="56"/>
    </row>
    <row r="256" spans="1:14" ht="15" customHeight="1" x14ac:dyDescent="0.2">
      <c r="A256" s="36"/>
      <c r="B256" s="47"/>
      <c r="C256" s="4"/>
      <c r="D256" s="36"/>
      <c r="E256" s="36"/>
      <c r="F256" s="36"/>
      <c r="G256" s="36"/>
      <c r="H256" s="56"/>
      <c r="I256" s="60">
        <f t="shared" si="3"/>
        <v>610</v>
      </c>
      <c r="J256" s="224"/>
      <c r="K256" s="56"/>
      <c r="L256" s="56"/>
      <c r="M256" s="56"/>
      <c r="N256" s="56"/>
    </row>
    <row r="257" spans="1:14" ht="15" customHeight="1" x14ac:dyDescent="0.2">
      <c r="A257" s="36"/>
      <c r="B257" s="47"/>
      <c r="C257" s="4"/>
      <c r="D257" s="36"/>
      <c r="E257" s="36"/>
      <c r="F257" s="36"/>
      <c r="G257" s="36"/>
      <c r="H257" s="56"/>
      <c r="I257" s="60">
        <f t="shared" si="3"/>
        <v>611</v>
      </c>
      <c r="J257" s="224"/>
      <c r="K257" s="56"/>
      <c r="L257" s="56"/>
      <c r="M257" s="56"/>
      <c r="N257" s="56"/>
    </row>
    <row r="258" spans="1:14" ht="15" customHeight="1" x14ac:dyDescent="0.2">
      <c r="A258" s="36"/>
      <c r="B258" s="47"/>
      <c r="C258" s="4"/>
      <c r="D258" s="36"/>
      <c r="E258" s="36"/>
      <c r="F258" s="36"/>
      <c r="G258" s="36"/>
      <c r="H258" s="56"/>
      <c r="I258" s="60">
        <f t="shared" si="3"/>
        <v>612</v>
      </c>
      <c r="J258" s="224"/>
      <c r="K258" s="56"/>
      <c r="L258" s="56"/>
      <c r="M258" s="56"/>
      <c r="N258" s="56"/>
    </row>
    <row r="259" spans="1:14" ht="15" customHeight="1" x14ac:dyDescent="0.2">
      <c r="A259" s="36"/>
      <c r="B259" s="47"/>
      <c r="C259" s="4"/>
      <c r="D259" s="36"/>
      <c r="E259" s="36"/>
      <c r="F259" s="36"/>
      <c r="G259" s="36"/>
      <c r="H259" s="56"/>
      <c r="I259" s="60">
        <f t="shared" si="3"/>
        <v>613</v>
      </c>
      <c r="J259" s="224"/>
      <c r="K259" s="56"/>
      <c r="L259" s="56"/>
      <c r="M259" s="56"/>
      <c r="N259" s="56"/>
    </row>
    <row r="260" spans="1:14" ht="15" customHeight="1" x14ac:dyDescent="0.2">
      <c r="A260" s="36"/>
      <c r="B260" s="47"/>
      <c r="C260" s="4"/>
      <c r="D260" s="36"/>
      <c r="E260" s="36"/>
      <c r="F260" s="36"/>
      <c r="G260" s="36"/>
      <c r="H260" s="56"/>
      <c r="I260" s="60">
        <f t="shared" si="3"/>
        <v>614</v>
      </c>
      <c r="J260" s="224"/>
      <c r="K260" s="56"/>
      <c r="L260" s="56"/>
      <c r="M260" s="56"/>
      <c r="N260" s="56"/>
    </row>
    <row r="261" spans="1:14" ht="15" customHeight="1" x14ac:dyDescent="0.2">
      <c r="A261" s="36"/>
      <c r="B261" s="47"/>
      <c r="C261" s="4"/>
      <c r="D261" s="36"/>
      <c r="E261" s="36"/>
      <c r="F261" s="36"/>
      <c r="G261" s="36"/>
      <c r="H261" s="56"/>
      <c r="I261" s="60">
        <f t="shared" si="3"/>
        <v>615</v>
      </c>
      <c r="J261" s="224"/>
      <c r="K261" s="56"/>
      <c r="L261" s="56"/>
      <c r="M261" s="56"/>
      <c r="N261" s="56"/>
    </row>
    <row r="262" spans="1:14" ht="15" customHeight="1" x14ac:dyDescent="0.2">
      <c r="A262" s="36"/>
      <c r="B262" s="47"/>
      <c r="C262" s="4"/>
      <c r="D262" s="36"/>
      <c r="E262" s="36"/>
      <c r="F262" s="36"/>
      <c r="G262" s="36"/>
      <c r="H262" s="56"/>
      <c r="I262" s="60">
        <f t="shared" si="3"/>
        <v>616</v>
      </c>
      <c r="J262" s="224"/>
      <c r="K262" s="56"/>
      <c r="L262" s="56"/>
      <c r="M262" s="56"/>
      <c r="N262" s="56"/>
    </row>
    <row r="263" spans="1:14" ht="15" customHeight="1" x14ac:dyDescent="0.2">
      <c r="A263" s="36"/>
      <c r="B263" s="47"/>
      <c r="C263" s="4"/>
      <c r="D263" s="36"/>
      <c r="E263" s="36"/>
      <c r="F263" s="36"/>
      <c r="G263" s="36"/>
      <c r="H263" s="56"/>
      <c r="I263" s="60">
        <f t="shared" si="3"/>
        <v>617</v>
      </c>
      <c r="J263" s="224"/>
      <c r="K263" s="56"/>
      <c r="L263" s="56"/>
      <c r="M263" s="56"/>
      <c r="N263" s="56"/>
    </row>
    <row r="264" spans="1:14" ht="15" customHeight="1" x14ac:dyDescent="0.2">
      <c r="A264" s="36"/>
      <c r="B264" s="47"/>
      <c r="C264" s="4"/>
      <c r="D264" s="36"/>
      <c r="E264" s="36"/>
      <c r="F264" s="36"/>
      <c r="G264" s="36"/>
      <c r="H264" s="56"/>
      <c r="I264" s="60">
        <f t="shared" si="3"/>
        <v>618</v>
      </c>
      <c r="J264" s="224"/>
      <c r="K264" s="56"/>
      <c r="L264" s="56"/>
      <c r="M264" s="56"/>
      <c r="N264" s="56"/>
    </row>
    <row r="265" spans="1:14" ht="15" customHeight="1" x14ac:dyDescent="0.2">
      <c r="A265" s="36"/>
      <c r="B265" s="47"/>
      <c r="C265" s="4"/>
      <c r="D265" s="36"/>
      <c r="E265" s="36"/>
      <c r="F265" s="36"/>
      <c r="G265" s="36"/>
      <c r="H265" s="56"/>
      <c r="I265" s="60">
        <f t="shared" si="3"/>
        <v>619</v>
      </c>
      <c r="J265" s="224"/>
      <c r="K265" s="56"/>
      <c r="L265" s="56"/>
      <c r="M265" s="56"/>
      <c r="N265" s="56"/>
    </row>
    <row r="266" spans="1:14" ht="15" customHeight="1" x14ac:dyDescent="0.2">
      <c r="A266" s="36"/>
      <c r="B266" s="47"/>
      <c r="C266" s="4"/>
      <c r="D266" s="36"/>
      <c r="E266" s="36"/>
      <c r="F266" s="36"/>
      <c r="G266" s="36"/>
      <c r="H266" s="56"/>
      <c r="I266" s="60">
        <f t="shared" si="3"/>
        <v>620</v>
      </c>
      <c r="J266" s="224"/>
      <c r="K266" s="56"/>
      <c r="L266" s="56"/>
      <c r="M266" s="56"/>
      <c r="N266" s="56"/>
    </row>
    <row r="267" spans="1:14" ht="15" customHeight="1" x14ac:dyDescent="0.2">
      <c r="A267" s="36"/>
      <c r="B267" s="47"/>
      <c r="C267" s="4"/>
      <c r="D267" s="36"/>
      <c r="E267" s="36"/>
      <c r="F267" s="36"/>
      <c r="G267" s="36"/>
      <c r="H267" s="56"/>
      <c r="I267" s="60">
        <f t="shared" si="3"/>
        <v>621</v>
      </c>
      <c r="J267" s="224"/>
      <c r="K267" s="56"/>
      <c r="L267" s="56"/>
      <c r="M267" s="56"/>
      <c r="N267" s="56"/>
    </row>
    <row r="268" spans="1:14" ht="15" customHeight="1" x14ac:dyDescent="0.2">
      <c r="A268" s="36"/>
      <c r="B268" s="47"/>
      <c r="C268" s="4"/>
      <c r="D268" s="36"/>
      <c r="E268" s="36"/>
      <c r="F268" s="36"/>
      <c r="G268" s="36"/>
      <c r="H268" s="56"/>
      <c r="I268" s="60">
        <f t="shared" si="3"/>
        <v>622</v>
      </c>
      <c r="J268" s="224"/>
      <c r="K268" s="56"/>
      <c r="L268" s="56"/>
      <c r="M268" s="56"/>
      <c r="N268" s="56"/>
    </row>
    <row r="269" spans="1:14" ht="15" customHeight="1" x14ac:dyDescent="0.2">
      <c r="A269" s="36"/>
      <c r="B269" s="47"/>
      <c r="C269" s="4"/>
      <c r="D269" s="36"/>
      <c r="E269" s="36"/>
      <c r="F269" s="36"/>
      <c r="G269" s="36"/>
      <c r="H269" s="56"/>
      <c r="I269" s="60">
        <f t="shared" si="3"/>
        <v>623</v>
      </c>
      <c r="J269" s="224"/>
      <c r="K269" s="56"/>
      <c r="L269" s="56"/>
      <c r="M269" s="56"/>
      <c r="N269" s="56"/>
    </row>
    <row r="270" spans="1:14" ht="15" customHeight="1" x14ac:dyDescent="0.2">
      <c r="A270" s="36"/>
      <c r="B270" s="47"/>
      <c r="C270" s="4"/>
      <c r="D270" s="36"/>
      <c r="E270" s="36"/>
      <c r="F270" s="36"/>
      <c r="G270" s="36"/>
      <c r="H270" s="56"/>
      <c r="I270" s="60">
        <f t="shared" si="3"/>
        <v>624</v>
      </c>
      <c r="J270" s="224"/>
      <c r="K270" s="56"/>
      <c r="L270" s="56"/>
      <c r="M270" s="56"/>
      <c r="N270" s="56"/>
    </row>
    <row r="271" spans="1:14" ht="15" customHeight="1" x14ac:dyDescent="0.2">
      <c r="A271" s="36"/>
      <c r="B271" s="47"/>
      <c r="C271" s="4"/>
      <c r="D271" s="36"/>
      <c r="E271" s="36"/>
      <c r="F271" s="36"/>
      <c r="G271" s="36"/>
      <c r="H271" s="56"/>
      <c r="I271" s="60">
        <f t="shared" si="3"/>
        <v>625</v>
      </c>
      <c r="J271" s="224"/>
      <c r="K271" s="56"/>
      <c r="L271" s="56"/>
      <c r="M271" s="56"/>
      <c r="N271" s="56"/>
    </row>
    <row r="272" spans="1:14" ht="15" customHeight="1" x14ac:dyDescent="0.2">
      <c r="A272" s="36"/>
      <c r="B272" s="47"/>
      <c r="C272" s="4"/>
      <c r="D272" s="36"/>
      <c r="E272" s="36"/>
      <c r="F272" s="36"/>
      <c r="G272" s="36"/>
      <c r="H272" s="56"/>
      <c r="I272" s="60">
        <f t="shared" si="3"/>
        <v>626</v>
      </c>
      <c r="J272" s="224"/>
      <c r="K272" s="56"/>
      <c r="L272" s="56"/>
      <c r="M272" s="56"/>
      <c r="N272" s="56"/>
    </row>
    <row r="273" spans="1:14" ht="15" customHeight="1" x14ac:dyDescent="0.2">
      <c r="A273" s="36"/>
      <c r="B273" s="47"/>
      <c r="C273" s="4"/>
      <c r="D273" s="36"/>
      <c r="E273" s="36"/>
      <c r="F273" s="36"/>
      <c r="G273" s="36"/>
      <c r="H273" s="56"/>
      <c r="I273" s="60">
        <f t="shared" si="3"/>
        <v>627</v>
      </c>
      <c r="J273" s="224"/>
      <c r="K273" s="56"/>
      <c r="L273" s="56"/>
      <c r="M273" s="56"/>
      <c r="N273" s="56"/>
    </row>
    <row r="274" spans="1:14" ht="15" customHeight="1" x14ac:dyDescent="0.2">
      <c r="A274" s="36"/>
      <c r="B274" s="47"/>
      <c r="C274" s="4"/>
      <c r="D274" s="36"/>
      <c r="E274" s="36"/>
      <c r="F274" s="36"/>
      <c r="G274" s="36"/>
      <c r="H274" s="56"/>
      <c r="I274" s="60">
        <f t="shared" si="3"/>
        <v>628</v>
      </c>
      <c r="J274" s="224"/>
      <c r="K274" s="56"/>
      <c r="L274" s="56"/>
      <c r="M274" s="56"/>
      <c r="N274" s="56"/>
    </row>
    <row r="275" spans="1:14" ht="15" customHeight="1" x14ac:dyDescent="0.2">
      <c r="A275" s="36"/>
      <c r="B275" s="47"/>
      <c r="C275" s="4"/>
      <c r="D275" s="36"/>
      <c r="E275" s="36"/>
      <c r="F275" s="36"/>
      <c r="G275" s="36"/>
      <c r="H275" s="56"/>
      <c r="I275" s="60">
        <f t="shared" si="3"/>
        <v>629</v>
      </c>
      <c r="J275" s="224"/>
      <c r="K275" s="56"/>
      <c r="L275" s="56"/>
      <c r="M275" s="56"/>
      <c r="N275" s="56"/>
    </row>
    <row r="276" spans="1:14" ht="15" customHeight="1" x14ac:dyDescent="0.2">
      <c r="A276" s="36"/>
      <c r="B276" s="47"/>
      <c r="C276" s="4"/>
      <c r="D276" s="36"/>
      <c r="E276" s="36"/>
      <c r="F276" s="36"/>
      <c r="G276" s="36"/>
      <c r="H276" s="56"/>
      <c r="I276" s="60">
        <f t="shared" si="3"/>
        <v>630</v>
      </c>
      <c r="J276" s="224"/>
      <c r="K276" s="56"/>
      <c r="L276" s="56"/>
      <c r="M276" s="56"/>
      <c r="N276" s="56"/>
    </row>
    <row r="277" spans="1:14" ht="15" customHeight="1" x14ac:dyDescent="0.2">
      <c r="A277" s="36"/>
      <c r="B277" s="47"/>
      <c r="C277" s="4"/>
      <c r="D277" s="36"/>
      <c r="E277" s="36"/>
      <c r="F277" s="36"/>
      <c r="G277" s="36"/>
      <c r="H277" s="56"/>
      <c r="I277" s="60">
        <f t="shared" si="3"/>
        <v>631</v>
      </c>
      <c r="J277" s="224"/>
      <c r="K277" s="56"/>
      <c r="L277" s="56"/>
      <c r="M277" s="56"/>
      <c r="N277" s="56"/>
    </row>
    <row r="278" spans="1:14" ht="15" customHeight="1" x14ac:dyDescent="0.2">
      <c r="A278" s="36"/>
      <c r="B278" s="47"/>
      <c r="C278" s="4"/>
      <c r="D278" s="36"/>
      <c r="E278" s="36"/>
      <c r="F278" s="36"/>
      <c r="G278" s="36"/>
      <c r="H278" s="56"/>
      <c r="I278" s="60">
        <f t="shared" si="3"/>
        <v>632</v>
      </c>
      <c r="J278" s="224"/>
      <c r="K278" s="56"/>
      <c r="L278" s="56"/>
      <c r="M278" s="56"/>
      <c r="N278" s="56"/>
    </row>
    <row r="279" spans="1:14" ht="15" customHeight="1" x14ac:dyDescent="0.2">
      <c r="A279" s="36"/>
      <c r="B279" s="47"/>
      <c r="C279" s="4"/>
      <c r="D279" s="36"/>
      <c r="E279" s="36"/>
      <c r="F279" s="36"/>
      <c r="G279" s="36"/>
      <c r="H279" s="56"/>
      <c r="I279" s="60">
        <f t="shared" si="3"/>
        <v>633</v>
      </c>
      <c r="J279" s="224"/>
      <c r="K279" s="56"/>
      <c r="L279" s="56"/>
      <c r="M279" s="56"/>
      <c r="N279" s="56"/>
    </row>
    <row r="280" spans="1:14" ht="15" customHeight="1" x14ac:dyDescent="0.2">
      <c r="A280" s="36"/>
      <c r="B280" s="47"/>
      <c r="C280" s="4"/>
      <c r="D280" s="36"/>
      <c r="E280" s="36"/>
      <c r="F280" s="36"/>
      <c r="G280" s="36"/>
      <c r="H280" s="56"/>
      <c r="I280" s="60">
        <f t="shared" si="3"/>
        <v>634</v>
      </c>
      <c r="J280" s="224"/>
      <c r="K280" s="56"/>
      <c r="L280" s="56"/>
      <c r="M280" s="56"/>
      <c r="N280" s="56"/>
    </row>
    <row r="281" spans="1:14" ht="15" customHeight="1" x14ac:dyDescent="0.2">
      <c r="A281" s="36"/>
      <c r="B281" s="47"/>
      <c r="C281" s="4"/>
      <c r="D281" s="36"/>
      <c r="E281" s="36"/>
      <c r="F281" s="36"/>
      <c r="G281" s="36"/>
      <c r="H281" s="56"/>
      <c r="I281" s="60">
        <f t="shared" si="3"/>
        <v>635</v>
      </c>
      <c r="J281" s="224"/>
      <c r="K281" s="56"/>
      <c r="L281" s="56"/>
      <c r="M281" s="56"/>
      <c r="N281" s="56"/>
    </row>
    <row r="282" spans="1:14" ht="15" customHeight="1" x14ac:dyDescent="0.2">
      <c r="A282" s="36"/>
      <c r="B282" s="47"/>
      <c r="C282" s="4"/>
      <c r="D282" s="36"/>
      <c r="E282" s="36"/>
      <c r="F282" s="36"/>
      <c r="G282" s="36"/>
      <c r="H282" s="56"/>
      <c r="I282" s="60">
        <f t="shared" ref="I282:I345" si="4">IF(380+J$22*(ROW()-ROW(I$25)-1)&gt;780,"",380+J$22*(ROW()-ROW(I$25)-1))</f>
        <v>636</v>
      </c>
      <c r="J282" s="224"/>
      <c r="K282" s="56"/>
      <c r="L282" s="56"/>
      <c r="M282" s="56"/>
      <c r="N282" s="56"/>
    </row>
    <row r="283" spans="1:14" ht="15" customHeight="1" x14ac:dyDescent="0.2">
      <c r="A283" s="36"/>
      <c r="B283" s="47"/>
      <c r="C283" s="4"/>
      <c r="D283" s="36"/>
      <c r="E283" s="36"/>
      <c r="F283" s="36"/>
      <c r="G283" s="36"/>
      <c r="H283" s="56"/>
      <c r="I283" s="60">
        <f t="shared" si="4"/>
        <v>637</v>
      </c>
      <c r="J283" s="224"/>
      <c r="K283" s="56"/>
      <c r="L283" s="56"/>
      <c r="M283" s="56"/>
      <c r="N283" s="56"/>
    </row>
    <row r="284" spans="1:14" ht="15" customHeight="1" x14ac:dyDescent="0.2">
      <c r="A284" s="36"/>
      <c r="B284" s="47"/>
      <c r="C284" s="4"/>
      <c r="D284" s="36"/>
      <c r="E284" s="36"/>
      <c r="F284" s="36"/>
      <c r="G284" s="36"/>
      <c r="H284" s="56"/>
      <c r="I284" s="60">
        <f t="shared" si="4"/>
        <v>638</v>
      </c>
      <c r="J284" s="224"/>
      <c r="K284" s="56"/>
      <c r="L284" s="56"/>
      <c r="M284" s="56"/>
      <c r="N284" s="56"/>
    </row>
    <row r="285" spans="1:14" ht="15" customHeight="1" x14ac:dyDescent="0.2">
      <c r="A285" s="36"/>
      <c r="B285" s="47"/>
      <c r="C285" s="4"/>
      <c r="D285" s="36"/>
      <c r="E285" s="36"/>
      <c r="F285" s="36"/>
      <c r="G285" s="36"/>
      <c r="H285" s="56"/>
      <c r="I285" s="60">
        <f t="shared" si="4"/>
        <v>639</v>
      </c>
      <c r="J285" s="224"/>
      <c r="K285" s="56"/>
      <c r="L285" s="56"/>
      <c r="M285" s="56"/>
      <c r="N285" s="56"/>
    </row>
    <row r="286" spans="1:14" ht="15" customHeight="1" x14ac:dyDescent="0.2">
      <c r="A286" s="36"/>
      <c r="B286" s="47"/>
      <c r="C286" s="4"/>
      <c r="D286" s="36"/>
      <c r="E286" s="36"/>
      <c r="F286" s="36"/>
      <c r="G286" s="36"/>
      <c r="H286" s="56"/>
      <c r="I286" s="60">
        <f t="shared" si="4"/>
        <v>640</v>
      </c>
      <c r="J286" s="224"/>
      <c r="K286" s="56"/>
      <c r="L286" s="56"/>
      <c r="M286" s="56"/>
      <c r="N286" s="56"/>
    </row>
    <row r="287" spans="1:14" ht="15" customHeight="1" x14ac:dyDescent="0.2">
      <c r="A287" s="36"/>
      <c r="B287" s="47"/>
      <c r="C287" s="4"/>
      <c r="D287" s="36"/>
      <c r="E287" s="36"/>
      <c r="F287" s="36"/>
      <c r="G287" s="36"/>
      <c r="H287" s="56"/>
      <c r="I287" s="60">
        <f t="shared" si="4"/>
        <v>641</v>
      </c>
      <c r="J287" s="224"/>
      <c r="K287" s="56"/>
      <c r="L287" s="56"/>
      <c r="M287" s="56"/>
      <c r="N287" s="56"/>
    </row>
    <row r="288" spans="1:14" ht="15" customHeight="1" x14ac:dyDescent="0.2">
      <c r="A288" s="36"/>
      <c r="B288" s="47"/>
      <c r="C288" s="4"/>
      <c r="D288" s="36"/>
      <c r="E288" s="36"/>
      <c r="F288" s="36"/>
      <c r="G288" s="36"/>
      <c r="H288" s="56"/>
      <c r="I288" s="60">
        <f t="shared" si="4"/>
        <v>642</v>
      </c>
      <c r="J288" s="224"/>
      <c r="K288" s="56"/>
      <c r="L288" s="56"/>
      <c r="M288" s="56"/>
      <c r="N288" s="56"/>
    </row>
    <row r="289" spans="1:14" ht="15" customHeight="1" x14ac:dyDescent="0.2">
      <c r="A289" s="36"/>
      <c r="B289" s="47"/>
      <c r="C289" s="4"/>
      <c r="D289" s="36"/>
      <c r="E289" s="36"/>
      <c r="F289" s="36"/>
      <c r="G289" s="36"/>
      <c r="H289" s="56"/>
      <c r="I289" s="60">
        <f t="shared" si="4"/>
        <v>643</v>
      </c>
      <c r="J289" s="224"/>
      <c r="K289" s="56"/>
      <c r="L289" s="56"/>
      <c r="M289" s="56"/>
      <c r="N289" s="56"/>
    </row>
    <row r="290" spans="1:14" ht="15" customHeight="1" x14ac:dyDescent="0.2">
      <c r="A290" s="36"/>
      <c r="B290" s="47"/>
      <c r="C290" s="4"/>
      <c r="D290" s="36"/>
      <c r="E290" s="36"/>
      <c r="F290" s="36"/>
      <c r="G290" s="36"/>
      <c r="H290" s="56"/>
      <c r="I290" s="60">
        <f t="shared" si="4"/>
        <v>644</v>
      </c>
      <c r="J290" s="224"/>
      <c r="K290" s="56"/>
      <c r="L290" s="56"/>
      <c r="M290" s="56"/>
      <c r="N290" s="56"/>
    </row>
    <row r="291" spans="1:14" ht="15" customHeight="1" x14ac:dyDescent="0.2">
      <c r="A291" s="36"/>
      <c r="B291" s="47"/>
      <c r="C291" s="4"/>
      <c r="D291" s="36"/>
      <c r="E291" s="36"/>
      <c r="F291" s="36"/>
      <c r="G291" s="36"/>
      <c r="H291" s="56"/>
      <c r="I291" s="60">
        <f t="shared" si="4"/>
        <v>645</v>
      </c>
      <c r="J291" s="224"/>
      <c r="K291" s="56"/>
      <c r="L291" s="56"/>
      <c r="M291" s="56"/>
      <c r="N291" s="56"/>
    </row>
    <row r="292" spans="1:14" ht="15" customHeight="1" x14ac:dyDescent="0.2">
      <c r="A292" s="36"/>
      <c r="B292" s="47"/>
      <c r="C292" s="4"/>
      <c r="D292" s="36"/>
      <c r="E292" s="36"/>
      <c r="F292" s="36"/>
      <c r="G292" s="36"/>
      <c r="H292" s="56"/>
      <c r="I292" s="60">
        <f t="shared" si="4"/>
        <v>646</v>
      </c>
      <c r="J292" s="224"/>
      <c r="K292" s="56"/>
      <c r="L292" s="56"/>
      <c r="M292" s="56"/>
      <c r="N292" s="56"/>
    </row>
    <row r="293" spans="1:14" ht="15" customHeight="1" x14ac:dyDescent="0.2">
      <c r="A293" s="36"/>
      <c r="B293" s="47"/>
      <c r="C293" s="4"/>
      <c r="D293" s="36"/>
      <c r="E293" s="36"/>
      <c r="F293" s="36"/>
      <c r="G293" s="36"/>
      <c r="H293" s="56"/>
      <c r="I293" s="60">
        <f t="shared" si="4"/>
        <v>647</v>
      </c>
      <c r="J293" s="224"/>
      <c r="K293" s="56"/>
      <c r="L293" s="56"/>
      <c r="M293" s="56"/>
      <c r="N293" s="56"/>
    </row>
    <row r="294" spans="1:14" ht="15" customHeight="1" x14ac:dyDescent="0.2">
      <c r="A294" s="36"/>
      <c r="B294" s="47"/>
      <c r="C294" s="4"/>
      <c r="D294" s="36"/>
      <c r="E294" s="36"/>
      <c r="F294" s="36"/>
      <c r="G294" s="36"/>
      <c r="H294" s="56"/>
      <c r="I294" s="60">
        <f t="shared" si="4"/>
        <v>648</v>
      </c>
      <c r="J294" s="224"/>
      <c r="K294" s="56"/>
      <c r="L294" s="56"/>
      <c r="M294" s="56"/>
      <c r="N294" s="56"/>
    </row>
    <row r="295" spans="1:14" ht="15" customHeight="1" x14ac:dyDescent="0.2">
      <c r="A295" s="36"/>
      <c r="B295" s="47"/>
      <c r="C295" s="4"/>
      <c r="D295" s="36"/>
      <c r="E295" s="36"/>
      <c r="F295" s="36"/>
      <c r="G295" s="36"/>
      <c r="H295" s="56"/>
      <c r="I295" s="60">
        <f t="shared" si="4"/>
        <v>649</v>
      </c>
      <c r="J295" s="224"/>
      <c r="K295" s="56"/>
      <c r="L295" s="56"/>
      <c r="M295" s="56"/>
      <c r="N295" s="56"/>
    </row>
    <row r="296" spans="1:14" ht="15" customHeight="1" x14ac:dyDescent="0.2">
      <c r="A296" s="36"/>
      <c r="B296" s="47"/>
      <c r="C296" s="4"/>
      <c r="D296" s="36"/>
      <c r="E296" s="36"/>
      <c r="F296" s="36"/>
      <c r="G296" s="36"/>
      <c r="H296" s="56"/>
      <c r="I296" s="60">
        <f t="shared" si="4"/>
        <v>650</v>
      </c>
      <c r="J296" s="224"/>
      <c r="K296" s="56"/>
      <c r="L296" s="56"/>
      <c r="M296" s="56"/>
      <c r="N296" s="56"/>
    </row>
    <row r="297" spans="1:14" ht="15" customHeight="1" x14ac:dyDescent="0.2">
      <c r="A297" s="36"/>
      <c r="B297" s="47"/>
      <c r="C297" s="4"/>
      <c r="D297" s="36"/>
      <c r="E297" s="36"/>
      <c r="F297" s="36"/>
      <c r="G297" s="36"/>
      <c r="H297" s="56"/>
      <c r="I297" s="60">
        <f t="shared" si="4"/>
        <v>651</v>
      </c>
      <c r="J297" s="224"/>
      <c r="K297" s="56"/>
      <c r="L297" s="56"/>
      <c r="M297" s="56"/>
      <c r="N297" s="56"/>
    </row>
    <row r="298" spans="1:14" ht="15" customHeight="1" x14ac:dyDescent="0.2">
      <c r="A298" s="36"/>
      <c r="B298" s="47"/>
      <c r="C298" s="4"/>
      <c r="D298" s="36"/>
      <c r="E298" s="36"/>
      <c r="F298" s="36"/>
      <c r="G298" s="36"/>
      <c r="H298" s="56"/>
      <c r="I298" s="60">
        <f t="shared" si="4"/>
        <v>652</v>
      </c>
      <c r="J298" s="224"/>
      <c r="K298" s="56"/>
      <c r="L298" s="56"/>
      <c r="M298" s="56"/>
      <c r="N298" s="56"/>
    </row>
    <row r="299" spans="1:14" ht="15" customHeight="1" x14ac:dyDescent="0.2">
      <c r="A299" s="36"/>
      <c r="B299" s="47"/>
      <c r="C299" s="4"/>
      <c r="D299" s="36"/>
      <c r="E299" s="36"/>
      <c r="F299" s="36"/>
      <c r="G299" s="36"/>
      <c r="H299" s="56"/>
      <c r="I299" s="60">
        <f t="shared" si="4"/>
        <v>653</v>
      </c>
      <c r="J299" s="224"/>
      <c r="K299" s="56"/>
      <c r="L299" s="56"/>
      <c r="M299" s="56"/>
      <c r="N299" s="56"/>
    </row>
    <row r="300" spans="1:14" ht="15" customHeight="1" x14ac:dyDescent="0.2">
      <c r="A300" s="36"/>
      <c r="B300" s="47"/>
      <c r="C300" s="4"/>
      <c r="D300" s="36"/>
      <c r="E300" s="36"/>
      <c r="F300" s="36"/>
      <c r="G300" s="36"/>
      <c r="H300" s="56"/>
      <c r="I300" s="60">
        <f t="shared" si="4"/>
        <v>654</v>
      </c>
      <c r="J300" s="224"/>
      <c r="K300" s="56"/>
      <c r="L300" s="56"/>
      <c r="M300" s="56"/>
      <c r="N300" s="56"/>
    </row>
    <row r="301" spans="1:14" ht="15" customHeight="1" x14ac:dyDescent="0.2">
      <c r="A301" s="36"/>
      <c r="B301" s="47"/>
      <c r="C301" s="4"/>
      <c r="D301" s="36"/>
      <c r="E301" s="36"/>
      <c r="F301" s="36"/>
      <c r="G301" s="36"/>
      <c r="H301" s="56"/>
      <c r="I301" s="60">
        <f t="shared" si="4"/>
        <v>655</v>
      </c>
      <c r="J301" s="224"/>
      <c r="K301" s="56"/>
      <c r="L301" s="56"/>
      <c r="M301" s="56"/>
      <c r="N301" s="56"/>
    </row>
    <row r="302" spans="1:14" ht="15" customHeight="1" x14ac:dyDescent="0.2">
      <c r="A302" s="36"/>
      <c r="B302" s="47"/>
      <c r="C302" s="4"/>
      <c r="D302" s="36"/>
      <c r="E302" s="36"/>
      <c r="F302" s="36"/>
      <c r="G302" s="36"/>
      <c r="H302" s="56"/>
      <c r="I302" s="60">
        <f t="shared" si="4"/>
        <v>656</v>
      </c>
      <c r="J302" s="224"/>
      <c r="K302" s="56"/>
      <c r="L302" s="56"/>
      <c r="M302" s="56"/>
      <c r="N302" s="56"/>
    </row>
    <row r="303" spans="1:14" ht="15" customHeight="1" x14ac:dyDescent="0.2">
      <c r="A303" s="36"/>
      <c r="B303" s="47"/>
      <c r="C303" s="4"/>
      <c r="D303" s="36"/>
      <c r="E303" s="36"/>
      <c r="F303" s="36"/>
      <c r="G303" s="36"/>
      <c r="H303" s="56"/>
      <c r="I303" s="60">
        <f t="shared" si="4"/>
        <v>657</v>
      </c>
      <c r="J303" s="224"/>
      <c r="K303" s="56"/>
      <c r="L303" s="56"/>
      <c r="M303" s="56"/>
      <c r="N303" s="56"/>
    </row>
    <row r="304" spans="1:14" ht="15" customHeight="1" x14ac:dyDescent="0.2">
      <c r="A304" s="36"/>
      <c r="B304" s="47"/>
      <c r="C304" s="4"/>
      <c r="D304" s="36"/>
      <c r="E304" s="36"/>
      <c r="F304" s="36"/>
      <c r="G304" s="36"/>
      <c r="H304" s="56"/>
      <c r="I304" s="60">
        <f t="shared" si="4"/>
        <v>658</v>
      </c>
      <c r="J304" s="224"/>
      <c r="K304" s="56"/>
      <c r="L304" s="56"/>
      <c r="M304" s="56"/>
      <c r="N304" s="56"/>
    </row>
    <row r="305" spans="1:14" ht="15" customHeight="1" x14ac:dyDescent="0.2">
      <c r="A305" s="36"/>
      <c r="B305" s="47"/>
      <c r="C305" s="4"/>
      <c r="D305" s="36"/>
      <c r="E305" s="36"/>
      <c r="F305" s="36"/>
      <c r="G305" s="36"/>
      <c r="H305" s="56"/>
      <c r="I305" s="60">
        <f t="shared" si="4"/>
        <v>659</v>
      </c>
      <c r="J305" s="224"/>
      <c r="K305" s="56"/>
      <c r="L305" s="56"/>
      <c r="M305" s="56"/>
      <c r="N305" s="56"/>
    </row>
    <row r="306" spans="1:14" ht="15" customHeight="1" x14ac:dyDescent="0.2">
      <c r="A306" s="36"/>
      <c r="B306" s="47"/>
      <c r="C306" s="4"/>
      <c r="D306" s="36"/>
      <c r="E306" s="36"/>
      <c r="F306" s="36"/>
      <c r="G306" s="36"/>
      <c r="H306" s="56"/>
      <c r="I306" s="60">
        <f t="shared" si="4"/>
        <v>660</v>
      </c>
      <c r="J306" s="224"/>
      <c r="K306" s="56"/>
      <c r="L306" s="56"/>
      <c r="M306" s="56"/>
      <c r="N306" s="56"/>
    </row>
    <row r="307" spans="1:14" ht="15" customHeight="1" x14ac:dyDescent="0.2">
      <c r="A307" s="36"/>
      <c r="B307" s="47"/>
      <c r="C307" s="4"/>
      <c r="D307" s="36"/>
      <c r="E307" s="36"/>
      <c r="F307" s="36"/>
      <c r="G307" s="36"/>
      <c r="H307" s="56"/>
      <c r="I307" s="60">
        <f t="shared" si="4"/>
        <v>661</v>
      </c>
      <c r="J307" s="224"/>
      <c r="K307" s="56"/>
      <c r="L307" s="56"/>
      <c r="M307" s="56"/>
      <c r="N307" s="56"/>
    </row>
    <row r="308" spans="1:14" ht="15" customHeight="1" x14ac:dyDescent="0.2">
      <c r="A308" s="36"/>
      <c r="B308" s="47"/>
      <c r="C308" s="4"/>
      <c r="D308" s="36"/>
      <c r="E308" s="36"/>
      <c r="F308" s="36"/>
      <c r="G308" s="36"/>
      <c r="H308" s="56"/>
      <c r="I308" s="60">
        <f t="shared" si="4"/>
        <v>662</v>
      </c>
      <c r="J308" s="224"/>
      <c r="K308" s="56"/>
      <c r="L308" s="56"/>
      <c r="M308" s="56"/>
      <c r="N308" s="56"/>
    </row>
    <row r="309" spans="1:14" ht="15" customHeight="1" x14ac:dyDescent="0.2">
      <c r="A309" s="36"/>
      <c r="B309" s="47"/>
      <c r="C309" s="4"/>
      <c r="D309" s="36"/>
      <c r="E309" s="36"/>
      <c r="F309" s="36"/>
      <c r="G309" s="36"/>
      <c r="H309" s="56"/>
      <c r="I309" s="60">
        <f t="shared" si="4"/>
        <v>663</v>
      </c>
      <c r="J309" s="224"/>
      <c r="K309" s="56"/>
      <c r="L309" s="56"/>
      <c r="M309" s="56"/>
      <c r="N309" s="56"/>
    </row>
    <row r="310" spans="1:14" ht="15" customHeight="1" x14ac:dyDescent="0.2">
      <c r="A310" s="36"/>
      <c r="B310" s="47"/>
      <c r="C310" s="4"/>
      <c r="D310" s="36"/>
      <c r="E310" s="36"/>
      <c r="F310" s="36"/>
      <c r="G310" s="36"/>
      <c r="H310" s="56"/>
      <c r="I310" s="60">
        <f t="shared" si="4"/>
        <v>664</v>
      </c>
      <c r="J310" s="224"/>
      <c r="K310" s="56"/>
      <c r="L310" s="56"/>
      <c r="M310" s="56"/>
      <c r="N310" s="56"/>
    </row>
    <row r="311" spans="1:14" ht="15" customHeight="1" x14ac:dyDescent="0.2">
      <c r="A311" s="36"/>
      <c r="B311" s="47"/>
      <c r="C311" s="4"/>
      <c r="D311" s="36"/>
      <c r="E311" s="36"/>
      <c r="F311" s="36"/>
      <c r="G311" s="36"/>
      <c r="H311" s="56"/>
      <c r="I311" s="60">
        <f t="shared" si="4"/>
        <v>665</v>
      </c>
      <c r="J311" s="224"/>
      <c r="K311" s="56"/>
      <c r="L311" s="56"/>
      <c r="M311" s="56"/>
      <c r="N311" s="56"/>
    </row>
    <row r="312" spans="1:14" ht="15" customHeight="1" x14ac:dyDescent="0.2">
      <c r="A312" s="36"/>
      <c r="B312" s="47"/>
      <c r="C312" s="4"/>
      <c r="D312" s="36"/>
      <c r="E312" s="36"/>
      <c r="F312" s="36"/>
      <c r="G312" s="36"/>
      <c r="H312" s="56"/>
      <c r="I312" s="60">
        <f t="shared" si="4"/>
        <v>666</v>
      </c>
      <c r="J312" s="224"/>
      <c r="K312" s="56"/>
      <c r="L312" s="56"/>
      <c r="M312" s="56"/>
      <c r="N312" s="56"/>
    </row>
    <row r="313" spans="1:14" ht="15" customHeight="1" x14ac:dyDescent="0.2">
      <c r="A313" s="36"/>
      <c r="B313" s="47"/>
      <c r="C313" s="4"/>
      <c r="D313" s="36"/>
      <c r="E313" s="36"/>
      <c r="F313" s="36"/>
      <c r="G313" s="36"/>
      <c r="H313" s="56"/>
      <c r="I313" s="60">
        <f t="shared" si="4"/>
        <v>667</v>
      </c>
      <c r="J313" s="224"/>
      <c r="K313" s="56"/>
      <c r="L313" s="56"/>
      <c r="M313" s="56"/>
      <c r="N313" s="56"/>
    </row>
    <row r="314" spans="1:14" ht="15" customHeight="1" x14ac:dyDescent="0.2">
      <c r="A314" s="36"/>
      <c r="B314" s="47"/>
      <c r="C314" s="4"/>
      <c r="D314" s="36"/>
      <c r="E314" s="36"/>
      <c r="F314" s="36"/>
      <c r="G314" s="36"/>
      <c r="H314" s="56"/>
      <c r="I314" s="60">
        <f t="shared" si="4"/>
        <v>668</v>
      </c>
      <c r="J314" s="224"/>
      <c r="K314" s="56"/>
      <c r="L314" s="56"/>
      <c r="M314" s="56"/>
      <c r="N314" s="56"/>
    </row>
    <row r="315" spans="1:14" ht="15" customHeight="1" x14ac:dyDescent="0.2">
      <c r="A315" s="36"/>
      <c r="B315" s="47"/>
      <c r="C315" s="4"/>
      <c r="D315" s="36"/>
      <c r="E315" s="36"/>
      <c r="F315" s="36"/>
      <c r="G315" s="36"/>
      <c r="H315" s="56"/>
      <c r="I315" s="60">
        <f t="shared" si="4"/>
        <v>669</v>
      </c>
      <c r="J315" s="224"/>
      <c r="K315" s="56"/>
      <c r="L315" s="56"/>
      <c r="M315" s="56"/>
      <c r="N315" s="56"/>
    </row>
    <row r="316" spans="1:14" ht="15" customHeight="1" x14ac:dyDescent="0.2">
      <c r="A316" s="36"/>
      <c r="B316" s="47"/>
      <c r="C316" s="4"/>
      <c r="D316" s="36"/>
      <c r="E316" s="36"/>
      <c r="F316" s="36"/>
      <c r="G316" s="36"/>
      <c r="H316" s="56"/>
      <c r="I316" s="60">
        <f t="shared" si="4"/>
        <v>670</v>
      </c>
      <c r="J316" s="224"/>
      <c r="K316" s="56"/>
      <c r="L316" s="56"/>
      <c r="M316" s="56"/>
      <c r="N316" s="56"/>
    </row>
    <row r="317" spans="1:14" ht="15" customHeight="1" x14ac:dyDescent="0.2">
      <c r="A317" s="36"/>
      <c r="B317" s="47"/>
      <c r="C317" s="4"/>
      <c r="D317" s="36"/>
      <c r="E317" s="36"/>
      <c r="F317" s="36"/>
      <c r="G317" s="36"/>
      <c r="H317" s="56"/>
      <c r="I317" s="60">
        <f t="shared" si="4"/>
        <v>671</v>
      </c>
      <c r="J317" s="224"/>
      <c r="K317" s="56"/>
      <c r="L317" s="56"/>
      <c r="M317" s="56"/>
      <c r="N317" s="56"/>
    </row>
    <row r="318" spans="1:14" ht="15" customHeight="1" x14ac:dyDescent="0.2">
      <c r="A318" s="36"/>
      <c r="B318" s="47"/>
      <c r="C318" s="4"/>
      <c r="D318" s="36"/>
      <c r="E318" s="36"/>
      <c r="F318" s="36"/>
      <c r="G318" s="36"/>
      <c r="H318" s="56"/>
      <c r="I318" s="60">
        <f t="shared" si="4"/>
        <v>672</v>
      </c>
      <c r="J318" s="224"/>
      <c r="K318" s="56"/>
      <c r="L318" s="56"/>
      <c r="M318" s="56"/>
      <c r="N318" s="56"/>
    </row>
    <row r="319" spans="1:14" ht="15" customHeight="1" x14ac:dyDescent="0.2">
      <c r="A319" s="36"/>
      <c r="B319" s="47"/>
      <c r="C319" s="4"/>
      <c r="D319" s="36"/>
      <c r="E319" s="36"/>
      <c r="F319" s="36"/>
      <c r="G319" s="36"/>
      <c r="H319" s="56"/>
      <c r="I319" s="60">
        <f t="shared" si="4"/>
        <v>673</v>
      </c>
      <c r="J319" s="224"/>
      <c r="K319" s="56"/>
      <c r="L319" s="56"/>
      <c r="M319" s="56"/>
      <c r="N319" s="56"/>
    </row>
    <row r="320" spans="1:14" ht="15" customHeight="1" x14ac:dyDescent="0.2">
      <c r="A320" s="36"/>
      <c r="B320" s="47"/>
      <c r="C320" s="4"/>
      <c r="D320" s="36"/>
      <c r="E320" s="36"/>
      <c r="F320" s="36"/>
      <c r="G320" s="36"/>
      <c r="H320" s="56"/>
      <c r="I320" s="60">
        <f t="shared" si="4"/>
        <v>674</v>
      </c>
      <c r="J320" s="224"/>
      <c r="K320" s="56"/>
      <c r="L320" s="56"/>
      <c r="M320" s="56"/>
      <c r="N320" s="56"/>
    </row>
    <row r="321" spans="1:14" ht="15" customHeight="1" x14ac:dyDescent="0.2">
      <c r="A321" s="36"/>
      <c r="B321" s="47"/>
      <c r="C321" s="4"/>
      <c r="D321" s="36"/>
      <c r="E321" s="36"/>
      <c r="F321" s="36"/>
      <c r="G321" s="36"/>
      <c r="H321" s="56"/>
      <c r="I321" s="60">
        <f t="shared" si="4"/>
        <v>675</v>
      </c>
      <c r="J321" s="224"/>
      <c r="K321" s="56"/>
      <c r="L321" s="56"/>
      <c r="M321" s="56"/>
      <c r="N321" s="56"/>
    </row>
    <row r="322" spans="1:14" ht="15" customHeight="1" x14ac:dyDescent="0.2">
      <c r="A322" s="36"/>
      <c r="B322" s="47"/>
      <c r="C322" s="4"/>
      <c r="D322" s="36"/>
      <c r="E322" s="36"/>
      <c r="F322" s="36"/>
      <c r="G322" s="36"/>
      <c r="H322" s="56"/>
      <c r="I322" s="60">
        <f t="shared" si="4"/>
        <v>676</v>
      </c>
      <c r="J322" s="224"/>
      <c r="K322" s="56"/>
      <c r="L322" s="56"/>
      <c r="M322" s="56"/>
      <c r="N322" s="56"/>
    </row>
    <row r="323" spans="1:14" ht="15" customHeight="1" x14ac:dyDescent="0.2">
      <c r="A323" s="36"/>
      <c r="B323" s="47"/>
      <c r="C323" s="4"/>
      <c r="D323" s="36"/>
      <c r="E323" s="36"/>
      <c r="F323" s="36"/>
      <c r="G323" s="36"/>
      <c r="H323" s="56"/>
      <c r="I323" s="60">
        <f t="shared" si="4"/>
        <v>677</v>
      </c>
      <c r="J323" s="224"/>
      <c r="K323" s="56"/>
      <c r="L323" s="56"/>
      <c r="M323" s="56"/>
      <c r="N323" s="56"/>
    </row>
    <row r="324" spans="1:14" ht="15" customHeight="1" x14ac:dyDescent="0.2">
      <c r="A324" s="36"/>
      <c r="B324" s="47"/>
      <c r="C324" s="4"/>
      <c r="D324" s="36"/>
      <c r="E324" s="36"/>
      <c r="F324" s="36"/>
      <c r="G324" s="36"/>
      <c r="H324" s="56"/>
      <c r="I324" s="60">
        <f t="shared" si="4"/>
        <v>678</v>
      </c>
      <c r="J324" s="224"/>
      <c r="K324" s="56"/>
      <c r="L324" s="56"/>
      <c r="M324" s="56"/>
      <c r="N324" s="56"/>
    </row>
    <row r="325" spans="1:14" ht="15" customHeight="1" x14ac:dyDescent="0.2">
      <c r="A325" s="36"/>
      <c r="B325" s="47"/>
      <c r="C325" s="4"/>
      <c r="D325" s="36"/>
      <c r="E325" s="36"/>
      <c r="F325" s="36"/>
      <c r="G325" s="36"/>
      <c r="H325" s="56"/>
      <c r="I325" s="60">
        <f t="shared" si="4"/>
        <v>679</v>
      </c>
      <c r="J325" s="224"/>
      <c r="K325" s="56"/>
      <c r="L325" s="56"/>
      <c r="M325" s="56"/>
      <c r="N325" s="56"/>
    </row>
    <row r="326" spans="1:14" ht="15" customHeight="1" x14ac:dyDescent="0.2">
      <c r="A326" s="36"/>
      <c r="B326" s="47"/>
      <c r="C326" s="4"/>
      <c r="D326" s="36"/>
      <c r="E326" s="36"/>
      <c r="F326" s="36"/>
      <c r="G326" s="36"/>
      <c r="H326" s="56"/>
      <c r="I326" s="60">
        <f t="shared" si="4"/>
        <v>680</v>
      </c>
      <c r="J326" s="224"/>
      <c r="K326" s="56"/>
      <c r="L326" s="56"/>
      <c r="M326" s="56"/>
      <c r="N326" s="56"/>
    </row>
    <row r="327" spans="1:14" ht="15" customHeight="1" x14ac:dyDescent="0.2">
      <c r="A327" s="36"/>
      <c r="B327" s="47"/>
      <c r="C327" s="4"/>
      <c r="D327" s="36"/>
      <c r="E327" s="36"/>
      <c r="F327" s="36"/>
      <c r="G327" s="36"/>
      <c r="H327" s="56"/>
      <c r="I327" s="60">
        <f t="shared" si="4"/>
        <v>681</v>
      </c>
      <c r="J327" s="224"/>
      <c r="K327" s="56"/>
      <c r="L327" s="56"/>
      <c r="M327" s="56"/>
      <c r="N327" s="56"/>
    </row>
    <row r="328" spans="1:14" ht="15" customHeight="1" x14ac:dyDescent="0.2">
      <c r="A328" s="36"/>
      <c r="B328" s="47"/>
      <c r="C328" s="4"/>
      <c r="D328" s="36"/>
      <c r="E328" s="36"/>
      <c r="F328" s="36"/>
      <c r="G328" s="36"/>
      <c r="H328" s="56"/>
      <c r="I328" s="60">
        <f t="shared" si="4"/>
        <v>682</v>
      </c>
      <c r="J328" s="224"/>
      <c r="K328" s="56"/>
      <c r="L328" s="56"/>
      <c r="M328" s="56"/>
      <c r="N328" s="56"/>
    </row>
    <row r="329" spans="1:14" ht="15" customHeight="1" x14ac:dyDescent="0.2">
      <c r="A329" s="36"/>
      <c r="B329" s="47"/>
      <c r="C329" s="4"/>
      <c r="D329" s="36"/>
      <c r="E329" s="36"/>
      <c r="F329" s="36"/>
      <c r="G329" s="36"/>
      <c r="H329" s="56"/>
      <c r="I329" s="60">
        <f t="shared" si="4"/>
        <v>683</v>
      </c>
      <c r="J329" s="224"/>
      <c r="K329" s="56"/>
      <c r="L329" s="56"/>
      <c r="M329" s="56"/>
      <c r="N329" s="56"/>
    </row>
    <row r="330" spans="1:14" ht="15" customHeight="1" x14ac:dyDescent="0.2">
      <c r="A330" s="36"/>
      <c r="B330" s="47"/>
      <c r="C330" s="4"/>
      <c r="D330" s="36"/>
      <c r="E330" s="36"/>
      <c r="F330" s="36"/>
      <c r="G330" s="36"/>
      <c r="H330" s="56"/>
      <c r="I330" s="60">
        <f t="shared" si="4"/>
        <v>684</v>
      </c>
      <c r="J330" s="224"/>
      <c r="K330" s="56"/>
      <c r="L330" s="56"/>
      <c r="M330" s="56"/>
      <c r="N330" s="56"/>
    </row>
    <row r="331" spans="1:14" ht="15" customHeight="1" x14ac:dyDescent="0.2">
      <c r="A331" s="36"/>
      <c r="B331" s="47"/>
      <c r="C331" s="4"/>
      <c r="D331" s="36"/>
      <c r="E331" s="36"/>
      <c r="F331" s="36"/>
      <c r="G331" s="36"/>
      <c r="H331" s="56"/>
      <c r="I331" s="60">
        <f t="shared" si="4"/>
        <v>685</v>
      </c>
      <c r="J331" s="224"/>
      <c r="K331" s="56"/>
      <c r="L331" s="56"/>
      <c r="M331" s="56"/>
      <c r="N331" s="56"/>
    </row>
    <row r="332" spans="1:14" ht="15" customHeight="1" x14ac:dyDescent="0.2">
      <c r="A332" s="36"/>
      <c r="B332" s="47"/>
      <c r="C332" s="4"/>
      <c r="D332" s="36"/>
      <c r="E332" s="36"/>
      <c r="F332" s="36"/>
      <c r="G332" s="36"/>
      <c r="H332" s="56"/>
      <c r="I332" s="60">
        <f t="shared" si="4"/>
        <v>686</v>
      </c>
      <c r="J332" s="224"/>
      <c r="K332" s="56"/>
      <c r="L332" s="56"/>
      <c r="M332" s="56"/>
      <c r="N332" s="56"/>
    </row>
    <row r="333" spans="1:14" ht="15" customHeight="1" x14ac:dyDescent="0.2">
      <c r="A333" s="36"/>
      <c r="B333" s="47"/>
      <c r="C333" s="4"/>
      <c r="D333" s="36"/>
      <c r="E333" s="36"/>
      <c r="F333" s="36"/>
      <c r="G333" s="36"/>
      <c r="H333" s="56"/>
      <c r="I333" s="60">
        <f t="shared" si="4"/>
        <v>687</v>
      </c>
      <c r="J333" s="224"/>
      <c r="K333" s="56"/>
      <c r="L333" s="56"/>
      <c r="M333" s="56"/>
      <c r="N333" s="56"/>
    </row>
    <row r="334" spans="1:14" ht="15" customHeight="1" x14ac:dyDescent="0.2">
      <c r="A334" s="36"/>
      <c r="B334" s="47"/>
      <c r="C334" s="4"/>
      <c r="D334" s="36"/>
      <c r="E334" s="36"/>
      <c r="F334" s="36"/>
      <c r="G334" s="36"/>
      <c r="H334" s="56"/>
      <c r="I334" s="60">
        <f t="shared" si="4"/>
        <v>688</v>
      </c>
      <c r="J334" s="224"/>
      <c r="K334" s="56"/>
      <c r="L334" s="56"/>
      <c r="M334" s="56"/>
      <c r="N334" s="56"/>
    </row>
    <row r="335" spans="1:14" ht="15" customHeight="1" x14ac:dyDescent="0.2">
      <c r="A335" s="36"/>
      <c r="B335" s="47"/>
      <c r="C335" s="4"/>
      <c r="D335" s="36"/>
      <c r="E335" s="36"/>
      <c r="F335" s="36"/>
      <c r="G335" s="36"/>
      <c r="H335" s="56"/>
      <c r="I335" s="60">
        <f t="shared" si="4"/>
        <v>689</v>
      </c>
      <c r="J335" s="224"/>
      <c r="K335" s="56"/>
      <c r="L335" s="56"/>
      <c r="M335" s="56"/>
      <c r="N335" s="56"/>
    </row>
    <row r="336" spans="1:14" ht="15" customHeight="1" x14ac:dyDescent="0.2">
      <c r="A336" s="36"/>
      <c r="B336" s="47"/>
      <c r="C336" s="4"/>
      <c r="D336" s="36"/>
      <c r="E336" s="36"/>
      <c r="F336" s="36"/>
      <c r="G336" s="36"/>
      <c r="H336" s="56"/>
      <c r="I336" s="60">
        <f t="shared" si="4"/>
        <v>690</v>
      </c>
      <c r="J336" s="224"/>
      <c r="K336" s="56"/>
      <c r="L336" s="56"/>
      <c r="M336" s="56"/>
      <c r="N336" s="56"/>
    </row>
    <row r="337" spans="1:14" ht="15" customHeight="1" x14ac:dyDescent="0.2">
      <c r="A337" s="36"/>
      <c r="B337" s="47"/>
      <c r="C337" s="4"/>
      <c r="D337" s="36"/>
      <c r="E337" s="36"/>
      <c r="F337" s="36"/>
      <c r="G337" s="36"/>
      <c r="H337" s="56"/>
      <c r="I337" s="60">
        <f t="shared" si="4"/>
        <v>691</v>
      </c>
      <c r="J337" s="224"/>
      <c r="K337" s="56"/>
      <c r="L337" s="56"/>
      <c r="M337" s="56"/>
      <c r="N337" s="56"/>
    </row>
    <row r="338" spans="1:14" ht="15" customHeight="1" x14ac:dyDescent="0.2">
      <c r="A338" s="36"/>
      <c r="B338" s="47"/>
      <c r="C338" s="4"/>
      <c r="D338" s="36"/>
      <c r="E338" s="36"/>
      <c r="F338" s="36"/>
      <c r="G338" s="36"/>
      <c r="H338" s="56"/>
      <c r="I338" s="60">
        <f t="shared" si="4"/>
        <v>692</v>
      </c>
      <c r="J338" s="224"/>
      <c r="K338" s="56"/>
      <c r="L338" s="56"/>
      <c r="M338" s="56"/>
      <c r="N338" s="56"/>
    </row>
    <row r="339" spans="1:14" ht="15" customHeight="1" x14ac:dyDescent="0.2">
      <c r="A339" s="36"/>
      <c r="B339" s="47"/>
      <c r="C339" s="4"/>
      <c r="D339" s="36"/>
      <c r="E339" s="36"/>
      <c r="F339" s="36"/>
      <c r="G339" s="36"/>
      <c r="H339" s="56"/>
      <c r="I339" s="60">
        <f t="shared" si="4"/>
        <v>693</v>
      </c>
      <c r="J339" s="224"/>
      <c r="K339" s="56"/>
      <c r="L339" s="56"/>
      <c r="M339" s="56"/>
      <c r="N339" s="56"/>
    </row>
    <row r="340" spans="1:14" ht="15" customHeight="1" x14ac:dyDescent="0.2">
      <c r="A340" s="36"/>
      <c r="B340" s="47"/>
      <c r="C340" s="4"/>
      <c r="D340" s="36"/>
      <c r="E340" s="36"/>
      <c r="F340" s="36"/>
      <c r="G340" s="36"/>
      <c r="H340" s="56"/>
      <c r="I340" s="60">
        <f t="shared" si="4"/>
        <v>694</v>
      </c>
      <c r="J340" s="224"/>
      <c r="K340" s="56"/>
      <c r="L340" s="56"/>
      <c r="M340" s="56"/>
      <c r="N340" s="56"/>
    </row>
    <row r="341" spans="1:14" ht="15" customHeight="1" x14ac:dyDescent="0.2">
      <c r="A341" s="36"/>
      <c r="B341" s="47"/>
      <c r="C341" s="4"/>
      <c r="D341" s="36"/>
      <c r="E341" s="36"/>
      <c r="F341" s="36"/>
      <c r="G341" s="36"/>
      <c r="H341" s="56"/>
      <c r="I341" s="60">
        <f t="shared" si="4"/>
        <v>695</v>
      </c>
      <c r="J341" s="224"/>
      <c r="K341" s="56"/>
      <c r="L341" s="56"/>
      <c r="M341" s="56"/>
      <c r="N341" s="56"/>
    </row>
    <row r="342" spans="1:14" ht="15" customHeight="1" x14ac:dyDescent="0.2">
      <c r="A342" s="36"/>
      <c r="B342" s="47"/>
      <c r="C342" s="4"/>
      <c r="D342" s="36"/>
      <c r="E342" s="36"/>
      <c r="F342" s="36"/>
      <c r="G342" s="36"/>
      <c r="H342" s="56"/>
      <c r="I342" s="60">
        <f t="shared" si="4"/>
        <v>696</v>
      </c>
      <c r="J342" s="224"/>
      <c r="K342" s="56"/>
      <c r="L342" s="56"/>
      <c r="M342" s="56"/>
      <c r="N342" s="56"/>
    </row>
    <row r="343" spans="1:14" ht="15" customHeight="1" x14ac:dyDescent="0.2">
      <c r="A343" s="36"/>
      <c r="B343" s="47"/>
      <c r="C343" s="4"/>
      <c r="D343" s="36"/>
      <c r="E343" s="36"/>
      <c r="F343" s="36"/>
      <c r="G343" s="36"/>
      <c r="H343" s="56"/>
      <c r="I343" s="60">
        <f t="shared" si="4"/>
        <v>697</v>
      </c>
      <c r="J343" s="224"/>
      <c r="K343" s="56"/>
      <c r="L343" s="56"/>
      <c r="M343" s="56"/>
      <c r="N343" s="56"/>
    </row>
    <row r="344" spans="1:14" ht="15" customHeight="1" x14ac:dyDescent="0.2">
      <c r="A344" s="36"/>
      <c r="B344" s="47"/>
      <c r="C344" s="4"/>
      <c r="D344" s="36"/>
      <c r="E344" s="36"/>
      <c r="F344" s="36"/>
      <c r="G344" s="36"/>
      <c r="H344" s="56"/>
      <c r="I344" s="60">
        <f t="shared" si="4"/>
        <v>698</v>
      </c>
      <c r="J344" s="224"/>
      <c r="K344" s="56"/>
      <c r="L344" s="56"/>
      <c r="M344" s="56"/>
      <c r="N344" s="56"/>
    </row>
    <row r="345" spans="1:14" ht="15" customHeight="1" x14ac:dyDescent="0.2">
      <c r="A345" s="36"/>
      <c r="B345" s="47"/>
      <c r="C345" s="4"/>
      <c r="D345" s="36"/>
      <c r="E345" s="36"/>
      <c r="F345" s="36"/>
      <c r="G345" s="36"/>
      <c r="H345" s="56"/>
      <c r="I345" s="60">
        <f t="shared" si="4"/>
        <v>699</v>
      </c>
      <c r="J345" s="224"/>
      <c r="K345" s="56"/>
      <c r="L345" s="56"/>
      <c r="M345" s="56"/>
      <c r="N345" s="56"/>
    </row>
    <row r="346" spans="1:14" ht="15" customHeight="1" x14ac:dyDescent="0.2">
      <c r="A346" s="36"/>
      <c r="B346" s="47"/>
      <c r="C346" s="4"/>
      <c r="D346" s="36"/>
      <c r="E346" s="36"/>
      <c r="F346" s="36"/>
      <c r="G346" s="36"/>
      <c r="H346" s="56"/>
      <c r="I346" s="60">
        <f t="shared" ref="I346:I409" si="5">IF(380+J$22*(ROW()-ROW(I$25)-1)&gt;780,"",380+J$22*(ROW()-ROW(I$25)-1))</f>
        <v>700</v>
      </c>
      <c r="J346" s="224"/>
      <c r="K346" s="56"/>
      <c r="L346" s="56"/>
      <c r="M346" s="56"/>
      <c r="N346" s="56"/>
    </row>
    <row r="347" spans="1:14" ht="15" customHeight="1" x14ac:dyDescent="0.2">
      <c r="A347" s="36"/>
      <c r="B347" s="47"/>
      <c r="C347" s="4"/>
      <c r="D347" s="36"/>
      <c r="E347" s="36"/>
      <c r="F347" s="36"/>
      <c r="G347" s="36"/>
      <c r="H347" s="56"/>
      <c r="I347" s="60">
        <f t="shared" si="5"/>
        <v>701</v>
      </c>
      <c r="J347" s="224"/>
      <c r="K347" s="56"/>
      <c r="L347" s="56"/>
      <c r="M347" s="56"/>
      <c r="N347" s="56"/>
    </row>
    <row r="348" spans="1:14" ht="15" customHeight="1" x14ac:dyDescent="0.2">
      <c r="A348" s="36"/>
      <c r="B348" s="47"/>
      <c r="C348" s="4"/>
      <c r="D348" s="36"/>
      <c r="E348" s="36"/>
      <c r="F348" s="36"/>
      <c r="G348" s="36"/>
      <c r="H348" s="56"/>
      <c r="I348" s="60">
        <f t="shared" si="5"/>
        <v>702</v>
      </c>
      <c r="J348" s="224"/>
      <c r="K348" s="56"/>
      <c r="L348" s="56"/>
      <c r="M348" s="56"/>
      <c r="N348" s="56"/>
    </row>
    <row r="349" spans="1:14" ht="15" customHeight="1" x14ac:dyDescent="0.2">
      <c r="A349" s="36"/>
      <c r="B349" s="47"/>
      <c r="C349" s="4"/>
      <c r="D349" s="36"/>
      <c r="E349" s="36"/>
      <c r="F349" s="36"/>
      <c r="G349" s="36"/>
      <c r="H349" s="56"/>
      <c r="I349" s="60">
        <f t="shared" si="5"/>
        <v>703</v>
      </c>
      <c r="J349" s="224"/>
      <c r="K349" s="56"/>
      <c r="L349" s="56"/>
      <c r="M349" s="56"/>
      <c r="N349" s="56"/>
    </row>
    <row r="350" spans="1:14" ht="15" customHeight="1" x14ac:dyDescent="0.2">
      <c r="A350" s="36"/>
      <c r="B350" s="47"/>
      <c r="C350" s="4"/>
      <c r="D350" s="36"/>
      <c r="E350" s="36"/>
      <c r="F350" s="36"/>
      <c r="G350" s="36"/>
      <c r="H350" s="56"/>
      <c r="I350" s="60">
        <f t="shared" si="5"/>
        <v>704</v>
      </c>
      <c r="J350" s="224"/>
      <c r="K350" s="56"/>
      <c r="L350" s="56"/>
      <c r="M350" s="56"/>
      <c r="N350" s="56"/>
    </row>
    <row r="351" spans="1:14" ht="15" customHeight="1" x14ac:dyDescent="0.2">
      <c r="A351" s="36"/>
      <c r="B351" s="47"/>
      <c r="C351" s="4"/>
      <c r="D351" s="36"/>
      <c r="E351" s="36"/>
      <c r="F351" s="36"/>
      <c r="G351" s="36"/>
      <c r="H351" s="56"/>
      <c r="I351" s="60">
        <f t="shared" si="5"/>
        <v>705</v>
      </c>
      <c r="J351" s="224"/>
      <c r="K351" s="56"/>
      <c r="L351" s="56"/>
      <c r="M351" s="56"/>
      <c r="N351" s="56"/>
    </row>
    <row r="352" spans="1:14" ht="15" customHeight="1" x14ac:dyDescent="0.2">
      <c r="A352" s="36"/>
      <c r="B352" s="47"/>
      <c r="C352" s="4"/>
      <c r="D352" s="36"/>
      <c r="E352" s="36"/>
      <c r="F352" s="36"/>
      <c r="G352" s="36"/>
      <c r="H352" s="56"/>
      <c r="I352" s="60">
        <f t="shared" si="5"/>
        <v>706</v>
      </c>
      <c r="J352" s="224"/>
      <c r="K352" s="56"/>
      <c r="L352" s="56"/>
      <c r="M352" s="56"/>
      <c r="N352" s="56"/>
    </row>
    <row r="353" spans="1:14" ht="15" customHeight="1" x14ac:dyDescent="0.2">
      <c r="A353" s="36"/>
      <c r="B353" s="47"/>
      <c r="C353" s="4"/>
      <c r="D353" s="36"/>
      <c r="E353" s="36"/>
      <c r="F353" s="36"/>
      <c r="G353" s="36"/>
      <c r="H353" s="56"/>
      <c r="I353" s="60">
        <f t="shared" si="5"/>
        <v>707</v>
      </c>
      <c r="J353" s="224"/>
      <c r="K353" s="56"/>
      <c r="L353" s="56"/>
      <c r="M353" s="56"/>
      <c r="N353" s="56"/>
    </row>
    <row r="354" spans="1:14" ht="15" customHeight="1" x14ac:dyDescent="0.2">
      <c r="A354" s="36"/>
      <c r="B354" s="47"/>
      <c r="C354" s="4"/>
      <c r="D354" s="36"/>
      <c r="E354" s="36"/>
      <c r="F354" s="36"/>
      <c r="G354" s="36"/>
      <c r="H354" s="56"/>
      <c r="I354" s="60">
        <f t="shared" si="5"/>
        <v>708</v>
      </c>
      <c r="J354" s="224"/>
      <c r="K354" s="56"/>
      <c r="L354" s="56"/>
      <c r="M354" s="56"/>
      <c r="N354" s="56"/>
    </row>
    <row r="355" spans="1:14" ht="15" customHeight="1" x14ac:dyDescent="0.2">
      <c r="A355" s="36"/>
      <c r="B355" s="47"/>
      <c r="C355" s="4"/>
      <c r="D355" s="36"/>
      <c r="E355" s="36"/>
      <c r="F355" s="36"/>
      <c r="G355" s="36"/>
      <c r="H355" s="56"/>
      <c r="I355" s="60">
        <f t="shared" si="5"/>
        <v>709</v>
      </c>
      <c r="J355" s="224"/>
      <c r="K355" s="56"/>
      <c r="L355" s="56"/>
      <c r="M355" s="56"/>
      <c r="N355" s="56"/>
    </row>
    <row r="356" spans="1:14" ht="15" customHeight="1" x14ac:dyDescent="0.2">
      <c r="A356" s="36"/>
      <c r="B356" s="47"/>
      <c r="C356" s="4"/>
      <c r="D356" s="36"/>
      <c r="E356" s="36"/>
      <c r="F356" s="36"/>
      <c r="G356" s="36"/>
      <c r="H356" s="56"/>
      <c r="I356" s="60">
        <f t="shared" si="5"/>
        <v>710</v>
      </c>
      <c r="J356" s="224"/>
      <c r="K356" s="56"/>
      <c r="L356" s="56"/>
      <c r="M356" s="56"/>
      <c r="N356" s="56"/>
    </row>
    <row r="357" spans="1:14" ht="15" customHeight="1" x14ac:dyDescent="0.2">
      <c r="A357" s="36"/>
      <c r="B357" s="47"/>
      <c r="C357" s="4"/>
      <c r="D357" s="36"/>
      <c r="E357" s="36"/>
      <c r="F357" s="36"/>
      <c r="G357" s="36"/>
      <c r="H357" s="56"/>
      <c r="I357" s="60">
        <f t="shared" si="5"/>
        <v>711</v>
      </c>
      <c r="J357" s="224"/>
      <c r="K357" s="56"/>
      <c r="L357" s="56"/>
      <c r="M357" s="56"/>
      <c r="N357" s="56"/>
    </row>
    <row r="358" spans="1:14" ht="15" customHeight="1" x14ac:dyDescent="0.2">
      <c r="A358" s="36"/>
      <c r="B358" s="47"/>
      <c r="C358" s="4"/>
      <c r="D358" s="36"/>
      <c r="E358" s="36"/>
      <c r="F358" s="36"/>
      <c r="G358" s="36"/>
      <c r="H358" s="56"/>
      <c r="I358" s="60">
        <f t="shared" si="5"/>
        <v>712</v>
      </c>
      <c r="J358" s="224"/>
      <c r="K358" s="56"/>
      <c r="L358" s="56"/>
      <c r="M358" s="56"/>
      <c r="N358" s="56"/>
    </row>
    <row r="359" spans="1:14" ht="15" customHeight="1" x14ac:dyDescent="0.2">
      <c r="A359" s="36"/>
      <c r="B359" s="47"/>
      <c r="C359" s="4"/>
      <c r="D359" s="36"/>
      <c r="E359" s="36"/>
      <c r="F359" s="36"/>
      <c r="G359" s="36"/>
      <c r="H359" s="56"/>
      <c r="I359" s="60">
        <f t="shared" si="5"/>
        <v>713</v>
      </c>
      <c r="J359" s="224"/>
      <c r="K359" s="56"/>
      <c r="L359" s="56"/>
      <c r="M359" s="56"/>
      <c r="N359" s="56"/>
    </row>
    <row r="360" spans="1:14" ht="15" customHeight="1" x14ac:dyDescent="0.2">
      <c r="A360" s="36"/>
      <c r="B360" s="47"/>
      <c r="C360" s="4"/>
      <c r="D360" s="36"/>
      <c r="E360" s="36"/>
      <c r="F360" s="36"/>
      <c r="G360" s="36"/>
      <c r="H360" s="56"/>
      <c r="I360" s="60">
        <f t="shared" si="5"/>
        <v>714</v>
      </c>
      <c r="J360" s="224"/>
      <c r="K360" s="56"/>
      <c r="L360" s="56"/>
      <c r="M360" s="56"/>
      <c r="N360" s="56"/>
    </row>
    <row r="361" spans="1:14" ht="15" customHeight="1" x14ac:dyDescent="0.2">
      <c r="A361" s="36"/>
      <c r="B361" s="47"/>
      <c r="C361" s="4"/>
      <c r="D361" s="36"/>
      <c r="E361" s="36"/>
      <c r="F361" s="36"/>
      <c r="G361" s="36"/>
      <c r="H361" s="56"/>
      <c r="I361" s="60">
        <f t="shared" si="5"/>
        <v>715</v>
      </c>
      <c r="J361" s="224"/>
      <c r="K361" s="56"/>
      <c r="L361" s="56"/>
      <c r="M361" s="56"/>
      <c r="N361" s="56"/>
    </row>
    <row r="362" spans="1:14" ht="15" customHeight="1" x14ac:dyDescent="0.2">
      <c r="A362" s="36"/>
      <c r="B362" s="47"/>
      <c r="C362" s="4"/>
      <c r="D362" s="36"/>
      <c r="E362" s="36"/>
      <c r="F362" s="36"/>
      <c r="G362" s="36"/>
      <c r="H362" s="56"/>
      <c r="I362" s="60">
        <f t="shared" si="5"/>
        <v>716</v>
      </c>
      <c r="J362" s="224"/>
      <c r="K362" s="56"/>
      <c r="L362" s="56"/>
      <c r="M362" s="56"/>
      <c r="N362" s="56"/>
    </row>
    <row r="363" spans="1:14" ht="15" customHeight="1" x14ac:dyDescent="0.2">
      <c r="A363" s="36"/>
      <c r="B363" s="47"/>
      <c r="C363" s="4"/>
      <c r="D363" s="36"/>
      <c r="E363" s="36"/>
      <c r="F363" s="36"/>
      <c r="G363" s="36"/>
      <c r="H363" s="56"/>
      <c r="I363" s="60">
        <f t="shared" si="5"/>
        <v>717</v>
      </c>
      <c r="J363" s="224"/>
      <c r="K363" s="56"/>
      <c r="L363" s="56"/>
      <c r="M363" s="56"/>
      <c r="N363" s="56"/>
    </row>
    <row r="364" spans="1:14" ht="15" customHeight="1" x14ac:dyDescent="0.2">
      <c r="A364" s="36"/>
      <c r="B364" s="47"/>
      <c r="C364" s="4"/>
      <c r="D364" s="36"/>
      <c r="E364" s="36"/>
      <c r="F364" s="36"/>
      <c r="G364" s="36"/>
      <c r="H364" s="56"/>
      <c r="I364" s="60">
        <f t="shared" si="5"/>
        <v>718</v>
      </c>
      <c r="J364" s="224"/>
      <c r="K364" s="56"/>
      <c r="L364" s="56"/>
      <c r="M364" s="56"/>
      <c r="N364" s="56"/>
    </row>
    <row r="365" spans="1:14" ht="15" customHeight="1" x14ac:dyDescent="0.2">
      <c r="A365" s="36"/>
      <c r="B365" s="47"/>
      <c r="C365" s="4"/>
      <c r="D365" s="36"/>
      <c r="E365" s="36"/>
      <c r="F365" s="36"/>
      <c r="G365" s="36"/>
      <c r="H365" s="56"/>
      <c r="I365" s="60">
        <f t="shared" si="5"/>
        <v>719</v>
      </c>
      <c r="J365" s="224"/>
      <c r="K365" s="56"/>
      <c r="L365" s="56"/>
      <c r="M365" s="56"/>
      <c r="N365" s="56"/>
    </row>
    <row r="366" spans="1:14" ht="15" customHeight="1" x14ac:dyDescent="0.2">
      <c r="A366" s="36"/>
      <c r="B366" s="47"/>
      <c r="C366" s="4"/>
      <c r="D366" s="36"/>
      <c r="E366" s="36"/>
      <c r="F366" s="36"/>
      <c r="G366" s="36"/>
      <c r="H366" s="56"/>
      <c r="I366" s="60">
        <f t="shared" si="5"/>
        <v>720</v>
      </c>
      <c r="J366" s="224"/>
      <c r="K366" s="56"/>
      <c r="L366" s="56"/>
      <c r="M366" s="56"/>
      <c r="N366" s="56"/>
    </row>
    <row r="367" spans="1:14" ht="15" customHeight="1" x14ac:dyDescent="0.2">
      <c r="A367" s="36"/>
      <c r="B367" s="47"/>
      <c r="C367" s="4"/>
      <c r="D367" s="36"/>
      <c r="E367" s="36"/>
      <c r="F367" s="36"/>
      <c r="G367" s="36"/>
      <c r="H367" s="56"/>
      <c r="I367" s="60">
        <f t="shared" si="5"/>
        <v>721</v>
      </c>
      <c r="J367" s="224"/>
      <c r="K367" s="56"/>
      <c r="L367" s="56"/>
      <c r="M367" s="56"/>
      <c r="N367" s="56"/>
    </row>
    <row r="368" spans="1:14" ht="15" customHeight="1" x14ac:dyDescent="0.2">
      <c r="A368" s="36"/>
      <c r="B368" s="47"/>
      <c r="C368" s="4"/>
      <c r="D368" s="36"/>
      <c r="E368" s="36"/>
      <c r="F368" s="36"/>
      <c r="G368" s="36"/>
      <c r="H368" s="56"/>
      <c r="I368" s="60">
        <f t="shared" si="5"/>
        <v>722</v>
      </c>
      <c r="J368" s="224"/>
      <c r="K368" s="56"/>
      <c r="L368" s="56"/>
      <c r="M368" s="56"/>
      <c r="N368" s="56"/>
    </row>
    <row r="369" spans="1:14" ht="15" customHeight="1" x14ac:dyDescent="0.2">
      <c r="A369" s="36"/>
      <c r="B369" s="47"/>
      <c r="C369" s="4"/>
      <c r="D369" s="36"/>
      <c r="E369" s="36"/>
      <c r="F369" s="36"/>
      <c r="G369" s="36"/>
      <c r="H369" s="56"/>
      <c r="I369" s="60">
        <f t="shared" si="5"/>
        <v>723</v>
      </c>
      <c r="J369" s="224"/>
      <c r="K369" s="56"/>
      <c r="L369" s="56"/>
      <c r="M369" s="56"/>
      <c r="N369" s="56"/>
    </row>
    <row r="370" spans="1:14" ht="15" customHeight="1" x14ac:dyDescent="0.2">
      <c r="A370" s="36"/>
      <c r="B370" s="47"/>
      <c r="C370" s="4"/>
      <c r="D370" s="36"/>
      <c r="E370" s="36"/>
      <c r="F370" s="36"/>
      <c r="G370" s="36"/>
      <c r="H370" s="56"/>
      <c r="I370" s="60">
        <f t="shared" si="5"/>
        <v>724</v>
      </c>
      <c r="J370" s="224"/>
      <c r="K370" s="56"/>
      <c r="L370" s="56"/>
      <c r="M370" s="56"/>
      <c r="N370" s="56"/>
    </row>
    <row r="371" spans="1:14" ht="15" customHeight="1" x14ac:dyDescent="0.2">
      <c r="A371" s="36"/>
      <c r="B371" s="47"/>
      <c r="C371" s="4"/>
      <c r="D371" s="36"/>
      <c r="E371" s="36"/>
      <c r="F371" s="36"/>
      <c r="G371" s="36"/>
      <c r="H371" s="56"/>
      <c r="I371" s="60">
        <f t="shared" si="5"/>
        <v>725</v>
      </c>
      <c r="J371" s="224"/>
      <c r="K371" s="56"/>
      <c r="L371" s="56"/>
      <c r="M371" s="56"/>
      <c r="N371" s="56"/>
    </row>
    <row r="372" spans="1:14" ht="15" customHeight="1" x14ac:dyDescent="0.2">
      <c r="A372" s="36"/>
      <c r="B372" s="47"/>
      <c r="C372" s="4"/>
      <c r="D372" s="36"/>
      <c r="E372" s="36"/>
      <c r="F372" s="36"/>
      <c r="G372" s="36"/>
      <c r="H372" s="56"/>
      <c r="I372" s="60">
        <f t="shared" si="5"/>
        <v>726</v>
      </c>
      <c r="J372" s="224"/>
      <c r="K372" s="56"/>
      <c r="L372" s="56"/>
      <c r="M372" s="56"/>
      <c r="N372" s="56"/>
    </row>
    <row r="373" spans="1:14" ht="15" customHeight="1" x14ac:dyDescent="0.2">
      <c r="A373" s="36"/>
      <c r="B373" s="47"/>
      <c r="C373" s="4"/>
      <c r="D373" s="36"/>
      <c r="E373" s="36"/>
      <c r="F373" s="36"/>
      <c r="G373" s="36"/>
      <c r="H373" s="56"/>
      <c r="I373" s="60">
        <f t="shared" si="5"/>
        <v>727</v>
      </c>
      <c r="J373" s="224"/>
      <c r="K373" s="56"/>
      <c r="L373" s="56"/>
      <c r="M373" s="56"/>
      <c r="N373" s="56"/>
    </row>
    <row r="374" spans="1:14" ht="15" customHeight="1" x14ac:dyDescent="0.2">
      <c r="A374" s="36"/>
      <c r="B374" s="47"/>
      <c r="C374" s="4"/>
      <c r="D374" s="36"/>
      <c r="E374" s="36"/>
      <c r="F374" s="36"/>
      <c r="G374" s="36"/>
      <c r="H374" s="56"/>
      <c r="I374" s="60">
        <f t="shared" si="5"/>
        <v>728</v>
      </c>
      <c r="J374" s="224"/>
      <c r="K374" s="56"/>
      <c r="L374" s="56"/>
      <c r="M374" s="56"/>
      <c r="N374" s="56"/>
    </row>
    <row r="375" spans="1:14" ht="15" customHeight="1" x14ac:dyDescent="0.2">
      <c r="A375" s="36"/>
      <c r="B375" s="47"/>
      <c r="C375" s="4"/>
      <c r="D375" s="36"/>
      <c r="E375" s="36"/>
      <c r="F375" s="36"/>
      <c r="G375" s="36"/>
      <c r="H375" s="56"/>
      <c r="I375" s="60">
        <f t="shared" si="5"/>
        <v>729</v>
      </c>
      <c r="J375" s="224"/>
      <c r="K375" s="56"/>
      <c r="L375" s="56"/>
      <c r="M375" s="56"/>
      <c r="N375" s="56"/>
    </row>
    <row r="376" spans="1:14" ht="15" customHeight="1" x14ac:dyDescent="0.2">
      <c r="A376" s="36"/>
      <c r="B376" s="47"/>
      <c r="C376" s="4"/>
      <c r="D376" s="36"/>
      <c r="E376" s="36"/>
      <c r="F376" s="36"/>
      <c r="G376" s="36"/>
      <c r="H376" s="56"/>
      <c r="I376" s="60">
        <f t="shared" si="5"/>
        <v>730</v>
      </c>
      <c r="J376" s="224"/>
      <c r="K376" s="56"/>
      <c r="L376" s="56"/>
      <c r="M376" s="56"/>
      <c r="N376" s="56"/>
    </row>
    <row r="377" spans="1:14" ht="15" customHeight="1" x14ac:dyDescent="0.2">
      <c r="A377" s="36"/>
      <c r="B377" s="47"/>
      <c r="C377" s="4"/>
      <c r="D377" s="36"/>
      <c r="E377" s="36"/>
      <c r="F377" s="36"/>
      <c r="G377" s="36"/>
      <c r="H377" s="56"/>
      <c r="I377" s="60">
        <f t="shared" si="5"/>
        <v>731</v>
      </c>
      <c r="J377" s="224"/>
      <c r="K377" s="56"/>
      <c r="L377" s="56"/>
      <c r="M377" s="56"/>
      <c r="N377" s="56"/>
    </row>
    <row r="378" spans="1:14" ht="15" customHeight="1" x14ac:dyDescent="0.2">
      <c r="A378" s="36"/>
      <c r="B378" s="47"/>
      <c r="C378" s="4"/>
      <c r="D378" s="36"/>
      <c r="E378" s="36"/>
      <c r="F378" s="36"/>
      <c r="G378" s="36"/>
      <c r="H378" s="56"/>
      <c r="I378" s="60">
        <f t="shared" si="5"/>
        <v>732</v>
      </c>
      <c r="J378" s="224"/>
      <c r="K378" s="56"/>
      <c r="L378" s="56"/>
      <c r="M378" s="56"/>
      <c r="N378" s="56"/>
    </row>
    <row r="379" spans="1:14" ht="15" customHeight="1" x14ac:dyDescent="0.2">
      <c r="A379" s="36"/>
      <c r="B379" s="47"/>
      <c r="C379" s="4"/>
      <c r="D379" s="36"/>
      <c r="E379" s="36"/>
      <c r="F379" s="36"/>
      <c r="G379" s="36"/>
      <c r="H379" s="56"/>
      <c r="I379" s="60">
        <f t="shared" si="5"/>
        <v>733</v>
      </c>
      <c r="J379" s="224"/>
      <c r="K379" s="56"/>
      <c r="L379" s="56"/>
      <c r="M379" s="56"/>
      <c r="N379" s="56"/>
    </row>
    <row r="380" spans="1:14" ht="15" customHeight="1" x14ac:dyDescent="0.2">
      <c r="A380" s="36"/>
      <c r="B380" s="47"/>
      <c r="C380" s="4"/>
      <c r="D380" s="36"/>
      <c r="E380" s="36"/>
      <c r="F380" s="36"/>
      <c r="G380" s="36"/>
      <c r="H380" s="56"/>
      <c r="I380" s="60">
        <f t="shared" si="5"/>
        <v>734</v>
      </c>
      <c r="J380" s="224"/>
      <c r="K380" s="56"/>
      <c r="L380" s="56"/>
      <c r="M380" s="56"/>
      <c r="N380" s="56"/>
    </row>
    <row r="381" spans="1:14" ht="15" customHeight="1" x14ac:dyDescent="0.2">
      <c r="A381" s="36"/>
      <c r="B381" s="47"/>
      <c r="C381" s="4"/>
      <c r="D381" s="36"/>
      <c r="E381" s="36"/>
      <c r="F381" s="36"/>
      <c r="G381" s="36"/>
      <c r="H381" s="56"/>
      <c r="I381" s="60">
        <f t="shared" si="5"/>
        <v>735</v>
      </c>
      <c r="J381" s="224"/>
      <c r="K381" s="56"/>
      <c r="L381" s="56"/>
      <c r="M381" s="56"/>
      <c r="N381" s="56"/>
    </row>
    <row r="382" spans="1:14" ht="15" customHeight="1" x14ac:dyDescent="0.2">
      <c r="A382" s="36"/>
      <c r="B382" s="47"/>
      <c r="C382" s="4"/>
      <c r="D382" s="36"/>
      <c r="E382" s="36"/>
      <c r="F382" s="36"/>
      <c r="G382" s="36"/>
      <c r="H382" s="56"/>
      <c r="I382" s="60">
        <f t="shared" si="5"/>
        <v>736</v>
      </c>
      <c r="J382" s="224"/>
      <c r="K382" s="56"/>
      <c r="L382" s="56"/>
      <c r="M382" s="56"/>
      <c r="N382" s="56"/>
    </row>
    <row r="383" spans="1:14" ht="15" customHeight="1" x14ac:dyDescent="0.2">
      <c r="A383" s="36"/>
      <c r="B383" s="47"/>
      <c r="C383" s="4"/>
      <c r="D383" s="36"/>
      <c r="E383" s="36"/>
      <c r="F383" s="36"/>
      <c r="G383" s="36"/>
      <c r="H383" s="56"/>
      <c r="I383" s="60">
        <f t="shared" si="5"/>
        <v>737</v>
      </c>
      <c r="J383" s="224"/>
      <c r="K383" s="56"/>
      <c r="L383" s="56"/>
      <c r="M383" s="56"/>
      <c r="N383" s="56"/>
    </row>
    <row r="384" spans="1:14" ht="15" customHeight="1" x14ac:dyDescent="0.2">
      <c r="A384" s="36"/>
      <c r="B384" s="47"/>
      <c r="C384" s="4"/>
      <c r="D384" s="36"/>
      <c r="E384" s="36"/>
      <c r="F384" s="36"/>
      <c r="G384" s="36"/>
      <c r="H384" s="56"/>
      <c r="I384" s="60">
        <f t="shared" si="5"/>
        <v>738</v>
      </c>
      <c r="J384" s="224"/>
      <c r="K384" s="56"/>
      <c r="L384" s="56"/>
      <c r="M384" s="56"/>
      <c r="N384" s="56"/>
    </row>
    <row r="385" spans="1:14" ht="15" customHeight="1" x14ac:dyDescent="0.2">
      <c r="A385" s="36"/>
      <c r="B385" s="47"/>
      <c r="C385" s="4"/>
      <c r="D385" s="36"/>
      <c r="E385" s="36"/>
      <c r="F385" s="36"/>
      <c r="G385" s="36"/>
      <c r="H385" s="56"/>
      <c r="I385" s="60">
        <f t="shared" si="5"/>
        <v>739</v>
      </c>
      <c r="J385" s="224"/>
      <c r="K385" s="56"/>
      <c r="L385" s="56"/>
      <c r="M385" s="56"/>
      <c r="N385" s="56"/>
    </row>
    <row r="386" spans="1:14" ht="15" customHeight="1" x14ac:dyDescent="0.2">
      <c r="A386" s="36"/>
      <c r="B386" s="47"/>
      <c r="C386" s="4"/>
      <c r="D386" s="36"/>
      <c r="E386" s="36"/>
      <c r="F386" s="36"/>
      <c r="G386" s="36"/>
      <c r="H386" s="56"/>
      <c r="I386" s="60">
        <f t="shared" si="5"/>
        <v>740</v>
      </c>
      <c r="J386" s="224"/>
      <c r="K386" s="56"/>
      <c r="L386" s="56"/>
      <c r="M386" s="56"/>
      <c r="N386" s="56"/>
    </row>
    <row r="387" spans="1:14" ht="15" customHeight="1" x14ac:dyDescent="0.2">
      <c r="A387" s="36"/>
      <c r="B387" s="47"/>
      <c r="C387" s="4"/>
      <c r="D387" s="36"/>
      <c r="E387" s="36"/>
      <c r="F387" s="36"/>
      <c r="G387" s="36"/>
      <c r="H387" s="56"/>
      <c r="I387" s="60">
        <f t="shared" si="5"/>
        <v>741</v>
      </c>
      <c r="J387" s="224"/>
      <c r="K387" s="56"/>
      <c r="L387" s="56"/>
      <c r="M387" s="56"/>
      <c r="N387" s="56"/>
    </row>
    <row r="388" spans="1:14" ht="15" customHeight="1" x14ac:dyDescent="0.2">
      <c r="A388" s="36"/>
      <c r="B388" s="47"/>
      <c r="C388" s="4"/>
      <c r="D388" s="36"/>
      <c r="E388" s="36"/>
      <c r="F388" s="36"/>
      <c r="G388" s="36"/>
      <c r="H388" s="56"/>
      <c r="I388" s="60">
        <f t="shared" si="5"/>
        <v>742</v>
      </c>
      <c r="J388" s="224"/>
      <c r="K388" s="56"/>
      <c r="L388" s="56"/>
      <c r="M388" s="56"/>
      <c r="N388" s="56"/>
    </row>
    <row r="389" spans="1:14" ht="15" customHeight="1" x14ac:dyDescent="0.2">
      <c r="A389" s="36"/>
      <c r="B389" s="47"/>
      <c r="C389" s="4"/>
      <c r="D389" s="36"/>
      <c r="E389" s="36"/>
      <c r="F389" s="36"/>
      <c r="G389" s="36"/>
      <c r="H389" s="56"/>
      <c r="I389" s="60">
        <f t="shared" si="5"/>
        <v>743</v>
      </c>
      <c r="J389" s="224"/>
      <c r="K389" s="56"/>
      <c r="L389" s="56"/>
      <c r="M389" s="56"/>
      <c r="N389" s="56"/>
    </row>
    <row r="390" spans="1:14" ht="15" customHeight="1" x14ac:dyDescent="0.2">
      <c r="A390" s="36"/>
      <c r="B390" s="47"/>
      <c r="C390" s="4"/>
      <c r="D390" s="36"/>
      <c r="E390" s="36"/>
      <c r="F390" s="36"/>
      <c r="G390" s="36"/>
      <c r="H390" s="56"/>
      <c r="I390" s="60">
        <f t="shared" si="5"/>
        <v>744</v>
      </c>
      <c r="J390" s="224"/>
      <c r="K390" s="56"/>
      <c r="L390" s="56"/>
      <c r="M390" s="56"/>
      <c r="N390" s="56"/>
    </row>
    <row r="391" spans="1:14" ht="15" customHeight="1" x14ac:dyDescent="0.2">
      <c r="A391" s="36"/>
      <c r="B391" s="47"/>
      <c r="C391" s="4"/>
      <c r="D391" s="36"/>
      <c r="E391" s="36"/>
      <c r="F391" s="36"/>
      <c r="G391" s="36"/>
      <c r="H391" s="56"/>
      <c r="I391" s="60">
        <f t="shared" si="5"/>
        <v>745</v>
      </c>
      <c r="J391" s="224"/>
      <c r="K391" s="56"/>
      <c r="L391" s="56"/>
      <c r="M391" s="56"/>
      <c r="N391" s="56"/>
    </row>
    <row r="392" spans="1:14" ht="15" customHeight="1" x14ac:dyDescent="0.2">
      <c r="A392" s="36"/>
      <c r="B392" s="47"/>
      <c r="C392" s="4"/>
      <c r="D392" s="36"/>
      <c r="E392" s="36"/>
      <c r="F392" s="36"/>
      <c r="G392" s="36"/>
      <c r="H392" s="56"/>
      <c r="I392" s="60">
        <f t="shared" si="5"/>
        <v>746</v>
      </c>
      <c r="J392" s="224"/>
      <c r="K392" s="56"/>
      <c r="L392" s="56"/>
      <c r="M392" s="56"/>
      <c r="N392" s="56"/>
    </row>
    <row r="393" spans="1:14" ht="15" customHeight="1" x14ac:dyDescent="0.2">
      <c r="A393" s="36"/>
      <c r="B393" s="47"/>
      <c r="C393" s="4"/>
      <c r="D393" s="36"/>
      <c r="E393" s="36"/>
      <c r="F393" s="36"/>
      <c r="G393" s="36"/>
      <c r="H393" s="56"/>
      <c r="I393" s="60">
        <f t="shared" si="5"/>
        <v>747</v>
      </c>
      <c r="J393" s="224"/>
      <c r="K393" s="56"/>
      <c r="L393" s="56"/>
      <c r="M393" s="56"/>
      <c r="N393" s="56"/>
    </row>
    <row r="394" spans="1:14" ht="15" customHeight="1" x14ac:dyDescent="0.2">
      <c r="A394" s="36"/>
      <c r="B394" s="47"/>
      <c r="C394" s="4"/>
      <c r="D394" s="36"/>
      <c r="E394" s="36"/>
      <c r="F394" s="36"/>
      <c r="G394" s="36"/>
      <c r="H394" s="56"/>
      <c r="I394" s="60">
        <f t="shared" si="5"/>
        <v>748</v>
      </c>
      <c r="J394" s="224"/>
      <c r="K394" s="56"/>
      <c r="L394" s="56"/>
      <c r="M394" s="56"/>
      <c r="N394" s="56"/>
    </row>
    <row r="395" spans="1:14" ht="15" customHeight="1" x14ac:dyDescent="0.2">
      <c r="A395" s="36"/>
      <c r="B395" s="47"/>
      <c r="C395" s="4"/>
      <c r="D395" s="36"/>
      <c r="E395" s="36"/>
      <c r="F395" s="36"/>
      <c r="G395" s="36"/>
      <c r="H395" s="56"/>
      <c r="I395" s="60">
        <f t="shared" si="5"/>
        <v>749</v>
      </c>
      <c r="J395" s="224"/>
      <c r="K395" s="56"/>
      <c r="L395" s="56"/>
      <c r="M395" s="56"/>
      <c r="N395" s="56"/>
    </row>
    <row r="396" spans="1:14" ht="15" customHeight="1" x14ac:dyDescent="0.2">
      <c r="A396" s="36"/>
      <c r="B396" s="47"/>
      <c r="C396" s="4"/>
      <c r="D396" s="36"/>
      <c r="E396" s="36"/>
      <c r="F396" s="36"/>
      <c r="G396" s="36"/>
      <c r="H396" s="56"/>
      <c r="I396" s="60">
        <f t="shared" si="5"/>
        <v>750</v>
      </c>
      <c r="J396" s="224"/>
      <c r="K396" s="56"/>
      <c r="L396" s="56"/>
      <c r="M396" s="56"/>
      <c r="N396" s="56"/>
    </row>
    <row r="397" spans="1:14" ht="15" customHeight="1" x14ac:dyDescent="0.2">
      <c r="A397" s="36"/>
      <c r="B397" s="47"/>
      <c r="C397" s="4"/>
      <c r="D397" s="36"/>
      <c r="E397" s="36"/>
      <c r="F397" s="36"/>
      <c r="G397" s="36"/>
      <c r="H397" s="56"/>
      <c r="I397" s="60">
        <f t="shared" si="5"/>
        <v>751</v>
      </c>
      <c r="J397" s="224"/>
      <c r="K397" s="56"/>
      <c r="L397" s="56"/>
      <c r="M397" s="56"/>
      <c r="N397" s="56"/>
    </row>
    <row r="398" spans="1:14" ht="15" customHeight="1" x14ac:dyDescent="0.2">
      <c r="A398" s="36"/>
      <c r="B398" s="47"/>
      <c r="C398" s="4"/>
      <c r="D398" s="36"/>
      <c r="E398" s="36"/>
      <c r="F398" s="36"/>
      <c r="G398" s="36"/>
      <c r="H398" s="56"/>
      <c r="I398" s="60">
        <f t="shared" si="5"/>
        <v>752</v>
      </c>
      <c r="J398" s="224"/>
      <c r="K398" s="56"/>
      <c r="L398" s="56"/>
      <c r="M398" s="56"/>
      <c r="N398" s="56"/>
    </row>
    <row r="399" spans="1:14" ht="15" customHeight="1" x14ac:dyDescent="0.2">
      <c r="A399" s="36"/>
      <c r="B399" s="47"/>
      <c r="C399" s="4"/>
      <c r="D399" s="36"/>
      <c r="E399" s="36"/>
      <c r="F399" s="36"/>
      <c r="G399" s="36"/>
      <c r="H399" s="56"/>
      <c r="I399" s="60">
        <f t="shared" si="5"/>
        <v>753</v>
      </c>
      <c r="J399" s="224"/>
      <c r="K399" s="56"/>
      <c r="L399" s="56"/>
      <c r="M399" s="56"/>
      <c r="N399" s="56"/>
    </row>
    <row r="400" spans="1:14" ht="15" customHeight="1" x14ac:dyDescent="0.2">
      <c r="A400" s="36"/>
      <c r="B400" s="47"/>
      <c r="C400" s="4"/>
      <c r="D400" s="36"/>
      <c r="E400" s="36"/>
      <c r="F400" s="36"/>
      <c r="G400" s="36"/>
      <c r="H400" s="56"/>
      <c r="I400" s="60">
        <f t="shared" si="5"/>
        <v>754</v>
      </c>
      <c r="J400" s="224"/>
      <c r="K400" s="56"/>
      <c r="L400" s="56"/>
      <c r="M400" s="56"/>
      <c r="N400" s="56"/>
    </row>
    <row r="401" spans="1:14" ht="15" customHeight="1" x14ac:dyDescent="0.2">
      <c r="A401" s="36"/>
      <c r="B401" s="47"/>
      <c r="C401" s="4"/>
      <c r="D401" s="36"/>
      <c r="E401" s="36"/>
      <c r="F401" s="36"/>
      <c r="G401" s="36"/>
      <c r="H401" s="56"/>
      <c r="I401" s="60">
        <f t="shared" si="5"/>
        <v>755</v>
      </c>
      <c r="J401" s="224"/>
      <c r="K401" s="56"/>
      <c r="L401" s="56"/>
      <c r="M401" s="56"/>
      <c r="N401" s="56"/>
    </row>
    <row r="402" spans="1:14" ht="15" customHeight="1" x14ac:dyDescent="0.2">
      <c r="A402" s="36"/>
      <c r="B402" s="47"/>
      <c r="C402" s="4"/>
      <c r="D402" s="36"/>
      <c r="E402" s="36"/>
      <c r="F402" s="36"/>
      <c r="G402" s="36"/>
      <c r="H402" s="56"/>
      <c r="I402" s="60">
        <f t="shared" si="5"/>
        <v>756</v>
      </c>
      <c r="J402" s="224"/>
      <c r="K402" s="56"/>
      <c r="L402" s="56"/>
      <c r="M402" s="56"/>
      <c r="N402" s="56"/>
    </row>
    <row r="403" spans="1:14" ht="15" customHeight="1" x14ac:dyDescent="0.2">
      <c r="A403" s="36"/>
      <c r="B403" s="47"/>
      <c r="C403" s="4"/>
      <c r="D403" s="36"/>
      <c r="E403" s="36"/>
      <c r="F403" s="36"/>
      <c r="G403" s="36"/>
      <c r="H403" s="56"/>
      <c r="I403" s="60">
        <f t="shared" si="5"/>
        <v>757</v>
      </c>
      <c r="J403" s="224"/>
      <c r="K403" s="56"/>
      <c r="L403" s="56"/>
      <c r="M403" s="56"/>
      <c r="N403" s="56"/>
    </row>
    <row r="404" spans="1:14" ht="15" customHeight="1" x14ac:dyDescent="0.2">
      <c r="A404" s="36"/>
      <c r="B404" s="47"/>
      <c r="C404" s="4"/>
      <c r="D404" s="36"/>
      <c r="E404" s="36"/>
      <c r="F404" s="36"/>
      <c r="G404" s="36"/>
      <c r="H404" s="56"/>
      <c r="I404" s="60">
        <f t="shared" si="5"/>
        <v>758</v>
      </c>
      <c r="J404" s="224"/>
      <c r="K404" s="56"/>
      <c r="L404" s="56"/>
      <c r="M404" s="56"/>
      <c r="N404" s="56"/>
    </row>
    <row r="405" spans="1:14" ht="15" customHeight="1" x14ac:dyDescent="0.2">
      <c r="A405" s="36"/>
      <c r="B405" s="47"/>
      <c r="C405" s="4"/>
      <c r="D405" s="36"/>
      <c r="E405" s="36"/>
      <c r="F405" s="36"/>
      <c r="G405" s="36"/>
      <c r="H405" s="56"/>
      <c r="I405" s="60">
        <f t="shared" si="5"/>
        <v>759</v>
      </c>
      <c r="J405" s="224"/>
      <c r="K405" s="56"/>
      <c r="L405" s="56"/>
      <c r="M405" s="56"/>
      <c r="N405" s="56"/>
    </row>
    <row r="406" spans="1:14" ht="15" customHeight="1" x14ac:dyDescent="0.2">
      <c r="A406" s="36"/>
      <c r="B406" s="47"/>
      <c r="C406" s="4"/>
      <c r="D406" s="36"/>
      <c r="E406" s="36"/>
      <c r="F406" s="36"/>
      <c r="G406" s="36"/>
      <c r="H406" s="56"/>
      <c r="I406" s="60">
        <f t="shared" si="5"/>
        <v>760</v>
      </c>
      <c r="J406" s="224"/>
      <c r="K406" s="56"/>
      <c r="L406" s="56"/>
      <c r="M406" s="56"/>
      <c r="N406" s="56"/>
    </row>
    <row r="407" spans="1:14" ht="15" customHeight="1" x14ac:dyDescent="0.2">
      <c r="A407" s="36"/>
      <c r="B407" s="47"/>
      <c r="C407" s="4"/>
      <c r="D407" s="36"/>
      <c r="E407" s="36"/>
      <c r="F407" s="36"/>
      <c r="G407" s="36"/>
      <c r="H407" s="56"/>
      <c r="I407" s="60">
        <f t="shared" si="5"/>
        <v>761</v>
      </c>
      <c r="J407" s="224"/>
      <c r="K407" s="56"/>
      <c r="L407" s="56"/>
      <c r="M407" s="56"/>
      <c r="N407" s="56"/>
    </row>
    <row r="408" spans="1:14" ht="15" customHeight="1" x14ac:dyDescent="0.2">
      <c r="A408" s="36"/>
      <c r="B408" s="47"/>
      <c r="C408" s="4"/>
      <c r="D408" s="36"/>
      <c r="E408" s="36"/>
      <c r="F408" s="36"/>
      <c r="G408" s="36"/>
      <c r="H408" s="56"/>
      <c r="I408" s="60">
        <f t="shared" si="5"/>
        <v>762</v>
      </c>
      <c r="J408" s="224"/>
      <c r="K408" s="56"/>
      <c r="L408" s="56"/>
      <c r="M408" s="56"/>
      <c r="N408" s="56"/>
    </row>
    <row r="409" spans="1:14" ht="15" customHeight="1" x14ac:dyDescent="0.2">
      <c r="A409" s="36"/>
      <c r="B409" s="47"/>
      <c r="C409" s="4"/>
      <c r="D409" s="36"/>
      <c r="E409" s="36"/>
      <c r="F409" s="36"/>
      <c r="G409" s="36"/>
      <c r="H409" s="56"/>
      <c r="I409" s="60">
        <f t="shared" si="5"/>
        <v>763</v>
      </c>
      <c r="J409" s="224"/>
      <c r="K409" s="56"/>
      <c r="L409" s="56"/>
      <c r="M409" s="56"/>
      <c r="N409" s="56"/>
    </row>
    <row r="410" spans="1:14" ht="15" customHeight="1" x14ac:dyDescent="0.2">
      <c r="A410" s="36"/>
      <c r="B410" s="47"/>
      <c r="C410" s="4"/>
      <c r="D410" s="36"/>
      <c r="E410" s="36"/>
      <c r="F410" s="36"/>
      <c r="G410" s="36"/>
      <c r="H410" s="56"/>
      <c r="I410" s="60">
        <f t="shared" ref="I410:I426" si="6">IF(380+J$22*(ROW()-ROW(I$25)-1)&gt;780,"",380+J$22*(ROW()-ROW(I$25)-1))</f>
        <v>764</v>
      </c>
      <c r="J410" s="224"/>
      <c r="K410" s="56"/>
      <c r="L410" s="56"/>
      <c r="M410" s="56"/>
      <c r="N410" s="56"/>
    </row>
    <row r="411" spans="1:14" ht="15" customHeight="1" x14ac:dyDescent="0.2">
      <c r="A411" s="36"/>
      <c r="B411" s="47"/>
      <c r="C411" s="4"/>
      <c r="D411" s="36"/>
      <c r="E411" s="36"/>
      <c r="F411" s="36"/>
      <c r="G411" s="36"/>
      <c r="H411" s="56"/>
      <c r="I411" s="60">
        <f t="shared" si="6"/>
        <v>765</v>
      </c>
      <c r="J411" s="224"/>
      <c r="K411" s="56"/>
      <c r="L411" s="56"/>
      <c r="M411" s="56"/>
      <c r="N411" s="56"/>
    </row>
    <row r="412" spans="1:14" ht="15" customHeight="1" x14ac:dyDescent="0.2">
      <c r="A412" s="36"/>
      <c r="B412" s="47"/>
      <c r="C412" s="4"/>
      <c r="D412" s="36"/>
      <c r="E412" s="36"/>
      <c r="F412" s="36"/>
      <c r="G412" s="36"/>
      <c r="H412" s="56"/>
      <c r="I412" s="60">
        <f t="shared" si="6"/>
        <v>766</v>
      </c>
      <c r="J412" s="224"/>
      <c r="K412" s="56"/>
      <c r="L412" s="56"/>
      <c r="M412" s="56"/>
      <c r="N412" s="56"/>
    </row>
    <row r="413" spans="1:14" ht="15" customHeight="1" x14ac:dyDescent="0.2">
      <c r="A413" s="36"/>
      <c r="B413" s="47"/>
      <c r="C413" s="4"/>
      <c r="D413" s="36"/>
      <c r="E413" s="36"/>
      <c r="F413" s="36"/>
      <c r="G413" s="36"/>
      <c r="H413" s="56"/>
      <c r="I413" s="60">
        <f t="shared" si="6"/>
        <v>767</v>
      </c>
      <c r="J413" s="224"/>
      <c r="K413" s="56"/>
      <c r="L413" s="56"/>
      <c r="M413" s="56"/>
      <c r="N413" s="56"/>
    </row>
    <row r="414" spans="1:14" ht="15" customHeight="1" x14ac:dyDescent="0.2">
      <c r="A414" s="36"/>
      <c r="B414" s="47"/>
      <c r="C414" s="4"/>
      <c r="D414" s="36"/>
      <c r="E414" s="36"/>
      <c r="F414" s="36"/>
      <c r="G414" s="36"/>
      <c r="H414" s="56"/>
      <c r="I414" s="60">
        <f t="shared" si="6"/>
        <v>768</v>
      </c>
      <c r="J414" s="224"/>
      <c r="K414" s="56"/>
      <c r="L414" s="56"/>
      <c r="M414" s="56"/>
      <c r="N414" s="56"/>
    </row>
    <row r="415" spans="1:14" ht="15" customHeight="1" x14ac:dyDescent="0.2">
      <c r="A415" s="36"/>
      <c r="B415" s="47"/>
      <c r="C415" s="4"/>
      <c r="D415" s="36"/>
      <c r="E415" s="36"/>
      <c r="F415" s="36"/>
      <c r="G415" s="36"/>
      <c r="H415" s="56"/>
      <c r="I415" s="60">
        <f t="shared" si="6"/>
        <v>769</v>
      </c>
      <c r="J415" s="224"/>
      <c r="K415" s="56"/>
      <c r="L415" s="56"/>
      <c r="M415" s="56"/>
      <c r="N415" s="56"/>
    </row>
    <row r="416" spans="1:14" ht="15" customHeight="1" x14ac:dyDescent="0.2">
      <c r="A416" s="36"/>
      <c r="B416" s="47"/>
      <c r="C416" s="4"/>
      <c r="D416" s="36"/>
      <c r="E416" s="36"/>
      <c r="F416" s="36"/>
      <c r="G416" s="36"/>
      <c r="H416" s="56"/>
      <c r="I416" s="60">
        <f t="shared" si="6"/>
        <v>770</v>
      </c>
      <c r="J416" s="224"/>
      <c r="K416" s="56"/>
      <c r="L416" s="56"/>
      <c r="M416" s="56"/>
      <c r="N416" s="56"/>
    </row>
    <row r="417" spans="1:14" ht="15" customHeight="1" x14ac:dyDescent="0.2">
      <c r="A417" s="36"/>
      <c r="B417" s="47"/>
      <c r="C417" s="4"/>
      <c r="D417" s="36"/>
      <c r="E417" s="36"/>
      <c r="F417" s="36"/>
      <c r="G417" s="36"/>
      <c r="H417" s="56"/>
      <c r="I417" s="60">
        <f t="shared" si="6"/>
        <v>771</v>
      </c>
      <c r="J417" s="224"/>
      <c r="K417" s="56"/>
      <c r="L417" s="56"/>
      <c r="M417" s="56"/>
      <c r="N417" s="56"/>
    </row>
    <row r="418" spans="1:14" ht="15" customHeight="1" x14ac:dyDescent="0.2">
      <c r="A418" s="36"/>
      <c r="B418" s="47"/>
      <c r="C418" s="4"/>
      <c r="D418" s="36"/>
      <c r="E418" s="36"/>
      <c r="F418" s="36"/>
      <c r="G418" s="36"/>
      <c r="H418" s="56"/>
      <c r="I418" s="60">
        <f t="shared" si="6"/>
        <v>772</v>
      </c>
      <c r="J418" s="224"/>
      <c r="K418" s="56"/>
      <c r="L418" s="56"/>
      <c r="M418" s="56"/>
      <c r="N418" s="56"/>
    </row>
    <row r="419" spans="1:14" ht="15" customHeight="1" x14ac:dyDescent="0.2">
      <c r="A419" s="36"/>
      <c r="B419" s="47"/>
      <c r="C419" s="4"/>
      <c r="D419" s="36"/>
      <c r="E419" s="36"/>
      <c r="F419" s="36"/>
      <c r="G419" s="36"/>
      <c r="H419" s="56"/>
      <c r="I419" s="60">
        <f t="shared" si="6"/>
        <v>773</v>
      </c>
      <c r="J419" s="224"/>
      <c r="K419" s="56"/>
      <c r="L419" s="56"/>
      <c r="M419" s="56"/>
      <c r="N419" s="56"/>
    </row>
    <row r="420" spans="1:14" ht="15" customHeight="1" x14ac:dyDescent="0.2">
      <c r="A420" s="36"/>
      <c r="B420" s="47"/>
      <c r="C420" s="4"/>
      <c r="D420" s="36"/>
      <c r="E420" s="36"/>
      <c r="F420" s="36"/>
      <c r="G420" s="36"/>
      <c r="H420" s="56"/>
      <c r="I420" s="60">
        <f t="shared" si="6"/>
        <v>774</v>
      </c>
      <c r="J420" s="224"/>
      <c r="K420" s="56"/>
      <c r="L420" s="56"/>
      <c r="M420" s="56"/>
      <c r="N420" s="56"/>
    </row>
    <row r="421" spans="1:14" ht="15" customHeight="1" x14ac:dyDescent="0.2">
      <c r="A421" s="36"/>
      <c r="B421" s="47"/>
      <c r="C421" s="4"/>
      <c r="D421" s="36"/>
      <c r="E421" s="36"/>
      <c r="F421" s="36"/>
      <c r="G421" s="36"/>
      <c r="H421" s="56"/>
      <c r="I421" s="60">
        <f t="shared" si="6"/>
        <v>775</v>
      </c>
      <c r="J421" s="224"/>
      <c r="K421" s="56"/>
      <c r="L421" s="56"/>
      <c r="M421" s="56"/>
      <c r="N421" s="56"/>
    </row>
    <row r="422" spans="1:14" ht="15" customHeight="1" x14ac:dyDescent="0.2">
      <c r="A422" s="36"/>
      <c r="B422" s="47"/>
      <c r="C422" s="4"/>
      <c r="D422" s="36"/>
      <c r="E422" s="36"/>
      <c r="F422" s="36"/>
      <c r="G422" s="36"/>
      <c r="H422" s="56"/>
      <c r="I422" s="60">
        <f t="shared" si="6"/>
        <v>776</v>
      </c>
      <c r="J422" s="224"/>
      <c r="K422" s="56"/>
      <c r="L422" s="56"/>
      <c r="M422" s="56"/>
      <c r="N422" s="56"/>
    </row>
    <row r="423" spans="1:14" ht="15" customHeight="1" x14ac:dyDescent="0.2">
      <c r="A423" s="36"/>
      <c r="B423" s="47"/>
      <c r="C423" s="4"/>
      <c r="D423" s="36"/>
      <c r="E423" s="36"/>
      <c r="F423" s="36"/>
      <c r="G423" s="36"/>
      <c r="H423" s="56"/>
      <c r="I423" s="60">
        <f t="shared" si="6"/>
        <v>777</v>
      </c>
      <c r="J423" s="224"/>
      <c r="K423" s="56"/>
      <c r="L423" s="56"/>
      <c r="M423" s="56"/>
      <c r="N423" s="56"/>
    </row>
    <row r="424" spans="1:14" ht="15" customHeight="1" x14ac:dyDescent="0.2">
      <c r="A424" s="36"/>
      <c r="B424" s="47"/>
      <c r="C424" s="4"/>
      <c r="D424" s="36"/>
      <c r="E424" s="36"/>
      <c r="F424" s="36"/>
      <c r="G424" s="36"/>
      <c r="H424" s="56"/>
      <c r="I424" s="60">
        <f t="shared" si="6"/>
        <v>778</v>
      </c>
      <c r="J424" s="224"/>
      <c r="K424" s="56"/>
      <c r="L424" s="56"/>
      <c r="M424" s="56"/>
      <c r="N424" s="56"/>
    </row>
    <row r="425" spans="1:14" ht="15" customHeight="1" x14ac:dyDescent="0.2">
      <c r="A425" s="36"/>
      <c r="B425" s="47"/>
      <c r="C425" s="4"/>
      <c r="D425" s="36"/>
      <c r="E425" s="36"/>
      <c r="F425" s="36"/>
      <c r="G425" s="36"/>
      <c r="H425" s="56"/>
      <c r="I425" s="60">
        <f t="shared" si="6"/>
        <v>779</v>
      </c>
      <c r="J425" s="224"/>
      <c r="K425" s="56"/>
      <c r="L425" s="56"/>
      <c r="M425" s="56"/>
      <c r="N425" s="56"/>
    </row>
    <row r="426" spans="1:14" ht="16" thickBot="1" x14ac:dyDescent="0.25">
      <c r="A426" s="36"/>
      <c r="B426" s="47"/>
      <c r="C426" s="5"/>
      <c r="D426" s="36"/>
      <c r="E426" s="36"/>
      <c r="F426" s="36"/>
      <c r="G426" s="36"/>
      <c r="H426" s="56"/>
      <c r="I426" s="60">
        <f t="shared" si="6"/>
        <v>780</v>
      </c>
      <c r="J426" s="224"/>
      <c r="K426" s="56"/>
      <c r="L426" s="56"/>
      <c r="M426" s="56"/>
      <c r="N426" s="56"/>
    </row>
    <row r="427" spans="1:14" x14ac:dyDescent="0.2">
      <c r="A427" s="36"/>
      <c r="B427" s="36"/>
      <c r="C427" s="36"/>
      <c r="D427" s="36"/>
      <c r="E427" s="36"/>
      <c r="F427" s="36"/>
      <c r="G427" s="36"/>
      <c r="H427" s="56"/>
      <c r="I427" s="56"/>
      <c r="J427" s="56"/>
      <c r="K427" s="56"/>
      <c r="L427" s="56"/>
      <c r="M427" s="56"/>
      <c r="N427" s="56"/>
    </row>
    <row r="428" spans="1:14" ht="15" hidden="1" customHeight="1" x14ac:dyDescent="0.2"/>
    <row r="429" spans="1:14" ht="15" hidden="1" customHeight="1" x14ac:dyDescent="0.2"/>
    <row r="430" spans="1:14" ht="15" hidden="1" customHeight="1" x14ac:dyDescent="0.2"/>
    <row r="431" spans="1:14" ht="15" hidden="1" customHeight="1" x14ac:dyDescent="0.2"/>
    <row r="432" spans="1:14" ht="15" hidden="1" customHeight="1" x14ac:dyDescent="0.2"/>
    <row r="433" ht="15" hidden="1" customHeight="1" x14ac:dyDescent="0.2"/>
    <row r="434" ht="15" hidden="1" customHeight="1" x14ac:dyDescent="0.2"/>
    <row r="435" ht="15" hidden="1" customHeight="1" x14ac:dyDescent="0.2"/>
    <row r="436" ht="15" hidden="1" customHeight="1" x14ac:dyDescent="0.2"/>
    <row r="437" ht="15" hidden="1" customHeight="1" x14ac:dyDescent="0.2"/>
    <row r="438" ht="15" hidden="1" customHeight="1" x14ac:dyDescent="0.2"/>
    <row r="439" ht="15" hidden="1" customHeight="1" x14ac:dyDescent="0.2"/>
    <row r="440" ht="15" hidden="1" customHeight="1" x14ac:dyDescent="0.2"/>
    <row r="441" ht="15" hidden="1" customHeight="1" x14ac:dyDescent="0.2"/>
    <row r="442" ht="15" hidden="1" customHeight="1" x14ac:dyDescent="0.2"/>
    <row r="443" ht="15" hidden="1" customHeight="1" x14ac:dyDescent="0.2"/>
    <row r="444" ht="15" hidden="1" customHeight="1" x14ac:dyDescent="0.2"/>
    <row r="445" ht="15" hidden="1" customHeight="1" x14ac:dyDescent="0.2"/>
    <row r="446" ht="15" hidden="1" customHeight="1" x14ac:dyDescent="0.2"/>
    <row r="447" ht="15" hidden="1" customHeight="1" x14ac:dyDescent="0.2"/>
    <row r="448" ht="15" hidden="1" customHeight="1" x14ac:dyDescent="0.2"/>
    <row r="449" ht="15" hidden="1" customHeight="1" x14ac:dyDescent="0.2"/>
    <row r="450" ht="15" hidden="1" customHeight="1" x14ac:dyDescent="0.2"/>
    <row r="451" ht="15" hidden="1" customHeight="1" x14ac:dyDescent="0.2"/>
    <row r="452" ht="15" hidden="1" customHeight="1" x14ac:dyDescent="0.2"/>
    <row r="453" ht="15" hidden="1" customHeight="1" x14ac:dyDescent="0.2"/>
    <row r="454" ht="15" hidden="1" customHeight="1" x14ac:dyDescent="0.2"/>
    <row r="455" ht="15" hidden="1" customHeight="1" x14ac:dyDescent="0.2"/>
    <row r="456" ht="15" hidden="1" customHeight="1" x14ac:dyDescent="0.2"/>
    <row r="457" ht="15" hidden="1" customHeight="1" x14ac:dyDescent="0.2"/>
    <row r="458" ht="15" hidden="1" customHeight="1" x14ac:dyDescent="0.2"/>
    <row r="459" ht="15" hidden="1" customHeight="1" x14ac:dyDescent="0.2"/>
    <row r="460" ht="15" hidden="1" customHeight="1" x14ac:dyDescent="0.2"/>
    <row r="461" ht="15" hidden="1" customHeight="1" x14ac:dyDescent="0.2"/>
    <row r="462" ht="15" hidden="1" customHeight="1" x14ac:dyDescent="0.2"/>
    <row r="463" ht="15" hidden="1" customHeight="1" x14ac:dyDescent="0.2"/>
    <row r="464" ht="15" hidden="1" customHeight="1" x14ac:dyDescent="0.2"/>
    <row r="465" ht="15" hidden="1" customHeight="1" x14ac:dyDescent="0.2"/>
    <row r="466" ht="15" hidden="1" customHeight="1" x14ac:dyDescent="0.2"/>
    <row r="467" ht="15" hidden="1" customHeight="1" x14ac:dyDescent="0.2"/>
    <row r="468" ht="15" hidden="1" customHeight="1" x14ac:dyDescent="0.2"/>
    <row r="469" ht="15" hidden="1" customHeight="1" x14ac:dyDescent="0.2"/>
    <row r="470" ht="15" hidden="1" customHeight="1" x14ac:dyDescent="0.2"/>
    <row r="471" ht="15" hidden="1" customHeight="1" x14ac:dyDescent="0.2"/>
  </sheetData>
  <sheetProtection password="CAB0" sheet="1" objects="1" scenarios="1"/>
  <mergeCells count="11">
    <mergeCell ref="E30:F30"/>
    <mergeCell ref="L30:M30"/>
    <mergeCell ref="E32:F32"/>
    <mergeCell ref="L32:M32"/>
    <mergeCell ref="L34:M34"/>
    <mergeCell ref="B7:C7"/>
    <mergeCell ref="I8:J8"/>
    <mergeCell ref="E26:F26"/>
    <mergeCell ref="L26:M26"/>
    <mergeCell ref="E28:F28"/>
    <mergeCell ref="L28:M28"/>
  </mergeCells>
  <conditionalFormatting sqref="E32:F32">
    <cfRule type="beginsWith" dxfId="17" priority="18" operator="beginsWith" text="ERROR:">
      <formula>LEFT(E32,LEN("ERROR:"))="ERROR:"</formula>
    </cfRule>
  </conditionalFormatting>
  <conditionalFormatting sqref="E30:F30">
    <cfRule type="beginsWith" dxfId="16" priority="17" operator="beginsWith" text="ERROR:">
      <formula>LEFT(E30,LEN("ERROR:"))="ERROR:"</formula>
    </cfRule>
  </conditionalFormatting>
  <conditionalFormatting sqref="E28:F28">
    <cfRule type="beginsWith" dxfId="15" priority="16" operator="beginsWith" text="ERROR:">
      <formula>LEFT(E28,LEN("ERROR:"))="ERROR:"</formula>
    </cfRule>
  </conditionalFormatting>
  <conditionalFormatting sqref="E26:F26">
    <cfRule type="beginsWith" dxfId="14" priority="15" operator="beginsWith" text="ERROR:">
      <formula>LEFT(E26,LEN("ERROR:"))="ERROR:"</formula>
    </cfRule>
  </conditionalFormatting>
  <conditionalFormatting sqref="L28:M28">
    <cfRule type="beginsWith" dxfId="13" priority="5" operator="beginsWith" text="ERROR">
      <formula>LEFT(L28,LEN("ERROR"))="ERROR"</formula>
    </cfRule>
  </conditionalFormatting>
  <conditionalFormatting sqref="L30:M30">
    <cfRule type="beginsWith" dxfId="12" priority="4" operator="beginsWith" text="WARNING">
      <formula>LEFT(L30,LEN("WARNING"))="WARNING"</formula>
    </cfRule>
  </conditionalFormatting>
  <conditionalFormatting sqref="L32:M32">
    <cfRule type="beginsWith" dxfId="11" priority="3" operator="beginsWith" text="ERROR">
      <formula>LEFT(L32,LEN("ERROR"))="ERROR"</formula>
    </cfRule>
  </conditionalFormatting>
  <conditionalFormatting sqref="L34:M34">
    <cfRule type="beginsWith" dxfId="10" priority="2" operator="beginsWith" text="WARNING">
      <formula>LEFT(L34,LEN("WARNING"))="WARNING"</formula>
    </cfRule>
  </conditionalFormatting>
  <conditionalFormatting sqref="L26:M26">
    <cfRule type="notContainsText" dxfId="9" priority="1" operator="notContains" text="No errors detected.">
      <formula>ISERROR(SEARCH("No errors detected.",L26))</formula>
    </cfRule>
  </conditionalFormatting>
  <conditionalFormatting sqref="J11">
    <cfRule type="cellIs" dxfId="8" priority="9" operator="notEqual">
      <formula>"CIE S 026"</formula>
    </cfRule>
  </conditionalFormatting>
  <conditionalFormatting sqref="J15">
    <cfRule type="cellIs" dxfId="7" priority="8" operator="notEqual">
      <formula>"D65"</formula>
    </cfRule>
  </conditionalFormatting>
  <conditionalFormatting sqref="J19">
    <cfRule type="cellIs" dxfId="6" priority="7" operator="notEqual">
      <formula>"Radiometric"</formula>
    </cfRule>
  </conditionalFormatting>
  <conditionalFormatting sqref="I8:J8">
    <cfRule type="cellIs" dxfId="5" priority="6" operator="notEqual">
      <formula>"Daylight (D65)"</formula>
    </cfRule>
  </conditionalFormatting>
  <dataValidations count="7">
    <dataValidation allowBlank="1" showErrorMessage="1" promptTitle="Input name of measurement" prompt="_x000a_Please enter a title for your reference spectrum, on which the _x000a_calculations are going to be based. Default is Daylight (D65)." sqref="I8:J8" xr:uid="{00000000-0002-0000-0B00-000000000000}"/>
    <dataValidation type="list" allowBlank="1" showErrorMessage="1" promptTitle="Select resolution" prompt="_x000a_Select the wavelength interval for the spectral measurement data, i.e. bin width or resolution. Set to 1 if using a built in spectrum." sqref="C22" xr:uid="{00000000-0002-0000-0B00-000001000000}">
      <formula1>"1,2,4,5"</formula1>
    </dataValidation>
    <dataValidation allowBlank="1" showErrorMessage="1" promptTitle="Reference spectrum" prompt="_x000a_Please enter the spectral data against the wavelengths selected above and shown to the left, and leave the remaining inputs blank. The values should match advanced inputs R3. and R4." sqref="J26" xr:uid="{00000000-0002-0000-0B00-000002000000}"/>
    <dataValidation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6" xr:uid="{00000000-0002-0000-0B00-000003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9 J5:J6" xr:uid="{00000000-0002-0000-0B00-000004000000}"/>
    <dataValidation allowBlank="1" showErrorMessage="1" promptTitle="Input name of measurement" prompt="_x000a_Please enter a title for your (spectral) measurement, on which the calculations are going to be based." sqref="B7:C7" xr:uid="{00000000-0002-0000-0B00-000005000000}"/>
    <dataValidation type="list" allowBlank="1" showErrorMessage="1" promptTitle="Select resolution" prompt="_x000a_Select the wavelength interval for the spectral reference data, i.e. bin width or resolution." sqref="J22" xr:uid="{00000000-0002-0000-0B00-000006000000}">
      <formula1>"1,2,4,5"</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7">
        <x14:dataValidation type="list" showErrorMessage="1" promptTitle="Enter spectral system" prompt="_x000a_Only applies to the reference spectrum. Radiometric is default option, e.g. for spectral radiance or spectral irradiance. Photon system is for spectral photon data, and is only valid when accompanied by a user-defined  reference spectrum._x000a_" xr:uid="{00000000-0002-0000-0B00-000007000000}">
          <x14:formula1>
            <xm:f>Physics!$E$60:$E$61</xm:f>
          </x14:formula1>
          <xm:sqref>J19</xm:sqref>
        </x14:dataValidation>
        <x14:dataValidation type="list" showErrorMessage="1" promptTitle="Select an option" prompt="_x000a_D65 is the default option. _x000a__x000a_Select REFERENCE to enter your own spectral data._x000a__x000a_" xr:uid="{00000000-0002-0000-0B00-000008000000}">
          <x14:formula1>
            <xm:f>Spectra!$B$24:$B$29</xm:f>
          </x14:formula1>
          <xm:sqref>J15</xm:sqref>
        </x14:dataValidation>
        <x14:dataValidation type="list" showErrorMessage="1" promptTitle="Select an option" prompt="_x000a_See Instructions. &quot;User&quot; is the default option for enterring your own user spectral data.  " xr:uid="{00000000-0002-0000-0B00-000009000000}">
          <x14:formula1>
            <xm:f>Spectra!$B$23:$B$28</xm:f>
          </x14:formula1>
          <xm:sqref>C10</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B00-00000A000000}">
          <x14:formula1>
            <xm:f>Photobiology!$L$3:$L$4</xm:f>
          </x14:formula1>
          <xm:sqref>J11</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B00-00000B000000}">
          <x14:formula1>
            <xm:f>Physics!$B$52:$B$57</xm:f>
          </x14:formula1>
          <xm:sqref>C13</xm:sqref>
        </x14:dataValidation>
        <x14:dataValidation type="list" allowBlank="1" showErrorMessage="1" promptTitle="Select SI are prefix, if any" prompt="_x000a_Leave blank or enter &quot;c&quot; or &quot;m&quot; for &quot;m-2&quot;, &quot;cm-2&quot; or &quot;mm-2&quot;, respectively." xr:uid="{00000000-0002-0000-0B00-00000C000000}">
          <x14:formula1>
            <xm:f>Physics!$C$16:$C$19</xm:f>
          </x14:formula1>
          <xm:sqref>C15</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B00-00000D000000}">
          <x14:formula1>
            <xm:f>Physics!$C$23:$C$35</xm:f>
          </x14:formula1>
          <xm:sqref>C14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000FF"/>
    <pageSetUpPr fitToPage="1"/>
  </sheetPr>
  <dimension ref="A1:K82"/>
  <sheetViews>
    <sheetView zoomScaleNormal="100" workbookViewId="0">
      <selection activeCell="B3" sqref="B3"/>
    </sheetView>
  </sheetViews>
  <sheetFormatPr baseColWidth="10" defaultColWidth="0" defaultRowHeight="15" zeroHeight="1" x14ac:dyDescent="0.2"/>
  <cols>
    <col min="1" max="1" width="5.6640625" style="1" customWidth="1"/>
    <col min="2" max="3" width="18.6640625" style="1" customWidth="1"/>
    <col min="4" max="5" width="9.6640625" style="1" customWidth="1"/>
    <col min="6" max="10" width="18.6640625" style="1" customWidth="1"/>
    <col min="11" max="11" width="5.6640625" style="1" customWidth="1"/>
    <col min="12" max="16384" width="9.1640625" style="1" hidden="1"/>
  </cols>
  <sheetData>
    <row r="1" spans="1:11" s="56" customFormat="1" ht="25" customHeight="1" x14ac:dyDescent="0.3">
      <c r="B1" s="140" t="str">
        <f>LEFT(Disclaimer!B1,Maintenance!I3)</f>
        <v>CIE S 026 α-opic Toolbox - v1.049a - 2020/11</v>
      </c>
      <c r="G1" s="56" t="s">
        <v>405</v>
      </c>
      <c r="J1" s="222" t="s">
        <v>195</v>
      </c>
      <c r="K1" s="60"/>
    </row>
    <row r="2" spans="1:11" s="56" customFormat="1" ht="15" customHeight="1" x14ac:dyDescent="0.2">
      <c r="C2" s="73"/>
      <c r="E2" s="78"/>
      <c r="F2" s="79"/>
      <c r="H2" s="80"/>
      <c r="J2" s="81"/>
      <c r="K2" s="60"/>
    </row>
    <row r="3" spans="1:11" ht="15" customHeight="1" x14ac:dyDescent="0.2">
      <c r="A3" s="56"/>
      <c r="B3" s="214" t="s">
        <v>323</v>
      </c>
      <c r="C3" s="143" t="str">
        <f>Outputs!C3</f>
        <v>Please note the α-opic Toolbox is not part of CIE S 026. See Disclaimer sheet.</v>
      </c>
      <c r="D3" s="56"/>
      <c r="E3" s="56"/>
      <c r="F3" s="76"/>
      <c r="G3" s="56"/>
      <c r="H3" s="56"/>
      <c r="I3" s="56"/>
      <c r="J3" s="225" t="s">
        <v>351</v>
      </c>
      <c r="K3" s="60"/>
    </row>
    <row r="4" spans="1:11" s="56" customFormat="1" ht="15" customHeight="1" x14ac:dyDescent="0.2">
      <c r="B4" s="83"/>
      <c r="K4" s="60"/>
    </row>
    <row r="5" spans="1:11" s="56" customFormat="1" ht="15" customHeight="1" x14ac:dyDescent="0.2">
      <c r="B5" s="73"/>
      <c r="C5" s="74" t="s">
        <v>0</v>
      </c>
      <c r="F5" s="281" t="s">
        <v>79</v>
      </c>
      <c r="G5" s="281"/>
      <c r="H5" s="281"/>
      <c r="I5" s="281"/>
      <c r="J5" s="281"/>
      <c r="K5" s="60"/>
    </row>
    <row r="6" spans="1:11" s="56" customFormat="1" ht="15" customHeight="1" x14ac:dyDescent="0.2">
      <c r="B6" s="78" t="s">
        <v>81</v>
      </c>
      <c r="C6" s="79" t="str">
        <f>INDEX($F$6:$J$6,1,MATCH(C7,$F$7:$J$7,0))</f>
        <v>radiant flux (power), W</v>
      </c>
      <c r="E6" s="78" t="s">
        <v>81</v>
      </c>
      <c r="F6" s="82" t="s">
        <v>102</v>
      </c>
      <c r="G6" s="57"/>
      <c r="H6" s="83" t="s">
        <v>83</v>
      </c>
      <c r="I6" s="57"/>
      <c r="J6" s="84" t="s">
        <v>84</v>
      </c>
      <c r="K6" s="60"/>
    </row>
    <row r="7" spans="1:11" s="56" customFormat="1" ht="15" customHeight="1" x14ac:dyDescent="0.2">
      <c r="B7" s="78" t="s">
        <v>312</v>
      </c>
      <c r="C7" s="79" t="str">
        <f>Inputs!C11</f>
        <v>irradiance</v>
      </c>
      <c r="E7" s="78" t="s">
        <v>312</v>
      </c>
      <c r="F7" s="79" t="str">
        <f>Physics!D48</f>
        <v>irradiance</v>
      </c>
      <c r="H7" s="80" t="str">
        <f>Physics!F48</f>
        <v>illuminance</v>
      </c>
      <c r="I7" s="186"/>
      <c r="J7" s="81" t="str">
        <f>Physics!B48</f>
        <v>photon irradiance</v>
      </c>
      <c r="K7" s="60"/>
    </row>
    <row r="8" spans="1:11" s="56" customFormat="1" ht="15" customHeight="1" x14ac:dyDescent="0.2">
      <c r="B8" s="78" t="s">
        <v>80</v>
      </c>
      <c r="C8" s="79" t="str">
        <f>SUBSTITUTE(Physics!D67,"log ","log Q/")</f>
        <v>W.m-2</v>
      </c>
      <c r="E8" s="78" t="s">
        <v>80</v>
      </c>
      <c r="F8" s="79" t="str">
        <f>Physics!E48</f>
        <v>µW.cm-2</v>
      </c>
      <c r="H8" s="80" t="str">
        <f>Physics!G48</f>
        <v>klx</v>
      </c>
      <c r="J8" s="81" t="str">
        <f>"log Q/("&amp;Physics!C48&amp;")"</f>
        <v>log Q/(s-1.cm-2)</v>
      </c>
      <c r="K8" s="60"/>
    </row>
    <row r="9" spans="1:11" s="56" customFormat="1" ht="15" customHeight="1" thickBot="1" x14ac:dyDescent="0.25">
      <c r="B9" s="57"/>
      <c r="F9" s="85"/>
      <c r="G9" s="86"/>
      <c r="H9" s="86"/>
      <c r="I9" s="86"/>
      <c r="J9" s="86"/>
      <c r="K9" s="60"/>
    </row>
    <row r="10" spans="1:11" ht="15" customHeight="1" x14ac:dyDescent="0.2">
      <c r="A10" s="59"/>
      <c r="B10" s="73" t="s">
        <v>103</v>
      </c>
      <c r="C10" s="115" t="str">
        <f>Physics!C61</f>
        <v/>
      </c>
      <c r="D10" s="56"/>
      <c r="E10" s="234" t="s">
        <v>379</v>
      </c>
      <c r="F10" s="222" t="s">
        <v>36</v>
      </c>
      <c r="G10" s="234" t="s">
        <v>379</v>
      </c>
      <c r="H10" s="222" t="s">
        <v>33</v>
      </c>
      <c r="I10" s="86"/>
      <c r="J10" s="86"/>
      <c r="K10" s="60"/>
    </row>
    <row r="11" spans="1:11" ht="15" customHeight="1" thickBot="1" x14ac:dyDescent="0.25">
      <c r="A11" s="59"/>
      <c r="B11" s="73" t="s">
        <v>105</v>
      </c>
      <c r="C11" s="116" t="str">
        <f>Physics!C62</f>
        <v/>
      </c>
      <c r="D11" s="56"/>
      <c r="E11" s="234" t="s">
        <v>379</v>
      </c>
      <c r="F11" s="222" t="s">
        <v>9</v>
      </c>
      <c r="G11" s="234" t="str">
        <f>IF($H$7="illuminance",IF($H$11="","Do not use:","Clear:"),"Select:")</f>
        <v>Do not use:</v>
      </c>
      <c r="H11" s="222"/>
      <c r="I11" s="234" t="s">
        <v>379</v>
      </c>
      <c r="J11" s="222" t="s">
        <v>9</v>
      </c>
      <c r="K11" s="60"/>
    </row>
    <row r="12" spans="1:11" ht="15" customHeight="1" thickBot="1" x14ac:dyDescent="0.25">
      <c r="A12" s="56"/>
      <c r="B12" s="73" t="s">
        <v>187</v>
      </c>
      <c r="C12" s="117">
        <f t="array" aca="1" ref="C12" ca="1">IF(FALSE,"OUT OF DATE",IF(LEFT(Inputs!$E$24,5)="ERROR","CHECK INPUTS",(   (INDEX(Physics!$E$23:$E$35,MATCH(TRUE,EXACT(IF(C10="","",C10),Physics!$C$23:$C$35),0),0)) / (INDEX(Physics!$E$16:$E$19,MATCH(TRUE,EXACT(IF(C11="","",C11),Physics!$C$16:$C$19),0),0)^2)   )))</f>
        <v>1</v>
      </c>
      <c r="D12" s="87"/>
      <c r="E12" s="56"/>
      <c r="F12" s="117">
        <f t="array" aca="1" ref="F12" ca="1" xml:space="preserve">   $C$12   /   (   (INDEX(Physics!$E$23:$E$35,MATCH(TRUE,EXACT(IF(F$10="","",F$10),Physics!$C$23:$C$35),0),0)) / (INDEX(Physics!$E$16:$E$19,MATCH(TRUE,EXACT(IF(F$11="","",F$11),Physics!$C$16:$C$19),0),0)^2)   )</f>
        <v>100.00000000000001</v>
      </c>
      <c r="G12" s="94"/>
      <c r="H12" s="117">
        <f t="array" aca="1" ref="H12" ca="1" xml:space="preserve">  IF($G$11="Clear:", "#VALUE!", $C$12   /   (   (INDEX(Physics!$E$23:$E$35,MATCH(TRUE,EXACT(IF(H$10="","",H$10),Physics!$C$23:$C$35),0),0)) / (INDEX(Physics!$E$16:$E$19,MATCH(TRUE,EXACT(IF(H$7="illuminance","",IF(H$11="","",H$11)),Physics!$C$16:$C$19),0),0)^2)   )   )</f>
        <v>1E-3</v>
      </c>
      <c r="I12" s="94"/>
      <c r="J12" s="117">
        <f t="array" aca="1" ref="J12" ca="1" xml:space="preserve">   $C$12   /   (   (INDEX(Physics!$E$23:$E$35,MATCH(TRUE,EXACT("",Physics!$C$23:$C$35),0),0)) / (INDEX(Physics!$E$16:$E$19,MATCH(TRUE,EXACT(J$11,Physics!$C$16:$C$19),0),0)^2)   )</f>
        <v>1E-4</v>
      </c>
      <c r="K12" s="60"/>
    </row>
    <row r="13" spans="1:11" s="56" customFormat="1" ht="15" customHeight="1" x14ac:dyDescent="0.2">
      <c r="B13" s="59"/>
      <c r="C13" s="59"/>
      <c r="D13" s="59"/>
      <c r="E13" s="59"/>
      <c r="F13" s="59"/>
      <c r="G13" s="59"/>
      <c r="H13" s="59"/>
      <c r="I13" s="59"/>
      <c r="J13" s="59"/>
      <c r="K13" s="59"/>
    </row>
    <row r="14" spans="1:11" s="56" customFormat="1" ht="15" customHeight="1" x14ac:dyDescent="0.2">
      <c r="B14" s="160" t="str">
        <f ca="1">IF(OR('Advanced Inputs'!J$11&lt;&gt;"CIE S 026",'Advanced Inputs'!J$15&lt;&gt;"D65"),"WARNING: Non-standard calculations selected.","INPUTS: "&amp;IF(LEFT(Inputs!E24,5)="ERROR",Inputs!E24,"Standard CIE S 026 calculations."))</f>
        <v>INPUTS: Standard CIE S 026 calculations.</v>
      </c>
      <c r="F14" s="262" t="str">
        <f>"(unweighted) "&amp; $F$7 &amp;" = ∫ spectral "&amp; $F$7 &amp;" * dλ"</f>
        <v>(unweighted) irradiance = ∫ spectral irradiance * dλ</v>
      </c>
      <c r="G14" s="262"/>
      <c r="H14" s="262"/>
      <c r="I14" s="262"/>
      <c r="J14" s="262"/>
      <c r="K14" s="60" t="str">
        <f>"(T1)"</f>
        <v>(T1)</v>
      </c>
    </row>
    <row r="15" spans="1:11" s="56" customFormat="1" ht="15" customHeight="1" x14ac:dyDescent="0.25">
      <c r="B15" s="56" t="s">
        <v>200</v>
      </c>
      <c r="C15" s="92" t="s">
        <v>454</v>
      </c>
      <c r="E15" s="88"/>
      <c r="F15" s="263" t="str">
        <f>Outputs!B11</f>
        <v>(photopic) illuminance =      * ∫ spectral irradiance * V(λ) * dλ</v>
      </c>
      <c r="G15" s="263"/>
      <c r="H15" s="263"/>
      <c r="I15" s="263"/>
      <c r="J15" s="263"/>
      <c r="K15" s="60" t="str">
        <f>"(T2)"</f>
        <v>(T2)</v>
      </c>
    </row>
    <row r="16" spans="1:11" s="56" customFormat="1" ht="15" customHeight="1" x14ac:dyDescent="0.2">
      <c r="C16" s="89"/>
      <c r="F16" s="262" t="str">
        <f>"(unweighted) "&amp;$J$7&amp;" = ∫ spectral photon "&amp;$F$7&amp;" * dλ"</f>
        <v>(unweighted) photon irradiance = ∫ spectral photon irradiance * dλ</v>
      </c>
      <c r="G16" s="262"/>
      <c r="H16" s="262"/>
      <c r="I16" s="262"/>
      <c r="J16" s="262"/>
      <c r="K16" s="60" t="str">
        <f>"(T3)"</f>
        <v>(T3)</v>
      </c>
    </row>
    <row r="17" spans="1:11" s="56" customFormat="1" ht="15" customHeight="1" x14ac:dyDescent="0.2">
      <c r="B17" s="57"/>
      <c r="C17" s="73"/>
      <c r="F17" s="86"/>
      <c r="G17" s="86"/>
      <c r="H17" s="86"/>
      <c r="I17" s="86"/>
      <c r="J17" s="86"/>
      <c r="K17" s="60"/>
    </row>
    <row r="18" spans="1:11" s="56" customFormat="1" ht="15" customHeight="1" thickBot="1" x14ac:dyDescent="0.25">
      <c r="B18" s="56" t="s">
        <v>72</v>
      </c>
      <c r="F18" s="93" t="str">
        <f>F$7&amp;", "&amp;F$8</f>
        <v>irradiance, µW.cm-2</v>
      </c>
      <c r="H18" s="60" t="str">
        <f>H$7&amp;", "&amp;H$8</f>
        <v>illuminance, klx</v>
      </c>
      <c r="J18" s="78" t="str">
        <f>"log "&amp;J$7&amp;"/("&amp;Physics!C48&amp;")"</f>
        <v>log photon irradiance/(s-1.cm-2)</v>
      </c>
      <c r="K18" s="60"/>
    </row>
    <row r="19" spans="1:11" ht="15" customHeight="1" x14ac:dyDescent="0.2">
      <c r="A19" s="56"/>
      <c r="B19" s="15" t="str">
        <f>IF(Inputs!$B$5="","TEST",Inputs!$B$5)</f>
        <v>Enter a title for your data</v>
      </c>
      <c r="C19" s="230"/>
      <c r="D19" s="278" t="s">
        <v>375</v>
      </c>
      <c r="E19" s="279"/>
      <c r="F19" s="232">
        <f ca="1">Calculations!$J$14*SUMPRODUCT(Calculations!$M$21:$M$421,Calculations!$K$21:$K$421)*$F$12</f>
        <v>52.845411822802035</v>
      </c>
      <c r="G19" s="56"/>
      <c r="H19" s="253">
        <f ca="1">Calculations!$J$14*Physics!$F$12*SUMPRODUCT(Calculations!$M$21:$M$421,Calculations!$L$21:$L$421,Calculations!$K$21:$K$421)*$H$12</f>
        <v>0.10000022779377528</v>
      </c>
      <c r="I19" s="56"/>
      <c r="J19" s="123">
        <f ca="1">LOG(Calculations!$J$14*SUMPRODUCT(Calculations!$S$21:$S$421,Calculations!$K$21:$K$421)*$J$12)</f>
        <v>14.164106439317639</v>
      </c>
      <c r="K19" s="60"/>
    </row>
    <row r="20" spans="1:11" ht="15" customHeight="1" thickBot="1" x14ac:dyDescent="0.25">
      <c r="A20" s="56"/>
      <c r="B20" s="103" t="str">
        <f>IF('Advanced Inputs'!$J$15&lt;&gt;"UserRef",IF('Advanced Inputs'!$J$15="D65","daylight (D65)","(R†: illuminant "&amp;'Advanced Inputs'!$J$15&amp;")"),"(R†: UserRef): "&amp;'Advanced Inputs'!I8)</f>
        <v>daylight (D65)</v>
      </c>
      <c r="C20" s="231"/>
      <c r="D20" s="276" t="str">
        <f>"Reference: "&amp;IF('Advanced Inputs'!$J$15="D65","""D""","""R†""")</f>
        <v>Reference: "D"</v>
      </c>
      <c r="E20" s="277"/>
      <c r="F20" s="233">
        <f ca="1">Calculations!$AJ$14*SUMPRODUCT(Calculations!$AM$21:$AM$421,Calculations!$AK$21:$AK$421)*$F$12</f>
        <v>48.822857135057937</v>
      </c>
      <c r="G20" s="57"/>
      <c r="H20" s="254">
        <f ca="1">Calculations!$AJ$14*Physics!$F$12*SUMPRODUCT(Calculations!$AM$21:$AM$421,Calculations!$AL$21:$AL$421,Calculations!$AK$21:$AK$421)*$H$12</f>
        <v>0.10000022779377528</v>
      </c>
      <c r="I20" s="76"/>
      <c r="J20" s="124">
        <f ca="1">LOG(Calculations!$AJ$14*SUMPRODUCT(Calculations!$AS$21:$AS$421,Calculations!$AK$21:$AK$421)*$J$12)</f>
        <v>14.143474547981475</v>
      </c>
      <c r="K20" s="60"/>
    </row>
    <row r="21" spans="1:11" s="56" customFormat="1" ht="15" customHeight="1" x14ac:dyDescent="0.2">
      <c r="A21" s="60"/>
      <c r="B21" s="60"/>
      <c r="C21" s="60"/>
      <c r="D21" s="60"/>
      <c r="K21" s="60"/>
    </row>
    <row r="22" spans="1:11" s="56" customFormat="1" ht="15" customHeight="1" x14ac:dyDescent="0.2">
      <c r="B22" s="280" t="str">
        <f>IF('Advanced Inputs'!J11&lt;&gt;"CIE S 026","""IWCNP α-opic irradiance"" = 
""α-opic irradiance"" in CIE TN 003:2015","")</f>
        <v/>
      </c>
      <c r="C22" s="280"/>
      <c r="F22" s="79" t="str">
        <f>$J$22&amp;", "&amp;$F$8</f>
        <v>α-opic irradiance, µW.cm-2</v>
      </c>
      <c r="J22" s="81" t="str">
        <f>IF('Advanced Inputs'!$J$11="CIE S 026","","IWCNP ")&amp;"α-opic "&amp;F7</f>
        <v>α-opic irradiance</v>
      </c>
      <c r="K22" s="60"/>
    </row>
    <row r="23" spans="1:11" s="56" customFormat="1" ht="15" customHeight="1" x14ac:dyDescent="0.2">
      <c r="B23" s="280"/>
      <c r="C23" s="280"/>
      <c r="F23" s="262" t="str">
        <f>IF('Advanced Inputs'!$J$11="CIE S 026","","IWCNP ")&amp;"α-opic "&amp; $F$7 &amp;" = ∫ spectral "&amp; $F$7 &amp;" * "&amp;IF('Advanced Inputs'!$J$11="CIE S 026","","IWCNP ")&amp;"α-opic action spectrum * dλ"</f>
        <v>α-opic irradiance = ∫ spectral irradiance * α-opic action spectrum * dλ</v>
      </c>
      <c r="G23" s="262"/>
      <c r="H23" s="262"/>
      <c r="I23" s="262"/>
      <c r="J23" s="262"/>
      <c r="K23" s="60" t="str">
        <f>"(T4)"</f>
        <v>(T4)</v>
      </c>
    </row>
    <row r="24" spans="1:11" s="56" customFormat="1" ht="15" customHeight="1" x14ac:dyDescent="0.2">
      <c r="F24" s="86"/>
      <c r="G24" s="86"/>
      <c r="H24" s="86"/>
      <c r="I24" s="86"/>
      <c r="J24" s="86"/>
      <c r="K24" s="60"/>
    </row>
    <row r="25" spans="1:11" s="56" customFormat="1" ht="15" customHeight="1" thickBot="1" x14ac:dyDescent="0.25">
      <c r="B25" s="56" t="str">
        <f>J22&amp;" for"</f>
        <v>α-opic irradiance for</v>
      </c>
      <c r="F25" s="95" t="str">
        <f ca="1">Photobiology!AA$18</f>
        <v>S-cone-opic</v>
      </c>
      <c r="G25" s="96" t="str">
        <f ca="1">Photobiology!AB$18</f>
        <v>M-cone-opic</v>
      </c>
      <c r="H25" s="97" t="str">
        <f ca="1">Photobiology!AC$18</f>
        <v>L-cone-opic</v>
      </c>
      <c r="I25" s="98" t="str">
        <f ca="1">Photobiology!AD$18</f>
        <v>Rhodopic</v>
      </c>
      <c r="J25" s="99" t="str">
        <f ca="1">Photobiology!AE$18</f>
        <v>Melanopic</v>
      </c>
      <c r="K25" s="60"/>
    </row>
    <row r="26" spans="1:11" ht="15" customHeight="1" x14ac:dyDescent="0.2">
      <c r="A26" s="56"/>
      <c r="B26" s="15" t="str">
        <f>IF(Inputs!$B$5="","TEST",Inputs!$B$5)</f>
        <v>Enter a title for your data</v>
      </c>
      <c r="C26" s="16"/>
      <c r="D26" s="274"/>
      <c r="E26" s="275"/>
      <c r="F26" s="17">
        <f ca="1">Calculations!$J$14*SUMPRODUCT(Calculations!$M$21:$M$421,Calculations!N$21:N$421,Calculations!$K$21:$K$421)*$F$12</f>
        <v>10.805424485590022</v>
      </c>
      <c r="G26" s="18">
        <f ca="1">Calculations!$J$14*SUMPRODUCT(Calculations!$M$21:$M$421,Calculations!O$21:O$421,Calculations!$K$21:$K$421)*$F$12</f>
        <v>15.332889011859232</v>
      </c>
      <c r="H26" s="19">
        <f ca="1">Calculations!$J$14*SUMPRODUCT(Calculations!$M$21:$M$421,Calculations!P$21:P$421,Calculations!$K$21:$K$421)*$F$12</f>
        <v>16.358942951191867</v>
      </c>
      <c r="I26" s="20">
        <f ca="1">Calculations!$J$14*SUMPRODUCT(Calculations!$M$21:$M$421,Calculations!Q$21:Q$421,Calculations!$K$21:$K$421)*$F$12</f>
        <v>16.652147889902913</v>
      </c>
      <c r="J26" s="21">
        <f ca="1">Calculations!$J$14*SUMPRODUCT(Calculations!$M$21:$M$421,Calculations!R$21:R$421,Calculations!$K$21:$K$421)*$F$12</f>
        <v>15.75558207326039</v>
      </c>
      <c r="K26" s="60"/>
    </row>
    <row r="27" spans="1:11" ht="15" customHeight="1" thickBot="1" x14ac:dyDescent="0.25">
      <c r="A27" s="56"/>
      <c r="B27" s="103" t="str">
        <f>IF('Advanced Inputs'!$J$15&lt;&gt;"UserRef",IF('Advanced Inputs'!$J$15="D65","daylight (D65)","(R†: illuminant "&amp;'Advanced Inputs'!$J$15&amp;")"),"(R†: UserRef)")</f>
        <v>daylight (D65)</v>
      </c>
      <c r="C27" s="104"/>
      <c r="D27" s="276"/>
      <c r="E27" s="277"/>
      <c r="F27" s="105">
        <f ca="1">Calculations!$AJ$14*SUMPRODUCT(Calculations!$AM$21:$AM$421,Calculations!AN$21:AN$421,Calculations!$AK$21:$AK$421)*$F$12</f>
        <v>8.1729170115389156</v>
      </c>
      <c r="G27" s="106">
        <f ca="1">Calculations!$AJ$14*SUMPRODUCT(Calculations!$AM$21:$AM$421,Calculations!AO$21:AO$421,Calculations!$AK$21:$AK$421)*$F$12</f>
        <v>14.558298242869736</v>
      </c>
      <c r="H27" s="107">
        <f ca="1">Calculations!$AJ$14*SUMPRODUCT(Calculations!$AM$21:$AM$421,Calculations!AP$21:AP$421,Calculations!$AK$21:$AK$421)*$F$12</f>
        <v>16.289114395773801</v>
      </c>
      <c r="I27" s="108">
        <f ca="1">Calculations!$AJ$14*SUMPRODUCT(Calculations!$AM$21:$AM$421,Calculations!AQ$21:AQ$421,Calculations!$AK$21:$AK$421)*$F$12</f>
        <v>14.497072267681787</v>
      </c>
      <c r="J27" s="109">
        <f ca="1">Calculations!$AJ$14*SUMPRODUCT(Calculations!$AM$21:$AM$421,Calculations!AR$21:AR$421,Calculations!$AK$21:$AK$421)*$F$12</f>
        <v>13.262165481304111</v>
      </c>
      <c r="K27" s="60"/>
    </row>
    <row r="28" spans="1:11" s="56" customFormat="1" ht="15" customHeight="1" x14ac:dyDescent="0.2">
      <c r="K28" s="60"/>
    </row>
    <row r="29" spans="1:11" s="56" customFormat="1" ht="15" customHeight="1" x14ac:dyDescent="0.2">
      <c r="B29" s="280" t="str">
        <f>IF('Advanced Inputs'!J11&lt;&gt;"CIE S 026","All IWCNP calculations are based on the action spectra in Lucas et al., 2014","")</f>
        <v/>
      </c>
      <c r="C29" s="280"/>
      <c r="F29" s="79" t="str">
        <f>IF('Advanced Inputs'!$J$11="CIE S 026","","IWCNP ")&amp;"α-opic efficacy of luminous radiation, mW.lm-1"</f>
        <v>α-opic efficacy of luminous radiation, mW.lm-1</v>
      </c>
      <c r="J29" s="81" t="str">
        <f>IF('Advanced Inputs'!$J$11="CIE S 026","","IWCNP ")&amp;"α-opic ELR"</f>
        <v>α-opic ELR</v>
      </c>
      <c r="K29" s="60"/>
    </row>
    <row r="30" spans="1:11" s="56" customFormat="1" ht="15" customHeight="1" x14ac:dyDescent="0.2">
      <c r="B30" s="280"/>
      <c r="C30" s="280"/>
      <c r="F30" s="262" t="str">
        <f>"α-opic ELR = "&amp; $J$22 &amp;" / "&amp;$H$7</f>
        <v>α-opic ELR = α-opic irradiance / illuminance</v>
      </c>
      <c r="G30" s="262"/>
      <c r="H30" s="262"/>
      <c r="I30" s="262"/>
      <c r="J30" s="262"/>
      <c r="K30" s="60" t="str">
        <f>"(T5)"</f>
        <v>(T5)</v>
      </c>
    </row>
    <row r="31" spans="1:11" s="56" customFormat="1" ht="15" customHeight="1" x14ac:dyDescent="0.2">
      <c r="F31" s="86"/>
      <c r="G31" s="86"/>
      <c r="H31" s="86"/>
      <c r="I31" s="86"/>
      <c r="J31" s="86"/>
      <c r="K31" s="60"/>
    </row>
    <row r="32" spans="1:11" s="56" customFormat="1" ht="15" customHeight="1" thickBot="1" x14ac:dyDescent="0.25">
      <c r="B32" s="56" t="str">
        <f>J29&amp;" for"</f>
        <v>α-opic ELR for</v>
      </c>
      <c r="F32" s="95" t="str">
        <f ca="1">Photobiology!AA$18</f>
        <v>S-cone-opic</v>
      </c>
      <c r="G32" s="96" t="str">
        <f ca="1">Photobiology!AB$18</f>
        <v>M-cone-opic</v>
      </c>
      <c r="H32" s="97" t="str">
        <f ca="1">Photobiology!AC$18</f>
        <v>L-cone-opic</v>
      </c>
      <c r="I32" s="98" t="str">
        <f ca="1">Photobiology!AD$18</f>
        <v>Rhodopic</v>
      </c>
      <c r="J32" s="99" t="str">
        <f ca="1">Photobiology!AE$18</f>
        <v>Melanopic</v>
      </c>
      <c r="K32" s="60"/>
    </row>
    <row r="33" spans="1:11" ht="15" customHeight="1" x14ac:dyDescent="0.2">
      <c r="A33" s="56"/>
      <c r="B33" s="15" t="str">
        <f>IF(Inputs!$B$5="","TEST",Inputs!$B$5)</f>
        <v>Enter a title for your data</v>
      </c>
      <c r="C33" s="16"/>
      <c r="D33" s="274"/>
      <c r="E33" s="275"/>
      <c r="F33" s="26">
        <f ca="1">1000*(F26/$H19)*($H$12/$F$12)</f>
        <v>1.0805399871561721</v>
      </c>
      <c r="G33" s="27">
        <f t="shared" ref="G33:J33" ca="1" si="0">1000*(G26/$H19)*($H$12/$F$12)</f>
        <v>1.5332854084572052</v>
      </c>
      <c r="H33" s="28">
        <f t="shared" ca="1" si="0"/>
        <v>1.6358905686623009</v>
      </c>
      <c r="I33" s="29">
        <f t="shared" ca="1" si="0"/>
        <v>1.6652109957432975</v>
      </c>
      <c r="J33" s="30">
        <f t="shared" ca="1" si="0"/>
        <v>1.5755546183106921</v>
      </c>
      <c r="K33" s="60"/>
    </row>
    <row r="34" spans="1:11" ht="15" customHeight="1" thickBot="1" x14ac:dyDescent="0.25">
      <c r="A34" s="56"/>
      <c r="B34" s="103" t="str">
        <f>IF('Advanced Inputs'!$J$15&lt;&gt;"UserRef",IF('Advanced Inputs'!$J$15="D65","daylight (D65)","(R†: illuminant "&amp;'Advanced Inputs'!$J$15&amp;")"),"(R†: UserRef)")</f>
        <v>daylight (D65)</v>
      </c>
      <c r="C34" s="104"/>
      <c r="D34" s="276"/>
      <c r="E34" s="277"/>
      <c r="F34" s="110">
        <f ca="1">1000*(F27/$H20)*($H$12/$F$12)</f>
        <v>0.8172898394185113</v>
      </c>
      <c r="G34" s="111">
        <f t="shared" ref="G34:J34" ca="1" si="1">1000*(G27/$H20)*($H$12/$F$12)</f>
        <v>1.4558265080048094</v>
      </c>
      <c r="H34" s="112">
        <f t="shared" ca="1" si="1"/>
        <v>1.6289077290269682</v>
      </c>
      <c r="I34" s="113">
        <f t="shared" ca="1" si="1"/>
        <v>1.4497039244328787</v>
      </c>
      <c r="J34" s="114">
        <f t="shared" ca="1" si="1"/>
        <v>1.3262135270985491</v>
      </c>
      <c r="K34" s="60"/>
    </row>
    <row r="35" spans="1:11" s="56" customFormat="1" ht="15" customHeight="1" x14ac:dyDescent="0.2">
      <c r="B35" s="191"/>
      <c r="K35" s="60"/>
    </row>
    <row r="36" spans="1:11" s="56" customFormat="1" ht="15" customHeight="1" x14ac:dyDescent="0.2">
      <c r="B36" s="280" t="str">
        <f>IF('Advanced Inputs'!J15&lt;&gt;"D65","R† is a non-standard accronym letter
 for the reference source","")</f>
        <v/>
      </c>
      <c r="C36" s="280"/>
      <c r="F36" s="79" t="str">
        <f>IF('Advanced Inputs'!$J$11="CIE S 026","","IWCNP ")&amp;"α-opic "&amp;IF('Advanced Inputs'!$J$15&lt;&gt;"UserRef",IF('Advanced Inputs'!$J$15="D65","daylight (D65)","(R†: illuminant "&amp;'Advanced Inputs'!$J$15&amp;")"),"(R†: UserRef)")&amp;" efficacy ratio, 1"</f>
        <v>α-opic daylight (D65) efficacy ratio, 1</v>
      </c>
      <c r="J36" s="81" t="str">
        <f>IF('Advanced Inputs'!$J$11="CIE S 026","","IWCNP ")&amp;"α-opic "&amp;IF('Advanced Inputs'!$J$15="D65","D","R†")&amp;"ER"</f>
        <v>α-opic DER</v>
      </c>
      <c r="K36" s="60"/>
    </row>
    <row r="37" spans="1:11" s="56" customFormat="1" ht="15" customHeight="1" x14ac:dyDescent="0.2">
      <c r="B37" s="280"/>
      <c r="C37" s="280"/>
      <c r="F37" s="262" t="str">
        <f>IF('Advanced Inputs'!$J$11="CIE S 026","","IWCNP ")&amp;"α-opic "&amp;IF('Advanced Inputs'!$J$15="D65","D","R†")&amp;"ER = "&amp;IF('Advanced Inputs'!$J$11="CIE S 026","","IWCNP ")&amp;"α-opic ELR / "&amp;IF('Advanced Inputs'!$J$11="CIE S 026","","IWCNP ")&amp;"α-opic ELR for "&amp;IF('Advanced Inputs'!$J$15&lt;&gt;"UserRef",IF('Advanced Inputs'!$J$15="D65","daylight (D65)","(R†: illuminant "&amp;'Advanced Inputs'!$J$15&amp;")"),"(R†: UserRef)")</f>
        <v>α-opic DER = α-opic ELR / α-opic ELR for daylight (D65)</v>
      </c>
      <c r="G37" s="262"/>
      <c r="H37" s="262"/>
      <c r="I37" s="262"/>
      <c r="J37" s="262"/>
      <c r="K37" s="60" t="str">
        <f>"(T6)"</f>
        <v>(T6)</v>
      </c>
    </row>
    <row r="38" spans="1:11" s="56" customFormat="1" ht="15" customHeight="1" x14ac:dyDescent="0.2">
      <c r="C38" s="73"/>
      <c r="F38" s="86"/>
      <c r="G38" s="86"/>
      <c r="H38" s="86"/>
      <c r="I38" s="86"/>
      <c r="J38" s="86"/>
      <c r="K38" s="60"/>
    </row>
    <row r="39" spans="1:11" s="56" customFormat="1" ht="15" customHeight="1" thickBot="1" x14ac:dyDescent="0.25">
      <c r="B39" s="56" t="str">
        <f>J36&amp;" for"</f>
        <v>α-opic DER for</v>
      </c>
      <c r="F39" s="95" t="str">
        <f ca="1">Photobiology!AA$18</f>
        <v>S-cone-opic</v>
      </c>
      <c r="G39" s="96" t="str">
        <f ca="1">Photobiology!AB$18</f>
        <v>M-cone-opic</v>
      </c>
      <c r="H39" s="97" t="str">
        <f ca="1">Photobiology!AC$18</f>
        <v>L-cone-opic</v>
      </c>
      <c r="I39" s="98" t="str">
        <f ca="1">Photobiology!AD$18</f>
        <v>Rhodopic</v>
      </c>
      <c r="J39" s="99" t="str">
        <f ca="1">Photobiology!AE$18</f>
        <v>Melanopic</v>
      </c>
      <c r="K39" s="60"/>
    </row>
    <row r="40" spans="1:11" ht="15" customHeight="1" x14ac:dyDescent="0.2">
      <c r="A40" s="56"/>
      <c r="B40" s="15" t="str">
        <f>IF(Inputs!$B$5="","TEST",Inputs!$B$5)</f>
        <v>Enter a title for your data</v>
      </c>
      <c r="C40" s="16"/>
      <c r="D40" s="274"/>
      <c r="E40" s="275"/>
      <c r="F40" s="26">
        <f ca="1">F33/F$34</f>
        <v>1.3221013342401993</v>
      </c>
      <c r="G40" s="27">
        <f t="shared" ref="G40:J40" ca="1" si="2">G33/G$34</f>
        <v>1.0532061341282706</v>
      </c>
      <c r="H40" s="28">
        <f t="shared" ca="1" si="2"/>
        <v>1.0042868233177971</v>
      </c>
      <c r="I40" s="29">
        <f t="shared" ca="1" si="2"/>
        <v>1.1486559204802627</v>
      </c>
      <c r="J40" s="30">
        <f t="shared" ca="1" si="2"/>
        <v>1.1880097632224007</v>
      </c>
      <c r="K40" s="60"/>
    </row>
    <row r="41" spans="1:11" ht="15" customHeight="1" thickBot="1" x14ac:dyDescent="0.25">
      <c r="A41" s="56"/>
      <c r="B41" s="103" t="str">
        <f>IF('Advanced Inputs'!$J$15&lt;&gt;"UserRef",IF('Advanced Inputs'!$J$15="D65","daylight (D65)","(R†: illuminant "&amp;'Advanced Inputs'!$J$15&amp;")"),"(R†: UserRef)")</f>
        <v>daylight (D65)</v>
      </c>
      <c r="C41" s="104"/>
      <c r="D41" s="276"/>
      <c r="E41" s="277"/>
      <c r="F41" s="110">
        <f t="shared" ref="F41" ca="1" si="3">F34/F$34</f>
        <v>1</v>
      </c>
      <c r="G41" s="111">
        <f t="shared" ref="G41:J41" ca="1" si="4">G34/G$34</f>
        <v>1</v>
      </c>
      <c r="H41" s="112">
        <f t="shared" ca="1" si="4"/>
        <v>1</v>
      </c>
      <c r="I41" s="113">
        <f t="shared" ca="1" si="4"/>
        <v>1</v>
      </c>
      <c r="J41" s="114">
        <f t="shared" ca="1" si="4"/>
        <v>1</v>
      </c>
      <c r="K41" s="60"/>
    </row>
    <row r="42" spans="1:11" s="56" customFormat="1" ht="15" customHeight="1" x14ac:dyDescent="0.2">
      <c r="K42" s="60"/>
    </row>
    <row r="43" spans="1:11" s="56" customFormat="1" ht="15" customHeight="1" x14ac:dyDescent="0.2">
      <c r="B43" s="280" t="str">
        <f>IF(AND('Advanced Inputs'!J11="Lucas et al., 2014",'Advanced Inputs'!J15="E"),"""IWCNP α-opic ER†I"" / lx = 
α-opic equivalent illuminance"" /
 ""α-opic equivalent lx"" (Lucas et al., 2014)","")</f>
        <v/>
      </c>
      <c r="C43" s="280"/>
      <c r="F43" s="79" t="str">
        <f>IF('Advanced Inputs'!$J$11="CIE S 026","","IWCNP ")&amp;"α-opic equivalent "&amp;IF('Advanced Inputs'!$J$15&lt;&gt;"UserRef",IF('Advanced Inputs'!$J$15="D65","daylight (D65)","(R†: illuminant "&amp;'Advanced Inputs'!$J$15&amp;")"),"(R†: UserRef)")&amp;" "&amp;H$7&amp;", "&amp;H8</f>
        <v>α-opic equivalent daylight (D65) illuminance, klx</v>
      </c>
      <c r="J43" s="81" t="str">
        <f>IF('Advanced Inputs'!$J$11="CIE S 026","","IWCNP ")&amp;"α-opic E"&amp;IF('Advanced Inputs'!$J$15="D65","D","R†")&amp;UPPER(LEFT($H$7,1))</f>
        <v>α-opic EDI</v>
      </c>
      <c r="K43" s="60"/>
    </row>
    <row r="44" spans="1:11" s="56" customFormat="1" ht="15" customHeight="1" x14ac:dyDescent="0.2">
      <c r="B44" s="280"/>
      <c r="C44" s="280"/>
      <c r="F44" s="262" t="str">
        <f>IF('Advanced Inputs'!$J$11="CIE S 026","","IWCNP ")&amp;"α-opic E"&amp;IF('Advanced Inputs'!$J$15="D65","D","R†")&amp;UPPER(LEFT($H$7,1))&amp;" = "&amp;IF('Advanced Inputs'!$J$11="CIE S 026","","IWCNP ")&amp;"α-opic "&amp; $F$7 &amp;" / "&amp;IF('Advanced Inputs'!$J$11="CIE S 026","","IWCNP ")&amp;"α-opic ELR for "&amp;IF('Advanced Inputs'!$J$15&lt;&gt;"UserRef",IF('Advanced Inputs'!$J$15="D65","daylight (D65)","(R†: illuminant "&amp;'Advanced Inputs'!$J$15&amp;")"),"(R†: UserRef)")</f>
        <v>α-opic EDI = α-opic irradiance / α-opic ELR for daylight (D65)</v>
      </c>
      <c r="G44" s="262"/>
      <c r="H44" s="262"/>
      <c r="I44" s="262"/>
      <c r="J44" s="262"/>
      <c r="K44" s="60" t="str">
        <f>"(T7)"</f>
        <v>(T7)</v>
      </c>
    </row>
    <row r="45" spans="1:11" s="56" customFormat="1" ht="15" customHeight="1" x14ac:dyDescent="0.2">
      <c r="B45" s="280"/>
      <c r="C45" s="280"/>
      <c r="F45" s="262" t="str">
        <f>IF('Advanced Inputs'!$J$11="CIE S 026","","IWCNP ")&amp;"α-opic E"&amp;IF('Advanced Inputs'!$J$15="D65","D","R†")&amp;UPPER(LEFT($H$7,1))&amp;" = "&amp;$H$7&amp;" * "&amp;IF('Advanced Inputs'!$J$11="CIE S 026","","IWCNP ")&amp;"α-opic "&amp;IF('Advanced Inputs'!$J$15="D65","D","R†")&amp;"ER"</f>
        <v>α-opic EDI = illuminance * α-opic DER</v>
      </c>
      <c r="G45" s="262"/>
      <c r="H45" s="262"/>
      <c r="I45" s="262"/>
      <c r="J45" s="262"/>
      <c r="K45" s="60" t="str">
        <f>"(T8)"</f>
        <v>(T8)</v>
      </c>
    </row>
    <row r="46" spans="1:11" s="56" customFormat="1" ht="15" customHeight="1" x14ac:dyDescent="0.2">
      <c r="F46" s="86"/>
      <c r="G46" s="86"/>
      <c r="H46" s="86"/>
      <c r="I46" s="86"/>
      <c r="J46" s="86"/>
      <c r="K46" s="60"/>
    </row>
    <row r="47" spans="1:11" s="56" customFormat="1" ht="15" customHeight="1" thickBot="1" x14ac:dyDescent="0.25">
      <c r="B47" s="56" t="str">
        <f>J43&amp;" for"</f>
        <v>α-opic EDI for</v>
      </c>
      <c r="F47" s="95" t="str">
        <f ca="1">Photobiology!AA$18</f>
        <v>S-cone-opic</v>
      </c>
      <c r="G47" s="96" t="str">
        <f ca="1">Photobiology!AB$18</f>
        <v>M-cone-opic</v>
      </c>
      <c r="H47" s="97" t="str">
        <f ca="1">Photobiology!AC$18</f>
        <v>L-cone-opic</v>
      </c>
      <c r="I47" s="98" t="str">
        <f ca="1">Photobiology!AD$18</f>
        <v>Rhodopic</v>
      </c>
      <c r="J47" s="99" t="str">
        <f ca="1">Photobiology!AE$18</f>
        <v>Melanopic</v>
      </c>
      <c r="K47" s="60"/>
    </row>
    <row r="48" spans="1:11" ht="15" customHeight="1" x14ac:dyDescent="0.2">
      <c r="A48" s="56"/>
      <c r="B48" s="15" t="str">
        <f>IF(Inputs!$B$5="","TEST",Inputs!$B$5)</f>
        <v>Enter a title for your data</v>
      </c>
      <c r="C48" s="16"/>
      <c r="D48" s="274"/>
      <c r="E48" s="275"/>
      <c r="F48" s="17">
        <f ca="1">1000*(F26/F$34)*($H$12/$F$12)</f>
        <v>0.13221043459047416</v>
      </c>
      <c r="G48" s="18">
        <f t="shared" ref="G48:J48" ca="1" si="5">1000*(G26/G$34)*($H$12/$F$12)</f>
        <v>0.10532085332662852</v>
      </c>
      <c r="H48" s="19">
        <f t="shared" ca="1" si="5"/>
        <v>0.10042891110206666</v>
      </c>
      <c r="I48" s="20">
        <f t="shared" ca="1" si="5"/>
        <v>0.1148658537046949</v>
      </c>
      <c r="J48" s="21">
        <f t="shared" ca="1" si="5"/>
        <v>0.11880124694346909</v>
      </c>
      <c r="K48" s="60"/>
    </row>
    <row r="49" spans="1:11" ht="15" customHeight="1" thickBot="1" x14ac:dyDescent="0.25">
      <c r="A49" s="56"/>
      <c r="B49" s="103" t="str">
        <f>IF('Advanced Inputs'!$J$15&lt;&gt;"UserRef",IF('Advanced Inputs'!$J$15="D65","daylight (D65)","(R†: illuminant "&amp;'Advanced Inputs'!$J$15&amp;")"),"(R†: UserRef)")</f>
        <v>daylight (D65)</v>
      </c>
      <c r="C49" s="104"/>
      <c r="D49" s="276"/>
      <c r="E49" s="277"/>
      <c r="F49" s="105">
        <f ca="1">1000*(F27/F$34)*($H$12/$F$12)</f>
        <v>0.10000022779377528</v>
      </c>
      <c r="G49" s="106">
        <f t="shared" ref="G49:J49" ca="1" si="6">1000*(G27/G$34)*($H$12/$F$12)</f>
        <v>0.10000022779377528</v>
      </c>
      <c r="H49" s="107">
        <f t="shared" ca="1" si="6"/>
        <v>0.10000022779377528</v>
      </c>
      <c r="I49" s="108">
        <f t="shared" ca="1" si="6"/>
        <v>0.10000022779377528</v>
      </c>
      <c r="J49" s="109">
        <f t="shared" ca="1" si="6"/>
        <v>0.10000022779377529</v>
      </c>
      <c r="K49" s="60"/>
    </row>
    <row r="50" spans="1:11" s="56" customFormat="1" ht="15" customHeight="1" x14ac:dyDescent="0.2">
      <c r="K50" s="60"/>
    </row>
    <row r="51" spans="1:11" s="56" customFormat="1" ht="15" customHeight="1" x14ac:dyDescent="0.2">
      <c r="B51" s="280"/>
      <c r="C51" s="280"/>
      <c r="F51" s="79" t="str">
        <f>"log "&amp;IF('Advanced Inputs'!$J$11="CIE S 026","","IWCNP ")&amp;"α-opic "&amp; $J$7 &amp;", "&amp; $J$8&amp;", where"</f>
        <v>log α-opic photon irradiance, log Q/(s-1.cm-2), where</v>
      </c>
      <c r="G51" s="73"/>
      <c r="H51" s="73"/>
      <c r="I51" s="73"/>
      <c r="J51" s="81" t="str">
        <f>IF('Advanced Inputs'!$J$11="CIE S 026","","IWCNP ")&amp;"α-opic "&amp; $J$7</f>
        <v>α-opic photon irradiance</v>
      </c>
      <c r="K51" s="60"/>
    </row>
    <row r="52" spans="1:11" s="56" customFormat="1" ht="15" customHeight="1" x14ac:dyDescent="0.2">
      <c r="B52" s="280"/>
      <c r="C52" s="280"/>
      <c r="D52" s="89"/>
      <c r="F52" s="264" t="str">
        <f>IF('Advanced Inputs'!$J$11="CIE S 026","","IWCNP ")&amp;"α-opic "&amp; $J$7 &amp;" = ∫ spectral "&amp; $J$7 &amp;" * photon system "&amp;IF('Advanced Inputs'!$J$11="CIE S 026","","IWCNP ")&amp;"α-opic action spectrum * dλ"</f>
        <v>α-opic photon irradiance = ∫ spectral photon irradiance * photon system α-opic action spectrum * dλ</v>
      </c>
      <c r="G52" s="264"/>
      <c r="H52" s="264"/>
      <c r="I52" s="264"/>
      <c r="J52" s="264"/>
      <c r="K52" s="60" t="str">
        <f>"(T9)"</f>
        <v>(T9)</v>
      </c>
    </row>
    <row r="53" spans="1:11" s="56" customFormat="1" ht="15" customHeight="1" x14ac:dyDescent="0.2">
      <c r="B53" s="89"/>
      <c r="C53" s="89"/>
      <c r="D53" s="89"/>
      <c r="F53" s="100"/>
      <c r="G53" s="100"/>
      <c r="H53" s="100"/>
      <c r="I53" s="100"/>
      <c r="J53" s="100"/>
      <c r="K53" s="60"/>
    </row>
    <row r="54" spans="1:11" s="56" customFormat="1" ht="15" customHeight="1" thickBot="1" x14ac:dyDescent="0.25">
      <c r="B54" s="56" t="str">
        <f>J51&amp;" for"</f>
        <v>α-opic photon irradiance for</v>
      </c>
      <c r="F54" s="95" t="str">
        <f ca="1">Photobiology!AA$18</f>
        <v>S-cone-opic</v>
      </c>
      <c r="G54" s="96" t="str">
        <f ca="1">Photobiology!AB$18</f>
        <v>M-cone-opic</v>
      </c>
      <c r="H54" s="97" t="str">
        <f ca="1">Photobiology!AC$18</f>
        <v>L-cone-opic</v>
      </c>
      <c r="I54" s="98" t="str">
        <f ca="1">Photobiology!AD$18</f>
        <v>Rhodopic</v>
      </c>
      <c r="J54" s="99" t="str">
        <f ca="1">Photobiology!AE$18</f>
        <v>Melanopic</v>
      </c>
      <c r="K54" s="60"/>
    </row>
    <row r="55" spans="1:11" ht="15" customHeight="1" x14ac:dyDescent="0.2">
      <c r="A55" s="56"/>
      <c r="B55" s="15" t="str">
        <f>IF(Inputs!$B$5="","TEST",Inputs!$B$5)</f>
        <v>Enter a title for your data</v>
      </c>
      <c r="C55" s="16"/>
      <c r="D55" s="274"/>
      <c r="E55" s="275"/>
      <c r="F55" s="125">
        <f ca="1">LOG(Calculations!$J$14*SUMPRODUCT(Calculations!$S$21:$S$421,Calculations!T$21:T$421,Calculations!$K$21:$K$421)*$J$12)</f>
        <v>13.386412201175018</v>
      </c>
      <c r="G55" s="126">
        <f ca="1">LOG(Calculations!$J$14*SUMPRODUCT(Calculations!$S$21:$S$421,Calculations!U$21:U$421,Calculations!$K$21:$K$421)*$J$12)</f>
        <v>13.620527114038479</v>
      </c>
      <c r="H55" s="127">
        <f ca="1">LOG(Calculations!$J$14*SUMPRODUCT(Calculations!$S$21:$S$421,Calculations!V$21:V$421,Calculations!$K$21:$K$421)*$J$12)</f>
        <v>13.669162528191324</v>
      </c>
      <c r="I55" s="128">
        <f ca="1">LOG(Calculations!$J$14*SUMPRODUCT(Calculations!$S$21:$S$421,Calculations!W$21:W$421,Calculations!$K$21:$K$421)*$J$12)</f>
        <v>13.627250490465116</v>
      </c>
      <c r="J55" s="129">
        <f ca="1">LOG(Calculations!$J$14*SUMPRODUCT(Calculations!$S$21:$S$421,Calculations!X$21:X$421,Calculations!$K$21:$K$421)*$J$12)</f>
        <v>13.588765104839268</v>
      </c>
      <c r="K55" s="60"/>
    </row>
    <row r="56" spans="1:11" ht="15" customHeight="1" thickBot="1" x14ac:dyDescent="0.25">
      <c r="A56" s="56"/>
      <c r="B56" s="103" t="str">
        <f>IF('Advanced Inputs'!$J$15&lt;&gt;"UserRef",IF('Advanced Inputs'!$J$15="D65","daylight (D65)","(R†: illuminant "&amp;'Advanced Inputs'!$J$15&amp;")"),"(R†: UserRef)")</f>
        <v>daylight (D65)</v>
      </c>
      <c r="C56" s="104"/>
      <c r="D56" s="276"/>
      <c r="E56" s="277"/>
      <c r="F56" s="130">
        <f ca="1">LOG(Calculations!$AJ$14*SUMPRODUCT(Calculations!$AS$21:$AS$421,Calculations!AT$21:AT$421,Calculations!$AK$21:$AK$421)*$J$12)</f>
        <v>13.265147457663263</v>
      </c>
      <c r="G56" s="131">
        <f ca="1">LOG(Calculations!$AJ$14*SUMPRODUCT(Calculations!$AS$21:$AS$421,Calculations!AU$21:AU$421,Calculations!$AK$21:$AK$421)*$J$12)</f>
        <v>13.598013734160562</v>
      </c>
      <c r="H56" s="132">
        <f ca="1">LOG(Calculations!$AJ$14*SUMPRODUCT(Calculations!$AS$21:$AS$421,Calculations!AV$21:AV$421,Calculations!$AK$21:$AK$421)*$J$12)</f>
        <v>13.667304763594899</v>
      </c>
      <c r="I56" s="133">
        <f ca="1">LOG(Calculations!$AJ$14*SUMPRODUCT(Calculations!$AS$21:$AS$421,Calculations!AW$21:AW$421,Calculations!$AK$21:$AK$421)*$J$12)</f>
        <v>13.567060535071567</v>
      </c>
      <c r="J56" s="134">
        <f ca="1">LOG(Calculations!$AJ$14*SUMPRODUCT(Calculations!$AS$21:$AS$421,Calculations!AX$21:AX$421,Calculations!$AK$21:$AK$421)*$J$12)</f>
        <v>13.513945095089557</v>
      </c>
      <c r="K56" s="60"/>
    </row>
    <row r="57" spans="1:11" s="56" customFormat="1" ht="15" customHeight="1" x14ac:dyDescent="0.2">
      <c r="K57" s="60"/>
    </row>
    <row r="58" spans="1:11" s="56" customFormat="1" ht="15" hidden="1" customHeight="1" x14ac:dyDescent="0.2">
      <c r="B58" s="214" t="s">
        <v>360</v>
      </c>
      <c r="C58" s="226" t="s">
        <v>353</v>
      </c>
      <c r="D58" s="83"/>
      <c r="E58" s="74"/>
      <c r="F58" s="192" t="s">
        <v>361</v>
      </c>
      <c r="K58" s="60"/>
    </row>
    <row r="59" spans="1:11" s="56" customFormat="1" ht="15" hidden="1" customHeight="1" thickBot="1" x14ac:dyDescent="0.25">
      <c r="B59" s="83"/>
      <c r="C59" s="83"/>
      <c r="D59" s="83"/>
      <c r="E59" s="94"/>
      <c r="F59" s="94"/>
      <c r="K59" s="60"/>
    </row>
    <row r="60" spans="1:11" s="56" customFormat="1" ht="15" hidden="1" customHeight="1" thickBot="1" x14ac:dyDescent="0.25">
      <c r="A60" s="59"/>
      <c r="B60" s="56" t="s">
        <v>82</v>
      </c>
      <c r="C60" s="77">
        <v>32</v>
      </c>
      <c r="D60" s="56" t="s">
        <v>327</v>
      </c>
      <c r="F60" s="236" t="s">
        <v>380</v>
      </c>
      <c r="G60" s="227"/>
      <c r="H60" s="227"/>
      <c r="I60" s="227"/>
      <c r="J60" s="65"/>
      <c r="K60" s="60"/>
    </row>
    <row r="61" spans="1:11" s="56" customFormat="1" ht="15" hidden="1" customHeight="1" x14ac:dyDescent="0.2">
      <c r="A61" s="59"/>
      <c r="B61" s="73" t="s">
        <v>349</v>
      </c>
      <c r="C61" s="222">
        <v>65</v>
      </c>
      <c r="D61" s="56" t="s">
        <v>327</v>
      </c>
      <c r="F61" s="235" t="s">
        <v>364</v>
      </c>
      <c r="J61" s="67"/>
      <c r="K61" s="60"/>
    </row>
    <row r="62" spans="1:11" s="56" customFormat="1" ht="15" hidden="1" customHeight="1" thickBot="1" x14ac:dyDescent="0.25">
      <c r="A62" s="59"/>
      <c r="B62" s="186" t="s">
        <v>350</v>
      </c>
      <c r="C62" s="60"/>
      <c r="D62" s="60"/>
      <c r="E62" s="60"/>
      <c r="F62" s="237" t="s">
        <v>365</v>
      </c>
      <c r="G62" s="228"/>
      <c r="H62" s="228"/>
      <c r="I62" s="228"/>
      <c r="J62" s="71"/>
      <c r="K62" s="60"/>
    </row>
    <row r="63" spans="1:11" s="56" customFormat="1" ht="15" hidden="1" customHeight="1" x14ac:dyDescent="0.2">
      <c r="B63" s="186"/>
      <c r="C63" s="60"/>
      <c r="D63" s="60"/>
      <c r="E63" s="60"/>
      <c r="K63" s="60"/>
    </row>
    <row r="64" spans="1:11" s="56" customFormat="1" ht="15" hidden="1" customHeight="1" x14ac:dyDescent="0.2">
      <c r="F64" s="192" t="str">
        <f>"Age-adjusted "&amp;$F$22</f>
        <v>Age-adjusted α-opic irradiance, µW.cm-2</v>
      </c>
      <c r="J64" s="81" t="str">
        <f>"Age-adjusted "&amp;$J$22</f>
        <v>Age-adjusted α-opic irradiance</v>
      </c>
    </row>
    <row r="65" spans="1:11" s="56" customFormat="1" ht="15" hidden="1" customHeight="1" x14ac:dyDescent="0.2">
      <c r="B65" s="86"/>
      <c r="C65" s="86"/>
      <c r="D65" s="264" t="s">
        <v>328</v>
      </c>
      <c r="E65" s="264"/>
      <c r="F65" s="264"/>
      <c r="G65" s="264"/>
      <c r="H65" s="264"/>
      <c r="I65" s="264"/>
      <c r="J65" s="264"/>
      <c r="K65" s="60" t="str">
        <f>"(A1)"</f>
        <v>(A1)</v>
      </c>
    </row>
    <row r="66" spans="1:11" s="56" customFormat="1" hidden="1" x14ac:dyDescent="0.2">
      <c r="B66" s="101"/>
      <c r="D66" s="264" t="str">
        <f>"age-adjusted "&amp;IF('Advanced Inputs'!$J$11="CIE S 026","","IWCNP ")&amp;"α-opic "&amp; $F$7 &amp;" = ∫ spectral "&amp; $F$7 &amp;" * "&amp;IF('Advanced Inputs'!$J$11="CIE S 026","","IWCNP ")&amp;"α-opic action spectrum * c(a,λ) * dλ"</f>
        <v>age-adjusted α-opic irradiance = ∫ spectral irradiance * α-opic action spectrum * c(a,λ) * dλ</v>
      </c>
      <c r="E66" s="264"/>
      <c r="F66" s="264"/>
      <c r="G66" s="264"/>
      <c r="H66" s="264"/>
      <c r="I66" s="264"/>
      <c r="J66" s="264"/>
      <c r="K66" s="60" t="str">
        <f>"(A2)"</f>
        <v>(A2)</v>
      </c>
    </row>
    <row r="67" spans="1:11" s="56" customFormat="1" hidden="1" x14ac:dyDescent="0.2">
      <c r="B67" s="101"/>
      <c r="F67" s="100"/>
      <c r="G67" s="100"/>
      <c r="H67" s="100"/>
      <c r="I67" s="100"/>
      <c r="J67" s="100"/>
      <c r="K67" s="60"/>
    </row>
    <row r="68" spans="1:11" s="56" customFormat="1" ht="16" hidden="1" thickBot="1" x14ac:dyDescent="0.25">
      <c r="B68" s="56" t="str">
        <f>J64&amp;" for"</f>
        <v>Age-adjusted α-opic irradiance for</v>
      </c>
      <c r="F68" s="95" t="s">
        <v>302</v>
      </c>
      <c r="G68" s="96" t="s">
        <v>303</v>
      </c>
      <c r="H68" s="97" t="s">
        <v>304</v>
      </c>
      <c r="I68" s="98" t="s">
        <v>76</v>
      </c>
      <c r="J68" s="99" t="s">
        <v>77</v>
      </c>
    </row>
    <row r="69" spans="1:11" ht="16" hidden="1" thickBot="1" x14ac:dyDescent="0.25">
      <c r="A69" s="90"/>
      <c r="B69" s="22" t="str">
        <f>IF(Inputs!$B$5="","TEST",Inputs!$B$5)</f>
        <v>Enter a title for your data</v>
      </c>
      <c r="C69" s="23"/>
      <c r="D69" s="184" t="s">
        <v>305</v>
      </c>
      <c r="E69" s="185">
        <f>'Advanced Outputs'!$C$61</f>
        <v>65</v>
      </c>
      <c r="F69" s="10">
        <f ca="1">Calculations!$J$14*SUMPRODUCT(Transmittance!$E$21:$E$421,Calculations!$M$21:$M$421,Calculations!N$21:N$421,Calculations!$K$21:$K$421)*$F$12</f>
        <v>5.4367452488667061</v>
      </c>
      <c r="G69" s="11">
        <f ca="1">Calculations!$J$14*SUMPRODUCT(Transmittance!$E$21:$E$421,Calculations!$M$21:$M$421,Calculations!O$21:O$421,Calculations!$K$21:$K$421)*$F$12</f>
        <v>12.445208591702228</v>
      </c>
      <c r="H69" s="12">
        <f ca="1">Calculations!$J$14*SUMPRODUCT(Transmittance!$E$21:$E$421,Calculations!$M$21:$M$421,Calculations!P$21:P$421,Calculations!$K$21:$K$421)*$F$12</f>
        <v>14.036502802190459</v>
      </c>
      <c r="I69" s="13">
        <f ca="1">Calculations!$J$14*SUMPRODUCT(Transmittance!$E$21:$E$421,Calculations!$M$21:$M$421,Calculations!Q$21:Q$421,Calculations!$K$21:$K$421)*$F$12</f>
        <v>11.870161064055972</v>
      </c>
      <c r="J69" s="14">
        <f ca="1">Calculations!$J$14*SUMPRODUCT(Transmittance!$E$21:$E$421,Calculations!$M$21:$M$421,Calculations!R$21:R$421,Calculations!$K$21:$K$421)*$F$12</f>
        <v>10.593832658687177</v>
      </c>
      <c r="K69" s="56"/>
    </row>
    <row r="70" spans="1:11" s="56" customFormat="1" hidden="1" x14ac:dyDescent="0.2">
      <c r="A70" s="90"/>
      <c r="E70" s="78"/>
    </row>
    <row r="71" spans="1:11" s="56" customFormat="1" hidden="1" x14ac:dyDescent="0.2">
      <c r="A71" s="90"/>
      <c r="D71" s="192" t="str">
        <f>"Age-adjusted "&amp;$F$43</f>
        <v>Age-adjusted α-opic equivalent daylight (D65) illuminance, klx</v>
      </c>
      <c r="E71" s="78"/>
      <c r="J71" s="81" t="str">
        <f>"Age-adjusted "&amp;$J$43</f>
        <v>Age-adjusted α-opic EDI</v>
      </c>
    </row>
    <row r="72" spans="1:11" s="56" customFormat="1" hidden="1" x14ac:dyDescent="0.2">
      <c r="A72" s="90"/>
      <c r="B72" s="101"/>
      <c r="D72" s="264" t="str">
        <f>"age-adjusted "&amp;SUBSTITUTE(SUBSTITUTE($F$44,"= ","= age-adjusted "),"/ ","/ standard-observer-age-32 ")</f>
        <v>age-adjusted α-opic EDI = age-adjusted α-opic irradiance / standard-observer-age-32 α-opic ELR for daylight (D65)</v>
      </c>
      <c r="E72" s="264"/>
      <c r="F72" s="264"/>
      <c r="G72" s="264"/>
      <c r="H72" s="264"/>
      <c r="I72" s="264"/>
      <c r="J72" s="264"/>
      <c r="K72" s="60" t="str">
        <f>"(A3)"</f>
        <v>(A3)</v>
      </c>
    </row>
    <row r="73" spans="1:11" s="56" customFormat="1" hidden="1" x14ac:dyDescent="0.2">
      <c r="A73" s="90"/>
      <c r="B73" s="101"/>
      <c r="D73" s="60"/>
      <c r="E73" s="78"/>
      <c r="F73" s="86"/>
      <c r="G73" s="86"/>
      <c r="H73" s="86"/>
      <c r="I73" s="86"/>
      <c r="J73" s="86"/>
      <c r="K73" s="60"/>
    </row>
    <row r="74" spans="1:11" s="56" customFormat="1" ht="16" hidden="1" thickBot="1" x14ac:dyDescent="0.25">
      <c r="A74" s="90"/>
      <c r="B74" s="56" t="str">
        <f>J71&amp;" for"</f>
        <v>Age-adjusted α-opic EDI for</v>
      </c>
      <c r="D74" s="60"/>
      <c r="E74" s="78"/>
      <c r="F74" s="95" t="s">
        <v>302</v>
      </c>
      <c r="G74" s="96" t="s">
        <v>303</v>
      </c>
      <c r="H74" s="97" t="s">
        <v>304</v>
      </c>
      <c r="I74" s="98" t="s">
        <v>76</v>
      </c>
      <c r="J74" s="99" t="s">
        <v>77</v>
      </c>
    </row>
    <row r="75" spans="1:11" ht="16" hidden="1" thickBot="1" x14ac:dyDescent="0.25">
      <c r="A75" s="90"/>
      <c r="B75" s="22" t="str">
        <f>IF(Inputs!$B$5="","TEST",Inputs!$B$5)</f>
        <v>Enter a title for your data</v>
      </c>
      <c r="C75" s="23"/>
      <c r="D75" s="184" t="s">
        <v>305</v>
      </c>
      <c r="E75" s="185">
        <f>'Advanced Outputs'!$C$61</f>
        <v>65</v>
      </c>
      <c r="F75" s="31">
        <f ca="1">1000*(F69/F34)*($H$12/$F$12)</f>
        <v>6.6521630230162443E-2</v>
      </c>
      <c r="G75" s="32">
        <f ca="1">1000*(G69/G34)*($H$12/$F$12)</f>
        <v>8.5485519897272766E-2</v>
      </c>
      <c r="H75" s="33">
        <f ca="1">1000*(H69/H34)*($H$12/$F$12)</f>
        <v>8.6171257905290899E-2</v>
      </c>
      <c r="I75" s="34">
        <f ca="1">1000*(I69/I34)*($H$12/$F$12)</f>
        <v>8.1879898812438928E-2</v>
      </c>
      <c r="J75" s="35">
        <f ca="1">1000*(J69/J34)*($H$12/$F$12)</f>
        <v>7.9880294102142452E-2</v>
      </c>
      <c r="K75" s="56"/>
    </row>
    <row r="76" spans="1:11" s="56" customFormat="1" hidden="1" x14ac:dyDescent="0.2">
      <c r="A76" s="90"/>
      <c r="B76" s="90"/>
      <c r="C76" s="90"/>
      <c r="D76" s="90"/>
      <c r="E76" s="91"/>
      <c r="F76" s="90"/>
      <c r="G76" s="90"/>
      <c r="H76" s="90"/>
      <c r="I76" s="90"/>
      <c r="J76" s="90"/>
      <c r="K76" s="90"/>
    </row>
    <row r="77" spans="1:11" s="56" customFormat="1" hidden="1" x14ac:dyDescent="0.2">
      <c r="D77" s="192" t="str">
        <f>"Age-adjusted "&amp;$F$51</f>
        <v>Age-adjusted log α-opic photon irradiance, log Q/(s-1.cm-2), where</v>
      </c>
      <c r="E77" s="78"/>
      <c r="J77" s="81" t="str">
        <f>"Age-adjusted "&amp;$J$51</f>
        <v>Age-adjusted α-opic photon irradiance</v>
      </c>
    </row>
    <row r="78" spans="1:11" s="56" customFormat="1" hidden="1" x14ac:dyDescent="0.2">
      <c r="B78" s="101"/>
      <c r="D78" s="264" t="str">
        <f>"age-adjusted "&amp;IF('Advanced Inputs'!$J$11="CIE S 026","","IWCNP ")&amp;"α-opic "&amp; $J$7 &amp;" = ∫ spectral "&amp; $J$7 &amp;" * photon system "&amp;IF('Advanced Inputs'!$J$11="CIE S 026","","IWCNP ")&amp;"α-opic action spectrum * c(a,λ) * dλ"</f>
        <v>age-adjusted α-opic photon irradiance = ∫ spectral photon irradiance * photon system α-opic action spectrum * c(a,λ) * dλ</v>
      </c>
      <c r="E78" s="264"/>
      <c r="F78" s="264"/>
      <c r="G78" s="264"/>
      <c r="H78" s="264"/>
      <c r="I78" s="264"/>
      <c r="J78" s="264"/>
      <c r="K78" s="60" t="str">
        <f>"(A4)"</f>
        <v>(A4)</v>
      </c>
    </row>
    <row r="79" spans="1:11" s="56" customFormat="1" hidden="1" x14ac:dyDescent="0.2">
      <c r="B79" s="101"/>
      <c r="E79" s="78"/>
      <c r="F79" s="102"/>
      <c r="G79" s="102"/>
      <c r="H79" s="102"/>
      <c r="I79" s="102"/>
      <c r="J79" s="102"/>
      <c r="K79" s="60"/>
    </row>
    <row r="80" spans="1:11" s="56" customFormat="1" ht="16" hidden="1" thickBot="1" x14ac:dyDescent="0.25">
      <c r="B80" s="56" t="str">
        <f>J77&amp;" for"</f>
        <v>Age-adjusted α-opic photon irradiance for</v>
      </c>
      <c r="E80" s="78"/>
      <c r="F80" s="95" t="s">
        <v>302</v>
      </c>
      <c r="G80" s="96" t="s">
        <v>303</v>
      </c>
      <c r="H80" s="97" t="s">
        <v>304</v>
      </c>
      <c r="I80" s="98" t="s">
        <v>76</v>
      </c>
      <c r="J80" s="99" t="s">
        <v>77</v>
      </c>
    </row>
    <row r="81" spans="1:11" ht="16" hidden="1" thickBot="1" x14ac:dyDescent="0.25">
      <c r="A81" s="56"/>
      <c r="B81" s="22" t="str">
        <f>IF(Inputs!$B$5="","TEST",Inputs!$B$5)</f>
        <v>Enter a title for your data</v>
      </c>
      <c r="C81" s="23"/>
      <c r="D81" s="184" t="s">
        <v>305</v>
      </c>
      <c r="E81" s="185">
        <f>'Advanced Outputs'!$C$61</f>
        <v>65</v>
      </c>
      <c r="F81" s="155">
        <f ca="1">LOG(Calculations!$J$14*SUMPRODUCT(Transmittance!$E$21:$E$421,Calculations!$S$21:$S$421,Calculations!T$21:T$421,Calculations!$K$21:$K$421)*$J$12)</f>
        <v>13.088109352200625</v>
      </c>
      <c r="G81" s="156">
        <f ca="1">LOG(Calculations!$J$14*SUMPRODUCT(Transmittance!$E$21:$E$421,Calculations!$S$21:$S$421,Calculations!U$21:U$421,Calculations!$K$21:$K$421)*$J$12)</f>
        <v>13.529905302152118</v>
      </c>
      <c r="H81" s="157">
        <f ca="1">LOG(Calculations!$J$14*SUMPRODUCT(Transmittance!$E$21:$E$421,Calculations!$S$21:$S$421,Calculations!V$21:V$421,Calculations!$K$21:$K$421)*$J$12)</f>
        <v>13.602666207008355</v>
      </c>
      <c r="I81" s="158">
        <f ca="1">LOG(Calculations!$J$14*SUMPRODUCT(Transmittance!$E$21:$E$421,Calculations!$S$21:$S$421,Calculations!W$21:W$421,Calculations!$K$21:$K$421)*$J$12)</f>
        <v>13.480236843064549</v>
      </c>
      <c r="J81" s="159">
        <f ca="1">LOG(Calculations!$J$14*SUMPRODUCT(Transmittance!$E$21:$E$421,Calculations!$S$21:$S$421,Calculations!X$21:X$421,Calculations!$K$21:$K$421)*$J$12)</f>
        <v>13.416383760975807</v>
      </c>
      <c r="K81" s="56"/>
    </row>
    <row r="82" spans="1:11" s="56" customFormat="1" hidden="1" x14ac:dyDescent="0.2"/>
  </sheetData>
  <sheetProtection password="CAB0" sheet="1" objects="1" scenarios="1"/>
  <mergeCells count="26">
    <mergeCell ref="B29:C30"/>
    <mergeCell ref="B36:C37"/>
    <mergeCell ref="B22:C23"/>
    <mergeCell ref="F5:J5"/>
    <mergeCell ref="F37:J37"/>
    <mergeCell ref="F15:J15"/>
    <mergeCell ref="F14:J14"/>
    <mergeCell ref="F16:J16"/>
    <mergeCell ref="F23:J23"/>
    <mergeCell ref="F30:J30"/>
    <mergeCell ref="B43:C45"/>
    <mergeCell ref="F45:J45"/>
    <mergeCell ref="F52:J52"/>
    <mergeCell ref="D78:J78"/>
    <mergeCell ref="D66:J66"/>
    <mergeCell ref="D72:J72"/>
    <mergeCell ref="B51:C52"/>
    <mergeCell ref="D65:J65"/>
    <mergeCell ref="D55:E56"/>
    <mergeCell ref="D48:E49"/>
    <mergeCell ref="F44:J44"/>
    <mergeCell ref="D40:E41"/>
    <mergeCell ref="D33:E34"/>
    <mergeCell ref="D26:E27"/>
    <mergeCell ref="D19:E19"/>
    <mergeCell ref="D20:E20"/>
  </mergeCells>
  <conditionalFormatting sqref="C12">
    <cfRule type="containsText" dxfId="4" priority="5" operator="containsText" text="CHECK INPUTS">
      <formula>NOT(ISERROR(SEARCH("CHECK INPUTS",C12)))</formula>
    </cfRule>
  </conditionalFormatting>
  <conditionalFormatting sqref="B14">
    <cfRule type="notContainsText" dxfId="3" priority="4" operator="notContains" text="Standard CIE S 026 calculations.">
      <formula>ISERROR(SEARCH("Standard CIE S 026 calculations.",B14))</formula>
    </cfRule>
  </conditionalFormatting>
  <conditionalFormatting sqref="C61">
    <cfRule type="cellIs" dxfId="2" priority="3" operator="notEqual">
      <formula>32</formula>
    </cfRule>
  </conditionalFormatting>
  <conditionalFormatting sqref="G11">
    <cfRule type="cellIs" dxfId="1" priority="2" operator="equal">
      <formula>"Clear:"</formula>
    </cfRule>
  </conditionalFormatting>
  <conditionalFormatting sqref="J1">
    <cfRule type="cellIs" dxfId="0" priority="1" operator="notEqual">
      <formula>"CIE S 026"</formula>
    </cfRule>
  </conditionalFormatting>
  <dataValidations count="3">
    <dataValidation allowBlank="1" showErrorMessage="1" promptTitle="Ouputs" prompt="_x000a_You can choose your preferred SI quantity prefix and area prefix (if applicable) in cells F10:F11, H10:H11 and J11._x000a_" sqref="B3" xr:uid="{00000000-0002-0000-0C00-000000000000}"/>
    <dataValidation type="whole" allowBlank="1" showErrorMessage="1" promptTitle="Enter age 18-75" prompt="_x000a_Please give age last birthday of the individual for calculating age-adjusted quantities. CAUTION age-adjusted quantities are non-standard and may not be suitable for practical purposes or scientific publications." sqref="C61" xr:uid="{00000000-0002-0000-0C00-000001000000}">
      <formula1>10</formula1>
      <formula2>100</formula2>
    </dataValidation>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J3 C58" xr:uid="{00000000-0002-0000-0C00-000002000000}"/>
  </dataValidations>
  <pageMargins left="0.7" right="0.7" top="0.75" bottom="0.75" header="0.3" footer="0.3"/>
  <pageSetup paperSize="9" scale="54" fitToHeight="0" orientation="portrait" r:id="rId1"/>
  <drawing r:id="rId2"/>
  <extLst>
    <ext xmlns:x14="http://schemas.microsoft.com/office/spreadsheetml/2009/9/main" uri="{CCE6A557-97BC-4b89-ADB6-D9C93CAAB3DF}">
      <x14:dataValidations xmlns:xm="http://schemas.microsoft.com/office/excel/2006/main" count="4">
        <x14:dataValidation type="list" allowBlank="1" showErrorMessage="1" promptTitle="Select SI prefix, if any" prompt="_x000a_Note that there is a difference between M = 10^6 but m = 10^-3. CAUTION: Excel will offer &quot;M&quot; first when &quot;m&quot; is already selected._x000a_" xr:uid="{00000000-0002-0000-0C00-000003000000}">
          <x14:formula1>
            <xm:f>Physics!$C$16:$C$19</xm:f>
          </x14:formula1>
          <xm:sqref>F11 J11</xm:sqref>
        </x14:dataValidation>
        <x14:dataValidation type="list" allowBlank="1" showErrorMessage="1" promptTitle="Select SI prefix, if any" prompt="_x000a_Note that there is a difference between M = 10^6 but m = 10^-3. CAUTION: Excel will offer &quot;M&quot; first when &quot;m&quot; is already selected." xr:uid="{00000000-0002-0000-0C00-000004000000}">
          <x14:formula1>
            <xm:f>Physics!$C$23:$C$35</xm:f>
          </x14:formula1>
          <xm:sqref>H10 F10</xm:sqref>
        </x14:dataValidation>
        <x14:dataValidation type="list" allowBlank="1" showErrorMessage="1" promptTitle="Select SI prefix, if any" prompt="_x000a_Note that there is a difference between M = 10^6 but m = 10^-3. CAUTION: Excel will offer &quot;M&quot; first when &quot;m&quot; is already selected._x000a__x000a_Do not use with illuminance._x000a_" xr:uid="{00000000-0002-0000-0C00-000005000000}">
          <x14:formula1>
            <xm:f>Physics!$C$16:$C$19</xm:f>
          </x14:formula1>
          <xm:sqref>H11</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C00-000006000000}">
          <x14:formula1>
            <xm:f>Photobiology!$L$3:$L$4</xm:f>
          </x14:formula1>
          <xm:sqref>J1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7" tint="-0.249977111117893"/>
    <pageSetUpPr fitToPage="1"/>
  </sheetPr>
  <dimension ref="A1:M423"/>
  <sheetViews>
    <sheetView zoomScaleNormal="100" workbookViewId="0">
      <selection activeCell="I3" sqref="I3"/>
    </sheetView>
  </sheetViews>
  <sheetFormatPr baseColWidth="10" defaultColWidth="0" defaultRowHeight="15" zeroHeight="1" x14ac:dyDescent="0.2"/>
  <cols>
    <col min="1" max="1" width="5.6640625" style="250" customWidth="1"/>
    <col min="2" max="2" width="15.6640625" style="250" customWidth="1"/>
    <col min="3" max="5" width="15.6640625" style="1" customWidth="1"/>
    <col min="6" max="6" width="5.6640625" style="1" customWidth="1"/>
    <col min="7" max="13" width="15.6640625" style="1" hidden="1" customWidth="1"/>
    <col min="14" max="16384" width="9.1640625" style="1" hidden="1"/>
  </cols>
  <sheetData>
    <row r="1" spans="1:13" ht="25" customHeight="1" x14ac:dyDescent="0.3">
      <c r="A1" s="60"/>
      <c r="B1" s="72" t="str">
        <f>LEFT(Disclaimer!B1,Maintenance!I3)</f>
        <v>CIE S 026 α-opic Toolbox - v1.049a - 2020/11</v>
      </c>
      <c r="C1" s="56"/>
      <c r="D1" s="56"/>
      <c r="E1" s="73"/>
      <c r="F1" s="73"/>
      <c r="G1" s="6"/>
      <c r="H1" s="6"/>
      <c r="I1" s="6"/>
      <c r="J1" s="6"/>
      <c r="K1" s="6"/>
      <c r="L1" s="6"/>
      <c r="M1" s="6"/>
    </row>
    <row r="2" spans="1:13" x14ac:dyDescent="0.2">
      <c r="A2" s="56"/>
      <c r="B2" s="73"/>
      <c r="C2" s="56"/>
      <c r="D2" s="56"/>
      <c r="E2" s="73"/>
      <c r="F2" s="73"/>
      <c r="G2" s="6"/>
      <c r="H2" s="6"/>
      <c r="I2" s="6"/>
      <c r="J2" s="6"/>
      <c r="K2" s="6"/>
      <c r="L2" s="6"/>
      <c r="M2" s="6"/>
    </row>
    <row r="3" spans="1:13" x14ac:dyDescent="0.2">
      <c r="A3" s="60"/>
      <c r="B3" s="214" t="s">
        <v>326</v>
      </c>
      <c r="C3" s="143" t="s">
        <v>404</v>
      </c>
      <c r="D3" s="74"/>
      <c r="E3" s="74"/>
      <c r="F3" s="73"/>
      <c r="G3" s="6"/>
      <c r="H3" s="6"/>
      <c r="I3" s="6"/>
      <c r="J3" s="6"/>
      <c r="K3" s="6"/>
      <c r="L3" s="6"/>
      <c r="M3" s="6"/>
    </row>
    <row r="4" spans="1:13" x14ac:dyDescent="0.2">
      <c r="A4" s="60"/>
      <c r="B4" s="60"/>
      <c r="C4" s="60"/>
      <c r="D4" s="74"/>
      <c r="E4" s="74"/>
      <c r="F4" s="73"/>
      <c r="G4" s="6"/>
      <c r="H4" s="6"/>
      <c r="I4" s="6"/>
      <c r="J4" s="6"/>
      <c r="K4" s="6"/>
      <c r="L4" s="6"/>
      <c r="M4" s="6"/>
    </row>
    <row r="5" spans="1:13" hidden="1" x14ac:dyDescent="0.2">
      <c r="A5" s="60"/>
      <c r="B5" s="192" t="s">
        <v>362</v>
      </c>
      <c r="C5" s="60"/>
      <c r="D5" s="60"/>
      <c r="E5" s="60"/>
      <c r="F5" s="60"/>
      <c r="G5" s="6"/>
      <c r="H5" s="6"/>
      <c r="I5" s="6"/>
      <c r="J5" s="6"/>
      <c r="K5" s="6"/>
      <c r="L5" s="6"/>
      <c r="M5" s="6"/>
    </row>
    <row r="6" spans="1:13" hidden="1" x14ac:dyDescent="0.2">
      <c r="A6" s="60"/>
      <c r="B6" s="60"/>
      <c r="C6" s="56"/>
      <c r="D6" s="56"/>
      <c r="E6" s="56"/>
      <c r="F6" s="73"/>
      <c r="G6" s="6"/>
      <c r="H6" s="6"/>
      <c r="I6" s="6"/>
      <c r="J6" s="6"/>
      <c r="K6" s="6"/>
      <c r="L6" s="6"/>
      <c r="M6" s="6"/>
    </row>
    <row r="7" spans="1:13" hidden="1" x14ac:dyDescent="0.2">
      <c r="A7" s="60"/>
      <c r="B7" s="146" t="s">
        <v>363</v>
      </c>
      <c r="C7" s="56"/>
      <c r="D7" s="56"/>
      <c r="E7" s="56"/>
      <c r="F7" s="73"/>
      <c r="G7" s="6"/>
      <c r="H7" s="6"/>
      <c r="I7" s="6"/>
      <c r="J7" s="6"/>
      <c r="K7" s="6"/>
      <c r="L7" s="6"/>
      <c r="M7" s="6"/>
    </row>
    <row r="8" spans="1:13" hidden="1" x14ac:dyDescent="0.2">
      <c r="A8" s="60"/>
      <c r="B8" s="60"/>
      <c r="C8" s="56"/>
      <c r="D8" s="56"/>
      <c r="E8" s="56"/>
      <c r="F8" s="73"/>
      <c r="G8" s="6"/>
      <c r="H8" s="6"/>
      <c r="I8" s="6"/>
      <c r="J8" s="6"/>
      <c r="K8" s="6"/>
      <c r="L8" s="6"/>
      <c r="M8" s="6"/>
    </row>
    <row r="9" spans="1:13" hidden="1" x14ac:dyDescent="0.2">
      <c r="A9" s="60"/>
      <c r="B9" s="93" t="s">
        <v>366</v>
      </c>
      <c r="C9" s="56"/>
      <c r="D9" s="56"/>
      <c r="E9" s="56"/>
      <c r="F9" s="56"/>
      <c r="G9" s="6"/>
      <c r="H9" s="6"/>
      <c r="I9" s="6"/>
      <c r="J9" s="6"/>
      <c r="K9" s="6"/>
      <c r="L9" s="6"/>
      <c r="M9" s="6"/>
    </row>
    <row r="10" spans="1:13" hidden="1" x14ac:dyDescent="0.2">
      <c r="A10" s="60"/>
      <c r="B10" s="93" t="s">
        <v>367</v>
      </c>
      <c r="C10" s="56"/>
      <c r="D10" s="56"/>
      <c r="E10" s="56"/>
      <c r="F10" s="73"/>
      <c r="G10" s="6"/>
      <c r="H10" s="6"/>
      <c r="I10" s="6"/>
      <c r="J10" s="6"/>
      <c r="K10" s="6"/>
      <c r="L10" s="6"/>
      <c r="M10" s="6"/>
    </row>
    <row r="11" spans="1:13" hidden="1" x14ac:dyDescent="0.2">
      <c r="A11" s="60"/>
      <c r="B11" s="229" t="s">
        <v>368</v>
      </c>
      <c r="C11" s="56"/>
      <c r="D11" s="56"/>
      <c r="E11" s="56"/>
      <c r="F11" s="73"/>
      <c r="G11" s="6"/>
      <c r="H11" s="6"/>
      <c r="I11" s="6"/>
      <c r="J11" s="6"/>
      <c r="K11" s="6"/>
      <c r="L11" s="6"/>
      <c r="M11" s="6"/>
    </row>
    <row r="12" spans="1:13" hidden="1" x14ac:dyDescent="0.2">
      <c r="A12" s="60"/>
      <c r="B12" s="146"/>
      <c r="C12" s="73"/>
      <c r="D12" s="56"/>
      <c r="E12" s="73"/>
      <c r="F12" s="73"/>
      <c r="G12" s="6"/>
      <c r="H12" s="6"/>
      <c r="I12" s="6"/>
      <c r="J12" s="6"/>
      <c r="K12" s="6"/>
      <c r="L12" s="6"/>
      <c r="M12" s="6"/>
    </row>
    <row r="13" spans="1:13" hidden="1" x14ac:dyDescent="0.2">
      <c r="A13" s="60"/>
      <c r="B13" s="143" t="s">
        <v>369</v>
      </c>
      <c r="C13" s="73"/>
      <c r="D13" s="56"/>
      <c r="E13" s="73"/>
      <c r="F13" s="73"/>
      <c r="G13" s="6"/>
      <c r="H13" s="6"/>
      <c r="I13" s="6"/>
      <c r="J13" s="6"/>
      <c r="K13" s="6"/>
      <c r="L13" s="6"/>
      <c r="M13" s="6"/>
    </row>
    <row r="14" spans="1:13" hidden="1" x14ac:dyDescent="0.2">
      <c r="A14" s="60"/>
      <c r="B14" s="143" t="s">
        <v>370</v>
      </c>
      <c r="C14" s="73"/>
      <c r="D14" s="56"/>
      <c r="E14" s="73"/>
      <c r="F14" s="73"/>
      <c r="G14" s="6"/>
      <c r="H14" s="6"/>
      <c r="I14" s="6"/>
      <c r="J14" s="6"/>
      <c r="K14" s="6"/>
      <c r="L14" s="6"/>
      <c r="M14" s="6"/>
    </row>
    <row r="15" spans="1:13" hidden="1" x14ac:dyDescent="0.2">
      <c r="A15" s="60"/>
      <c r="B15" s="143" t="s">
        <v>371</v>
      </c>
      <c r="C15" s="73"/>
      <c r="D15" s="56"/>
      <c r="E15" s="73"/>
      <c r="F15" s="73"/>
      <c r="G15" s="6"/>
      <c r="H15" s="6"/>
      <c r="I15" s="6"/>
      <c r="J15" s="6"/>
      <c r="K15" s="6"/>
      <c r="L15" s="6"/>
      <c r="M15" s="6"/>
    </row>
    <row r="16" spans="1:13" hidden="1" x14ac:dyDescent="0.2">
      <c r="A16" s="60"/>
      <c r="B16" s="143" t="s">
        <v>372</v>
      </c>
      <c r="C16" s="73"/>
      <c r="D16" s="56"/>
      <c r="E16" s="73"/>
      <c r="F16" s="73"/>
      <c r="G16" s="6"/>
      <c r="H16" s="6"/>
      <c r="I16" s="6"/>
      <c r="J16" s="6"/>
      <c r="K16" s="6"/>
      <c r="L16" s="6"/>
      <c r="M16" s="6"/>
    </row>
    <row r="17" spans="1:13" hidden="1" x14ac:dyDescent="0.2">
      <c r="A17" s="60"/>
      <c r="B17" s="186"/>
      <c r="C17" s="73"/>
      <c r="D17" s="56"/>
      <c r="E17" s="73"/>
      <c r="F17" s="73"/>
      <c r="G17" s="6"/>
      <c r="H17" s="6"/>
      <c r="I17" s="6"/>
      <c r="J17" s="6"/>
      <c r="K17" s="6"/>
      <c r="L17" s="6"/>
      <c r="M17" s="6"/>
    </row>
    <row r="18" spans="1:13" hidden="1" x14ac:dyDescent="0.2">
      <c r="A18" s="60"/>
      <c r="B18" s="60"/>
      <c r="C18" s="94" t="s">
        <v>326</v>
      </c>
      <c r="D18" s="94" t="s">
        <v>330</v>
      </c>
      <c r="E18" s="94" t="s">
        <v>329</v>
      </c>
      <c r="F18" s="73"/>
      <c r="G18" s="6"/>
      <c r="H18" s="6"/>
      <c r="I18" s="6"/>
      <c r="J18" s="6"/>
      <c r="K18" s="6"/>
      <c r="L18" s="6"/>
      <c r="M18" s="6"/>
    </row>
    <row r="19" spans="1:13" hidden="1" x14ac:dyDescent="0.2">
      <c r="A19" s="60"/>
      <c r="B19" s="60"/>
      <c r="C19" s="60"/>
      <c r="D19" s="60"/>
      <c r="E19" s="60"/>
      <c r="F19" s="73"/>
      <c r="G19" s="6"/>
      <c r="H19" s="6"/>
      <c r="I19" s="6"/>
      <c r="J19" s="6"/>
      <c r="K19" s="6"/>
      <c r="L19" s="6"/>
      <c r="M19" s="6"/>
    </row>
    <row r="20" spans="1:13" hidden="1" x14ac:dyDescent="0.2">
      <c r="A20" s="60"/>
      <c r="B20" s="60" t="s">
        <v>12</v>
      </c>
      <c r="C20" s="74" t="str">
        <f>"τ("&amp;'Advanced Outputs'!$C$61&amp;",λ)"</f>
        <v>τ(65,λ)</v>
      </c>
      <c r="D20" s="60" t="s">
        <v>20</v>
      </c>
      <c r="E20" s="74" t="str">
        <f>"c("&amp;'Advanced Outputs'!$C$61&amp;",λ)"</f>
        <v>c(65,λ)</v>
      </c>
      <c r="F20" s="74"/>
      <c r="G20" s="6" t="s">
        <v>69</v>
      </c>
      <c r="H20" s="6"/>
      <c r="I20" s="6"/>
      <c r="J20" s="6"/>
      <c r="K20" s="6"/>
      <c r="L20" s="6"/>
      <c r="M20" s="6"/>
    </row>
    <row r="21" spans="1:13" hidden="1" x14ac:dyDescent="0.2">
      <c r="A21" s="60"/>
      <c r="B21" s="60">
        <v>380</v>
      </c>
      <c r="C21" s="75">
        <f>10^(-(($G$21+$H$21*'Advanced Outputs'!C$61^$I$21)*(($B21/$M$21)^-$K$21)+($G$22+$H$22*'Advanced Outputs'!C$61^$I$22)*$J$22*EXP(-(($L$22*($B21-$M$22))^$K$22))+($G$23+$H$23*'Advanced Outputs'!C$61^$I$23)*$J$23*EXP(-(($L$23*($B21-$M$23))^$K$23))+($G$24+$H$24*'Advanced Outputs'!C$61^$I$24)*$J$24*EXP(-(($L$24*($B21-$M$24))^$K$24))+($G$25+$H$25*'Advanced Outputs'!C$61^$I$25)*$J$25*EXP(-(($L$25*($B21-$M$25))^$K$25))+$G$26))</f>
        <v>5.3056509477564241E-6</v>
      </c>
      <c r="D21" s="75">
        <f>10^(-(($G$21+$H$21*'Advanced Outputs'!C$60^$I$21)*(($B21/$M$21)^-$K$21)+($G$22+$H$22*'Advanced Outputs'!C$60^$I$22)*$J$22*EXP(-(($L$22*($B21-$M$22))^$K$22))+($G$23+$H$23*'Advanced Outputs'!C$60^$I$23)*$J$23*EXP(-(($L$23*($B21-$M$23))^$K$23))+($G$24+$H$24*'Advanced Outputs'!C$60^$I$24)*$J$24*EXP(-(($L$24*($B21-$M$24))^$K$24))+($G$25+$H$25*'Advanced Outputs'!C$60^$I$25)*$J$25*EXP(-(($L$25*($B21-$M$25))^$K$25))+$G$26))</f>
        <v>6.6635291703277236E-4</v>
      </c>
      <c r="E21" s="75">
        <f t="shared" ref="E21:E84" si="0">C21/D21</f>
        <v>7.9622236387621049E-3</v>
      </c>
      <c r="F21" s="74"/>
      <c r="G21" s="6">
        <v>0.15</v>
      </c>
      <c r="H21" s="6">
        <v>3.1000000000000001E-5</v>
      </c>
      <c r="I21" s="6">
        <v>2</v>
      </c>
      <c r="J21" s="6" t="s">
        <v>70</v>
      </c>
      <c r="K21" s="6">
        <v>4</v>
      </c>
      <c r="L21" s="6" t="s">
        <v>70</v>
      </c>
      <c r="M21" s="6">
        <v>400</v>
      </c>
    </row>
    <row r="22" spans="1:13" hidden="1" x14ac:dyDescent="0.2">
      <c r="A22" s="60"/>
      <c r="B22" s="60">
        <v>381</v>
      </c>
      <c r="C22" s="75">
        <f>10^(-(($G$21+$H$21*'Advanced Outputs'!C$61^$I$21)*(($B22/$M$21)^-$K$21)+($G$22+$H$22*'Advanced Outputs'!C$61^$I$22)*$J$22*EXP(-(($L$22*($B22-$M$22))^$K$22))+($G$23+$H$23*'Advanced Outputs'!C$61^$I$23)*$J$23*EXP(-(($L$23*($B22-$M$23))^$K$23))+($G$24+$H$24*'Advanced Outputs'!C$61^$I$24)*$J$24*EXP(-(($L$24*($B22-$M$24))^$K$24))+($G$25+$H$25*'Advanced Outputs'!C$61^$I$25)*$J$25*EXP(-(($L$25*($B22-$M$25))^$K$25))+$G$26))</f>
        <v>7.7098783361213153E-6</v>
      </c>
      <c r="D22" s="75">
        <f>10^(-(($G$21+$H$21*'Advanced Outputs'!C$60^$I$21)*(($B22/$M$21)^-$K$21)+($G$22+$H$22*'Advanced Outputs'!C$60^$I$22)*$J$22*EXP(-(($L$22*($B22-$M$22))^$K$22))+($G$23+$H$23*'Advanced Outputs'!C$60^$I$23)*$J$23*EXP(-(($L$23*($B22-$M$23))^$K$23))+($G$24+$H$24*'Advanced Outputs'!C$60^$I$24)*$J$24*EXP(-(($L$24*($B22-$M$24))^$K$24))+($G$25+$H$25*'Advanced Outputs'!C$60^$I$25)*$J$25*EXP(-(($L$25*($B22-$M$25))^$K$25))+$G$26))</f>
        <v>7.9176263802157297E-4</v>
      </c>
      <c r="E22" s="75">
        <f t="shared" si="0"/>
        <v>9.7376132263407543E-3</v>
      </c>
      <c r="F22" s="74"/>
      <c r="G22" s="6">
        <v>14.19</v>
      </c>
      <c r="H22" s="6">
        <v>0</v>
      </c>
      <c r="I22" s="6">
        <v>0</v>
      </c>
      <c r="J22" s="6">
        <v>10.68</v>
      </c>
      <c r="K22" s="6">
        <v>2</v>
      </c>
      <c r="L22" s="6">
        <v>5.7000000000000002E-2</v>
      </c>
      <c r="M22" s="6">
        <v>273</v>
      </c>
    </row>
    <row r="23" spans="1:13" hidden="1" x14ac:dyDescent="0.2">
      <c r="A23" s="60"/>
      <c r="B23" s="60">
        <v>382</v>
      </c>
      <c r="C23" s="75">
        <f>10^(-(($G$21+$H$21*'Advanced Outputs'!C$61^$I$21)*(($B23/$M$21)^-$K$21)+($G$22+$H$22*'Advanced Outputs'!C$61^$I$22)*$J$22*EXP(-(($L$22*($B23-$M$22))^$K$22))+($G$23+$H$23*'Advanced Outputs'!C$61^$I$23)*$J$23*EXP(-(($L$23*($B23-$M$23))^$K$23))+($G$24+$H$24*'Advanced Outputs'!C$61^$I$24)*$J$24*EXP(-(($L$24*($B23-$M$24))^$K$24))+($G$25+$H$25*'Advanced Outputs'!C$61^$I$25)*$J$25*EXP(-(($L$25*($B23-$M$25))^$K$25))+$G$26))</f>
        <v>1.1154163026222007E-5</v>
      </c>
      <c r="D23" s="75">
        <f>10^(-(($G$21+$H$21*'Advanced Outputs'!C$60^$I$21)*(($B23/$M$21)^-$K$21)+($G$22+$H$22*'Advanced Outputs'!C$60^$I$22)*$J$22*EXP(-(($L$22*($B23-$M$22))^$K$22))+($G$23+$H$23*'Advanced Outputs'!C$60^$I$23)*$J$23*EXP(-(($L$23*($B23-$M$23))^$K$23))+($G$24+$H$24*'Advanced Outputs'!C$60^$I$24)*$J$24*EXP(-(($L$24*($B23-$M$24))^$K$24))+($G$25+$H$25*'Advanced Outputs'!C$60^$I$25)*$J$25*EXP(-(($L$25*($B23-$M$25))^$K$25))+$G$26))</f>
        <v>9.4372106823889404E-4</v>
      </c>
      <c r="E23" s="75">
        <f t="shared" si="0"/>
        <v>1.1819343025834024E-2</v>
      </c>
      <c r="F23" s="74"/>
      <c r="G23" s="6">
        <v>1.05</v>
      </c>
      <c r="H23" s="6">
        <v>-6.3E-5</v>
      </c>
      <c r="I23" s="6">
        <v>2</v>
      </c>
      <c r="J23" s="6">
        <v>2.13</v>
      </c>
      <c r="K23" s="6">
        <v>2</v>
      </c>
      <c r="L23" s="6">
        <v>2.9000000000000001E-2</v>
      </c>
      <c r="M23" s="6">
        <v>370</v>
      </c>
    </row>
    <row r="24" spans="1:13" hidden="1" x14ac:dyDescent="0.2">
      <c r="A24" s="60"/>
      <c r="B24" s="60">
        <v>383</v>
      </c>
      <c r="C24" s="75">
        <f>10^(-(($G$21+$H$21*'Advanced Outputs'!C$61^$I$21)*(($B24/$M$21)^-$K$21)+($G$22+$H$22*'Advanced Outputs'!C$61^$I$22)*$J$22*EXP(-(($L$22*($B24-$M$22))^$K$22))+($G$23+$H$23*'Advanced Outputs'!C$61^$I$23)*$J$23*EXP(-(($L$23*($B24-$M$23))^$K$23))+($G$24+$H$24*'Advanced Outputs'!C$61^$I$24)*$J$24*EXP(-(($L$24*($B24-$M$24))^$K$24))+($G$25+$H$25*'Advanced Outputs'!C$61^$I$25)*$J$25*EXP(-(($L$25*($B24-$M$25))^$K$25))+$G$26))</f>
        <v>1.6060210901495024E-5</v>
      </c>
      <c r="D24" s="75">
        <f>10^(-(($G$21+$H$21*'Advanced Outputs'!C$60^$I$21)*(($B24/$M$21)^-$K$21)+($G$22+$H$22*'Advanced Outputs'!C$60^$I$22)*$J$22*EXP(-(($L$22*($B24-$M$22))^$K$22))+($G$23+$H$23*'Advanced Outputs'!C$60^$I$23)*$J$23*EXP(-(($L$23*($B24-$M$23))^$K$23))+($G$24+$H$24*'Advanced Outputs'!C$60^$I$24)*$J$24*EXP(-(($L$24*($B24-$M$24))^$K$24))+($G$25+$H$25*'Advanced Outputs'!C$60^$I$25)*$J$25*EXP(-(($L$25*($B24-$M$25))^$K$25))+$G$26))</f>
        <v>1.1279109285279203E-3</v>
      </c>
      <c r="E24" s="75">
        <f t="shared" si="0"/>
        <v>1.4238899983401897E-2</v>
      </c>
      <c r="F24" s="74"/>
      <c r="G24" s="6">
        <v>5.8999999999999997E-2</v>
      </c>
      <c r="H24" s="6">
        <v>1.8599999999999999E-4</v>
      </c>
      <c r="I24" s="6">
        <v>2</v>
      </c>
      <c r="J24" s="6">
        <v>11.95</v>
      </c>
      <c r="K24" s="6">
        <v>2</v>
      </c>
      <c r="L24" s="6">
        <v>2.1000000000000001E-2</v>
      </c>
      <c r="M24" s="6">
        <v>325</v>
      </c>
    </row>
    <row r="25" spans="1:13" hidden="1" x14ac:dyDescent="0.2">
      <c r="A25" s="60"/>
      <c r="B25" s="60">
        <v>384</v>
      </c>
      <c r="C25" s="75">
        <f>10^(-(($G$21+$H$21*'Advanced Outputs'!C$61^$I$21)*(($B25/$M$21)^-$K$21)+($G$22+$H$22*'Advanced Outputs'!C$61^$I$22)*$J$22*EXP(-(($L$22*($B25-$M$22))^$K$22))+($G$23+$H$23*'Advanced Outputs'!C$61^$I$23)*$J$23*EXP(-(($L$23*($B25-$M$23))^$K$23))+($G$24+$H$24*'Advanced Outputs'!C$61^$I$24)*$J$24*EXP(-(($L$24*($B25-$M$24))^$K$24))+($G$25+$H$25*'Advanced Outputs'!C$61^$I$25)*$J$25*EXP(-(($L$25*($B25-$M$25))^$K$25))+$G$26))</f>
        <v>2.300588524056653E-5</v>
      </c>
      <c r="D25" s="75">
        <f>10^(-(($G$21+$H$21*'Advanced Outputs'!C$60^$I$21)*(($B25/$M$21)^-$K$21)+($G$22+$H$22*'Advanced Outputs'!C$60^$I$22)*$J$22*EXP(-(($L$22*($B25-$M$22))^$K$22))+($G$23+$H$23*'Advanced Outputs'!C$60^$I$23)*$J$23*EXP(-(($L$23*($B25-$M$23))^$K$23))+($G$24+$H$24*'Advanced Outputs'!C$60^$I$24)*$J$24*EXP(-(($L$24*($B25-$M$24))^$K$24))+($G$25+$H$25*'Advanced Outputs'!C$60^$I$25)*$J$25*EXP(-(($L$25*($B25-$M$25))^$K$25))+$G$26))</f>
        <v>1.3511634482730125E-3</v>
      </c>
      <c r="E25" s="75">
        <f t="shared" si="0"/>
        <v>1.7026722614478261E-2</v>
      </c>
      <c r="F25" s="74"/>
      <c r="G25" s="6">
        <v>1.6E-2</v>
      </c>
      <c r="H25" s="6">
        <v>1.3200000000000001E-4</v>
      </c>
      <c r="I25" s="6">
        <v>2</v>
      </c>
      <c r="J25" s="6">
        <v>1.43</v>
      </c>
      <c r="K25" s="6">
        <v>2</v>
      </c>
      <c r="L25" s="6">
        <v>8.0000000000000002E-3</v>
      </c>
      <c r="M25" s="6">
        <v>325</v>
      </c>
    </row>
    <row r="26" spans="1:13" hidden="1" x14ac:dyDescent="0.2">
      <c r="A26" s="60"/>
      <c r="B26" s="60">
        <v>385</v>
      </c>
      <c r="C26" s="75">
        <f>10^(-(($G$21+$H$21*'Advanced Outputs'!C$61^$I$21)*(($B26/$M$21)^-$K$21)+($G$22+$H$22*'Advanced Outputs'!C$61^$I$22)*$J$22*EXP(-(($L$22*($B26-$M$22))^$K$22))+($G$23+$H$23*'Advanced Outputs'!C$61^$I$23)*$J$23*EXP(-(($L$23*($B26-$M$23))^$K$23))+($G$24+$H$24*'Advanced Outputs'!C$61^$I$24)*$J$24*EXP(-(($L$24*($B26-$M$24))^$K$24))+($G$25+$H$25*'Advanced Outputs'!C$61^$I$25)*$J$25*EXP(-(($L$25*($B26-$M$25))^$K$25))+$G$26))</f>
        <v>3.2775836994175503E-5</v>
      </c>
      <c r="D26" s="75">
        <f>10^(-(($G$21+$H$21*'Advanced Outputs'!C$60^$I$21)*(($B26/$M$21)^-$K$21)+($G$22+$H$22*'Advanced Outputs'!C$60^$I$22)*$J$22*EXP(-(($L$22*($B26-$M$22))^$K$22))+($G$23+$H$23*'Advanced Outputs'!C$60^$I$23)*$J$23*EXP(-(($L$23*($B26-$M$23))^$K$23))+($G$24+$H$24*'Advanced Outputs'!C$60^$I$24)*$J$24*EXP(-(($L$24*($B26-$M$24))^$K$24))+($G$25+$H$25*'Advanced Outputs'!C$60^$I$25)*$J$25*EXP(-(($L$25*($B26-$M$25))^$K$25))+$G$26))</f>
        <v>1.6216547094091897E-3</v>
      </c>
      <c r="E26" s="75">
        <f t="shared" si="0"/>
        <v>2.0211353751204274E-2</v>
      </c>
      <c r="F26" s="74"/>
      <c r="G26" s="6">
        <v>0.06</v>
      </c>
      <c r="H26" s="6" t="s">
        <v>71</v>
      </c>
      <c r="I26" s="6"/>
      <c r="J26" s="6"/>
      <c r="K26" s="6"/>
      <c r="L26" s="6"/>
      <c r="M26" s="6"/>
    </row>
    <row r="27" spans="1:13" hidden="1" x14ac:dyDescent="0.2">
      <c r="A27" s="60"/>
      <c r="B27" s="60">
        <v>386</v>
      </c>
      <c r="C27" s="75">
        <f>10^(-(($G$21+$H$21*'Advanced Outputs'!C$61^$I$21)*(($B27/$M$21)^-$K$21)+($G$22+$H$22*'Advanced Outputs'!C$61^$I$22)*$J$22*EXP(-(($L$22*($B27-$M$22))^$K$22))+($G$23+$H$23*'Advanced Outputs'!C$61^$I$23)*$J$23*EXP(-(($L$23*($B27-$M$23))^$K$23))+($G$24+$H$24*'Advanced Outputs'!C$61^$I$24)*$J$24*EXP(-(($L$24*($B27-$M$24))^$K$24))+($G$25+$H$25*'Advanced Outputs'!C$61^$I$25)*$J$25*EXP(-(($L$25*($B27-$M$25))^$K$25))+$G$26))</f>
        <v>4.6425335804755527E-5</v>
      </c>
      <c r="D27" s="75">
        <f>10^(-(($G$21+$H$21*'Advanced Outputs'!C$60^$I$21)*(($B27/$M$21)^-$K$21)+($G$22+$H$22*'Advanced Outputs'!C$60^$I$22)*$J$22*EXP(-(($L$22*($B27-$M$22))^$K$22))+($G$23+$H$23*'Advanced Outputs'!C$60^$I$23)*$J$23*EXP(-(($L$23*($B27-$M$23))^$K$23))+($G$24+$H$24*'Advanced Outputs'!C$60^$I$24)*$J$24*EXP(-(($L$24*($B27-$M$24))^$K$24))+($G$25+$H$25*'Advanced Outputs'!C$60^$I$25)*$J$25*EXP(-(($L$25*($B27-$M$25))^$K$25))+$G$26))</f>
        <v>1.9491222643824538E-3</v>
      </c>
      <c r="E27" s="75">
        <f t="shared" si="0"/>
        <v>2.3818585756837887E-2</v>
      </c>
      <c r="F27" s="74"/>
      <c r="G27" s="6"/>
      <c r="H27" s="6"/>
      <c r="I27" s="6"/>
      <c r="J27" s="6"/>
      <c r="K27" s="6"/>
      <c r="L27" s="6"/>
      <c r="M27" s="6"/>
    </row>
    <row r="28" spans="1:13" hidden="1" x14ac:dyDescent="0.2">
      <c r="A28" s="60"/>
      <c r="B28" s="60">
        <v>387</v>
      </c>
      <c r="C28" s="75">
        <f>10^(-(($G$21+$H$21*'Advanced Outputs'!C$61^$I$21)*(($B28/$M$21)^-$K$21)+($G$22+$H$22*'Advanced Outputs'!C$61^$I$22)*$J$22*EXP(-(($L$22*($B28-$M$22))^$K$22))+($G$23+$H$23*'Advanced Outputs'!C$61^$I$23)*$J$23*EXP(-(($L$23*($B28-$M$23))^$K$23))+($G$24+$H$24*'Advanced Outputs'!C$61^$I$24)*$J$24*EXP(-(($L$24*($B28-$M$24))^$K$24))+($G$25+$H$25*'Advanced Outputs'!C$61^$I$25)*$J$25*EXP(-(($L$25*($B28-$M$25))^$K$25))+$G$26))</f>
        <v>6.5359417722152735E-5</v>
      </c>
      <c r="D28" s="75">
        <f>10^(-(($G$21+$H$21*'Advanced Outputs'!C$60^$I$21)*(($B28/$M$21)^-$K$21)+($G$22+$H$22*'Advanced Outputs'!C$60^$I$22)*$J$22*EXP(-(($L$22*($B28-$M$22))^$K$22))+($G$23+$H$23*'Advanced Outputs'!C$60^$I$23)*$J$23*EXP(-(($L$23*($B28-$M$23))^$K$23))+($G$24+$H$24*'Advanced Outputs'!C$60^$I$24)*$J$24*EXP(-(($L$24*($B28-$M$24))^$K$24))+($G$25+$H$25*'Advanced Outputs'!C$60^$I$25)*$J$25*EXP(-(($L$25*($B28-$M$25))^$K$25))+$G$26))</f>
        <v>2.3450995500694256E-3</v>
      </c>
      <c r="E28" s="75">
        <f t="shared" si="0"/>
        <v>2.7870636758349044E-2</v>
      </c>
      <c r="F28" s="74"/>
      <c r="G28" s="6"/>
      <c r="H28" s="6"/>
      <c r="I28" s="6"/>
      <c r="J28" s="6"/>
      <c r="K28" s="6"/>
      <c r="L28" s="6"/>
      <c r="M28" s="6"/>
    </row>
    <row r="29" spans="1:13" hidden="1" x14ac:dyDescent="0.2">
      <c r="A29" s="60"/>
      <c r="B29" s="60">
        <v>388</v>
      </c>
      <c r="C29" s="75">
        <f>10^(-(($G$21+$H$21*'Advanced Outputs'!C$61^$I$21)*(($B29/$M$21)^-$K$21)+($G$22+$H$22*'Advanced Outputs'!C$61^$I$22)*$J$22*EXP(-(($L$22*($B29-$M$22))^$K$22))+($G$23+$H$23*'Advanced Outputs'!C$61^$I$23)*$J$23*EXP(-(($L$23*($B29-$M$23))^$K$23))+($G$24+$H$24*'Advanced Outputs'!C$61^$I$24)*$J$24*EXP(-(($L$24*($B29-$M$24))^$K$24))+($G$25+$H$25*'Advanced Outputs'!C$61^$I$25)*$J$25*EXP(-(($L$25*($B29-$M$25))^$K$25))+$G$26))</f>
        <v>9.1429277962770038E-5</v>
      </c>
      <c r="D29" s="75">
        <f>10^(-(($G$21+$H$21*'Advanced Outputs'!C$60^$I$21)*(($B29/$M$21)^-$K$21)+($G$22+$H$22*'Advanced Outputs'!C$60^$I$22)*$J$22*EXP(-(($L$22*($B29-$M$22))^$K$22))+($G$23+$H$23*'Advanced Outputs'!C$60^$I$23)*$J$23*EXP(-(($L$23*($B29-$M$23))^$K$23))+($G$24+$H$24*'Advanced Outputs'!C$60^$I$24)*$J$24*EXP(-(($L$24*($B29-$M$24))^$K$24))+($G$25+$H$25*'Advanced Outputs'!C$60^$I$25)*$J$25*EXP(-(($L$25*($B29-$M$25))^$K$25))+$G$26))</f>
        <v>2.823163749582198E-3</v>
      </c>
      <c r="E29" s="75">
        <f t="shared" si="0"/>
        <v>3.2385396694152337E-2</v>
      </c>
      <c r="F29" s="74"/>
      <c r="G29" s="6"/>
      <c r="H29" s="6"/>
      <c r="I29" s="6"/>
      <c r="J29" s="6"/>
      <c r="K29" s="6"/>
      <c r="L29" s="6"/>
      <c r="M29" s="6"/>
    </row>
    <row r="30" spans="1:13" hidden="1" x14ac:dyDescent="0.2">
      <c r="A30" s="60"/>
      <c r="B30" s="60">
        <v>389</v>
      </c>
      <c r="C30" s="75">
        <f>10^(-(($G$21+$H$21*'Advanced Outputs'!C$61^$I$21)*(($B30/$M$21)^-$K$21)+($G$22+$H$22*'Advanced Outputs'!C$61^$I$22)*$J$22*EXP(-(($L$22*($B30-$M$22))^$K$22))+($G$23+$H$23*'Advanced Outputs'!C$61^$I$23)*$J$23*EXP(-(($L$23*($B30-$M$23))^$K$23))+($G$24+$H$24*'Advanced Outputs'!C$61^$I$24)*$J$24*EXP(-(($L$24*($B30-$M$24))^$K$24))+($G$25+$H$25*'Advanced Outputs'!C$61^$I$25)*$J$25*EXP(-(($L$25*($B30-$M$25))^$K$25))+$G$26))</f>
        <v>1.2704739481340859E-4</v>
      </c>
      <c r="D30" s="75">
        <f>10^(-(($G$21+$H$21*'Advanced Outputs'!C$60^$I$21)*(($B30/$M$21)^-$K$21)+($G$22+$H$22*'Advanced Outputs'!C$60^$I$22)*$J$22*EXP(-(($L$22*($B30-$M$22))^$K$22))+($G$23+$H$23*'Advanced Outputs'!C$60^$I$23)*$J$23*EXP(-(($L$23*($B30-$M$23))^$K$23))+($G$24+$H$24*'Advanced Outputs'!C$60^$I$24)*$J$24*EXP(-(($L$24*($B30-$M$24))^$K$24))+($G$25+$H$25*'Advanced Outputs'!C$60^$I$25)*$J$25*EXP(-(($L$25*($B30-$M$25))^$K$25))+$G$26))</f>
        <v>3.3991904996914755E-3</v>
      </c>
      <c r="E30" s="75">
        <f t="shared" si="0"/>
        <v>3.7375779564263883E-2</v>
      </c>
      <c r="F30" s="74"/>
      <c r="G30" s="6"/>
      <c r="H30" s="6"/>
      <c r="I30" s="6"/>
      <c r="J30" s="6"/>
      <c r="K30" s="6"/>
      <c r="L30" s="6"/>
      <c r="M30" s="6"/>
    </row>
    <row r="31" spans="1:13" hidden="1" x14ac:dyDescent="0.2">
      <c r="A31" s="60"/>
      <c r="B31" s="60">
        <v>390</v>
      </c>
      <c r="C31" s="75">
        <f>10^(-(($G$21+$H$21*'Advanced Outputs'!C$61^$I$21)*(($B31/$M$21)^-$K$21)+($G$22+$H$22*'Advanced Outputs'!C$61^$I$22)*$J$22*EXP(-(($L$22*($B31-$M$22))^$K$22))+($G$23+$H$23*'Advanced Outputs'!C$61^$I$23)*$J$23*EXP(-(($L$23*($B31-$M$23))^$K$23))+($G$24+$H$24*'Advanced Outputs'!C$61^$I$24)*$J$24*EXP(-(($L$24*($B31-$M$24))^$K$24))+($G$25+$H$25*'Advanced Outputs'!C$61^$I$25)*$J$25*EXP(-(($L$25*($B31-$M$25))^$K$25))+$G$26))</f>
        <v>1.7532210911491938E-4</v>
      </c>
      <c r="D31" s="75">
        <f>10^(-(($G$21+$H$21*'Advanced Outputs'!C$60^$I$21)*(($B31/$M$21)^-$K$21)+($G$22+$H$22*'Advanced Outputs'!C$60^$I$22)*$J$22*EXP(-(($L$22*($B31-$M$22))^$K$22))+($G$23+$H$23*'Advanced Outputs'!C$60^$I$23)*$J$23*EXP(-(($L$23*($B31-$M$23))^$K$23))+($G$24+$H$24*'Advanced Outputs'!C$60^$I$24)*$J$24*EXP(-(($L$24*($B31-$M$24))^$K$24))+($G$25+$H$25*'Advanced Outputs'!C$60^$I$25)*$J$25*EXP(-(($L$25*($B31-$M$25))^$K$25))+$G$26))</f>
        <v>4.0916062486748119E-3</v>
      </c>
      <c r="E31" s="75">
        <f t="shared" si="0"/>
        <v>4.2849213355195814E-2</v>
      </c>
      <c r="F31" s="74"/>
      <c r="G31" s="6"/>
      <c r="H31" s="6"/>
      <c r="I31" s="6"/>
      <c r="J31" s="6"/>
      <c r="K31" s="6"/>
      <c r="L31" s="6"/>
      <c r="M31" s="6"/>
    </row>
    <row r="32" spans="1:13" hidden="1" x14ac:dyDescent="0.2">
      <c r="A32" s="60"/>
      <c r="B32" s="60">
        <v>391</v>
      </c>
      <c r="C32" s="75">
        <f>10^(-(($G$21+$H$21*'Advanced Outputs'!C$61^$I$21)*(($B32/$M$21)^-$K$21)+($G$22+$H$22*'Advanced Outputs'!C$61^$I$22)*$J$22*EXP(-(($L$22*($B32-$M$22))^$K$22))+($G$23+$H$23*'Advanced Outputs'!C$61^$I$23)*$J$23*EXP(-(($L$23*($B32-$M$23))^$K$23))+($G$24+$H$24*'Advanced Outputs'!C$61^$I$24)*$J$24*EXP(-(($L$24*($B32-$M$24))^$K$24))+($G$25+$H$25*'Advanced Outputs'!C$61^$I$25)*$J$25*EXP(-(($L$25*($B32-$M$25))^$K$25))+$G$26))</f>
        <v>2.4021124912262259E-4</v>
      </c>
      <c r="D32" s="75">
        <f>10^(-(($G$21+$H$21*'Advanced Outputs'!C$60^$I$21)*(($B32/$M$21)^-$K$21)+($G$22+$H$22*'Advanced Outputs'!C$60^$I$22)*$J$22*EXP(-(($L$22*($B32-$M$22))^$K$22))+($G$23+$H$23*'Advanced Outputs'!C$60^$I$23)*$J$23*EXP(-(($L$23*($B32-$M$23))^$K$23))+($G$24+$H$24*'Advanced Outputs'!C$60^$I$24)*$J$24*EXP(-(($L$24*($B32-$M$24))^$K$24))+($G$25+$H$25*'Advanced Outputs'!C$60^$I$25)*$J$25*EXP(-(($L$25*($B32-$M$25))^$K$25))+$G$26))</f>
        <v>4.9216262347989348E-3</v>
      </c>
      <c r="E32" s="75">
        <f t="shared" si="0"/>
        <v>4.8807292074351527E-2</v>
      </c>
      <c r="F32" s="74"/>
      <c r="G32" s="6"/>
      <c r="H32" s="6"/>
      <c r="I32" s="6"/>
      <c r="J32" s="6"/>
      <c r="K32" s="6"/>
      <c r="L32" s="6"/>
      <c r="M32" s="6"/>
    </row>
    <row r="33" spans="1:13" hidden="1" x14ac:dyDescent="0.2">
      <c r="A33" s="60"/>
      <c r="B33" s="60">
        <v>392</v>
      </c>
      <c r="C33" s="75">
        <f>10^(-(($G$21+$H$21*'Advanced Outputs'!C$61^$I$21)*(($B33/$M$21)^-$K$21)+($G$22+$H$22*'Advanced Outputs'!C$61^$I$22)*$J$22*EXP(-(($L$22*($B33-$M$22))^$K$22))+($G$23+$H$23*'Advanced Outputs'!C$61^$I$23)*$J$23*EXP(-(($L$23*($B33-$M$23))^$K$23))+($G$24+$H$24*'Advanced Outputs'!C$61^$I$24)*$J$24*EXP(-(($L$24*($B33-$M$24))^$K$24))+($G$25+$H$25*'Advanced Outputs'!C$61^$I$25)*$J$25*EXP(-(($L$25*($B33-$M$25))^$K$25))+$G$26))</f>
        <v>3.266928530256215E-4</v>
      </c>
      <c r="D33" s="75">
        <f>10^(-(($G$21+$H$21*'Advanced Outputs'!C$60^$I$21)*(($B33/$M$21)^-$K$21)+($G$22+$H$22*'Advanced Outputs'!C$60^$I$22)*$J$22*EXP(-(($L$22*($B33-$M$22))^$K$22))+($G$23+$H$23*'Advanced Outputs'!C$60^$I$23)*$J$23*EXP(-(($L$23*($B33-$M$23))^$K$23))+($G$24+$H$24*'Advanced Outputs'!C$60^$I$24)*$J$24*EXP(-(($L$24*($B33-$M$24))^$K$24))+($G$25+$H$25*'Advanced Outputs'!C$60^$I$25)*$J$25*EXP(-(($L$25*($B33-$M$25))^$K$25))+$G$26))</f>
        <v>5.9134631371136814E-3</v>
      </c>
      <c r="E33" s="75">
        <f t="shared" si="0"/>
        <v>5.5245605739089453E-2</v>
      </c>
      <c r="F33" s="74"/>
      <c r="G33" s="6"/>
      <c r="H33" s="6"/>
      <c r="I33" s="6"/>
      <c r="J33" s="6"/>
      <c r="K33" s="6"/>
      <c r="L33" s="6"/>
      <c r="M33" s="6"/>
    </row>
    <row r="34" spans="1:13" hidden="1" x14ac:dyDescent="0.2">
      <c r="A34" s="60"/>
      <c r="B34" s="60">
        <v>393</v>
      </c>
      <c r="C34" s="75">
        <f>10^(-(($G$21+$H$21*'Advanced Outputs'!C$61^$I$21)*(($B34/$M$21)^-$K$21)+($G$22+$H$22*'Advanced Outputs'!C$61^$I$22)*$J$22*EXP(-(($L$22*($B34-$M$22))^$K$22))+($G$23+$H$23*'Advanced Outputs'!C$61^$I$23)*$J$23*EXP(-(($L$23*($B34-$M$23))^$K$23))+($G$24+$H$24*'Advanced Outputs'!C$61^$I$24)*$J$24*EXP(-(($L$24*($B34-$M$24))^$K$24))+($G$25+$H$25*'Advanced Outputs'!C$61^$I$25)*$J$25*EXP(-(($L$25*($B34-$M$25))^$K$25))+$G$26))</f>
        <v>4.4094910867251814E-4</v>
      </c>
      <c r="D34" s="75">
        <f>10^(-(($G$21+$H$21*'Advanced Outputs'!C$60^$I$21)*(($B34/$M$21)^-$K$21)+($G$22+$H$22*'Advanced Outputs'!C$60^$I$22)*$J$22*EXP(-(($L$22*($B34-$M$22))^$K$22))+($G$23+$H$23*'Advanced Outputs'!C$60^$I$23)*$J$23*EXP(-(($L$23*($B34-$M$23))^$K$23))+($G$24+$H$24*'Advanced Outputs'!C$60^$I$24)*$J$24*EXP(-(($L$24*($B34-$M$24))^$K$24))+($G$25+$H$25*'Advanced Outputs'!C$60^$I$25)*$J$25*EXP(-(($L$25*($B34-$M$25))^$K$25))+$G$26))</f>
        <v>7.094488670552769E-3</v>
      </c>
      <c r="E34" s="75">
        <f t="shared" si="0"/>
        <v>6.2153754717062852E-2</v>
      </c>
      <c r="F34" s="74"/>
      <c r="G34" s="6"/>
      <c r="H34" s="6"/>
      <c r="I34" s="6"/>
      <c r="J34" s="6"/>
      <c r="K34" s="6"/>
      <c r="L34" s="6"/>
      <c r="M34" s="6"/>
    </row>
    <row r="35" spans="1:13" hidden="1" x14ac:dyDescent="0.2">
      <c r="A35" s="60"/>
      <c r="B35" s="60">
        <v>394</v>
      </c>
      <c r="C35" s="75">
        <f>10^(-(($G$21+$H$21*'Advanced Outputs'!C$61^$I$21)*(($B35/$M$21)^-$K$21)+($G$22+$H$22*'Advanced Outputs'!C$61^$I$22)*$J$22*EXP(-(($L$22*($B35-$M$22))^$K$22))+($G$23+$H$23*'Advanced Outputs'!C$61^$I$23)*$J$23*EXP(-(($L$23*($B35-$M$23))^$K$23))+($G$24+$H$24*'Advanced Outputs'!C$61^$I$24)*$J$24*EXP(-(($L$24*($B35-$M$24))^$K$24))+($G$25+$H$25*'Advanced Outputs'!C$61^$I$25)*$J$25*EXP(-(($L$25*($B35-$M$25))^$K$25))+$G$26))</f>
        <v>5.9055736085305991E-4</v>
      </c>
      <c r="D35" s="75">
        <f>10^(-(($G$21+$H$21*'Advanced Outputs'!C$60^$I$21)*(($B35/$M$21)^-$K$21)+($G$22+$H$22*'Advanced Outputs'!C$60^$I$22)*$J$22*EXP(-(($L$22*($B35-$M$22))^$K$22))+($G$23+$H$23*'Advanced Outputs'!C$60^$I$23)*$J$23*EXP(-(($L$23*($B35-$M$23))^$K$23))+($G$24+$H$24*'Advanced Outputs'!C$60^$I$24)*$J$24*EXP(-(($L$24*($B35-$M$24))^$K$24))+($G$25+$H$25*'Advanced Outputs'!C$60^$I$25)*$J$25*EXP(-(($L$25*($B35-$M$25))^$K$25))+$G$26))</f>
        <v>8.4953280415337225E-3</v>
      </c>
      <c r="E35" s="75">
        <f t="shared" si="0"/>
        <v>6.9515545246260121E-2</v>
      </c>
      <c r="F35" s="74"/>
      <c r="G35" s="6"/>
      <c r="H35" s="6"/>
      <c r="I35" s="6"/>
      <c r="J35" s="6"/>
      <c r="K35" s="6"/>
      <c r="L35" s="6"/>
      <c r="M35" s="6"/>
    </row>
    <row r="36" spans="1:13" hidden="1" x14ac:dyDescent="0.2">
      <c r="A36" s="60"/>
      <c r="B36" s="60">
        <v>395</v>
      </c>
      <c r="C36" s="75">
        <f>10^(-(($G$21+$H$21*'Advanced Outputs'!C$61^$I$21)*(($B36/$M$21)^-$K$21)+($G$22+$H$22*'Advanced Outputs'!C$61^$I$22)*$J$22*EXP(-(($L$22*($B36-$M$22))^$K$22))+($G$23+$H$23*'Advanced Outputs'!C$61^$I$23)*$J$23*EXP(-(($L$23*($B36-$M$23))^$K$23))+($G$24+$H$24*'Advanced Outputs'!C$61^$I$24)*$J$24*EXP(-(($L$24*($B36-$M$24))^$K$24))+($G$25+$H$25*'Advanced Outputs'!C$61^$I$25)*$J$25*EXP(-(($L$25*($B36-$M$25))^$K$25))+$G$26))</f>
        <v>7.8467955127670662E-4</v>
      </c>
      <c r="D36" s="75">
        <f>10^(-(($G$21+$H$21*'Advanced Outputs'!C$60^$I$21)*(($B36/$M$21)^-$K$21)+($G$22+$H$22*'Advanced Outputs'!C$60^$I$22)*$J$22*EXP(-(($L$22*($B36-$M$22))^$K$22))+($G$23+$H$23*'Advanced Outputs'!C$60^$I$23)*$J$23*EXP(-(($L$23*($B36-$M$23))^$K$23))+($G$24+$H$24*'Advanced Outputs'!C$60^$I$24)*$J$24*EXP(-(($L$24*($B36-$M$24))^$K$24))+($G$25+$H$25*'Advanced Outputs'!C$60^$I$25)*$J$25*EXP(-(($L$25*($B36-$M$25))^$K$25))+$G$26))</f>
        <v>1.0149865583324027E-2</v>
      </c>
      <c r="E36" s="75">
        <f t="shared" si="0"/>
        <v>7.7309353984540974E-2</v>
      </c>
      <c r="F36" s="74"/>
      <c r="G36" s="6"/>
      <c r="H36" s="6"/>
      <c r="I36" s="6"/>
      <c r="J36" s="6"/>
      <c r="K36" s="6"/>
      <c r="L36" s="6"/>
      <c r="M36" s="6"/>
    </row>
    <row r="37" spans="1:13" hidden="1" x14ac:dyDescent="0.2">
      <c r="A37" s="60"/>
      <c r="B37" s="60">
        <v>396</v>
      </c>
      <c r="C37" s="75">
        <f>10^(-(($G$21+$H$21*'Advanced Outputs'!C$61^$I$21)*(($B37/$M$21)^-$K$21)+($G$22+$H$22*'Advanced Outputs'!C$61^$I$22)*$J$22*EXP(-(($L$22*($B37-$M$22))^$K$22))+($G$23+$H$23*'Advanced Outputs'!C$61^$I$23)*$J$23*EXP(-(($L$23*($B37-$M$23))^$K$23))+($G$24+$H$24*'Advanced Outputs'!C$61^$I$24)*$J$24*EXP(-(($L$24*($B37-$M$24))^$K$24))+($G$25+$H$25*'Advanced Outputs'!C$61^$I$25)*$J$25*EXP(-(($L$25*($B37-$M$25))^$K$25))+$G$26))</f>
        <v>1.0342389419942691E-3</v>
      </c>
      <c r="D37" s="75">
        <f>10^(-(($G$21+$H$21*'Advanced Outputs'!C$60^$I$21)*(($B37/$M$21)^-$K$21)+($G$22+$H$22*'Advanced Outputs'!C$60^$I$22)*$J$22*EXP(-(($L$22*($B37-$M$22))^$K$22))+($G$23+$H$23*'Advanced Outputs'!C$60^$I$23)*$J$23*EXP(-(($L$23*($B37-$M$23))^$K$23))+($G$24+$H$24*'Advanced Outputs'!C$60^$I$24)*$J$24*EXP(-(($L$24*($B37-$M$24))^$K$24))+($G$25+$H$25*'Advanced Outputs'!C$60^$I$25)*$J$25*EXP(-(($L$25*($B37-$M$25))^$K$25))+$G$26))</f>
        <v>1.2095139414013396E-2</v>
      </c>
      <c r="E37" s="75">
        <f t="shared" si="0"/>
        <v>8.5508641661128981E-2</v>
      </c>
      <c r="F37" s="74"/>
      <c r="G37" s="6"/>
      <c r="H37" s="6"/>
      <c r="I37" s="6"/>
      <c r="J37" s="6"/>
      <c r="K37" s="6"/>
      <c r="L37" s="6"/>
      <c r="M37" s="6"/>
    </row>
    <row r="38" spans="1:13" hidden="1" x14ac:dyDescent="0.2">
      <c r="A38" s="60"/>
      <c r="B38" s="60">
        <v>397</v>
      </c>
      <c r="C38" s="75">
        <f>10^(-(($G$21+$H$21*'Advanced Outputs'!C$61^$I$21)*(($B38/$M$21)^-$K$21)+($G$22+$H$22*'Advanced Outputs'!C$61^$I$22)*$J$22*EXP(-(($L$22*($B38-$M$22))^$K$22))+($G$23+$H$23*'Advanced Outputs'!C$61^$I$23)*$J$23*EXP(-(($L$23*($B38-$M$23))^$K$23))+($G$24+$H$24*'Advanced Outputs'!C$61^$I$24)*$J$24*EXP(-(($L$24*($B38-$M$24))^$K$24))+($G$25+$H$25*'Advanced Outputs'!C$61^$I$25)*$J$25*EXP(-(($L$25*($B38-$M$25))^$K$25))+$G$26))</f>
        <v>1.3520706784821866E-3</v>
      </c>
      <c r="D38" s="75">
        <f>10^(-(($G$21+$H$21*'Advanced Outputs'!C$60^$I$21)*(($B38/$M$21)^-$K$21)+($G$22+$H$22*'Advanced Outputs'!C$60^$I$22)*$J$22*EXP(-(($L$22*($B38-$M$22))^$K$22))+($G$23+$H$23*'Advanced Outputs'!C$60^$I$23)*$J$23*EXP(-(($L$23*($B38-$M$23))^$K$23))+($G$24+$H$24*'Advanced Outputs'!C$60^$I$24)*$J$24*EXP(-(($L$24*($B38-$M$24))^$K$24))+($G$25+$H$25*'Advanced Outputs'!C$60^$I$25)*$J$25*EXP(-(($L$25*($B38-$M$25))^$K$25))+$G$26))</f>
        <v>1.4371103957624295E-2</v>
      </c>
      <c r="E38" s="75">
        <f t="shared" si="0"/>
        <v>9.4082589790527055E-2</v>
      </c>
      <c r="F38" s="74"/>
      <c r="G38" s="6"/>
      <c r="H38" s="6"/>
      <c r="I38" s="6"/>
      <c r="J38" s="6"/>
      <c r="K38" s="6"/>
      <c r="L38" s="6"/>
      <c r="M38" s="6"/>
    </row>
    <row r="39" spans="1:13" hidden="1" x14ac:dyDescent="0.2">
      <c r="A39" s="60"/>
      <c r="B39" s="60">
        <v>398</v>
      </c>
      <c r="C39" s="75">
        <f>10^(-(($G$21+$H$21*'Advanced Outputs'!C$61^$I$21)*(($B39/$M$21)^-$K$21)+($G$22+$H$22*'Advanced Outputs'!C$61^$I$22)*$J$22*EXP(-(($L$22*($B39-$M$22))^$K$22))+($G$23+$H$23*'Advanced Outputs'!C$61^$I$23)*$J$23*EXP(-(($L$23*($B39-$M$23))^$K$23))+($G$24+$H$24*'Advanced Outputs'!C$61^$I$24)*$J$24*EXP(-(($L$24*($B39-$M$24))^$K$24))+($G$25+$H$25*'Advanced Outputs'!C$61^$I$25)*$J$25*EXP(-(($L$25*($B39-$M$25))^$K$25))+$G$26))</f>
        <v>1.7530309701132873E-3</v>
      </c>
      <c r="D39" s="75">
        <f>10^(-(($G$21+$H$21*'Advanced Outputs'!C$60^$I$21)*(($B39/$M$21)^-$K$21)+($G$22+$H$22*'Advanced Outputs'!C$60^$I$22)*$J$22*EXP(-(($L$22*($B39-$M$22))^$K$22))+($G$23+$H$23*'Advanced Outputs'!C$60^$I$23)*$J$23*EXP(-(($L$23*($B39-$M$23))^$K$23))+($G$24+$H$24*'Advanced Outputs'!C$60^$I$24)*$J$24*EXP(-(($L$24*($B39-$M$24))^$K$24))+($G$25+$H$25*'Advanced Outputs'!C$60^$I$25)*$J$25*EXP(-(($L$25*($B39-$M$25))^$K$25))+$G$26))</f>
        <v>1.7020241942064335E-2</v>
      </c>
      <c r="E39" s="75">
        <f t="shared" si="0"/>
        <v>0.10299683024956267</v>
      </c>
      <c r="F39" s="74"/>
      <c r="G39" s="6"/>
      <c r="H39" s="6"/>
      <c r="I39" s="6"/>
      <c r="J39" s="6"/>
      <c r="K39" s="6"/>
      <c r="L39" s="6"/>
      <c r="M39" s="6"/>
    </row>
    <row r="40" spans="1:13" hidden="1" x14ac:dyDescent="0.2">
      <c r="A40" s="60"/>
      <c r="B40" s="60">
        <v>399</v>
      </c>
      <c r="C40" s="75">
        <f>10^(-(($G$21+$H$21*'Advanced Outputs'!C$61^$I$21)*(($B40/$M$21)^-$K$21)+($G$22+$H$22*'Advanced Outputs'!C$61^$I$22)*$J$22*EXP(-(($L$22*($B40-$M$22))^$K$22))+($G$23+$H$23*'Advanced Outputs'!C$61^$I$23)*$J$23*EXP(-(($L$23*($B40-$M$23))^$K$23))+($G$24+$H$24*'Advanced Outputs'!C$61^$I$24)*$J$24*EXP(-(($L$24*($B40-$M$24))^$K$24))+($G$25+$H$25*'Advanced Outputs'!C$61^$I$25)*$J$25*EXP(-(($L$25*($B40-$M$25))^$K$25))+$G$26))</f>
        <v>2.2540487197269515E-3</v>
      </c>
      <c r="D40" s="75">
        <f>10^(-(($G$21+$H$21*'Advanced Outputs'!C$60^$I$21)*(($B40/$M$21)^-$K$21)+($G$22+$H$22*'Advanced Outputs'!C$60^$I$22)*$J$22*EXP(-(($L$22*($B40-$M$22))^$K$22))+($G$23+$H$23*'Advanced Outputs'!C$60^$I$23)*$J$23*EXP(-(($L$23*($B40-$M$23))^$K$23))+($G$24+$H$24*'Advanced Outputs'!C$60^$I$24)*$J$24*EXP(-(($L$24*($B40-$M$24))^$K$24))+($G$25+$H$25*'Advanced Outputs'!C$60^$I$25)*$J$25*EXP(-(($L$25*($B40-$M$25))^$K$25))+$G$26))</f>
        <v>2.0087012235329407E-2</v>
      </c>
      <c r="E40" s="75">
        <f t="shared" si="0"/>
        <v>0.11221423541339259</v>
      </c>
      <c r="F40" s="74"/>
      <c r="G40" s="6"/>
      <c r="H40" s="6"/>
      <c r="I40" s="6"/>
      <c r="J40" s="6"/>
      <c r="K40" s="6"/>
      <c r="L40" s="6"/>
      <c r="M40" s="6"/>
    </row>
    <row r="41" spans="1:13" hidden="1" x14ac:dyDescent="0.2">
      <c r="A41" s="60"/>
      <c r="B41" s="60">
        <v>400</v>
      </c>
      <c r="C41" s="75">
        <f>10^(-(($G$21+$H$21*'Advanced Outputs'!C$61^$I$21)*(($B41/$M$21)^-$K$21)+($G$22+$H$22*'Advanced Outputs'!C$61^$I$22)*$J$22*EXP(-(($L$22*($B41-$M$22))^$K$22))+($G$23+$H$23*'Advanced Outputs'!C$61^$I$23)*$J$23*EXP(-(($L$23*($B41-$M$23))^$K$23))+($G$24+$H$24*'Advanced Outputs'!C$61^$I$24)*$J$24*EXP(-(($L$24*($B41-$M$24))^$K$24))+($G$25+$H$25*'Advanced Outputs'!C$61^$I$25)*$J$25*EXP(-(($L$25*($B41-$M$25))^$K$25))+$G$26))</f>
        <v>2.8741036200300063E-3</v>
      </c>
      <c r="D41" s="75">
        <f>10^(-(($G$21+$H$21*'Advanced Outputs'!C$60^$I$21)*(($B41/$M$21)^-$K$21)+($G$22+$H$22*'Advanced Outputs'!C$60^$I$22)*$J$22*EXP(-(($L$22*($B41-$M$22))^$K$22))+($G$23+$H$23*'Advanced Outputs'!C$60^$I$23)*$J$23*EXP(-(($L$23*($B41-$M$23))^$K$23))+($G$24+$H$24*'Advanced Outputs'!C$60^$I$24)*$J$24*EXP(-(($L$24*($B41-$M$24))^$K$24))+($G$25+$H$25*'Advanced Outputs'!C$60^$I$25)*$J$25*EXP(-(($L$25*($B41-$M$25))^$K$25))+$G$26))</f>
        <v>2.3617126650542927E-2</v>
      </c>
      <c r="E41" s="75">
        <f t="shared" si="0"/>
        <v>0.12169573642710403</v>
      </c>
      <c r="F41" s="74"/>
      <c r="G41" s="6"/>
      <c r="H41" s="6"/>
      <c r="I41" s="6"/>
      <c r="J41" s="6"/>
      <c r="K41" s="6"/>
      <c r="L41" s="6"/>
      <c r="M41" s="6"/>
    </row>
    <row r="42" spans="1:13" hidden="1" x14ac:dyDescent="0.2">
      <c r="A42" s="60"/>
      <c r="B42" s="60">
        <v>401</v>
      </c>
      <c r="C42" s="75">
        <f>10^(-(($G$21+$H$21*'Advanced Outputs'!C$61^$I$21)*(($B42/$M$21)^-$K$21)+($G$22+$H$22*'Advanced Outputs'!C$61^$I$22)*$J$22*EXP(-(($L$22*($B42-$M$22))^$K$22))+($G$23+$H$23*'Advanced Outputs'!C$61^$I$23)*$J$23*EXP(-(($L$23*($B42-$M$23))^$K$23))+($G$24+$H$24*'Advanced Outputs'!C$61^$I$24)*$J$24*EXP(-(($L$24*($B42-$M$24))^$K$24))+($G$25+$H$25*'Advanced Outputs'!C$61^$I$25)*$J$25*EXP(-(($L$25*($B42-$M$25))^$K$25))+$G$26))</f>
        <v>3.6341162913103003E-3</v>
      </c>
      <c r="D42" s="75">
        <f>10^(-(($G$21+$H$21*'Advanced Outputs'!C$60^$I$21)*(($B42/$M$21)^-$K$21)+($G$22+$H$22*'Advanced Outputs'!C$60^$I$22)*$J$22*EXP(-(($L$22*($B42-$M$22))^$K$22))+($G$23+$H$23*'Advanced Outputs'!C$60^$I$23)*$J$23*EXP(-(($L$23*($B42-$M$23))^$K$23))+($G$24+$H$24*'Advanced Outputs'!C$60^$I$24)*$J$24*EXP(-(($L$24*($B42-$M$24))^$K$24))+($G$25+$H$25*'Advanced Outputs'!C$60^$I$25)*$J$25*EXP(-(($L$25*($B42-$M$25))^$K$25))+$G$26))</f>
        <v>2.7656657493939054E-2</v>
      </c>
      <c r="E42" s="75">
        <f t="shared" si="0"/>
        <v>0.13140113884357557</v>
      </c>
      <c r="F42" s="74"/>
      <c r="G42" s="6"/>
      <c r="H42" s="6"/>
      <c r="I42" s="6"/>
      <c r="J42" s="6"/>
      <c r="K42" s="6"/>
      <c r="L42" s="6"/>
      <c r="M42" s="6"/>
    </row>
    <row r="43" spans="1:13" hidden="1" x14ac:dyDescent="0.2">
      <c r="A43" s="60"/>
      <c r="B43" s="60">
        <v>402</v>
      </c>
      <c r="C43" s="75">
        <f>10^(-(($G$21+$H$21*'Advanced Outputs'!C$61^$I$21)*(($B43/$M$21)^-$K$21)+($G$22+$H$22*'Advanced Outputs'!C$61^$I$22)*$J$22*EXP(-(($L$22*($B43-$M$22))^$K$22))+($G$23+$H$23*'Advanced Outputs'!C$61^$I$23)*$J$23*EXP(-(($L$23*($B43-$M$23))^$K$23))+($G$24+$H$24*'Advanced Outputs'!C$61^$I$24)*$J$24*EXP(-(($L$24*($B43-$M$24))^$K$24))+($G$25+$H$25*'Advanced Outputs'!C$61^$I$25)*$J$25*EXP(-(($L$25*($B43-$M$25))^$K$25))+$G$26))</f>
        <v>4.5567390954272362E-3</v>
      </c>
      <c r="D43" s="75">
        <f>10^(-(($G$21+$H$21*'Advanced Outputs'!C$60^$I$21)*(($B43/$M$21)^-$K$21)+($G$22+$H$22*'Advanced Outputs'!C$60^$I$22)*$J$22*EXP(-(($L$22*($B43-$M$22))^$K$22))+($G$23+$H$23*'Advanced Outputs'!C$60^$I$23)*$J$23*EXP(-(($L$23*($B43-$M$23))^$K$23))+($G$24+$H$24*'Advanced Outputs'!C$60^$I$24)*$J$24*EXP(-(($L$24*($B43-$M$24))^$K$24))+($G$25+$H$25*'Advanced Outputs'!C$60^$I$25)*$J$25*EXP(-(($L$25*($B43-$M$25))^$K$25))+$G$26))</f>
        <v>3.2250987780847055E-2</v>
      </c>
      <c r="E43" s="75">
        <f t="shared" si="0"/>
        <v>0.14128990796782212</v>
      </c>
      <c r="F43" s="74"/>
      <c r="G43" s="6"/>
      <c r="H43" s="6"/>
      <c r="I43" s="6"/>
      <c r="J43" s="6"/>
      <c r="K43" s="6"/>
      <c r="L43" s="6"/>
      <c r="M43" s="6"/>
    </row>
    <row r="44" spans="1:13" hidden="1" x14ac:dyDescent="0.2">
      <c r="A44" s="60"/>
      <c r="B44" s="60">
        <v>403</v>
      </c>
      <c r="C44" s="75">
        <f>10^(-(($G$21+$H$21*'Advanced Outputs'!C$61^$I$21)*(($B44/$M$21)^-$K$21)+($G$22+$H$22*'Advanced Outputs'!C$61^$I$22)*$J$22*EXP(-(($L$22*($B44-$M$22))^$K$22))+($G$23+$H$23*'Advanced Outputs'!C$61^$I$23)*$J$23*EXP(-(($L$23*($B44-$M$23))^$K$23))+($G$24+$H$24*'Advanced Outputs'!C$61^$I$24)*$J$24*EXP(-(($L$24*($B44-$M$24))^$K$24))+($G$25+$H$25*'Advanced Outputs'!C$61^$I$25)*$J$25*EXP(-(($L$25*($B44-$M$25))^$K$25))+$G$26))</f>
        <v>5.6660408140501257E-3</v>
      </c>
      <c r="D44" s="75">
        <f>10^(-(($G$21+$H$21*'Advanced Outputs'!C$60^$I$21)*(($B44/$M$21)^-$K$21)+($G$22+$H$22*'Advanced Outputs'!C$60^$I$22)*$J$22*EXP(-(($L$22*($B44-$M$22))^$K$22))+($G$23+$H$23*'Advanced Outputs'!C$60^$I$23)*$J$23*EXP(-(($L$23*($B44-$M$23))^$K$23))+($G$24+$H$24*'Advanced Outputs'!C$60^$I$24)*$J$24*EXP(-(($L$24*($B44-$M$24))^$K$24))+($G$25+$H$25*'Advanced Outputs'!C$60^$I$25)*$J$25*EXP(-(($L$25*($B44-$M$25))^$K$25))+$G$26))</f>
        <v>3.7443627114376786E-2</v>
      </c>
      <c r="E44" s="75">
        <f t="shared" si="0"/>
        <v>0.15132190043294719</v>
      </c>
      <c r="F44" s="74"/>
      <c r="G44" s="6"/>
      <c r="H44" s="6"/>
      <c r="I44" s="6"/>
      <c r="J44" s="6"/>
      <c r="K44" s="6"/>
      <c r="L44" s="6"/>
      <c r="M44" s="6"/>
    </row>
    <row r="45" spans="1:13" hidden="1" x14ac:dyDescent="0.2">
      <c r="A45" s="60"/>
      <c r="B45" s="60">
        <v>404</v>
      </c>
      <c r="C45" s="75">
        <f>10^(-(($G$21+$H$21*'Advanced Outputs'!C$61^$I$21)*(($B45/$M$21)^-$K$21)+($G$22+$H$22*'Advanced Outputs'!C$61^$I$22)*$J$22*EXP(-(($L$22*($B45-$M$22))^$K$22))+($G$23+$H$23*'Advanced Outputs'!C$61^$I$23)*$J$23*EXP(-(($L$23*($B45-$M$23))^$K$23))+($G$24+$H$24*'Advanced Outputs'!C$61^$I$24)*$J$24*EXP(-(($L$24*($B45-$M$24))^$K$24))+($G$25+$H$25*'Advanced Outputs'!C$61^$I$25)*$J$25*EXP(-(($L$25*($B45-$M$25))^$K$25))+$G$26))</f>
        <v>6.9870842446562329E-3</v>
      </c>
      <c r="D45" s="75">
        <f>10^(-(($G$21+$H$21*'Advanced Outputs'!C$60^$I$21)*(($B45/$M$21)^-$K$21)+($G$22+$H$22*'Advanced Outputs'!C$60^$I$22)*$J$22*EXP(-(($L$22*($B45-$M$22))^$K$22))+($G$23+$H$23*'Advanced Outputs'!C$60^$I$23)*$J$23*EXP(-(($L$23*($B45-$M$23))^$K$23))+($G$24+$H$24*'Advanced Outputs'!C$60^$I$24)*$J$24*EXP(-(($L$24*($B45-$M$24))^$K$24))+($G$25+$H$25*'Advanced Outputs'!C$60^$I$25)*$J$25*EXP(-(($L$25*($B45-$M$25))^$K$25))+$G$26))</f>
        <v>4.327492742622701E-2</v>
      </c>
      <c r="E45" s="75">
        <f t="shared" si="0"/>
        <v>0.16145802339166193</v>
      </c>
      <c r="F45" s="74"/>
      <c r="G45" s="6"/>
      <c r="H45" s="6"/>
      <c r="I45" s="6"/>
      <c r="J45" s="6"/>
      <c r="K45" s="6"/>
      <c r="L45" s="6"/>
      <c r="M45" s="6"/>
    </row>
    <row r="46" spans="1:13" hidden="1" x14ac:dyDescent="0.2">
      <c r="A46" s="60"/>
      <c r="B46" s="60">
        <v>405</v>
      </c>
      <c r="C46" s="75">
        <f>10^(-(($G$21+$H$21*'Advanced Outputs'!C$61^$I$21)*(($B46/$M$21)^-$K$21)+($G$22+$H$22*'Advanced Outputs'!C$61^$I$22)*$J$22*EXP(-(($L$22*($B46-$M$22))^$K$22))+($G$23+$H$23*'Advanced Outputs'!C$61^$I$23)*$J$23*EXP(-(($L$23*($B46-$M$23))^$K$23))+($G$24+$H$24*'Advanced Outputs'!C$61^$I$24)*$J$24*EXP(-(($L$24*($B46-$M$24))^$K$24))+($G$25+$H$25*'Advanced Outputs'!C$61^$I$25)*$J$25*EXP(-(($L$25*($B46-$M$25))^$K$25))+$G$26))</f>
        <v>8.5454025928524274E-3</v>
      </c>
      <c r="D46" s="75">
        <f>10^(-(($G$21+$H$21*'Advanced Outputs'!C$60^$I$21)*(($B46/$M$21)^-$K$21)+($G$22+$H$22*'Advanced Outputs'!C$60^$I$22)*$J$22*EXP(-(($L$22*($B46-$M$22))^$K$22))+($G$23+$H$23*'Advanced Outputs'!C$60^$I$23)*$J$23*EXP(-(($L$23*($B46-$M$23))^$K$23))+($G$24+$H$24*'Advanced Outputs'!C$60^$I$24)*$J$24*EXP(-(($L$24*($B46-$M$24))^$K$24))+($G$25+$H$25*'Advanced Outputs'!C$60^$I$25)*$J$25*EXP(-(($L$25*($B46-$M$25))^$K$25))+$G$26))</f>
        <v>4.978074319759522E-2</v>
      </c>
      <c r="E46" s="75">
        <f t="shared" si="0"/>
        <v>0.17166080785361262</v>
      </c>
      <c r="F46" s="74"/>
      <c r="G46" s="6"/>
      <c r="H46" s="6"/>
      <c r="I46" s="6"/>
      <c r="J46" s="6"/>
      <c r="K46" s="6"/>
      <c r="L46" s="6"/>
      <c r="M46" s="6"/>
    </row>
    <row r="47" spans="1:13" hidden="1" x14ac:dyDescent="0.2">
      <c r="A47" s="60"/>
      <c r="B47" s="60">
        <v>406</v>
      </c>
      <c r="C47" s="75">
        <f>10^(-(($G$21+$H$21*'Advanced Outputs'!C$61^$I$21)*(($B47/$M$21)^-$K$21)+($G$22+$H$22*'Advanced Outputs'!C$61^$I$22)*$J$22*EXP(-(($L$22*($B47-$M$22))^$K$22))+($G$23+$H$23*'Advanced Outputs'!C$61^$I$23)*$J$23*EXP(-(($L$23*($B47-$M$23))^$K$23))+($G$24+$H$24*'Advanced Outputs'!C$61^$I$24)*$J$24*EXP(-(($L$24*($B47-$M$24))^$K$24))+($G$25+$H$25*'Advanced Outputs'!C$61^$I$25)*$J$25*EXP(-(($L$25*($B47-$M$25))^$K$25))+$G$26))</f>
        <v>1.036638781791315E-2</v>
      </c>
      <c r="D47" s="75">
        <f>10^(-(($G$21+$H$21*'Advanced Outputs'!C$60^$I$21)*(($B47/$M$21)^-$K$21)+($G$22+$H$22*'Advanced Outputs'!C$60^$I$22)*$J$22*EXP(-(($L$22*($B47-$M$22))^$K$22))+($G$23+$H$23*'Advanced Outputs'!C$60^$I$23)*$J$23*EXP(-(($L$23*($B47-$M$23))^$K$23))+($G$24+$H$24*'Advanced Outputs'!C$60^$I$24)*$J$24*EXP(-(($L$24*($B47-$M$24))^$K$24))+($G$25+$H$25*'Advanced Outputs'!C$60^$I$25)*$J$25*EXP(-(($L$25*($B47-$M$25))^$K$25))+$G$26))</f>
        <v>5.6991089435860322E-2</v>
      </c>
      <c r="E47" s="75">
        <f t="shared" si="0"/>
        <v>0.1818948877890785</v>
      </c>
      <c r="F47" s="74"/>
      <c r="G47" s="6"/>
      <c r="H47" s="6"/>
      <c r="I47" s="6"/>
      <c r="J47" s="6"/>
      <c r="K47" s="6"/>
      <c r="L47" s="6"/>
      <c r="M47" s="6"/>
    </row>
    <row r="48" spans="1:13" hidden="1" x14ac:dyDescent="0.2">
      <c r="A48" s="60"/>
      <c r="B48" s="60">
        <v>407</v>
      </c>
      <c r="C48" s="75">
        <f>10^(-(($G$21+$H$21*'Advanced Outputs'!C$61^$I$21)*(($B48/$M$21)^-$K$21)+($G$22+$H$22*'Advanced Outputs'!C$61^$I$22)*$J$22*EXP(-(($L$22*($B48-$M$22))^$K$22))+($G$23+$H$23*'Advanced Outputs'!C$61^$I$23)*$J$23*EXP(-(($L$23*($B48-$M$23))^$K$23))+($G$24+$H$24*'Advanced Outputs'!C$61^$I$24)*$J$24*EXP(-(($L$24*($B48-$M$24))^$K$24))+($G$25+$H$25*'Advanced Outputs'!C$61^$I$25)*$J$25*EXP(-(($L$25*($B48-$M$25))^$K$25))+$G$26))</f>
        <v>1.247461120448329E-2</v>
      </c>
      <c r="D48" s="75">
        <f>10^(-(($G$21+$H$21*'Advanced Outputs'!C$60^$I$21)*(($B48/$M$21)^-$K$21)+($G$22+$H$22*'Advanced Outputs'!C$60^$I$22)*$J$22*EXP(-(($L$22*($B48-$M$22))^$K$22))+($G$23+$H$23*'Advanced Outputs'!C$60^$I$23)*$J$23*EXP(-(($L$23*($B48-$M$23))^$K$23))+($G$24+$H$24*'Advanced Outputs'!C$60^$I$24)*$J$24*EXP(-(($L$24*($B48-$M$24))^$K$24))+($G$25+$H$25*'Advanced Outputs'!C$60^$I$25)*$J$25*EXP(-(($L$25*($B48-$M$25))^$K$25))+$G$26))</f>
        <v>6.4928856654191916E-2</v>
      </c>
      <c r="E48" s="75">
        <f t="shared" si="0"/>
        <v>0.19212738137254581</v>
      </c>
      <c r="F48" s="74"/>
      <c r="G48" s="6"/>
      <c r="H48" s="6"/>
      <c r="I48" s="6"/>
      <c r="J48" s="6"/>
      <c r="K48" s="6"/>
      <c r="L48" s="6"/>
      <c r="M48" s="6"/>
    </row>
    <row r="49" spans="1:13" hidden="1" x14ac:dyDescent="0.2">
      <c r="A49" s="60"/>
      <c r="B49" s="60">
        <v>408</v>
      </c>
      <c r="C49" s="75">
        <f>10^(-(($G$21+$H$21*'Advanced Outputs'!C$61^$I$21)*(($B49/$M$21)^-$K$21)+($G$22+$H$22*'Advanced Outputs'!C$61^$I$22)*$J$22*EXP(-(($L$22*($B49-$M$22))^$K$22))+($G$23+$H$23*'Advanced Outputs'!C$61^$I$23)*$J$23*EXP(-(($L$23*($B49-$M$23))^$K$23))+($G$24+$H$24*'Advanced Outputs'!C$61^$I$24)*$J$24*EXP(-(($L$24*($B49-$M$24))^$K$24))+($G$25+$H$25*'Advanced Outputs'!C$61^$I$25)*$J$25*EXP(-(($L$25*($B49-$M$25))^$K$25))+$G$26))</f>
        <v>1.4893102726054203E-2</v>
      </c>
      <c r="D49" s="75">
        <f>10^(-(($G$21+$H$21*'Advanced Outputs'!C$60^$I$21)*(($B49/$M$21)^-$K$21)+($G$22+$H$22*'Advanced Outputs'!C$60^$I$22)*$J$22*EXP(-(($L$22*($B49-$M$22))^$K$22))+($G$23+$H$23*'Advanced Outputs'!C$60^$I$23)*$J$23*EXP(-(($L$23*($B49-$M$23))^$K$23))+($G$24+$H$24*'Advanced Outputs'!C$60^$I$24)*$J$24*EXP(-(($L$24*($B49-$M$24))^$K$24))+($G$25+$H$25*'Advanced Outputs'!C$60^$I$25)*$J$25*EXP(-(($L$25*($B49-$M$25))^$K$25))+$G$26))</f>
        <v>7.3608644619379229E-2</v>
      </c>
      <c r="E49" s="75">
        <f t="shared" si="0"/>
        <v>0.20232817494554489</v>
      </c>
      <c r="F49" s="74"/>
      <c r="G49" s="6"/>
      <c r="H49" s="6"/>
      <c r="I49" s="6"/>
      <c r="J49" s="6"/>
      <c r="K49" s="6"/>
      <c r="L49" s="6"/>
      <c r="M49" s="6"/>
    </row>
    <row r="50" spans="1:13" hidden="1" x14ac:dyDescent="0.2">
      <c r="A50" s="60"/>
      <c r="B50" s="60">
        <v>409</v>
      </c>
      <c r="C50" s="75">
        <f>10^(-(($G$21+$H$21*'Advanced Outputs'!C$61^$I$21)*(($B50/$M$21)^-$K$21)+($G$22+$H$22*'Advanced Outputs'!C$61^$I$22)*$J$22*EXP(-(($L$22*($B50-$M$22))^$K$22))+($G$23+$H$23*'Advanced Outputs'!C$61^$I$23)*$J$23*EXP(-(($L$23*($B50-$M$23))^$K$23))+($G$24+$H$24*'Advanced Outputs'!C$61^$I$24)*$J$24*EXP(-(($L$24*($B50-$M$24))^$K$24))+($G$25+$H$25*'Advanced Outputs'!C$61^$I$25)*$J$25*EXP(-(($L$25*($B50-$M$25))^$K$25))+$G$26))</f>
        <v>1.7642620603969233E-2</v>
      </c>
      <c r="D50" s="75">
        <f>10^(-(($G$21+$H$21*'Advanced Outputs'!C$60^$I$21)*(($B50/$M$21)^-$K$21)+($G$22+$H$22*'Advanced Outputs'!C$60^$I$22)*$J$22*EXP(-(($L$22*($B50-$M$22))^$K$22))+($G$23+$H$23*'Advanced Outputs'!C$60^$I$23)*$J$23*EXP(-(($L$23*($B50-$M$23))^$K$23))+($G$24+$H$24*'Advanced Outputs'!C$60^$I$24)*$J$24*EXP(-(($L$24*($B50-$M$24))^$K$24))+($G$25+$H$25*'Advanced Outputs'!C$60^$I$25)*$J$25*EXP(-(($L$25*($B50-$M$25))^$K$25))+$G$26))</f>
        <v>8.3035775189153616E-2</v>
      </c>
      <c r="E50" s="75">
        <f t="shared" si="0"/>
        <v>0.2124701138007051</v>
      </c>
      <c r="F50" s="74"/>
      <c r="G50" s="6"/>
      <c r="H50" s="6"/>
      <c r="I50" s="6"/>
      <c r="J50" s="6"/>
      <c r="K50" s="6"/>
      <c r="L50" s="6"/>
      <c r="M50" s="6"/>
    </row>
    <row r="51" spans="1:13" hidden="1" x14ac:dyDescent="0.2">
      <c r="A51" s="60"/>
      <c r="B51" s="60">
        <v>410</v>
      </c>
      <c r="C51" s="75">
        <f>10^(-(($G$21+$H$21*'Advanced Outputs'!C$61^$I$21)*(($B51/$M$21)^-$K$21)+($G$22+$H$22*'Advanced Outputs'!C$61^$I$22)*$J$22*EXP(-(($L$22*($B51-$M$22))^$K$22))+($G$23+$H$23*'Advanced Outputs'!C$61^$I$23)*$J$23*EXP(-(($L$23*($B51-$M$23))^$K$23))+($G$24+$H$24*'Advanced Outputs'!C$61^$I$24)*$J$24*EXP(-(($L$24*($B51-$M$24))^$K$24))+($G$25+$H$25*'Advanced Outputs'!C$61^$I$25)*$J$25*EXP(-(($L$25*($B51-$M$25))^$K$25))+$G$26))</f>
        <v>2.0740945324994865E-2</v>
      </c>
      <c r="D51" s="75">
        <f>10^(-(($G$21+$H$21*'Advanced Outputs'!C$60^$I$21)*(($B51/$M$21)^-$K$21)+($G$22+$H$22*'Advanced Outputs'!C$60^$I$22)*$J$22*EXP(-(($L$22*($B51-$M$22))^$K$22))+($G$23+$H$23*'Advanced Outputs'!C$60^$I$23)*$J$23*EXP(-(($L$23*($B51-$M$23))^$K$23))+($G$24+$H$24*'Advanced Outputs'!C$60^$I$24)*$J$24*EXP(-(($L$24*($B51-$M$24))^$K$24))+($G$25+$H$25*'Advanced Outputs'!C$60^$I$25)*$J$25*EXP(-(($L$25*($B51-$M$25))^$K$25))+$G$26))</f>
        <v>9.3205538979858144E-2</v>
      </c>
      <c r="E51" s="75">
        <f t="shared" si="0"/>
        <v>0.22252910666046374</v>
      </c>
      <c r="F51" s="74"/>
      <c r="G51" s="6"/>
      <c r="H51" s="6"/>
      <c r="I51" s="6"/>
      <c r="J51" s="6"/>
      <c r="K51" s="6"/>
      <c r="L51" s="6"/>
      <c r="M51" s="6"/>
    </row>
    <row r="52" spans="1:13" hidden="1" x14ac:dyDescent="0.2">
      <c r="A52" s="60"/>
      <c r="B52" s="60">
        <v>411</v>
      </c>
      <c r="C52" s="75">
        <f>10^(-(($G$21+$H$21*'Advanced Outputs'!C$61^$I$21)*(($B52/$M$21)^-$K$21)+($G$22+$H$22*'Advanced Outputs'!C$61^$I$22)*$J$22*EXP(-(($L$22*($B52-$M$22))^$K$22))+($G$23+$H$23*'Advanced Outputs'!C$61^$I$23)*$J$23*EXP(-(($L$23*($B52-$M$23))^$K$23))+($G$24+$H$24*'Advanced Outputs'!C$61^$I$24)*$J$24*EXP(-(($L$24*($B52-$M$24))^$K$24))+($G$25+$H$25*'Advanced Outputs'!C$61^$I$25)*$J$25*EXP(-(($L$25*($B52-$M$25))^$K$25))+$G$26))</f>
        <v>2.4202232909851202E-2</v>
      </c>
      <c r="D52" s="75">
        <f>10^(-(($G$21+$H$21*'Advanced Outputs'!C$60^$I$21)*(($B52/$M$21)^-$K$21)+($G$22+$H$22*'Advanced Outputs'!C$60^$I$22)*$J$22*EXP(-(($L$22*($B52-$M$22))^$K$22))+($G$23+$H$23*'Advanced Outputs'!C$60^$I$23)*$J$23*EXP(-(($L$23*($B52-$M$23))^$K$23))+($G$24+$H$24*'Advanced Outputs'!C$60^$I$24)*$J$24*EXP(-(($L$24*($B52-$M$24))^$K$24))+($G$25+$H$25*'Advanced Outputs'!C$60^$I$25)*$J$25*EXP(-(($L$25*($B52-$M$25))^$K$25))+$G$26))</f>
        <v>0.1041027210889551</v>
      </c>
      <c r="E52" s="75">
        <f t="shared" si="0"/>
        <v>0.23248415273574405</v>
      </c>
      <c r="F52" s="74"/>
      <c r="G52" s="6"/>
      <c r="H52" s="6"/>
      <c r="I52" s="6"/>
      <c r="J52" s="6"/>
      <c r="K52" s="6"/>
      <c r="L52" s="6"/>
      <c r="M52" s="6"/>
    </row>
    <row r="53" spans="1:13" hidden="1" x14ac:dyDescent="0.2">
      <c r="A53" s="60"/>
      <c r="B53" s="60">
        <v>412</v>
      </c>
      <c r="C53" s="75">
        <f>10^(-(($G$21+$H$21*'Advanced Outputs'!C$61^$I$21)*(($B53/$M$21)^-$K$21)+($G$22+$H$22*'Advanced Outputs'!C$61^$I$22)*$J$22*EXP(-(($L$22*($B53-$M$22))^$K$22))+($G$23+$H$23*'Advanced Outputs'!C$61^$I$23)*$J$23*EXP(-(($L$23*($B53-$M$23))^$K$23))+($G$24+$H$24*'Advanced Outputs'!C$61^$I$24)*$J$24*EXP(-(($L$24*($B53-$M$24))^$K$24))+($G$25+$H$25*'Advanced Outputs'!C$61^$I$25)*$J$25*EXP(-(($L$25*($B53-$M$25))^$K$25))+$G$26))</f>
        <v>2.8036460292926477E-2</v>
      </c>
      <c r="D53" s="75">
        <f>10^(-(($G$21+$H$21*'Advanced Outputs'!C$60^$I$21)*(($B53/$M$21)^-$K$21)+($G$22+$H$22*'Advanced Outputs'!C$60^$I$22)*$J$22*EXP(-(($L$22*($B53-$M$22))^$K$22))+($G$23+$H$23*'Advanced Outputs'!C$60^$I$23)*$J$23*EXP(-(($L$23*($B53-$M$23))^$K$23))+($G$24+$H$24*'Advanced Outputs'!C$60^$I$24)*$J$24*EXP(-(($L$24*($B53-$M$24))^$K$24))+($G$25+$H$25*'Advanced Outputs'!C$60^$I$25)*$J$25*EXP(-(($L$25*($B53-$M$25))^$K$25))+$G$26))</f>
        <v>0.11570143821612115</v>
      </c>
      <c r="E53" s="75">
        <f t="shared" si="0"/>
        <v>0.24231730154085537</v>
      </c>
      <c r="F53" s="74"/>
      <c r="G53" s="6"/>
      <c r="H53" s="6"/>
      <c r="I53" s="6"/>
      <c r="J53" s="6"/>
      <c r="K53" s="6"/>
      <c r="L53" s="6"/>
      <c r="M53" s="6"/>
    </row>
    <row r="54" spans="1:13" hidden="1" x14ac:dyDescent="0.2">
      <c r="A54" s="60"/>
      <c r="B54" s="60">
        <v>413</v>
      </c>
      <c r="C54" s="75">
        <f>10^(-(($G$21+$H$21*'Advanced Outputs'!C$61^$I$21)*(($B54/$M$21)^-$K$21)+($G$22+$H$22*'Advanced Outputs'!C$61^$I$22)*$J$22*EXP(-(($L$22*($B54-$M$22))^$K$22))+($G$23+$H$23*'Advanced Outputs'!C$61^$I$23)*$J$23*EXP(-(($L$23*($B54-$M$23))^$K$23))+($G$24+$H$24*'Advanced Outputs'!C$61^$I$24)*$J$24*EXP(-(($L$24*($B54-$M$24))^$K$24))+($G$25+$H$25*'Advanced Outputs'!C$61^$I$25)*$J$25*EXP(-(($L$25*($B54-$M$25))^$K$25))+$G$26))</f>
        <v>3.2248991386291746E-2</v>
      </c>
      <c r="D54" s="75">
        <f>10^(-(($G$21+$H$21*'Advanced Outputs'!C$60^$I$21)*(($B54/$M$21)^-$K$21)+($G$22+$H$22*'Advanced Outputs'!C$60^$I$22)*$J$22*EXP(-(($L$22*($B54-$M$22))^$K$22))+($G$23+$H$23*'Advanced Outputs'!C$60^$I$23)*$J$23*EXP(-(($L$23*($B54-$M$23))^$K$23))+($G$24+$H$24*'Advanced Outputs'!C$60^$I$24)*$J$24*EXP(-(($L$24*($B54-$M$24))^$K$24))+($G$25+$H$25*'Advanced Outputs'!C$60^$I$25)*$J$25*EXP(-(($L$25*($B54-$M$25))^$K$25))+$G$26))</f>
        <v>0.12796530417586238</v>
      </c>
      <c r="E54" s="75">
        <f t="shared" si="0"/>
        <v>0.25201355628375677</v>
      </c>
      <c r="F54" s="74"/>
      <c r="G54" s="6"/>
      <c r="H54" s="6"/>
      <c r="I54" s="6"/>
      <c r="J54" s="6"/>
      <c r="K54" s="6"/>
      <c r="L54" s="6"/>
      <c r="M54" s="6"/>
    </row>
    <row r="55" spans="1:13" hidden="1" x14ac:dyDescent="0.2">
      <c r="A55" s="60"/>
      <c r="B55" s="60">
        <v>414</v>
      </c>
      <c r="C55" s="75">
        <f>10^(-(($G$21+$H$21*'Advanced Outputs'!C$61^$I$21)*(($B55/$M$21)^-$K$21)+($G$22+$H$22*'Advanced Outputs'!C$61^$I$22)*$J$22*EXP(-(($L$22*($B55-$M$22))^$K$22))+($G$23+$H$23*'Advanced Outputs'!C$61^$I$23)*$J$23*EXP(-(($L$23*($B55-$M$23))^$K$23))+($G$24+$H$24*'Advanced Outputs'!C$61^$I$24)*$J$24*EXP(-(($L$24*($B55-$M$24))^$K$24))+($G$25+$H$25*'Advanced Outputs'!C$61^$I$25)*$J$25*EXP(-(($L$25*($B55-$M$25))^$K$25))+$G$26))</f>
        <v>3.684028609255216E-2</v>
      </c>
      <c r="D55" s="75">
        <f>10^(-(($G$21+$H$21*'Advanced Outputs'!C$60^$I$21)*(($B55/$M$21)^-$K$21)+($G$22+$H$22*'Advanced Outputs'!C$60^$I$22)*$J$22*EXP(-(($L$22*($B55-$M$22))^$K$22))+($G$23+$H$23*'Advanced Outputs'!C$60^$I$23)*$J$23*EXP(-(($L$23*($B55-$M$23))^$K$23))+($G$24+$H$24*'Advanced Outputs'!C$60^$I$24)*$J$24*EXP(-(($L$24*($B55-$M$24))^$K$24))+($G$25+$H$25*'Advanced Outputs'!C$60^$I$25)*$J$25*EXP(-(($L$25*($B55-$M$25))^$K$25))+$G$26))</f>
        <v>0.14084792410314684</v>
      </c>
      <c r="E55" s="75">
        <f t="shared" si="0"/>
        <v>0.26156073174051891</v>
      </c>
      <c r="F55" s="74"/>
      <c r="G55" s="6"/>
      <c r="H55" s="6"/>
      <c r="I55" s="6"/>
      <c r="J55" s="6"/>
      <c r="K55" s="6"/>
      <c r="L55" s="6"/>
      <c r="M55" s="6"/>
    </row>
    <row r="56" spans="1:13" hidden="1" x14ac:dyDescent="0.2">
      <c r="A56" s="60"/>
      <c r="B56" s="60">
        <v>415</v>
      </c>
      <c r="C56" s="75">
        <f>10^(-(($G$21+$H$21*'Advanced Outputs'!C$61^$I$21)*(($B56/$M$21)^-$K$21)+($G$22+$H$22*'Advanced Outputs'!C$61^$I$22)*$J$22*EXP(-(($L$22*($B56-$M$22))^$K$22))+($G$23+$H$23*'Advanced Outputs'!C$61^$I$23)*$J$23*EXP(-(($L$23*($B56-$M$23))^$K$23))+($G$24+$H$24*'Advanced Outputs'!C$61^$I$24)*$J$24*EXP(-(($L$24*($B56-$M$24))^$K$24))+($G$25+$H$25*'Advanced Outputs'!C$61^$I$25)*$J$25*EXP(-(($L$25*($B56-$M$25))^$K$25))+$G$26))</f>
        <v>4.1805766722027869E-2</v>
      </c>
      <c r="D56" s="75">
        <f>10^(-(($G$21+$H$21*'Advanced Outputs'!C$60^$I$21)*(($B56/$M$21)^-$K$21)+($G$22+$H$22*'Advanced Outputs'!C$60^$I$22)*$J$22*EXP(-(($L$22*($B56-$M$22))^$K$22))+($G$23+$H$23*'Advanced Outputs'!C$60^$I$23)*$J$23*EXP(-(($L$23*($B56-$M$23))^$K$23))+($G$24+$H$24*'Advanced Outputs'!C$60^$I$24)*$J$24*EXP(-(($L$24*($B56-$M$24))^$K$24))+($G$25+$H$25*'Advanced Outputs'!C$60^$I$25)*$J$25*EXP(-(($L$25*($B56-$M$25))^$K$25))+$G$26))</f>
        <v>0.15429370087088654</v>
      </c>
      <c r="E56" s="75">
        <f t="shared" si="0"/>
        <v>0.27094927716466577</v>
      </c>
      <c r="F56" s="74"/>
      <c r="G56" s="6"/>
      <c r="H56" s="6"/>
      <c r="I56" s="6"/>
      <c r="J56" s="6"/>
      <c r="K56" s="6"/>
      <c r="L56" s="6"/>
      <c r="M56" s="6"/>
    </row>
    <row r="57" spans="1:13" hidden="1" x14ac:dyDescent="0.2">
      <c r="A57" s="60"/>
      <c r="B57" s="60">
        <v>416</v>
      </c>
      <c r="C57" s="75">
        <f>10^(-(($G$21+$H$21*'Advanced Outputs'!C$61^$I$21)*(($B57/$M$21)^-$K$21)+($G$22+$H$22*'Advanced Outputs'!C$61^$I$22)*$J$22*EXP(-(($L$22*($B57-$M$22))^$K$22))+($G$23+$H$23*'Advanced Outputs'!C$61^$I$23)*$J$23*EXP(-(($L$23*($B57-$M$23))^$K$23))+($G$24+$H$24*'Advanced Outputs'!C$61^$I$24)*$J$24*EXP(-(($L$24*($B57-$M$24))^$K$24))+($G$25+$H$25*'Advanced Outputs'!C$61^$I$25)*$J$25*EXP(-(($L$25*($B57-$M$25))^$K$25))+$G$26))</f>
        <v>4.7135847607854643E-2</v>
      </c>
      <c r="D57" s="75">
        <f>10^(-(($G$21+$H$21*'Advanced Outputs'!C$60^$I$21)*(($B57/$M$21)^-$K$21)+($G$22+$H$22*'Advanced Outputs'!C$60^$I$22)*$J$22*EXP(-(($L$22*($B57-$M$22))^$K$22))+($G$23+$H$23*'Advanced Outputs'!C$60^$I$23)*$J$23*EXP(-(($L$23*($B57-$M$23))^$K$23))+($G$24+$H$24*'Advanced Outputs'!C$60^$I$24)*$J$24*EXP(-(($L$24*($B57-$M$24))^$K$24))+($G$25+$H$25*'Advanced Outputs'!C$60^$I$25)*$J$25*EXP(-(($L$25*($B57-$M$25))^$K$25))+$G$26))</f>
        <v>0.16823892160594625</v>
      </c>
      <c r="E57" s="75">
        <f t="shared" si="0"/>
        <v>0.28017207408317502</v>
      </c>
      <c r="F57" s="74"/>
      <c r="G57" s="6"/>
      <c r="H57" s="6"/>
      <c r="I57" s="6"/>
      <c r="J57" s="6"/>
      <c r="K57" s="6"/>
      <c r="L57" s="6"/>
      <c r="M57" s="6"/>
    </row>
    <row r="58" spans="1:13" hidden="1" x14ac:dyDescent="0.2">
      <c r="A58" s="60"/>
      <c r="B58" s="60">
        <v>417</v>
      </c>
      <c r="C58" s="75">
        <f>10^(-(($G$21+$H$21*'Advanced Outputs'!C$61^$I$21)*(($B58/$M$21)^-$K$21)+($G$22+$H$22*'Advanced Outputs'!C$61^$I$22)*$J$22*EXP(-(($L$22*($B58-$M$22))^$K$22))+($G$23+$H$23*'Advanced Outputs'!C$61^$I$23)*$J$23*EXP(-(($L$23*($B58-$M$23))^$K$23))+($G$24+$H$24*'Advanced Outputs'!C$61^$I$24)*$J$24*EXP(-(($L$24*($B58-$M$24))^$K$24))+($G$25+$H$25*'Advanced Outputs'!C$61^$I$25)*$J$25*EXP(-(($L$25*($B58-$M$25))^$K$25))+$G$26))</f>
        <v>5.2816124898654102E-2</v>
      </c>
      <c r="D58" s="75">
        <f>10^(-(($G$21+$H$21*'Advanced Outputs'!C$60^$I$21)*(($B58/$M$21)^-$K$21)+($G$22+$H$22*'Advanced Outputs'!C$60^$I$22)*$J$22*EXP(-(($L$22*($B58-$M$22))^$K$22))+($G$23+$H$23*'Advanced Outputs'!C$60^$I$23)*$J$23*EXP(-(($L$23*($B58-$M$23))^$K$23))+($G$24+$H$24*'Advanced Outputs'!C$60^$I$24)*$J$24*EXP(-(($L$24*($B58-$M$24))^$K$24))+($G$25+$H$25*'Advanced Outputs'!C$60^$I$25)*$J$25*EXP(-(($L$25*($B58-$M$25))^$K$25))+$G$26))</f>
        <v>0.18261307881984537</v>
      </c>
      <c r="E58" s="75">
        <f t="shared" si="0"/>
        <v>0.28922421789273473</v>
      </c>
      <c r="F58" s="74"/>
      <c r="G58" s="6"/>
      <c r="H58" s="6"/>
      <c r="I58" s="6"/>
      <c r="J58" s="6"/>
      <c r="K58" s="6"/>
      <c r="L58" s="6"/>
      <c r="M58" s="6"/>
    </row>
    <row r="59" spans="1:13" hidden="1" x14ac:dyDescent="0.2">
      <c r="A59" s="60"/>
      <c r="B59" s="60">
        <v>418</v>
      </c>
      <c r="C59" s="75">
        <f>10^(-(($G$21+$H$21*'Advanced Outputs'!C$61^$I$21)*(($B59/$M$21)^-$K$21)+($G$22+$H$22*'Advanced Outputs'!C$61^$I$22)*$J$22*EXP(-(($L$22*($B59-$M$22))^$K$22))+($G$23+$H$23*'Advanced Outputs'!C$61^$I$23)*$J$23*EXP(-(($L$23*($B59-$M$23))^$K$23))+($G$24+$H$24*'Advanced Outputs'!C$61^$I$24)*$J$24*EXP(-(($L$24*($B59-$M$24))^$K$24))+($G$25+$H$25*'Advanced Outputs'!C$61^$I$25)*$J$25*EXP(-(($L$25*($B59-$M$25))^$K$25))+$G$26))</f>
        <v>5.8827715221275542E-2</v>
      </c>
      <c r="D59" s="75">
        <f>10^(-(($G$21+$H$21*'Advanced Outputs'!C$60^$I$21)*(($B59/$M$21)^-$K$21)+($G$22+$H$22*'Advanced Outputs'!C$60^$I$22)*$J$22*EXP(-(($L$22*($B59-$M$22))^$K$22))+($G$23+$H$23*'Advanced Outputs'!C$60^$I$23)*$J$23*EXP(-(($L$23*($B59-$M$23))^$K$23))+($G$24+$H$24*'Advanced Outputs'!C$60^$I$24)*$J$24*EXP(-(($L$24*($B59-$M$24))^$K$24))+($G$25+$H$25*'Advanced Outputs'!C$60^$I$25)*$J$25*EXP(-(($L$25*($B59-$M$25))^$K$25))+$G$26))</f>
        <v>0.19734037043875807</v>
      </c>
      <c r="E59" s="75">
        <f t="shared" si="0"/>
        <v>0.29810279108365173</v>
      </c>
      <c r="F59" s="74"/>
      <c r="G59" s="6"/>
      <c r="H59" s="6"/>
      <c r="I59" s="6"/>
      <c r="J59" s="6"/>
      <c r="K59" s="6"/>
      <c r="L59" s="6"/>
      <c r="M59" s="6"/>
    </row>
    <row r="60" spans="1:13" hidden="1" x14ac:dyDescent="0.2">
      <c r="A60" s="60"/>
      <c r="B60" s="60">
        <v>419</v>
      </c>
      <c r="C60" s="75">
        <f>10^(-(($G$21+$H$21*'Advanced Outputs'!C$61^$I$21)*(($B60/$M$21)^-$K$21)+($G$22+$H$22*'Advanced Outputs'!C$61^$I$22)*$J$22*EXP(-(($L$22*($B60-$M$22))^$K$22))+($G$23+$H$23*'Advanced Outputs'!C$61^$I$23)*$J$23*EXP(-(($L$23*($B60-$M$23))^$K$23))+($G$24+$H$24*'Advanced Outputs'!C$61^$I$24)*$J$24*EXP(-(($L$24*($B60-$M$24))^$K$24))+($G$25+$H$25*'Advanced Outputs'!C$61^$I$25)*$J$25*EXP(-(($L$25*($B60-$M$25))^$K$25))+$G$26))</f>
        <v>6.5147724735448817E-2</v>
      </c>
      <c r="D60" s="75">
        <f>10^(-(($G$21+$H$21*'Advanced Outputs'!C$60^$I$21)*(($B60/$M$21)^-$K$21)+($G$22+$H$22*'Advanced Outputs'!C$60^$I$22)*$J$22*EXP(-(($L$22*($B60-$M$22))^$K$22))+($G$23+$H$23*'Advanced Outputs'!C$60^$I$23)*$J$23*EXP(-(($L$23*($B60-$M$23))^$K$23))+($G$24+$H$24*'Advanced Outputs'!C$60^$I$24)*$J$24*EXP(-(($L$24*($B60-$M$24))^$K$24))+($G$25+$H$25*'Advanced Outputs'!C$60^$I$25)*$J$25*EXP(-(($L$25*($B60-$M$25))^$K$25))+$G$26))</f>
        <v>0.21234131649680693</v>
      </c>
      <c r="E60" s="75">
        <f t="shared" si="0"/>
        <v>0.30680663476261566</v>
      </c>
      <c r="F60" s="74"/>
      <c r="G60" s="6"/>
      <c r="H60" s="6"/>
      <c r="I60" s="6"/>
      <c r="J60" s="6"/>
      <c r="K60" s="6"/>
      <c r="L60" s="6"/>
      <c r="M60" s="6"/>
    </row>
    <row r="61" spans="1:13" hidden="1" x14ac:dyDescent="0.2">
      <c r="A61" s="60"/>
      <c r="B61" s="60">
        <v>420</v>
      </c>
      <c r="C61" s="75">
        <f>10^(-(($G$21+$H$21*'Advanced Outputs'!C$61^$I$21)*(($B61/$M$21)^-$K$21)+($G$22+$H$22*'Advanced Outputs'!C$61^$I$22)*$J$22*EXP(-(($L$22*($B61-$M$22))^$K$22))+($G$23+$H$23*'Advanced Outputs'!C$61^$I$23)*$J$23*EXP(-(($L$23*($B61-$M$23))^$K$23))+($G$24+$H$24*'Advanced Outputs'!C$61^$I$24)*$J$24*EXP(-(($L$24*($B61-$M$24))^$K$24))+($G$25+$H$25*'Advanced Outputs'!C$61^$I$25)*$J$25*EXP(-(($L$25*($B61-$M$25))^$K$25))+$G$26))</f>
        <v>7.1749824497328613E-2</v>
      </c>
      <c r="D61" s="75">
        <f>10^(-(($G$21+$H$21*'Advanced Outputs'!C$60^$I$21)*(($B61/$M$21)^-$K$21)+($G$22+$H$22*'Advanced Outputs'!C$60^$I$22)*$J$22*EXP(-(($L$22*($B61-$M$22))^$K$22))+($G$23+$H$23*'Advanced Outputs'!C$60^$I$23)*$J$23*EXP(-(($L$23*($B61-$M$23))^$K$23))+($G$24+$H$24*'Advanced Outputs'!C$60^$I$24)*$J$24*EXP(-(($L$24*($B61-$M$24))^$K$24))+($G$25+$H$25*'Advanced Outputs'!C$60^$I$25)*$J$25*EXP(-(($L$25*($B61-$M$25))^$K$25))+$G$26))</f>
        <v>0.22753442768014442</v>
      </c>
      <c r="E61" s="75">
        <f t="shared" si="0"/>
        <v>0.31533612398291933</v>
      </c>
      <c r="F61" s="74"/>
      <c r="G61" s="6"/>
      <c r="H61" s="6"/>
      <c r="I61" s="6"/>
      <c r="J61" s="6"/>
      <c r="K61" s="6"/>
      <c r="L61" s="6"/>
      <c r="M61" s="6"/>
    </row>
    <row r="62" spans="1:13" hidden="1" x14ac:dyDescent="0.2">
      <c r="A62" s="60"/>
      <c r="B62" s="60">
        <v>421</v>
      </c>
      <c r="C62" s="75">
        <f>10^(-(($G$21+$H$21*'Advanced Outputs'!C$61^$I$21)*(($B62/$M$21)^-$K$21)+($G$22+$H$22*'Advanced Outputs'!C$61^$I$22)*$J$22*EXP(-(($L$22*($B62-$M$22))^$K$22))+($G$23+$H$23*'Advanced Outputs'!C$61^$I$23)*$J$23*EXP(-(($L$23*($B62-$M$23))^$K$23))+($G$24+$H$24*'Advanced Outputs'!C$61^$I$24)*$J$24*EXP(-(($L$24*($B62-$M$24))^$K$24))+($G$25+$H$25*'Advanced Outputs'!C$61^$I$25)*$J$25*EXP(-(($L$25*($B62-$M$25))^$K$25))+$G$26))</f>
        <v>7.8604904288244071E-2</v>
      </c>
      <c r="D62" s="75">
        <f>10^(-(($G$21+$H$21*'Advanced Outputs'!C$60^$I$21)*(($B62/$M$21)^-$K$21)+($G$22+$H$22*'Advanced Outputs'!C$60^$I$22)*$J$22*EXP(-(($L$22*($B62-$M$22))^$K$22))+($G$23+$H$23*'Advanced Outputs'!C$60^$I$23)*$J$23*EXP(-(($L$23*($B62-$M$23))^$K$23))+($G$24+$H$24*'Advanced Outputs'!C$60^$I$24)*$J$24*EXP(-(($L$24*($B62-$M$24))^$K$24))+($G$25+$H$25*'Advanced Outputs'!C$60^$I$25)*$J$25*EXP(-(($L$25*($B62-$M$25))^$K$25))+$G$26))</f>
        <v>0.24283786217661868</v>
      </c>
      <c r="E62" s="75">
        <f t="shared" si="0"/>
        <v>0.32369295127081066</v>
      </c>
      <c r="F62" s="74"/>
      <c r="G62" s="6"/>
      <c r="H62" s="6"/>
      <c r="I62" s="6"/>
      <c r="J62" s="6"/>
      <c r="K62" s="6"/>
      <c r="L62" s="6"/>
      <c r="M62" s="6"/>
    </row>
    <row r="63" spans="1:13" hidden="1" x14ac:dyDescent="0.2">
      <c r="A63" s="60"/>
      <c r="B63" s="60">
        <v>422</v>
      </c>
      <c r="C63" s="75">
        <f>10^(-(($G$21+$H$21*'Advanced Outputs'!C$61^$I$21)*(($B63/$M$21)^-$K$21)+($G$22+$H$22*'Advanced Outputs'!C$61^$I$22)*$J$22*EXP(-(($L$22*($B63-$M$22))^$K$22))+($G$23+$H$23*'Advanced Outputs'!C$61^$I$23)*$J$23*EXP(-(($L$23*($B63-$M$23))^$K$23))+($G$24+$H$24*'Advanced Outputs'!C$61^$I$24)*$J$24*EXP(-(($L$24*($B63-$M$24))^$K$24))+($G$25+$H$25*'Advanced Outputs'!C$61^$I$25)*$J$25*EXP(-(($L$25*($B63-$M$25))^$K$25))+$G$26))</f>
        <v>8.5681775247423292E-2</v>
      </c>
      <c r="D63" s="75">
        <f>10^(-(($G$21+$H$21*'Advanced Outputs'!C$60^$I$21)*(($B63/$M$21)^-$K$21)+($G$22+$H$22*'Advanced Outputs'!C$60^$I$22)*$J$22*EXP(-(($L$22*($B63-$M$22))^$K$22))+($G$23+$H$23*'Advanced Outputs'!C$60^$I$23)*$J$23*EXP(-(($L$23*($B63-$M$23))^$K$23))+($G$24+$H$24*'Advanced Outputs'!C$60^$I$24)*$J$24*EXP(-(($L$24*($B63-$M$24))^$K$24))+($G$25+$H$25*'Advanced Outputs'!C$60^$I$25)*$J$25*EXP(-(($L$25*($B63-$M$25))^$K$25))+$G$26))</f>
        <v>0.25817101200285608</v>
      </c>
      <c r="E63" s="75">
        <f t="shared" si="0"/>
        <v>0.33187992169498648</v>
      </c>
      <c r="F63" s="74"/>
      <c r="G63" s="6"/>
      <c r="H63" s="6"/>
      <c r="I63" s="6"/>
      <c r="J63" s="6"/>
      <c r="K63" s="6"/>
      <c r="L63" s="6"/>
      <c r="M63" s="6"/>
    </row>
    <row r="64" spans="1:13" hidden="1" x14ac:dyDescent="0.2">
      <c r="A64" s="60"/>
      <c r="B64" s="60">
        <v>423</v>
      </c>
      <c r="C64" s="75">
        <f>10^(-(($G$21+$H$21*'Advanced Outputs'!C$61^$I$21)*(($B64/$M$21)^-$K$21)+($G$22+$H$22*'Advanced Outputs'!C$61^$I$22)*$J$22*EXP(-(($L$22*($B64-$M$22))^$K$22))+($G$23+$H$23*'Advanced Outputs'!C$61^$I$23)*$J$23*EXP(-(($L$23*($B64-$M$23))^$K$23))+($G$24+$H$24*'Advanced Outputs'!C$61^$I$24)*$J$24*EXP(-(($L$24*($B64-$M$24))^$K$24))+($G$25+$H$25*'Advanced Outputs'!C$61^$I$25)*$J$25*EXP(-(($L$25*($B64-$M$25))^$K$25))+$G$26))</f>
        <v>9.2947891704140959E-2</v>
      </c>
      <c r="D64" s="75">
        <f>10^(-(($G$21+$H$21*'Advanced Outputs'!C$60^$I$21)*(($B64/$M$21)^-$K$21)+($G$22+$H$22*'Advanced Outputs'!C$60^$I$22)*$J$22*EXP(-(($L$22*($B64-$M$22))^$K$22))+($G$23+$H$23*'Advanced Outputs'!C$60^$I$23)*$J$23*EXP(-(($L$23*($B64-$M$23))^$K$23))+($G$24+$H$24*'Advanced Outputs'!C$60^$I$24)*$J$24*EXP(-(($L$24*($B64-$M$24))^$K$24))+($G$25+$H$25*'Advanced Outputs'!C$60^$I$25)*$J$25*EXP(-(($L$25*($B64-$M$25))^$K$25))+$G$26))</f>
        <v>0.27345596752504098</v>
      </c>
      <c r="E64" s="75">
        <f t="shared" si="0"/>
        <v>0.33990076188638857</v>
      </c>
      <c r="F64" s="74"/>
      <c r="G64" s="6"/>
      <c r="H64" s="6"/>
      <c r="I64" s="6"/>
      <c r="J64" s="6"/>
      <c r="K64" s="6"/>
      <c r="L64" s="6"/>
      <c r="M64" s="6"/>
    </row>
    <row r="65" spans="1:13" hidden="1" x14ac:dyDescent="0.2">
      <c r="A65" s="60"/>
      <c r="B65" s="60">
        <v>424</v>
      </c>
      <c r="C65" s="75">
        <f>10^(-(($G$21+$H$21*'Advanced Outputs'!C$61^$I$21)*(($B65/$M$21)^-$K$21)+($G$22+$H$22*'Advanced Outputs'!C$61^$I$22)*$J$22*EXP(-(($L$22*($B65-$M$22))^$K$22))+($G$23+$H$23*'Advanced Outputs'!C$61^$I$23)*$J$23*EXP(-(($L$23*($B65-$M$23))^$K$23))+($G$24+$H$24*'Advanced Outputs'!C$61^$I$24)*$J$24*EXP(-(($L$24*($B65-$M$24))^$K$24))+($G$25+$H$25*'Advanced Outputs'!C$61^$I$25)*$J$25*EXP(-(($L$25*($B65-$M$25))^$K$25))+$G$26))</f>
        <v>0.10037006432656248</v>
      </c>
      <c r="D65" s="75">
        <f>10^(-(($G$21+$H$21*'Advanced Outputs'!C$60^$I$21)*(($B65/$M$21)^-$K$21)+($G$22+$H$22*'Advanced Outputs'!C$60^$I$22)*$J$22*EXP(-(($L$22*($B65-$M$22))^$K$22))+($G$23+$H$23*'Advanced Outputs'!C$60^$I$23)*$J$23*EXP(-(($L$23*($B65-$M$23))^$K$23))+($G$24+$H$24*'Advanced Outputs'!C$60^$I$24)*$J$24*EXP(-(($L$24*($B65-$M$24))^$K$24))+($G$25+$H$25*'Advanced Outputs'!C$60^$I$25)*$J$25*EXP(-(($L$25*($B65-$M$25))^$K$25))+$G$26))</f>
        <v>0.28861881849178561</v>
      </c>
      <c r="E65" s="75">
        <f t="shared" si="0"/>
        <v>0.34775994459078946</v>
      </c>
      <c r="F65" s="74"/>
      <c r="G65" s="6"/>
      <c r="H65" s="6"/>
      <c r="I65" s="6"/>
      <c r="J65" s="6"/>
      <c r="K65" s="6"/>
      <c r="L65" s="6"/>
      <c r="M65" s="6"/>
    </row>
    <row r="66" spans="1:13" hidden="1" x14ac:dyDescent="0.2">
      <c r="A66" s="60"/>
      <c r="B66" s="60">
        <v>425</v>
      </c>
      <c r="C66" s="75">
        <f>10^(-(($G$21+$H$21*'Advanced Outputs'!C$61^$I$21)*(($B66/$M$21)^-$K$21)+($G$22+$H$22*'Advanced Outputs'!C$61^$I$22)*$J$22*EXP(-(($L$22*($B66-$M$22))^$K$22))+($G$23+$H$23*'Advanced Outputs'!C$61^$I$23)*$J$23*EXP(-(($L$23*($B66-$M$23))^$K$23))+($G$24+$H$24*'Advanced Outputs'!C$61^$I$24)*$J$24*EXP(-(($L$24*($B66-$M$24))^$K$24))+($G$25+$H$25*'Advanced Outputs'!C$61^$I$25)*$J$25*EXP(-(($L$25*($B66-$M$25))^$K$25))+$G$26))</f>
        <v>0.10791513978022292</v>
      </c>
      <c r="D66" s="75">
        <f>10^(-(($G$21+$H$21*'Advanced Outputs'!C$60^$I$21)*(($B66/$M$21)^-$K$21)+($G$22+$H$22*'Advanced Outputs'!C$60^$I$22)*$J$22*EXP(-(($L$22*($B66-$M$22))^$K$22))+($G$23+$H$23*'Advanced Outputs'!C$60^$I$23)*$J$23*EXP(-(($L$23*($B66-$M$23))^$K$23))+($G$24+$H$24*'Advanced Outputs'!C$60^$I$24)*$J$24*EXP(-(($L$24*($B66-$M$24))^$K$24))+($G$25+$H$25*'Advanced Outputs'!C$60^$I$25)*$J$25*EXP(-(($L$25*($B66-$M$25))^$K$25))+$G$26))</f>
        <v>0.30359076072480951</v>
      </c>
      <c r="E66" s="75">
        <f t="shared" si="0"/>
        <v>0.35546252963225988</v>
      </c>
      <c r="F66" s="74"/>
      <c r="G66" s="6"/>
      <c r="H66" s="6"/>
      <c r="I66" s="6"/>
      <c r="J66" s="6"/>
      <c r="K66" s="6"/>
      <c r="L66" s="6"/>
      <c r="M66" s="6"/>
    </row>
    <row r="67" spans="1:13" hidden="1" x14ac:dyDescent="0.2">
      <c r="A67" s="60"/>
      <c r="B67" s="60">
        <v>426</v>
      </c>
      <c r="C67" s="75">
        <f>10^(-(($G$21+$H$21*'Advanced Outputs'!C$61^$I$21)*(($B67/$M$21)^-$K$21)+($G$22+$H$22*'Advanced Outputs'!C$61^$I$22)*$J$22*EXP(-(($L$22*($B67-$M$22))^$K$22))+($G$23+$H$23*'Advanced Outputs'!C$61^$I$23)*$J$23*EXP(-(($L$23*($B67-$M$23))^$K$23))+($G$24+$H$24*'Advanced Outputs'!C$61^$I$24)*$J$24*EXP(-(($L$24*($B67-$M$24))^$K$24))+($G$25+$H$25*'Advanced Outputs'!C$61^$I$25)*$J$25*EXP(-(($L$25*($B67-$M$25))^$K$25))+$G$26))</f>
        <v>0.1155506261474005</v>
      </c>
      <c r="D67" s="75">
        <f>10^(-(($G$21+$H$21*'Advanced Outputs'!C$60^$I$21)*(($B67/$M$21)^-$K$21)+($G$22+$H$22*'Advanced Outputs'!C$60^$I$22)*$J$22*EXP(-(($L$22*($B67-$M$22))^$K$22))+($G$23+$H$23*'Advanced Outputs'!C$60^$I$23)*$J$23*EXP(-(($L$23*($B67-$M$23))^$K$23))+($G$24+$H$24*'Advanced Outputs'!C$60^$I$24)*$J$24*EXP(-(($L$24*($B67-$M$24))^$K$24))+($G$25+$H$25*'Advanced Outputs'!C$60^$I$25)*$J$25*EXP(-(($L$25*($B67-$M$25))^$K$25))+$G$26))</f>
        <v>0.31830898884952014</v>
      </c>
      <c r="E67" s="75">
        <f t="shared" si="0"/>
        <v>0.36301402158022877</v>
      </c>
      <c r="F67" s="74"/>
      <c r="G67" s="6"/>
      <c r="H67" s="6"/>
      <c r="I67" s="6"/>
      <c r="J67" s="6"/>
      <c r="K67" s="6"/>
      <c r="L67" s="6"/>
      <c r="M67" s="6"/>
    </row>
    <row r="68" spans="1:13" hidden="1" x14ac:dyDescent="0.2">
      <c r="A68" s="60"/>
      <c r="B68" s="60">
        <v>427</v>
      </c>
      <c r="C68" s="75">
        <f>10^(-(($G$21+$H$21*'Advanced Outputs'!C$61^$I$21)*(($B68/$M$21)^-$K$21)+($G$22+$H$22*'Advanced Outputs'!C$61^$I$22)*$J$22*EXP(-(($L$22*($B68-$M$22))^$K$22))+($G$23+$H$23*'Advanced Outputs'!C$61^$I$23)*$J$23*EXP(-(($L$23*($B68-$M$23))^$K$23))+($G$24+$H$24*'Advanced Outputs'!C$61^$I$24)*$J$24*EXP(-(($L$24*($B68-$M$24))^$K$24))+($G$25+$H$25*'Advanced Outputs'!C$61^$I$25)*$J$25*EXP(-(($L$25*($B68-$M$25))^$K$25))+$G$26))</f>
        <v>0.12324524800980265</v>
      </c>
      <c r="D68" s="75">
        <f>10^(-(($G$21+$H$21*'Advanced Outputs'!C$60^$I$21)*(($B68/$M$21)^-$K$21)+($G$22+$H$22*'Advanced Outputs'!C$60^$I$22)*$J$22*EXP(-(($L$22*($B68-$M$22))^$K$22))+($G$23+$H$23*'Advanced Outputs'!C$60^$I$23)*$J$23*EXP(-(($L$23*($B68-$M$23))^$K$23))+($G$24+$H$24*'Advanced Outputs'!C$60^$I$24)*$J$24*EXP(-(($L$24*($B68-$M$24))^$K$24))+($G$25+$H$25*'Advanced Outputs'!C$60^$I$25)*$J$25*EXP(-(($L$25*($B68-$M$25))^$K$25))+$G$26))</f>
        <v>0.33271736635855453</v>
      </c>
      <c r="E68" s="75">
        <f t="shared" si="0"/>
        <v>0.37042024394057865</v>
      </c>
      <c r="F68" s="74"/>
      <c r="G68" s="6"/>
      <c r="H68" s="6"/>
      <c r="I68" s="6"/>
      <c r="J68" s="6"/>
      <c r="K68" s="6"/>
      <c r="L68" s="6"/>
      <c r="M68" s="6"/>
    </row>
    <row r="69" spans="1:13" hidden="1" x14ac:dyDescent="0.2">
      <c r="A69" s="60"/>
      <c r="B69" s="60">
        <v>428</v>
      </c>
      <c r="C69" s="75">
        <f>10^(-(($G$21+$H$21*'Advanced Outputs'!C$61^$I$21)*(($B69/$M$21)^-$K$21)+($G$22+$H$22*'Advanced Outputs'!C$61^$I$22)*$J$22*EXP(-(($L$22*($B69-$M$22))^$K$22))+($G$23+$H$23*'Advanced Outputs'!C$61^$I$23)*$J$23*EXP(-(($L$23*($B69-$M$23))^$K$23))+($G$24+$H$24*'Advanced Outputs'!C$61^$I$24)*$J$24*EXP(-(($L$24*($B69-$M$24))^$K$24))+($G$25+$H$25*'Advanced Outputs'!C$61^$I$25)*$J$25*EXP(-(($L$25*($B69-$M$25))^$K$25))+$G$26))</f>
        <v>0.13096941996834638</v>
      </c>
      <c r="D69" s="75">
        <f>10^(-(($G$21+$H$21*'Advanced Outputs'!C$60^$I$21)*(($B69/$M$21)^-$K$21)+($G$22+$H$22*'Advanced Outputs'!C$60^$I$22)*$J$22*EXP(-(($L$22*($B69-$M$22))^$K$22))+($G$23+$H$23*'Advanced Outputs'!C$60^$I$23)*$J$23*EXP(-(($L$23*($B69-$M$23))^$K$23))+($G$24+$H$24*'Advanced Outputs'!C$60^$I$24)*$J$24*EXP(-(($L$24*($B69-$M$24))^$K$24))+($G$25+$H$25*'Advanced Outputs'!C$60^$I$25)*$J$25*EXP(-(($L$25*($B69-$M$25))^$K$25))+$G$26))</f>
        <v>0.34676687428146324</v>
      </c>
      <c r="E69" s="75">
        <f t="shared" si="0"/>
        <v>0.37768722932295229</v>
      </c>
      <c r="F69" s="74"/>
      <c r="G69" s="6"/>
      <c r="H69" s="6"/>
      <c r="I69" s="6"/>
      <c r="J69" s="6"/>
      <c r="K69" s="6"/>
      <c r="L69" s="6"/>
      <c r="M69" s="6"/>
    </row>
    <row r="70" spans="1:13" hidden="1" x14ac:dyDescent="0.2">
      <c r="A70" s="60"/>
      <c r="B70" s="60">
        <v>429</v>
      </c>
      <c r="C70" s="75">
        <f>10^(-(($G$21+$H$21*'Advanced Outputs'!C$61^$I$21)*(($B70/$M$21)^-$K$21)+($G$22+$H$22*'Advanced Outputs'!C$61^$I$22)*$J$22*EXP(-(($L$22*($B70-$M$22))^$K$22))+($G$23+$H$23*'Advanced Outputs'!C$61^$I$23)*$J$23*EXP(-(($L$23*($B70-$M$23))^$K$23))+($G$24+$H$24*'Advanced Outputs'!C$61^$I$24)*$J$24*EXP(-(($L$24*($B70-$M$24))^$K$24))+($G$25+$H$25*'Advanced Outputs'!C$61^$I$25)*$J$25*EXP(-(($L$25*($B70-$M$25))^$K$25))+$G$26))</f>
        <v>0.13869563213768055</v>
      </c>
      <c r="D70" s="75">
        <f>10^(-(($G$21+$H$21*'Advanced Outputs'!C$60^$I$21)*(($B70/$M$21)^-$K$21)+($G$22+$H$22*'Advanced Outputs'!C$60^$I$22)*$J$22*EXP(-(($L$22*($B70-$M$22))^$K$22))+($G$23+$H$23*'Advanced Outputs'!C$60^$I$23)*$J$23*EXP(-(($L$23*($B70-$M$23))^$K$23))+($G$24+$H$24*'Advanced Outputs'!C$60^$I$24)*$J$24*EXP(-(($L$24*($B70-$M$24))^$K$24))+($G$25+$H$25*'Advanced Outputs'!C$60^$I$25)*$J$25*EXP(-(($L$25*($B70-$M$25))^$K$25))+$G$26))</f>
        <v>0.36041584833406665</v>
      </c>
      <c r="E70" s="75">
        <f t="shared" si="0"/>
        <v>0.38482112476120817</v>
      </c>
      <c r="F70" s="74"/>
      <c r="G70" s="6"/>
      <c r="H70" s="6"/>
      <c r="I70" s="6"/>
      <c r="J70" s="6"/>
      <c r="K70" s="6"/>
      <c r="L70" s="6"/>
      <c r="M70" s="6"/>
    </row>
    <row r="71" spans="1:13" hidden="1" x14ac:dyDescent="0.2">
      <c r="A71" s="60"/>
      <c r="B71" s="60">
        <v>430</v>
      </c>
      <c r="C71" s="75">
        <f>10^(-(($G$21+$H$21*'Advanced Outputs'!C$61^$I$21)*(($B71/$M$21)^-$K$21)+($G$22+$H$22*'Advanced Outputs'!C$61^$I$22)*$J$22*EXP(-(($L$22*($B71-$M$22))^$K$22))+($G$23+$H$23*'Advanced Outputs'!C$61^$I$23)*$J$23*EXP(-(($L$23*($B71-$M$23))^$K$23))+($G$24+$H$24*'Advanced Outputs'!C$61^$I$24)*$J$24*EXP(-(($L$24*($B71-$M$24))^$K$24))+($G$25+$H$25*'Advanced Outputs'!C$61^$I$25)*$J$25*EXP(-(($L$25*($B71-$M$25))^$K$25))+$G$26))</f>
        <v>0.14639874554490634</v>
      </c>
      <c r="D71" s="75">
        <f>10^(-(($G$21+$H$21*'Advanced Outputs'!C$60^$I$21)*(($B71/$M$21)^-$K$21)+($G$22+$H$22*'Advanced Outputs'!C$60^$I$22)*$J$22*EXP(-(($L$22*($B71-$M$22))^$K$22))+($G$23+$H$23*'Advanced Outputs'!C$60^$I$23)*$J$23*EXP(-(($L$23*($B71-$M$23))^$K$23))+($G$24+$H$24*'Advanced Outputs'!C$60^$I$24)*$J$24*EXP(-(($L$24*($B71-$M$24))^$K$24))+($G$25+$H$25*'Advanced Outputs'!C$60^$I$25)*$J$25*EXP(-(($L$25*($B71-$M$25))^$K$25))+$G$26))</f>
        <v>0.37363002135761941</v>
      </c>
      <c r="E71" s="75">
        <f t="shared" si="0"/>
        <v>0.39182811116984895</v>
      </c>
      <c r="F71" s="74"/>
      <c r="G71" s="6"/>
      <c r="H71" s="6"/>
      <c r="I71" s="6"/>
      <c r="J71" s="6"/>
      <c r="K71" s="6"/>
      <c r="L71" s="6"/>
      <c r="M71" s="6"/>
    </row>
    <row r="72" spans="1:13" hidden="1" x14ac:dyDescent="0.2">
      <c r="A72" s="60"/>
      <c r="B72" s="60">
        <v>431</v>
      </c>
      <c r="C72" s="75">
        <f>10^(-(($G$21+$H$21*'Advanced Outputs'!C$61^$I$21)*(($B72/$M$21)^-$K$21)+($G$22+$H$22*'Advanced Outputs'!C$61^$I$22)*$J$22*EXP(-(($L$22*($B72-$M$22))^$K$22))+($G$23+$H$23*'Advanced Outputs'!C$61^$I$23)*$J$23*EXP(-(($L$23*($B72-$M$23))^$K$23))+($G$24+$H$24*'Advanced Outputs'!C$61^$I$24)*$J$24*EXP(-(($L$24*($B72-$M$24))^$K$24))+($G$25+$H$25*'Advanced Outputs'!C$61^$I$25)*$J$25*EXP(-(($L$25*($B72-$M$25))^$K$25))+$G$26))</f>
        <v>0.15405619918926339</v>
      </c>
      <c r="D72" s="75">
        <f>10^(-(($G$21+$H$21*'Advanced Outputs'!C$60^$I$21)*(($B72/$M$21)^-$K$21)+($G$22+$H$22*'Advanced Outputs'!C$60^$I$22)*$J$22*EXP(-(($L$22*($B72-$M$22))^$K$22))+($G$23+$H$23*'Advanced Outputs'!C$60^$I$23)*$J$23*EXP(-(($L$23*($B72-$M$23))^$K$23))+($G$24+$H$24*'Advanced Outputs'!C$60^$I$24)*$J$24*EXP(-(($L$24*($B72-$M$24))^$K$24))+($G$25+$H$25*'Advanced Outputs'!C$60^$I$25)*$J$25*EXP(-(($L$25*($B72-$M$25))^$K$25))+$G$26))</f>
        <v>0.38638239300426119</v>
      </c>
      <c r="E72" s="75">
        <f t="shared" si="0"/>
        <v>0.39871433579418925</v>
      </c>
      <c r="F72" s="74"/>
      <c r="G72" s="6"/>
      <c r="H72" s="6"/>
      <c r="I72" s="6"/>
      <c r="J72" s="6"/>
      <c r="K72" s="6"/>
      <c r="L72" s="6"/>
      <c r="M72" s="6"/>
    </row>
    <row r="73" spans="1:13" hidden="1" x14ac:dyDescent="0.2">
      <c r="A73" s="60"/>
      <c r="B73" s="60">
        <v>432</v>
      </c>
      <c r="C73" s="75">
        <f>10^(-(($G$21+$H$21*'Advanced Outputs'!C$61^$I$21)*(($B73/$M$21)^-$K$21)+($G$22+$H$22*'Advanced Outputs'!C$61^$I$22)*$J$22*EXP(-(($L$22*($B73-$M$22))^$K$22))+($G$23+$H$23*'Advanced Outputs'!C$61^$I$23)*$J$23*EXP(-(($L$23*($B73-$M$23))^$K$23))+($G$24+$H$24*'Advanced Outputs'!C$61^$I$24)*$J$24*EXP(-(($L$24*($B73-$M$24))^$K$24))+($G$25+$H$25*'Advanced Outputs'!C$61^$I$25)*$J$25*EXP(-(($L$25*($B73-$M$25))^$K$25))+$G$26))</f>
        <v>0.16164813366276348</v>
      </c>
      <c r="D73" s="75">
        <f>10^(-(($G$21+$H$21*'Advanced Outputs'!C$60^$I$21)*(($B73/$M$21)^-$K$21)+($G$22+$H$22*'Advanced Outputs'!C$60^$I$22)*$J$22*EXP(-(($L$22*($B73-$M$22))^$K$22))+($G$23+$H$23*'Advanced Outputs'!C$60^$I$23)*$J$23*EXP(-(($L$23*($B73-$M$23))^$K$23))+($G$24+$H$24*'Advanced Outputs'!C$60^$I$24)*$J$24*EXP(-(($L$24*($B73-$M$24))^$K$24))+($G$25+$H$25*'Advanced Outputs'!C$60^$I$25)*$J$25*EXP(-(($L$25*($B73-$M$25))^$K$25))+$G$26))</f>
        <v>0.39865295199251355</v>
      </c>
      <c r="E73" s="75">
        <f t="shared" si="0"/>
        <v>0.40548585644437707</v>
      </c>
      <c r="F73" s="74"/>
      <c r="G73" s="6"/>
      <c r="H73" s="6"/>
      <c r="I73" s="6"/>
      <c r="J73" s="6"/>
      <c r="K73" s="6"/>
      <c r="L73" s="6"/>
      <c r="M73" s="6"/>
    </row>
    <row r="74" spans="1:13" hidden="1" x14ac:dyDescent="0.2">
      <c r="A74" s="60"/>
      <c r="B74" s="60">
        <v>433</v>
      </c>
      <c r="C74" s="75">
        <f>10^(-(($G$21+$H$21*'Advanced Outputs'!C$61^$I$21)*(($B74/$M$21)^-$K$21)+($G$22+$H$22*'Advanced Outputs'!C$61^$I$22)*$J$22*EXP(-(($L$22*($B74-$M$22))^$K$22))+($G$23+$H$23*'Advanced Outputs'!C$61^$I$23)*$J$23*EXP(-(($L$23*($B74-$M$23))^$K$23))+($G$24+$H$24*'Advanced Outputs'!C$61^$I$24)*$J$24*EXP(-(($L$24*($B74-$M$24))^$K$24))+($G$25+$H$25*'Advanced Outputs'!C$61^$I$25)*$J$25*EXP(-(($L$25*($B74-$M$25))^$K$25))+$G$26))</f>
        <v>0.16915743863843186</v>
      </c>
      <c r="D74" s="75">
        <f>10^(-(($G$21+$H$21*'Advanced Outputs'!C$60^$I$21)*(($B74/$M$21)^-$K$21)+($G$22+$H$22*'Advanced Outputs'!C$60^$I$22)*$J$22*EXP(-(($L$22*($B74-$M$22))^$K$22))+($G$23+$H$23*'Advanced Outputs'!C$60^$I$23)*$J$23*EXP(-(($L$23*($B74-$M$23))^$K$23))+($G$24+$H$24*'Advanced Outputs'!C$60^$I$24)*$J$24*EXP(-(($L$24*($B74-$M$24))^$K$24))+($G$25+$H$25*'Advanced Outputs'!C$60^$I$25)*$J$25*EXP(-(($L$25*($B74-$M$25))^$K$25))+$G$26))</f>
        <v>0.41042827796645137</v>
      </c>
      <c r="E74" s="75">
        <f t="shared" si="0"/>
        <v>0.41214859628229339</v>
      </c>
      <c r="F74" s="74"/>
      <c r="G74" s="6"/>
      <c r="H74" s="6"/>
      <c r="I74" s="6"/>
      <c r="J74" s="6"/>
      <c r="K74" s="6"/>
      <c r="L74" s="6"/>
      <c r="M74" s="6"/>
    </row>
    <row r="75" spans="1:13" hidden="1" x14ac:dyDescent="0.2">
      <c r="A75" s="60"/>
      <c r="B75" s="60">
        <v>434</v>
      </c>
      <c r="C75" s="75">
        <f>10^(-(($G$21+$H$21*'Advanced Outputs'!C$61^$I$21)*(($B75/$M$21)^-$K$21)+($G$22+$H$22*'Advanced Outputs'!C$61^$I$22)*$J$22*EXP(-(($L$22*($B75-$M$22))^$K$22))+($G$23+$H$23*'Advanced Outputs'!C$61^$I$23)*$J$23*EXP(-(($L$23*($B75-$M$23))^$K$23))+($G$24+$H$24*'Advanced Outputs'!C$61^$I$24)*$J$24*EXP(-(($L$24*($B75-$M$24))^$K$24))+($G$25+$H$25*'Advanced Outputs'!C$61^$I$25)*$J$25*EXP(-(($L$25*($B75-$M$25))^$K$25))+$G$26))</f>
        <v>0.17656973320751954</v>
      </c>
      <c r="D75" s="75">
        <f>10^(-(($G$21+$H$21*'Advanced Outputs'!C$60^$I$21)*(($B75/$M$21)^-$K$21)+($G$22+$H$22*'Advanced Outputs'!C$60^$I$22)*$J$22*EXP(-(($L$22*($B75-$M$22))^$K$22))+($G$23+$H$23*'Advanced Outputs'!C$60^$I$23)*$J$23*EXP(-(($L$23*($B75-$M$23))^$K$23))+($G$24+$H$24*'Advanced Outputs'!C$60^$I$24)*$J$24*EXP(-(($L$24*($B75-$M$24))^$K$24))+($G$25+$H$25*'Advanced Outputs'!C$60^$I$25)*$J$25*EXP(-(($L$25*($B75-$M$25))^$K$25))+$G$26))</f>
        <v>0.42170105024600685</v>
      </c>
      <c r="E75" s="75">
        <f t="shared" si="0"/>
        <v>0.41870830794591196</v>
      </c>
      <c r="F75" s="74"/>
      <c r="G75" s="6"/>
      <c r="H75" s="6"/>
      <c r="I75" s="6"/>
      <c r="J75" s="6"/>
      <c r="K75" s="6"/>
      <c r="L75" s="6"/>
      <c r="M75" s="6"/>
    </row>
    <row r="76" spans="1:13" hidden="1" x14ac:dyDescent="0.2">
      <c r="A76" s="60"/>
      <c r="B76" s="60">
        <v>435</v>
      </c>
      <c r="C76" s="75">
        <f>10^(-(($G$21+$H$21*'Advanced Outputs'!C$61^$I$21)*(($B76/$M$21)^-$K$21)+($G$22+$H$22*'Advanced Outputs'!C$61^$I$22)*$J$22*EXP(-(($L$22*($B76-$M$22))^$K$22))+($G$23+$H$23*'Advanced Outputs'!C$61^$I$23)*$J$23*EXP(-(($L$23*($B76-$M$23))^$K$23))+($G$24+$H$24*'Advanced Outputs'!C$61^$I$24)*$J$24*EXP(-(($L$24*($B76-$M$24))^$K$24))+($G$25+$H$25*'Advanced Outputs'!C$61^$I$25)*$J$25*EXP(-(($L$25*($B76-$M$25))^$K$25))+$G$26))</f>
        <v>0.18387328903888339</v>
      </c>
      <c r="D76" s="75">
        <f>10^(-(($G$21+$H$21*'Advanced Outputs'!C$60^$I$21)*(($B76/$M$21)^-$K$21)+($G$22+$H$22*'Advanced Outputs'!C$60^$I$22)*$J$22*EXP(-(($L$22*($B76-$M$22))^$K$22))+($G$23+$H$23*'Advanced Outputs'!C$60^$I$23)*$J$23*EXP(-(($L$23*($B76-$M$23))^$K$23))+($G$24+$H$24*'Advanced Outputs'!C$60^$I$24)*$J$24*EXP(-(($L$24*($B76-$M$24))^$K$24))+($G$25+$H$25*'Advanced Outputs'!C$60^$I$25)*$J$25*EXP(-(($L$25*($B76-$M$25))^$K$25))+$G$26))</f>
        <v>0.43246948980418604</v>
      </c>
      <c r="E76" s="75">
        <f t="shared" si="0"/>
        <v>0.42517054583928621</v>
      </c>
      <c r="F76" s="74"/>
      <c r="G76" s="6"/>
      <c r="H76" s="6"/>
      <c r="I76" s="6"/>
      <c r="J76" s="6"/>
      <c r="K76" s="6"/>
      <c r="L76" s="6"/>
      <c r="M76" s="6"/>
    </row>
    <row r="77" spans="1:13" hidden="1" x14ac:dyDescent="0.2">
      <c r="A77" s="60"/>
      <c r="B77" s="60">
        <v>436</v>
      </c>
      <c r="C77" s="75">
        <f>10^(-(($G$21+$H$21*'Advanced Outputs'!C$61^$I$21)*(($B77/$M$21)^-$K$21)+($G$22+$H$22*'Advanced Outputs'!C$61^$I$22)*$J$22*EXP(-(($L$22*($B77-$M$22))^$K$22))+($G$23+$H$23*'Advanced Outputs'!C$61^$I$23)*$J$23*EXP(-(($L$23*($B77-$M$23))^$K$23))+($G$24+$H$24*'Advanced Outputs'!C$61^$I$24)*$J$24*EXP(-(($L$24*($B77-$M$24))^$K$24))+($G$25+$H$25*'Advanced Outputs'!C$61^$I$25)*$J$25*EXP(-(($L$25*($B77-$M$25))^$K$25))+$G$26))</f>
        <v>0.19105890672301096</v>
      </c>
      <c r="D77" s="75">
        <f>10^(-(($G$21+$H$21*'Advanced Outputs'!C$60^$I$21)*(($B77/$M$21)^-$K$21)+($G$22+$H$22*'Advanced Outputs'!C$60^$I$22)*$J$22*EXP(-(($L$22*($B77-$M$22))^$K$22))+($G$23+$H$23*'Advanced Outputs'!C$60^$I$23)*$J$23*EXP(-(($L$23*($B77-$M$23))^$K$23))+($G$24+$H$24*'Advanced Outputs'!C$60^$I$24)*$J$24*EXP(-(($L$24*($B77-$M$24))^$K$24))+($G$25+$H$25*'Advanced Outputs'!C$60^$I$25)*$J$25*EXP(-(($L$25*($B77-$M$25))^$K$25))+$G$26))</f>
        <v>0.44273675892190012</v>
      </c>
      <c r="E77" s="75">
        <f t="shared" si="0"/>
        <v>0.43154064548029597</v>
      </c>
      <c r="F77" s="74"/>
      <c r="G77" s="6"/>
      <c r="H77" s="6"/>
      <c r="I77" s="6"/>
      <c r="J77" s="6"/>
      <c r="K77" s="6"/>
      <c r="L77" s="6"/>
      <c r="M77" s="6"/>
    </row>
    <row r="78" spans="1:13" hidden="1" x14ac:dyDescent="0.2">
      <c r="A78" s="60"/>
      <c r="B78" s="60">
        <v>437</v>
      </c>
      <c r="C78" s="75">
        <f>10^(-(($G$21+$H$21*'Advanced Outputs'!C$61^$I$21)*(($B78/$M$21)^-$K$21)+($G$22+$H$22*'Advanced Outputs'!C$61^$I$22)*$J$22*EXP(-(($L$22*($B78-$M$22))^$K$22))+($G$23+$H$23*'Advanced Outputs'!C$61^$I$23)*$J$23*EXP(-(($L$23*($B78-$M$23))^$K$23))+($G$24+$H$24*'Advanced Outputs'!C$61^$I$24)*$J$24*EXP(-(($L$24*($B78-$M$24))^$K$24))+($G$25+$H$25*'Advanced Outputs'!C$61^$I$25)*$J$25*EXP(-(($L$25*($B78-$M$25))^$K$25))+$G$26))</f>
        <v>0.19811975554898403</v>
      </c>
      <c r="D78" s="75">
        <f>10^(-(($G$21+$H$21*'Advanced Outputs'!C$60^$I$21)*(($B78/$M$21)^-$K$21)+($G$22+$H$22*'Advanced Outputs'!C$60^$I$22)*$J$22*EXP(-(($L$22*($B78-$M$22))^$K$22))+($G$23+$H$23*'Advanced Outputs'!C$60^$I$23)*$J$23*EXP(-(($L$23*($B78-$M$23))^$K$23))+($G$24+$H$24*'Advanced Outputs'!C$60^$I$24)*$J$24*EXP(-(($L$24*($B78-$M$24))^$K$24))+($G$25+$H$25*'Advanced Outputs'!C$60^$I$25)*$J$25*EXP(-(($L$25*($B78-$M$25))^$K$25))+$G$26))</f>
        <v>0.45251034042320409</v>
      </c>
      <c r="E78" s="75">
        <f t="shared" si="0"/>
        <v>0.43782370887634359</v>
      </c>
      <c r="F78" s="74"/>
      <c r="G78" s="6"/>
      <c r="H78" s="6"/>
      <c r="I78" s="6"/>
      <c r="J78" s="6"/>
      <c r="K78" s="6"/>
      <c r="L78" s="6"/>
      <c r="M78" s="6"/>
    </row>
    <row r="79" spans="1:13" hidden="1" x14ac:dyDescent="0.2">
      <c r="A79" s="60"/>
      <c r="B79" s="60">
        <v>438</v>
      </c>
      <c r="C79" s="75">
        <f>10^(-(($G$21+$H$21*'Advanced Outputs'!C$61^$I$21)*(($B79/$M$21)^-$K$21)+($G$22+$H$22*'Advanced Outputs'!C$61^$I$22)*$J$22*EXP(-(($L$22*($B79-$M$22))^$K$22))+($G$23+$H$23*'Advanced Outputs'!C$61^$I$23)*$J$23*EXP(-(($L$23*($B79-$M$23))^$K$23))+($G$24+$H$24*'Advanced Outputs'!C$61^$I$24)*$J$24*EXP(-(($L$24*($B79-$M$24))^$K$24))+($G$25+$H$25*'Advanced Outputs'!C$61^$I$25)*$J$25*EXP(-(($L$25*($B79-$M$25))^$K$25))+$G$26))</f>
        <v>0.20505118645183226</v>
      </c>
      <c r="D79" s="75">
        <f>10^(-(($G$21+$H$21*'Advanced Outputs'!C$60^$I$21)*(($B79/$M$21)^-$K$21)+($G$22+$H$22*'Advanced Outputs'!C$60^$I$22)*$J$22*EXP(-(($L$22*($B79-$M$22))^$K$22))+($G$23+$H$23*'Advanced Outputs'!C$60^$I$23)*$J$23*EXP(-(($L$23*($B79-$M$23))^$K$23))+($G$24+$H$24*'Advanced Outputs'!C$60^$I$24)*$J$24*EXP(-(($L$24*($B79-$M$24))^$K$24))+($G$25+$H$25*'Advanced Outputs'!C$60^$I$25)*$J$25*EXP(-(($L$25*($B79-$M$25))^$K$25))+$G$26))</f>
        <v>0.46180141543461123</v>
      </c>
      <c r="E79" s="75">
        <f t="shared" si="0"/>
        <v>0.44402459498495517</v>
      </c>
      <c r="F79" s="74"/>
      <c r="G79" s="6"/>
      <c r="H79" s="6"/>
      <c r="I79" s="6"/>
      <c r="J79" s="6"/>
      <c r="K79" s="6"/>
      <c r="L79" s="6"/>
      <c r="M79" s="6"/>
    </row>
    <row r="80" spans="1:13" hidden="1" x14ac:dyDescent="0.2">
      <c r="A80" s="60"/>
      <c r="B80" s="60">
        <v>439</v>
      </c>
      <c r="C80" s="75">
        <f>10^(-(($G$21+$H$21*'Advanced Outputs'!C$61^$I$21)*(($B80/$M$21)^-$K$21)+($G$22+$H$22*'Advanced Outputs'!C$61^$I$22)*$J$22*EXP(-(($L$22*($B80-$M$22))^$K$22))+($G$23+$H$23*'Advanced Outputs'!C$61^$I$23)*$J$23*EXP(-(($L$23*($B80-$M$23))^$K$23))+($G$24+$H$24*'Advanced Outputs'!C$61^$I$24)*$J$24*EXP(-(($L$24*($B80-$M$24))^$K$24))+($G$25+$H$25*'Advanced Outputs'!C$61^$I$25)*$J$25*EXP(-(($L$25*($B80-$M$25))^$K$25))+$G$26))</f>
        <v>0.21185052706596988</v>
      </c>
      <c r="D80" s="75">
        <f>10^(-(($G$21+$H$21*'Advanced Outputs'!C$60^$I$21)*(($B80/$M$21)^-$K$21)+($G$22+$H$22*'Advanced Outputs'!C$60^$I$22)*$J$22*EXP(-(($L$22*($B80-$M$22))^$K$22))+($G$23+$H$23*'Advanced Outputs'!C$60^$I$23)*$J$23*EXP(-(($L$23*($B80-$M$23))^$K$23))+($G$24+$H$24*'Advanced Outputs'!C$60^$I$24)*$J$24*EXP(-(($L$24*($B80-$M$24))^$K$24))+($G$25+$H$25*'Advanced Outputs'!C$60^$I$25)*$J$25*EXP(-(($L$25*($B80-$M$25))^$K$25))+$G$26))</f>
        <v>0.47062425546244951</v>
      </c>
      <c r="E80" s="75">
        <f t="shared" si="0"/>
        <v>0.45014791440742719</v>
      </c>
      <c r="F80" s="74"/>
      <c r="G80" s="6"/>
      <c r="H80" s="6"/>
      <c r="I80" s="6"/>
      <c r="J80" s="6"/>
      <c r="K80" s="6"/>
      <c r="L80" s="6"/>
      <c r="M80" s="6"/>
    </row>
    <row r="81" spans="1:13" hidden="1" x14ac:dyDescent="0.2">
      <c r="A81" s="60"/>
      <c r="B81" s="60">
        <v>440</v>
      </c>
      <c r="C81" s="75">
        <f>10^(-(($G$21+$H$21*'Advanced Outputs'!C$61^$I$21)*(($B81/$M$21)^-$K$21)+($G$22+$H$22*'Advanced Outputs'!C$61^$I$22)*$J$22*EXP(-(($L$22*($B81-$M$22))^$K$22))+($G$23+$H$23*'Advanced Outputs'!C$61^$I$23)*$J$23*EXP(-(($L$23*($B81-$M$23))^$K$23))+($G$24+$H$24*'Advanced Outputs'!C$61^$I$24)*$J$24*EXP(-(($L$24*($B81-$M$24))^$K$24))+($G$25+$H$25*'Advanced Outputs'!C$61^$I$25)*$J$25*EXP(-(($L$25*($B81-$M$25))^$K$25))+$G$26))</f>
        <v>0.21851686682587895</v>
      </c>
      <c r="D81" s="75">
        <f>10^(-(($G$21+$H$21*'Advanced Outputs'!C$60^$I$21)*(($B81/$M$21)^-$K$21)+($G$22+$H$22*'Advanced Outputs'!C$60^$I$22)*$J$22*EXP(-(($L$22*($B81-$M$22))^$K$22))+($G$23+$H$23*'Advanced Outputs'!C$60^$I$23)*$J$23*EXP(-(($L$23*($B81-$M$23))^$K$23))+($G$24+$H$24*'Advanced Outputs'!C$60^$I$24)*$J$24*EXP(-(($L$24*($B81-$M$24))^$K$24))+($G$25+$H$25*'Advanced Outputs'!C$60^$I$25)*$J$25*EXP(-(($L$25*($B81-$M$25))^$K$25))+$G$26))</f>
        <v>0.47899564142486989</v>
      </c>
      <c r="E81" s="75">
        <f t="shared" si="0"/>
        <v>0.45619802755585859</v>
      </c>
      <c r="F81" s="74"/>
      <c r="G81" s="6"/>
      <c r="H81" s="6"/>
      <c r="I81" s="6"/>
      <c r="J81" s="6"/>
      <c r="K81" s="6"/>
      <c r="L81" s="6"/>
      <c r="M81" s="6"/>
    </row>
    <row r="82" spans="1:13" hidden="1" x14ac:dyDescent="0.2">
      <c r="A82" s="60"/>
      <c r="B82" s="60">
        <v>441</v>
      </c>
      <c r="C82" s="75">
        <f>10^(-(($G$21+$H$21*'Advanced Outputs'!C$61^$I$21)*(($B82/$M$21)^-$K$21)+($G$22+$H$22*'Advanced Outputs'!C$61^$I$22)*$J$22*EXP(-(($L$22*($B82-$M$22))^$K$22))+($G$23+$H$23*'Advanced Outputs'!C$61^$I$23)*$J$23*EXP(-(($L$23*($B82-$M$23))^$K$23))+($G$24+$H$24*'Advanced Outputs'!C$61^$I$24)*$J$24*EXP(-(($L$24*($B82-$M$24))^$K$24))+($G$25+$H$25*'Advanced Outputs'!C$61^$I$25)*$J$25*EXP(-(($L$25*($B82-$M$25))^$K$25))+$G$26))</f>
        <v>0.22505083895406197</v>
      </c>
      <c r="D82" s="75">
        <f>10^(-(($G$21+$H$21*'Advanced Outputs'!C$60^$I$21)*(($B82/$M$21)^-$K$21)+($G$22+$H$22*'Advanced Outputs'!C$60^$I$22)*$J$22*EXP(-(($L$22*($B82-$M$22))^$K$22))+($G$23+$H$23*'Advanced Outputs'!C$60^$I$23)*$J$23*EXP(-(($L$23*($B82-$M$23))^$K$23))+($G$24+$H$24*'Advanced Outputs'!C$60^$I$24)*$J$24*EXP(-(($L$24*($B82-$M$24))^$K$24))+($G$25+$H$25*'Advanced Outputs'!C$60^$I$25)*$J$25*EXP(-(($L$25*($B82-$M$25))^$K$25))+$G$26))</f>
        <v>0.48693431925290337</v>
      </c>
      <c r="E82" s="75">
        <f t="shared" si="0"/>
        <v>0.46217904562437573</v>
      </c>
      <c r="F82" s="74"/>
      <c r="G82" s="6"/>
      <c r="H82" s="6"/>
      <c r="I82" s="6"/>
      <c r="J82" s="6"/>
      <c r="K82" s="6"/>
      <c r="L82" s="6"/>
      <c r="M82" s="6"/>
    </row>
    <row r="83" spans="1:13" hidden="1" x14ac:dyDescent="0.2">
      <c r="A83" s="60"/>
      <c r="B83" s="60">
        <v>442</v>
      </c>
      <c r="C83" s="75">
        <f>10^(-(($G$21+$H$21*'Advanced Outputs'!C$61^$I$21)*(($B83/$M$21)^-$K$21)+($G$22+$H$22*'Advanced Outputs'!C$61^$I$22)*$J$22*EXP(-(($L$22*($B83-$M$22))^$K$22))+($G$23+$H$23*'Advanced Outputs'!C$61^$I$23)*$J$23*EXP(-(($L$23*($B83-$M$23))^$K$23))+($G$24+$H$24*'Advanced Outputs'!C$61^$I$24)*$J$24*EXP(-(($L$24*($B83-$M$24))^$K$24))+($G$25+$H$25*'Advanced Outputs'!C$61^$I$25)*$J$25*EXP(-(($L$25*($B83-$M$25))^$K$25))+$G$26))</f>
        <v>0.23145440504049813</v>
      </c>
      <c r="D83" s="75">
        <f>10^(-(($G$21+$H$21*'Advanced Outputs'!C$60^$I$21)*(($B83/$M$21)^-$K$21)+($G$22+$H$22*'Advanced Outputs'!C$60^$I$22)*$J$22*EXP(-(($L$22*($B83-$M$22))^$K$22))+($G$23+$H$23*'Advanced Outputs'!C$60^$I$23)*$J$23*EXP(-(($L$23*($B83-$M$23))^$K$23))+($G$24+$H$24*'Advanced Outputs'!C$60^$I$24)*$J$24*EXP(-(($L$24*($B83-$M$24))^$K$24))+($G$25+$H$25*'Advanced Outputs'!C$60^$I$25)*$J$25*EXP(-(($L$25*($B83-$M$25))^$K$25))+$G$26))</f>
        <v>0.49446049889151084</v>
      </c>
      <c r="E83" s="75">
        <f t="shared" si="0"/>
        <v>0.46809483378222566</v>
      </c>
      <c r="F83" s="74"/>
      <c r="G83" s="6"/>
      <c r="H83" s="6"/>
      <c r="I83" s="6"/>
      <c r="J83" s="6"/>
      <c r="K83" s="6"/>
      <c r="L83" s="6"/>
      <c r="M83" s="6"/>
    </row>
    <row r="84" spans="1:13" hidden="1" x14ac:dyDescent="0.2">
      <c r="A84" s="60"/>
      <c r="B84" s="60">
        <v>443</v>
      </c>
      <c r="C84" s="75">
        <f>10^(-(($G$21+$H$21*'Advanced Outputs'!C$61^$I$21)*(($B84/$M$21)^-$K$21)+($G$22+$H$22*'Advanced Outputs'!C$61^$I$22)*$J$22*EXP(-(($L$22*($B84-$M$22))^$K$22))+($G$23+$H$23*'Advanced Outputs'!C$61^$I$23)*$J$23*EXP(-(($L$23*($B84-$M$23))^$K$23))+($G$24+$H$24*'Advanced Outputs'!C$61^$I$24)*$J$24*EXP(-(($L$24*($B84-$M$24))^$K$24))+($G$25+$H$25*'Advanced Outputs'!C$61^$I$25)*$J$25*EXP(-(($L$25*($B84-$M$25))^$K$25))+$G$26))</f>
        <v>0.23773064680420905</v>
      </c>
      <c r="D84" s="75">
        <f>10^(-(($G$21+$H$21*'Advanced Outputs'!C$60^$I$21)*(($B84/$M$21)^-$K$21)+($G$22+$H$22*'Advanced Outputs'!C$60^$I$22)*$J$22*EXP(-(($L$22*($B84-$M$22))^$K$22))+($G$23+$H$23*'Advanced Outputs'!C$60^$I$23)*$J$23*EXP(-(($L$23*($B84-$M$23))^$K$23))+($G$24+$H$24*'Advanced Outputs'!C$60^$I$24)*$J$24*EXP(-(($L$24*($B84-$M$24))^$K$24))+($G$25+$H$25*'Advanced Outputs'!C$60^$I$25)*$J$25*EXP(-(($L$25*($B84-$M$25))^$K$25))+$G$26))</f>
        <v>0.50159540105473044</v>
      </c>
      <c r="E84" s="75">
        <f t="shared" si="0"/>
        <v>0.47394901608810724</v>
      </c>
      <c r="F84" s="74"/>
      <c r="G84" s="6"/>
      <c r="H84" s="6"/>
      <c r="I84" s="6"/>
      <c r="J84" s="6"/>
      <c r="K84" s="6"/>
      <c r="L84" s="6"/>
      <c r="M84" s="6"/>
    </row>
    <row r="85" spans="1:13" hidden="1" x14ac:dyDescent="0.2">
      <c r="A85" s="60"/>
      <c r="B85" s="60">
        <v>444</v>
      </c>
      <c r="C85" s="75">
        <f>10^(-(($G$21+$H$21*'Advanced Outputs'!C$61^$I$21)*(($B85/$M$21)^-$K$21)+($G$22+$H$22*'Advanced Outputs'!C$61^$I$22)*$J$22*EXP(-(($L$22*($B85-$M$22))^$K$22))+($G$23+$H$23*'Advanced Outputs'!C$61^$I$23)*$J$23*EXP(-(($L$23*($B85-$M$23))^$K$23))+($G$24+$H$24*'Advanced Outputs'!C$61^$I$24)*$J$24*EXP(-(($L$24*($B85-$M$24))^$K$24))+($G$25+$H$25*'Advanced Outputs'!C$61^$I$25)*$J$25*EXP(-(($L$25*($B85-$M$25))^$K$25))+$G$26))</f>
        <v>0.24388356857842156</v>
      </c>
      <c r="D85" s="75">
        <f>10^(-(($G$21+$H$21*'Advanced Outputs'!C$60^$I$21)*(($B85/$M$21)^-$K$21)+($G$22+$H$22*'Advanced Outputs'!C$60^$I$22)*$J$22*EXP(-(($L$22*($B85-$M$22))^$K$22))+($G$23+$H$23*'Advanced Outputs'!C$60^$I$23)*$J$23*EXP(-(($L$23*($B85-$M$23))^$K$23))+($G$24+$H$24*'Advanced Outputs'!C$60^$I$24)*$J$24*EXP(-(($L$24*($B85-$M$24))^$K$24))+($G$25+$H$25*'Advanced Outputs'!C$60^$I$25)*$J$25*EXP(-(($L$25*($B85-$M$25))^$K$25))+$G$26))</f>
        <v>0.50836085395580544</v>
      </c>
      <c r="E85" s="75">
        <f t="shared" ref="E85:E148" si="1">C85/D85</f>
        <v>0.47974498170078156</v>
      </c>
      <c r="F85" s="74"/>
      <c r="G85" s="6"/>
      <c r="H85" s="6"/>
      <c r="I85" s="6"/>
      <c r="J85" s="6"/>
      <c r="K85" s="6"/>
      <c r="L85" s="6"/>
      <c r="M85" s="6"/>
    </row>
    <row r="86" spans="1:13" hidden="1" x14ac:dyDescent="0.2">
      <c r="A86" s="60"/>
      <c r="B86" s="60">
        <v>445</v>
      </c>
      <c r="C86" s="75">
        <f>10^(-(($G$21+$H$21*'Advanced Outputs'!C$61^$I$21)*(($B86/$M$21)^-$K$21)+($G$22+$H$22*'Advanced Outputs'!C$61^$I$22)*$J$22*EXP(-(($L$22*($B86-$M$22))^$K$22))+($G$23+$H$23*'Advanced Outputs'!C$61^$I$23)*$J$23*EXP(-(($L$23*($B86-$M$23))^$K$23))+($G$24+$H$24*'Advanced Outputs'!C$61^$I$24)*$J$24*EXP(-(($L$24*($B86-$M$24))^$K$24))+($G$25+$H$25*'Advanced Outputs'!C$61^$I$25)*$J$25*EXP(-(($L$25*($B86-$M$25))^$K$25))+$G$26))</f>
        <v>0.24991791310517678</v>
      </c>
      <c r="D86" s="75">
        <f>10^(-(($G$21+$H$21*'Advanced Outputs'!C$60^$I$21)*(($B86/$M$21)^-$K$21)+($G$22+$H$22*'Advanced Outputs'!C$60^$I$22)*$J$22*EXP(-(($L$22*($B86-$M$22))^$K$22))+($G$23+$H$23*'Advanced Outputs'!C$60^$I$23)*$J$23*EXP(-(($L$23*($B86-$M$23))^$K$23))+($G$24+$H$24*'Advanced Outputs'!C$60^$I$24)*$J$24*EXP(-(($L$24*($B86-$M$24))^$K$24))+($G$25+$H$25*'Advanced Outputs'!C$60^$I$25)*$J$25*EXP(-(($L$25*($B86-$M$25))^$K$25))+$G$26))</f>
        <v>0.51477894045525308</v>
      </c>
      <c r="E86" s="75">
        <f t="shared" si="1"/>
        <v>0.48548589202999998</v>
      </c>
      <c r="F86" s="74"/>
      <c r="G86" s="6"/>
      <c r="H86" s="6"/>
      <c r="I86" s="6"/>
      <c r="J86" s="6"/>
      <c r="K86" s="6"/>
      <c r="L86" s="6"/>
      <c r="M86" s="6"/>
    </row>
    <row r="87" spans="1:13" hidden="1" x14ac:dyDescent="0.2">
      <c r="A87" s="60"/>
      <c r="B87" s="60">
        <v>446</v>
      </c>
      <c r="C87" s="75">
        <f>10^(-(($G$21+$H$21*'Advanced Outputs'!C$61^$I$21)*(($B87/$M$21)^-$K$21)+($G$22+$H$22*'Advanced Outputs'!C$61^$I$22)*$J$22*EXP(-(($L$22*($B87-$M$22))^$K$22))+($G$23+$H$23*'Advanced Outputs'!C$61^$I$23)*$J$23*EXP(-(($L$23*($B87-$M$23))^$K$23))+($G$24+$H$24*'Advanced Outputs'!C$61^$I$24)*$J$24*EXP(-(($L$24*($B87-$M$24))^$K$24))+($G$25+$H$25*'Advanced Outputs'!C$61^$I$25)*$J$25*EXP(-(($L$25*($B87-$M$25))^$K$25))+$G$26))</f>
        <v>0.25583899238062158</v>
      </c>
      <c r="D87" s="75">
        <f>10^(-(($G$21+$H$21*'Advanced Outputs'!C$60^$I$21)*(($B87/$M$21)^-$K$21)+($G$22+$H$22*'Advanced Outputs'!C$60^$I$22)*$J$22*EXP(-(($L$22*($B87-$M$22))^$K$22))+($G$23+$H$23*'Advanced Outputs'!C$60^$I$23)*$J$23*EXP(-(($L$23*($B87-$M$23))^$K$23))+($G$24+$H$24*'Advanced Outputs'!C$60^$I$24)*$J$24*EXP(-(($L$24*($B87-$M$24))^$K$24))+($G$25+$H$25*'Advanced Outputs'!C$60^$I$25)*$J$25*EXP(-(($L$25*($B87-$M$25))^$K$25))+$G$26))</f>
        <v>0.52087169463941696</v>
      </c>
      <c r="E87" s="75">
        <f t="shared" si="1"/>
        <v>0.49117468853386409</v>
      </c>
      <c r="F87" s="74"/>
      <c r="G87" s="6"/>
      <c r="H87" s="6"/>
      <c r="I87" s="6"/>
      <c r="J87" s="6"/>
      <c r="K87" s="6"/>
      <c r="L87" s="6"/>
      <c r="M87" s="6"/>
    </row>
    <row r="88" spans="1:13" hidden="1" x14ac:dyDescent="0.2">
      <c r="A88" s="60"/>
      <c r="B88" s="60">
        <v>447</v>
      </c>
      <c r="C88" s="75">
        <f>10^(-(($G$21+$H$21*'Advanced Outputs'!C$61^$I$21)*(($B88/$M$21)^-$K$21)+($G$22+$H$22*'Advanced Outputs'!C$61^$I$22)*$J$22*EXP(-(($L$22*($B88-$M$22))^$K$22))+($G$23+$H$23*'Advanced Outputs'!C$61^$I$23)*$J$23*EXP(-(($L$23*($B88-$M$23))^$K$23))+($G$24+$H$24*'Advanced Outputs'!C$61^$I$24)*$J$24*EXP(-(($L$24*($B88-$M$24))^$K$24))+($G$25+$H$25*'Advanced Outputs'!C$61^$I$25)*$J$25*EXP(-(($L$25*($B88-$M$25))^$K$25))+$G$26))</f>
        <v>0.26165253456667897</v>
      </c>
      <c r="D88" s="75">
        <f>10^(-(($G$21+$H$21*'Advanced Outputs'!C$60^$I$21)*(($B88/$M$21)^-$K$21)+($G$22+$H$22*'Advanced Outputs'!C$60^$I$22)*$J$22*EXP(-(($L$22*($B88-$M$22))^$K$22))+($G$23+$H$23*'Advanced Outputs'!C$60^$I$23)*$J$23*EXP(-(($L$23*($B88-$M$23))^$K$23))+($G$24+$H$24*'Advanced Outputs'!C$60^$I$24)*$J$24*EXP(-(($L$24*($B88-$M$24))^$K$24))+($G$25+$H$25*'Advanced Outputs'!C$60^$I$25)*$J$25*EXP(-(($L$25*($B88-$M$25))^$K$25))+$G$26))</f>
        <v>0.52666084573713778</v>
      </c>
      <c r="E88" s="75">
        <f t="shared" si="1"/>
        <v>0.49681410092382799</v>
      </c>
      <c r="F88" s="74"/>
      <c r="G88" s="6"/>
      <c r="H88" s="6"/>
      <c r="I88" s="6"/>
      <c r="J88" s="6"/>
      <c r="K88" s="6"/>
      <c r="L88" s="6"/>
      <c r="M88" s="6"/>
    </row>
    <row r="89" spans="1:13" hidden="1" x14ac:dyDescent="0.2">
      <c r="A89" s="60"/>
      <c r="B89" s="60">
        <v>448</v>
      </c>
      <c r="C89" s="75">
        <f>10^(-(($G$21+$H$21*'Advanced Outputs'!C$61^$I$21)*(($B89/$M$21)^-$K$21)+($G$22+$H$22*'Advanced Outputs'!C$61^$I$22)*$J$22*EXP(-(($L$22*($B89-$M$22))^$K$22))+($G$23+$H$23*'Advanced Outputs'!C$61^$I$23)*$J$23*EXP(-(($L$23*($B89-$M$23))^$K$23))+($G$24+$H$24*'Advanced Outputs'!C$61^$I$24)*$J$24*EXP(-(($L$24*($B89-$M$24))^$K$24))+($G$25+$H$25*'Advanced Outputs'!C$61^$I$25)*$J$25*EXP(-(($L$25*($B89-$M$25))^$K$25))+$G$26))</f>
        <v>0.26736454737900828</v>
      </c>
      <c r="D89" s="75">
        <f>10^(-(($G$21+$H$21*'Advanced Outputs'!C$60^$I$21)*(($B89/$M$21)^-$K$21)+($G$22+$H$22*'Advanced Outputs'!C$60^$I$22)*$J$22*EXP(-(($L$22*($B89-$M$22))^$K$22))+($G$23+$H$23*'Advanced Outputs'!C$60^$I$23)*$J$23*EXP(-(($L$23*($B89-$M$23))^$K$23))+($G$24+$H$24*'Advanced Outputs'!C$60^$I$24)*$J$24*EXP(-(($L$24*($B89-$M$24))^$K$24))+($G$25+$H$25*'Advanced Outputs'!C$60^$I$25)*$J$25*EXP(-(($L$25*($B89-$M$25))^$K$25))+$G$26))</f>
        <v>0.53216760647147932</v>
      </c>
      <c r="E89" s="75">
        <f t="shared" si="1"/>
        <v>0.50240665558687525</v>
      </c>
      <c r="F89" s="74"/>
      <c r="G89" s="6"/>
      <c r="H89" s="6"/>
      <c r="I89" s="6"/>
      <c r="J89" s="6"/>
      <c r="K89" s="6"/>
      <c r="L89" s="6"/>
      <c r="M89" s="6"/>
    </row>
    <row r="90" spans="1:13" hidden="1" x14ac:dyDescent="0.2">
      <c r="A90" s="60"/>
      <c r="B90" s="60">
        <v>449</v>
      </c>
      <c r="C90" s="75">
        <f>10^(-(($G$21+$H$21*'Advanced Outputs'!C$61^$I$21)*(($B90/$M$21)^-$K$21)+($G$22+$H$22*'Advanced Outputs'!C$61^$I$22)*$J$22*EXP(-(($L$22*($B90-$M$22))^$K$22))+($G$23+$H$23*'Advanced Outputs'!C$61^$I$23)*$J$23*EXP(-(($L$23*($B90-$M$23))^$K$23))+($G$24+$H$24*'Advanced Outputs'!C$61^$I$24)*$J$24*EXP(-(($L$24*($B90-$M$24))^$K$24))+($G$25+$H$25*'Advanced Outputs'!C$61^$I$25)*$J$25*EXP(-(($L$25*($B90-$M$25))^$K$25))+$G$26))</f>
        <v>0.27298119787025921</v>
      </c>
      <c r="D90" s="75">
        <f>10^(-(($G$21+$H$21*'Advanced Outputs'!C$60^$I$21)*(($B90/$M$21)^-$K$21)+($G$22+$H$22*'Advanced Outputs'!C$60^$I$22)*$J$22*EXP(-(($L$22*($B90-$M$22))^$K$22))+($G$23+$H$23*'Advanced Outputs'!C$60^$I$23)*$J$23*EXP(-(($L$23*($B90-$M$23))^$K$23))+($G$24+$H$24*'Advanced Outputs'!C$60^$I$24)*$J$24*EXP(-(($L$24*($B90-$M$24))^$K$24))+($G$25+$H$25*'Advanced Outputs'!C$60^$I$25)*$J$25*EXP(-(($L$25*($B90-$M$25))^$K$25))+$G$26))</f>
        <v>0.5374125023903239</v>
      </c>
      <c r="E90" s="75">
        <f t="shared" si="1"/>
        <v>0.50795468407616684</v>
      </c>
      <c r="F90" s="74"/>
      <c r="G90" s="6"/>
      <c r="H90" s="6"/>
      <c r="I90" s="6"/>
      <c r="J90" s="6"/>
      <c r="K90" s="6"/>
      <c r="L90" s="6"/>
      <c r="M90" s="6"/>
    </row>
    <row r="91" spans="1:13" hidden="1" x14ac:dyDescent="0.2">
      <c r="A91" s="60"/>
      <c r="B91" s="60">
        <v>450</v>
      </c>
      <c r="C91" s="75">
        <f>10^(-(($G$21+$H$21*'Advanced Outputs'!C$61^$I$21)*(($B91/$M$21)^-$K$21)+($G$22+$H$22*'Advanced Outputs'!C$61^$I$22)*$J$22*EXP(-(($L$22*($B91-$M$22))^$K$22))+($G$23+$H$23*'Advanced Outputs'!C$61^$I$23)*$J$23*EXP(-(($L$23*($B91-$M$23))^$K$23))+($G$24+$H$24*'Advanced Outputs'!C$61^$I$24)*$J$24*EXP(-(($L$24*($B91-$M$24))^$K$24))+($G$25+$H$25*'Advanced Outputs'!C$61^$I$25)*$J$25*EXP(-(($L$25*($B91-$M$25))^$K$25))+$G$26))</f>
        <v>0.27850870814301099</v>
      </c>
      <c r="D91" s="75">
        <f>10^(-(($G$21+$H$21*'Advanced Outputs'!C$60^$I$21)*(($B91/$M$21)^-$K$21)+($G$22+$H$22*'Advanced Outputs'!C$60^$I$22)*$J$22*EXP(-(($L$22*($B91-$M$22))^$K$22))+($G$23+$H$23*'Advanced Outputs'!C$60^$I$23)*$J$23*EXP(-(($L$23*($B91-$M$23))^$K$23))+($G$24+$H$24*'Advanced Outputs'!C$60^$I$24)*$J$24*EXP(-(($L$24*($B91-$M$24))^$K$24))+($G$25+$H$25*'Advanced Outputs'!C$60^$I$25)*$J$25*EXP(-(($L$25*($B91-$M$25))^$K$25))+$G$26))</f>
        <v>0.54241523838539829</v>
      </c>
      <c r="E91" s="75">
        <f t="shared" si="1"/>
        <v>0.51346033155713866</v>
      </c>
      <c r="F91" s="74"/>
      <c r="G91" s="6"/>
      <c r="H91" s="6"/>
      <c r="I91" s="6"/>
      <c r="J91" s="6"/>
      <c r="K91" s="6"/>
      <c r="L91" s="6"/>
      <c r="M91" s="6"/>
    </row>
    <row r="92" spans="1:13" hidden="1" x14ac:dyDescent="0.2">
      <c r="A92" s="60"/>
      <c r="B92" s="60">
        <v>451</v>
      </c>
      <c r="C92" s="75">
        <f>10^(-(($G$21+$H$21*'Advanced Outputs'!C$61^$I$21)*(($B92/$M$21)^-$K$21)+($G$22+$H$22*'Advanced Outputs'!C$61^$I$22)*$J$22*EXP(-(($L$22*($B92-$M$22))^$K$22))+($G$23+$H$23*'Advanced Outputs'!C$61^$I$23)*$J$23*EXP(-(($L$23*($B92-$M$23))^$K$23))+($G$24+$H$24*'Advanced Outputs'!C$61^$I$24)*$J$24*EXP(-(($L$24*($B92-$M$24))^$K$24))+($G$25+$H$25*'Advanced Outputs'!C$61^$I$25)*$J$25*EXP(-(($L$25*($B92-$M$25))^$K$25))+$G$26))</f>
        <v>0.28395326623746364</v>
      </c>
      <c r="D92" s="75">
        <f>10^(-(($G$21+$H$21*'Advanced Outputs'!C$60^$I$21)*(($B92/$M$21)^-$K$21)+($G$22+$H$22*'Advanced Outputs'!C$60^$I$22)*$J$22*EXP(-(($L$22*($B92-$M$22))^$K$22))+($G$23+$H$23*'Advanced Outputs'!C$60^$I$23)*$J$23*EXP(-(($L$23*($B92-$M$23))^$K$23))+($G$24+$H$24*'Advanced Outputs'!C$60^$I$24)*$J$24*EXP(-(($L$24*($B92-$M$24))^$K$24))+($G$25+$H$25*'Advanced Outputs'!C$60^$I$25)*$J$25*EXP(-(($L$25*($B92-$M$25))^$K$25))+$G$26))</f>
        <v>0.54719459845556673</v>
      </c>
      <c r="E92" s="75">
        <f t="shared" si="1"/>
        <v>0.51892556512602561</v>
      </c>
      <c r="F92" s="74"/>
      <c r="G92" s="6"/>
      <c r="H92" s="6"/>
      <c r="I92" s="6"/>
      <c r="J92" s="6"/>
      <c r="K92" s="6"/>
      <c r="L92" s="6"/>
      <c r="M92" s="6"/>
    </row>
    <row r="93" spans="1:13" hidden="1" x14ac:dyDescent="0.2">
      <c r="A93" s="60"/>
      <c r="B93" s="60">
        <v>452</v>
      </c>
      <c r="C93" s="75">
        <f>10^(-(($G$21+$H$21*'Advanced Outputs'!C$61^$I$21)*(($B93/$M$21)^-$K$21)+($G$22+$H$22*'Advanced Outputs'!C$61^$I$22)*$J$22*EXP(-(($L$22*($B93-$M$22))^$K$22))+($G$23+$H$23*'Advanced Outputs'!C$61^$I$23)*$J$23*EXP(-(($L$23*($B93-$M$23))^$K$23))+($G$24+$H$24*'Advanced Outputs'!C$61^$I$24)*$J$24*EXP(-(($L$24*($B93-$M$24))^$K$24))+($G$25+$H$25*'Advanced Outputs'!C$61^$I$25)*$J$25*EXP(-(($L$25*($B93-$M$25))^$K$25))+$G$26))</f>
        <v>0.28932095123277707</v>
      </c>
      <c r="D93" s="75">
        <f>10^(-(($G$21+$H$21*'Advanced Outputs'!C$60^$I$21)*(($B93/$M$21)^-$K$21)+($G$22+$H$22*'Advanced Outputs'!C$60^$I$22)*$J$22*EXP(-(($L$22*($B93-$M$22))^$K$22))+($G$23+$H$23*'Advanced Outputs'!C$60^$I$23)*$J$23*EXP(-(($L$23*($B93-$M$23))^$K$23))+($G$24+$H$24*'Advanced Outputs'!C$60^$I$24)*$J$24*EXP(-(($L$24*($B93-$M$24))^$K$24))+($G$25+$H$25*'Advanced Outputs'!C$60^$I$25)*$J$25*EXP(-(($L$25*($B93-$M$25))^$K$25))+$G$26))</f>
        <v>0.55176837476081508</v>
      </c>
      <c r="E93" s="75">
        <f t="shared" si="1"/>
        <v>0.52435218194263888</v>
      </c>
      <c r="F93" s="74"/>
      <c r="G93" s="6"/>
      <c r="H93" s="6"/>
      <c r="I93" s="6"/>
      <c r="J93" s="6"/>
      <c r="K93" s="6"/>
      <c r="L93" s="6"/>
      <c r="M93" s="6"/>
    </row>
    <row r="94" spans="1:13" hidden="1" x14ac:dyDescent="0.2">
      <c r="A94" s="60"/>
      <c r="B94" s="60">
        <v>453</v>
      </c>
      <c r="C94" s="75">
        <f>10^(-(($G$21+$H$21*'Advanced Outputs'!C$61^$I$21)*(($B94/$M$21)^-$K$21)+($G$22+$H$22*'Advanced Outputs'!C$61^$I$22)*$J$22*EXP(-(($L$22*($B94-$M$22))^$K$22))+($G$23+$H$23*'Advanced Outputs'!C$61^$I$23)*$J$23*EXP(-(($L$23*($B94-$M$23))^$K$23))+($G$24+$H$24*'Advanced Outputs'!C$61^$I$24)*$J$24*EXP(-(($L$24*($B94-$M$24))^$K$24))+($G$25+$H$25*'Advanced Outputs'!C$61^$I$25)*$J$25*EXP(-(($L$25*($B94-$M$25))^$K$25))+$G$26))</f>
        <v>0.29461767146548773</v>
      </c>
      <c r="D94" s="75">
        <f>10^(-(($G$21+$H$21*'Advanced Outputs'!C$60^$I$21)*(($B94/$M$21)^-$K$21)+($G$22+$H$22*'Advanced Outputs'!C$60^$I$22)*$J$22*EXP(-(($L$22*($B94-$M$22))^$K$22))+($G$23+$H$23*'Advanced Outputs'!C$60^$I$23)*$J$23*EXP(-(($L$23*($B94-$M$23))^$K$23))+($G$24+$H$24*'Advanced Outputs'!C$60^$I$24)*$J$24*EXP(-(($L$24*($B94-$M$24))^$K$24))+($G$25+$H$25*'Advanced Outputs'!C$60^$I$25)*$J$25*EXP(-(($L$25*($B94-$M$25))^$K$25))+$G$26))</f>
        <v>0.55615332211527546</v>
      </c>
      <c r="E94" s="75">
        <f t="shared" si="1"/>
        <v>0.52974181713944968</v>
      </c>
      <c r="F94" s="74"/>
      <c r="G94" s="6"/>
      <c r="H94" s="6"/>
      <c r="I94" s="6"/>
      <c r="J94" s="6"/>
      <c r="K94" s="6"/>
      <c r="L94" s="6"/>
      <c r="M94" s="6"/>
    </row>
    <row r="95" spans="1:13" hidden="1" x14ac:dyDescent="0.2">
      <c r="A95" s="60"/>
      <c r="B95" s="60">
        <v>454</v>
      </c>
      <c r="C95" s="75">
        <f>10^(-(($G$21+$H$21*'Advanced Outputs'!C$61^$I$21)*(($B95/$M$21)^-$K$21)+($G$22+$H$22*'Advanced Outputs'!C$61^$I$22)*$J$22*EXP(-(($L$22*($B95-$M$22))^$K$22))+($G$23+$H$23*'Advanced Outputs'!C$61^$I$23)*$J$23*EXP(-(($L$23*($B95-$M$23))^$K$23))+($G$24+$H$24*'Advanced Outputs'!C$61^$I$24)*$J$24*EXP(-(($L$24*($B95-$M$24))^$K$24))+($G$25+$H$25*'Advanced Outputs'!C$61^$I$25)*$J$25*EXP(-(($L$25*($B95-$M$25))^$K$25))+$G$26))</f>
        <v>0.29984911469158088</v>
      </c>
      <c r="D95" s="75">
        <f>10^(-(($G$21+$H$21*'Advanced Outputs'!C$60^$I$21)*(($B95/$M$21)^-$K$21)+($G$22+$H$22*'Advanced Outputs'!C$60^$I$22)*$J$22*EXP(-(($L$22*($B95-$M$22))^$K$22))+($G$23+$H$23*'Advanced Outputs'!C$60^$I$23)*$J$23*EXP(-(($L$23*($B95-$M$23))^$K$23))+($G$24+$H$24*'Advanced Outputs'!C$60^$I$24)*$J$24*EXP(-(($L$24*($B95-$M$24))^$K$24))+($G$25+$H$25*'Advanced Outputs'!C$60^$I$25)*$J$25*EXP(-(($L$25*($B95-$M$25))^$K$25))+$G$26))</f>
        <v>0.56036513425183065</v>
      </c>
      <c r="E95" s="75">
        <f t="shared" si="1"/>
        <v>0.53509595148513878</v>
      </c>
      <c r="F95" s="74"/>
      <c r="G95" s="6"/>
      <c r="H95" s="6"/>
      <c r="I95" s="6"/>
      <c r="J95" s="6"/>
      <c r="K95" s="6"/>
      <c r="L95" s="6"/>
      <c r="M95" s="6"/>
    </row>
    <row r="96" spans="1:13" hidden="1" x14ac:dyDescent="0.2">
      <c r="A96" s="60"/>
      <c r="B96" s="60">
        <v>455</v>
      </c>
      <c r="C96" s="75">
        <f>10^(-(($G$21+$H$21*'Advanced Outputs'!C$61^$I$21)*(($B96/$M$21)^-$K$21)+($G$22+$H$22*'Advanced Outputs'!C$61^$I$22)*$J$22*EXP(-(($L$22*($B96-$M$22))^$K$22))+($G$23+$H$23*'Advanced Outputs'!C$61^$I$23)*$J$23*EXP(-(($L$23*($B96-$M$23))^$K$23))+($G$24+$H$24*'Advanced Outputs'!C$61^$I$24)*$J$24*EXP(-(($L$24*($B96-$M$24))^$K$24))+($G$25+$H$25*'Advanced Outputs'!C$61^$I$25)*$J$25*EXP(-(($L$25*($B96-$M$25))^$K$25))+$G$26))</f>
        <v>0.30502070898931122</v>
      </c>
      <c r="D96" s="75">
        <f>10^(-(($G$21+$H$21*'Advanced Outputs'!C$60^$I$21)*(($B96/$M$21)^-$K$21)+($G$22+$H$22*'Advanced Outputs'!C$60^$I$22)*$J$22*EXP(-(($L$22*($B96-$M$22))^$K$22))+($G$23+$H$23*'Advanced Outputs'!C$60^$I$23)*$J$23*EXP(-(($L$23*($B96-$M$23))^$K$23))+($G$24+$H$24*'Advanced Outputs'!C$60^$I$24)*$J$24*EXP(-(($L$24*($B96-$M$24))^$K$24))+($G$25+$H$25*'Advanced Outputs'!C$60^$I$25)*$J$25*EXP(-(($L$25*($B96-$M$25))^$K$25))+$G$26))</f>
        <v>0.56441843843238348</v>
      </c>
      <c r="E96" s="75">
        <f t="shared" si="1"/>
        <v>0.54041591879329132</v>
      </c>
      <c r="F96" s="74"/>
      <c r="G96" s="6"/>
      <c r="H96" s="6"/>
      <c r="I96" s="6"/>
      <c r="J96" s="6"/>
      <c r="K96" s="6"/>
      <c r="L96" s="6"/>
      <c r="M96" s="6"/>
    </row>
    <row r="97" spans="1:13" hidden="1" x14ac:dyDescent="0.2">
      <c r="A97" s="60"/>
      <c r="B97" s="60">
        <v>456</v>
      </c>
      <c r="C97" s="75">
        <f>10^(-(($G$21+$H$21*'Advanced Outputs'!C$61^$I$21)*(($B97/$M$21)^-$K$21)+($G$22+$H$22*'Advanced Outputs'!C$61^$I$22)*$J$22*EXP(-(($L$22*($B97-$M$22))^$K$22))+($G$23+$H$23*'Advanced Outputs'!C$61^$I$23)*$J$23*EXP(-(($L$23*($B97-$M$23))^$K$23))+($G$24+$H$24*'Advanced Outputs'!C$61^$I$24)*$J$24*EXP(-(($L$24*($B97-$M$24))^$K$24))+($G$25+$H$25*'Advanced Outputs'!C$61^$I$25)*$J$25*EXP(-(($L$25*($B97-$M$25))^$K$25))+$G$26))</f>
        <v>0.31013759320755779</v>
      </c>
      <c r="D97" s="75">
        <f>10^(-(($G$21+$H$21*'Advanced Outputs'!C$60^$I$21)*(($B97/$M$21)^-$K$21)+($G$22+$H$22*'Advanced Outputs'!C$60^$I$22)*$J$22*EXP(-(($L$22*($B97-$M$22))^$K$22))+($G$23+$H$23*'Advanced Outputs'!C$60^$I$23)*$J$23*EXP(-(($L$23*($B97-$M$23))^$K$23))+($G$24+$H$24*'Advanced Outputs'!C$60^$I$24)*$J$24*EXP(-(($L$24*($B97-$M$24))^$K$24))+($G$25+$H$25*'Advanced Outputs'!C$60^$I$25)*$J$25*EXP(-(($L$25*($B97-$M$25))^$K$25))+$G$26))</f>
        <v>0.56832680525598045</v>
      </c>
      <c r="E97" s="75">
        <f t="shared" si="1"/>
        <v>0.54570291307633911</v>
      </c>
      <c r="F97" s="74"/>
      <c r="G97" s="6"/>
      <c r="H97" s="6"/>
      <c r="I97" s="6"/>
      <c r="J97" s="6"/>
      <c r="K97" s="6"/>
      <c r="L97" s="6"/>
      <c r="M97" s="6"/>
    </row>
    <row r="98" spans="1:13" hidden="1" x14ac:dyDescent="0.2">
      <c r="A98" s="60"/>
      <c r="B98" s="60">
        <v>457</v>
      </c>
      <c r="C98" s="75">
        <f>10^(-(($G$21+$H$21*'Advanced Outputs'!C$61^$I$21)*(($B98/$M$21)^-$K$21)+($G$22+$H$22*'Advanced Outputs'!C$61^$I$22)*$J$22*EXP(-(($L$22*($B98-$M$22))^$K$22))+($G$23+$H$23*'Advanced Outputs'!C$61^$I$23)*$J$23*EXP(-(($L$23*($B98-$M$23))^$K$23))+($G$24+$H$24*'Advanced Outputs'!C$61^$I$24)*$J$24*EXP(-(($L$24*($B98-$M$24))^$K$24))+($G$25+$H$25*'Advanced Outputs'!C$61^$I$25)*$J$25*EXP(-(($L$25*($B98-$M$25))^$K$25))+$G$26))</f>
        <v>0.31520459580042659</v>
      </c>
      <c r="D98" s="75">
        <f>10^(-(($G$21+$H$21*'Advanced Outputs'!C$60^$I$21)*(($B98/$M$21)^-$K$21)+($G$22+$H$22*'Advanced Outputs'!C$60^$I$22)*$J$22*EXP(-(($L$22*($B98-$M$22))^$K$22))+($G$23+$H$23*'Advanced Outputs'!C$60^$I$23)*$J$23*EXP(-(($L$23*($B98-$M$23))^$K$23))+($G$24+$H$24*'Advanced Outputs'!C$60^$I$24)*$J$24*EXP(-(($L$24*($B98-$M$24))^$K$24))+($G$25+$H$25*'Advanced Outputs'!C$60^$I$25)*$J$25*EXP(-(($L$25*($B98-$M$25))^$K$25))+$G$26))</f>
        <v>0.57210277081475525</v>
      </c>
      <c r="E98" s="75">
        <f t="shared" si="1"/>
        <v>0.55095799545164004</v>
      </c>
      <c r="F98" s="74"/>
      <c r="G98" s="6"/>
      <c r="H98" s="6"/>
      <c r="I98" s="6"/>
      <c r="J98" s="6"/>
      <c r="K98" s="6"/>
      <c r="L98" s="6"/>
      <c r="M98" s="6"/>
    </row>
    <row r="99" spans="1:13" hidden="1" x14ac:dyDescent="0.2">
      <c r="A99" s="60"/>
      <c r="B99" s="60">
        <v>458</v>
      </c>
      <c r="C99" s="75">
        <f>10^(-(($G$21+$H$21*'Advanced Outputs'!C$61^$I$21)*(($B99/$M$21)^-$K$21)+($G$22+$H$22*'Advanced Outputs'!C$61^$I$22)*$J$22*EXP(-(($L$22*($B99-$M$22))^$K$22))+($G$23+$H$23*'Advanced Outputs'!C$61^$I$23)*$J$23*EXP(-(($L$23*($B99-$M$23))^$K$23))+($G$24+$H$24*'Advanced Outputs'!C$61^$I$24)*$J$24*EXP(-(($L$24*($B99-$M$24))^$K$24))+($G$25+$H$25*'Advanced Outputs'!C$61^$I$25)*$J$25*EXP(-(($L$25*($B99-$M$25))^$K$25))+$G$26))</f>
        <v>0.32022622094531361</v>
      </c>
      <c r="D99" s="75">
        <f>10^(-(($G$21+$H$21*'Advanced Outputs'!C$60^$I$21)*(($B99/$M$21)^-$K$21)+($G$22+$H$22*'Advanced Outputs'!C$60^$I$22)*$J$22*EXP(-(($L$22*($B99-$M$22))^$K$22))+($G$23+$H$23*'Advanced Outputs'!C$60^$I$23)*$J$23*EXP(-(($L$23*($B99-$M$23))^$K$23))+($G$24+$H$24*'Advanced Outputs'!C$60^$I$24)*$J$24*EXP(-(($L$24*($B99-$M$24))^$K$24))+($G$25+$H$25*'Advanced Outputs'!C$60^$I$25)*$J$25*EXP(-(($L$25*($B99-$M$25))^$K$25))+$G$26))</f>
        <v>0.5757578686517959</v>
      </c>
      <c r="E99" s="75">
        <f t="shared" si="1"/>
        <v>0.55618210081116326</v>
      </c>
      <c r="F99" s="74"/>
      <c r="G99" s="6"/>
      <c r="H99" s="6"/>
      <c r="I99" s="6"/>
      <c r="J99" s="6"/>
      <c r="K99" s="6"/>
      <c r="L99" s="6"/>
      <c r="M99" s="6"/>
    </row>
    <row r="100" spans="1:13" hidden="1" x14ac:dyDescent="0.2">
      <c r="A100" s="60"/>
      <c r="B100" s="60">
        <v>459</v>
      </c>
      <c r="C100" s="75">
        <f>10^(-(($G$21+$H$21*'Advanced Outputs'!C$61^$I$21)*(($B100/$M$21)^-$K$21)+($G$22+$H$22*'Advanced Outputs'!C$61^$I$22)*$J$22*EXP(-(($L$22*($B100-$M$22))^$K$22))+($G$23+$H$23*'Advanced Outputs'!C$61^$I$23)*$J$23*EXP(-(($L$23*($B100-$M$23))^$K$23))+($G$24+$H$24*'Advanced Outputs'!C$61^$I$24)*$J$24*EXP(-(($L$24*($B100-$M$24))^$K$24))+($G$25+$H$25*'Advanced Outputs'!C$61^$I$25)*$J$25*EXP(-(($L$25*($B100-$M$25))^$K$25))+$G$26))</f>
        <v>0.32520664091226287</v>
      </c>
      <c r="D100" s="75">
        <f>10^(-(($G$21+$H$21*'Advanced Outputs'!C$60^$I$21)*(($B100/$M$21)^-$K$21)+($G$22+$H$22*'Advanced Outputs'!C$60^$I$22)*$J$22*EXP(-(($L$22*($B100-$M$22))^$K$22))+($G$23+$H$23*'Advanced Outputs'!C$60^$I$23)*$J$23*EXP(-(($L$23*($B100-$M$23))^$K$23))+($G$24+$H$24*'Advanced Outputs'!C$60^$I$24)*$J$24*EXP(-(($L$24*($B100-$M$24))^$K$24))+($G$25+$H$25*'Advanced Outputs'!C$60^$I$25)*$J$25*EXP(-(($L$25*($B100-$M$25))^$K$25))+$G$26))</f>
        <v>0.57930266927530549</v>
      </c>
      <c r="E100" s="75">
        <f t="shared" si="1"/>
        <v>0.56137604426903298</v>
      </c>
      <c r="F100" s="74"/>
      <c r="G100" s="6"/>
      <c r="H100" s="6"/>
      <c r="I100" s="6"/>
      <c r="J100" s="6"/>
      <c r="K100" s="6"/>
      <c r="L100" s="6"/>
      <c r="M100" s="6"/>
    </row>
    <row r="101" spans="1:13" hidden="1" x14ac:dyDescent="0.2">
      <c r="A101" s="60"/>
      <c r="B101" s="60">
        <v>460</v>
      </c>
      <c r="C101" s="75">
        <f>10^(-(($G$21+$H$21*'Advanced Outputs'!C$61^$I$21)*(($B101/$M$21)^-$K$21)+($G$22+$H$22*'Advanced Outputs'!C$61^$I$22)*$J$22*EXP(-(($L$22*($B101-$M$22))^$K$22))+($G$23+$H$23*'Advanced Outputs'!C$61^$I$23)*$J$23*EXP(-(($L$23*($B101-$M$23))^$K$23))+($G$24+$H$24*'Advanced Outputs'!C$61^$I$24)*$J$24*EXP(-(($L$24*($B101-$M$24))^$K$24))+($G$25+$H$25*'Advanced Outputs'!C$61^$I$25)*$J$25*EXP(-(($L$25*($B101-$M$25))^$K$25))+$G$26))</f>
        <v>0.33014969373194231</v>
      </c>
      <c r="D101" s="75">
        <f>10^(-(($G$21+$H$21*'Advanced Outputs'!C$60^$I$21)*(($B101/$M$21)^-$K$21)+($G$22+$H$22*'Advanced Outputs'!C$60^$I$22)*$J$22*EXP(-(($L$22*($B101-$M$22))^$K$22))+($G$23+$H$23*'Advanced Outputs'!C$60^$I$23)*$J$23*EXP(-(($L$23*($B101-$M$23))^$K$23))+($G$24+$H$24*'Advanced Outputs'!C$60^$I$24)*$J$24*EXP(-(($L$24*($B101-$M$24))^$K$24))+($G$25+$H$25*'Advanced Outputs'!C$60^$I$25)*$J$25*EXP(-(($L$25*($B101-$M$25))^$K$25))+$G$26))</f>
        <v>0.58274682527236721</v>
      </c>
      <c r="E101" s="75">
        <f t="shared" si="1"/>
        <v>0.56654052740250493</v>
      </c>
      <c r="F101" s="74"/>
      <c r="G101" s="6"/>
      <c r="H101" s="6"/>
      <c r="I101" s="6"/>
      <c r="J101" s="6"/>
      <c r="K101" s="6"/>
      <c r="L101" s="6"/>
      <c r="M101" s="6"/>
    </row>
    <row r="102" spans="1:13" hidden="1" x14ac:dyDescent="0.2">
      <c r="A102" s="60"/>
      <c r="B102" s="60">
        <v>461</v>
      </c>
      <c r="C102" s="75">
        <f>10^(-(($G$21+$H$21*'Advanced Outputs'!C$61^$I$21)*(($B102/$M$21)^-$K$21)+($G$22+$H$22*'Advanced Outputs'!C$61^$I$22)*$J$22*EXP(-(($L$22*($B102-$M$22))^$K$22))+($G$23+$H$23*'Advanced Outputs'!C$61^$I$23)*$J$23*EXP(-(($L$23*($B102-$M$23))^$K$23))+($G$24+$H$24*'Advanced Outputs'!C$61^$I$24)*$J$24*EXP(-(($L$24*($B102-$M$24))^$K$24))+($G$25+$H$25*'Advanced Outputs'!C$61^$I$25)*$J$25*EXP(-(($L$25*($B102-$M$25))^$K$25))+$G$26))</f>
        <v>0.33505888529366751</v>
      </c>
      <c r="D102" s="75">
        <f>10^(-(($G$21+$H$21*'Advanced Outputs'!C$60^$I$21)*(($B102/$M$21)^-$K$21)+($G$22+$H$22*'Advanced Outputs'!C$60^$I$22)*$J$22*EXP(-(($L$22*($B102-$M$22))^$K$22))+($G$23+$H$23*'Advanced Outputs'!C$60^$I$23)*$J$23*EXP(-(($L$23*($B102-$M$23))^$K$23))+($G$24+$H$24*'Advanced Outputs'!C$60^$I$24)*$J$24*EXP(-(($L$24*($B102-$M$24))^$K$24))+($G$25+$H$25*'Advanced Outputs'!C$60^$I$25)*$J$25*EXP(-(($L$25*($B102-$M$25))^$K$25))+$G$26))</f>
        <v>0.58609912033794165</v>
      </c>
      <c r="E102" s="75">
        <f t="shared" si="1"/>
        <v>0.57167614430213498</v>
      </c>
      <c r="F102" s="74"/>
      <c r="G102" s="6"/>
      <c r="H102" s="6"/>
      <c r="I102" s="6"/>
      <c r="J102" s="6"/>
      <c r="K102" s="6"/>
      <c r="L102" s="6"/>
      <c r="M102" s="6"/>
    </row>
    <row r="103" spans="1:13" hidden="1" x14ac:dyDescent="0.2">
      <c r="A103" s="60"/>
      <c r="B103" s="60">
        <v>462</v>
      </c>
      <c r="C103" s="75">
        <f>10^(-(($G$21+$H$21*'Advanced Outputs'!C$61^$I$21)*(($B103/$M$21)^-$K$21)+($G$22+$H$22*'Advanced Outputs'!C$61^$I$22)*$J$22*EXP(-(($L$22*($B103-$M$22))^$K$22))+($G$23+$H$23*'Advanced Outputs'!C$61^$I$23)*$J$23*EXP(-(($L$23*($B103-$M$23))^$K$23))+($G$24+$H$24*'Advanced Outputs'!C$61^$I$24)*$J$24*EXP(-(($L$24*($B103-$M$24))^$K$24))+($G$25+$H$25*'Advanced Outputs'!C$61^$I$25)*$J$25*EXP(-(($L$25*($B103-$M$25))^$K$25))+$G$26))</f>
        <v>0.33993739509034565</v>
      </c>
      <c r="D103" s="75">
        <f>10^(-(($G$21+$H$21*'Advanced Outputs'!C$60^$I$21)*(($B103/$M$21)^-$K$21)+($G$22+$H$22*'Advanced Outputs'!C$60^$I$22)*$J$22*EXP(-(($L$22*($B103-$M$22))^$K$22))+($G$23+$H$23*'Advanced Outputs'!C$60^$I$23)*$J$23*EXP(-(($L$23*($B103-$M$23))^$K$23))+($G$24+$H$24*'Advanced Outputs'!C$60^$I$24)*$J$24*EXP(-(($L$24*($B103-$M$24))^$K$24))+($G$25+$H$25*'Advanced Outputs'!C$60^$I$25)*$J$25*EXP(-(($L$25*($B103-$M$25))^$K$25))+$G$26))</f>
        <v>0.58936752078705712</v>
      </c>
      <c r="E103" s="75">
        <f t="shared" si="1"/>
        <v>0.57678338744623081</v>
      </c>
      <c r="F103" s="74"/>
      <c r="G103" s="6"/>
      <c r="H103" s="6"/>
      <c r="I103" s="6"/>
      <c r="J103" s="6"/>
      <c r="K103" s="6"/>
      <c r="L103" s="6"/>
      <c r="M103" s="6"/>
    </row>
    <row r="104" spans="1:13" hidden="1" x14ac:dyDescent="0.2">
      <c r="A104" s="60"/>
      <c r="B104" s="60">
        <v>463</v>
      </c>
      <c r="C104" s="75">
        <f>10^(-(($G$21+$H$21*'Advanced Outputs'!C$61^$I$21)*(($B104/$M$21)^-$K$21)+($G$22+$H$22*'Advanced Outputs'!C$61^$I$22)*$J$22*EXP(-(($L$22*($B104-$M$22))^$K$22))+($G$23+$H$23*'Advanced Outputs'!C$61^$I$23)*$J$23*EXP(-(($L$23*($B104-$M$23))^$K$23))+($G$24+$H$24*'Advanced Outputs'!C$61^$I$24)*$J$24*EXP(-(($L$24*($B104-$M$24))^$K$24))+($G$25+$H$25*'Advanced Outputs'!C$61^$I$25)*$J$25*EXP(-(($L$25*($B104-$M$25))^$K$25))+$G$26))</f>
        <v>0.34478808491146673</v>
      </c>
      <c r="D104" s="75">
        <f>10^(-(($G$21+$H$21*'Advanced Outputs'!C$60^$I$21)*(($B104/$M$21)^-$K$21)+($G$22+$H$22*'Advanced Outputs'!C$60^$I$22)*$J$22*EXP(-(($L$22*($B104-$M$22))^$K$22))+($G$23+$H$23*'Advanced Outputs'!C$60^$I$23)*$J$23*EXP(-(($L$23*($B104-$M$23))^$K$23))+($G$24+$H$24*'Advanced Outputs'!C$60^$I$24)*$J$24*EXP(-(($L$24*($B104-$M$24))^$K$24))+($G$25+$H$25*'Advanced Outputs'!C$60^$I$25)*$J$25*EXP(-(($L$25*($B104-$M$25))^$K$25))+$G$26))</f>
        <v>0.59255922834852837</v>
      </c>
      <c r="E104" s="75">
        <f t="shared" si="1"/>
        <v>0.58186265341339194</v>
      </c>
      <c r="F104" s="74"/>
      <c r="G104" s="6"/>
      <c r="H104" s="6"/>
      <c r="I104" s="6"/>
      <c r="J104" s="6"/>
      <c r="K104" s="6"/>
      <c r="L104" s="6"/>
      <c r="M104" s="6"/>
    </row>
    <row r="105" spans="1:13" hidden="1" x14ac:dyDescent="0.2">
      <c r="A105" s="60"/>
      <c r="B105" s="60">
        <v>464</v>
      </c>
      <c r="C105" s="75">
        <f>10^(-(($G$21+$H$21*'Advanced Outputs'!C$61^$I$21)*(($B105/$M$21)^-$K$21)+($G$22+$H$22*'Advanced Outputs'!C$61^$I$22)*$J$22*EXP(-(($L$22*($B105-$M$22))^$K$22))+($G$23+$H$23*'Advanced Outputs'!C$61^$I$23)*$J$23*EXP(-(($L$23*($B105-$M$23))^$K$23))+($G$24+$H$24*'Advanced Outputs'!C$61^$I$24)*$J$24*EXP(-(($L$24*($B105-$M$24))^$K$24))+($G$25+$H$25*'Advanced Outputs'!C$61^$I$25)*$J$25*EXP(-(($L$25*($B105-$M$25))^$K$25))+$G$26))</f>
        <v>0.3496135098664892</v>
      </c>
      <c r="D105" s="75">
        <f>10^(-(($G$21+$H$21*'Advanced Outputs'!C$60^$I$21)*(($B105/$M$21)^-$K$21)+($G$22+$H$22*'Advanced Outputs'!C$60^$I$22)*$J$22*EXP(-(($L$22*($B105-$M$22))^$K$22))+($G$23+$H$23*'Advanced Outputs'!C$60^$I$23)*$J$23*EXP(-(($L$23*($B105-$M$23))^$K$23))+($G$24+$H$24*'Advanced Outputs'!C$60^$I$24)*$J$24*EXP(-(($L$24*($B105-$M$24))^$K$24))+($G$25+$H$25*'Advanced Outputs'!C$60^$I$25)*$J$25*EXP(-(($L$25*($B105-$M$25))^$K$25))+$G$26))</f>
        <v>0.59568073324619475</v>
      </c>
      <c r="E105" s="75">
        <f t="shared" si="1"/>
        <v>0.58691424844522211</v>
      </c>
      <c r="F105" s="74"/>
      <c r="G105" s="6"/>
      <c r="H105" s="6"/>
      <c r="I105" s="6"/>
      <c r="J105" s="6"/>
      <c r="K105" s="6"/>
      <c r="L105" s="6"/>
      <c r="M105" s="6"/>
    </row>
    <row r="106" spans="1:13" hidden="1" x14ac:dyDescent="0.2">
      <c r="A106" s="60"/>
      <c r="B106" s="60">
        <v>465</v>
      </c>
      <c r="C106" s="75">
        <f>10^(-(($G$21+$H$21*'Advanced Outputs'!C$61^$I$21)*(($B106/$M$21)^-$K$21)+($G$22+$H$22*'Advanced Outputs'!C$61^$I$22)*$J$22*EXP(-(($L$22*($B106-$M$22))^$K$22))+($G$23+$H$23*'Advanced Outputs'!C$61^$I$23)*$J$23*EXP(-(($L$23*($B106-$M$23))^$K$23))+($G$24+$H$24*'Advanced Outputs'!C$61^$I$24)*$J$24*EXP(-(($L$24*($B106-$M$24))^$K$24))+($G$25+$H$25*'Advanced Outputs'!C$61^$I$25)*$J$25*EXP(-(($L$25*($B106-$M$25))^$K$25))+$G$26))</f>
        <v>0.35441593119788251</v>
      </c>
      <c r="D106" s="75">
        <f>10^(-(($G$21+$H$21*'Advanced Outputs'!C$60^$I$21)*(($B106/$M$21)^-$K$21)+($G$22+$H$22*'Advanced Outputs'!C$60^$I$22)*$J$22*EXP(-(($L$22*($B106-$M$22))^$K$22))+($G$23+$H$23*'Advanced Outputs'!C$60^$I$23)*$J$23*EXP(-(($L$23*($B106-$M$23))^$K$23))+($G$24+$H$24*'Advanced Outputs'!C$60^$I$24)*$J$24*EXP(-(($L$24*($B106-$M$24))^$K$24))+($G$25+$H$25*'Advanced Outputs'!C$60^$I$25)*$J$25*EXP(-(($L$25*($B106-$M$25))^$K$25))+$G$26))</f>
        <v>0.59873786675864415</v>
      </c>
      <c r="E106" s="75">
        <f t="shared" si="1"/>
        <v>0.59193839386936642</v>
      </c>
      <c r="F106" s="74"/>
      <c r="G106" s="6"/>
      <c r="H106" s="6"/>
      <c r="I106" s="6"/>
      <c r="J106" s="6"/>
      <c r="K106" s="6"/>
      <c r="L106" s="6"/>
      <c r="M106" s="6"/>
    </row>
    <row r="107" spans="1:13" hidden="1" x14ac:dyDescent="0.2">
      <c r="A107" s="60"/>
      <c r="B107" s="60">
        <v>466</v>
      </c>
      <c r="C107" s="75">
        <f>10^(-(($G$21+$H$21*'Advanced Outputs'!C$61^$I$21)*(($B107/$M$21)^-$K$21)+($G$22+$H$22*'Advanced Outputs'!C$61^$I$22)*$J$22*EXP(-(($L$22*($B107-$M$22))^$K$22))+($G$23+$H$23*'Advanced Outputs'!C$61^$I$23)*$J$23*EXP(-(($L$23*($B107-$M$23))^$K$23))+($G$24+$H$24*'Advanced Outputs'!C$61^$I$24)*$J$24*EXP(-(($L$24*($B107-$M$24))^$K$24))+($G$25+$H$25*'Advanced Outputs'!C$61^$I$25)*$J$25*EXP(-(($L$25*($B107-$M$25))^$K$25))+$G$26))</f>
        <v>0.35919733041482604</v>
      </c>
      <c r="D107" s="75">
        <f>10^(-(($G$21+$H$21*'Advanced Outputs'!C$60^$I$21)*(($B107/$M$21)^-$K$21)+($G$22+$H$22*'Advanced Outputs'!C$60^$I$22)*$J$22*EXP(-(($L$22*($B107-$M$22))^$K$22))+($G$23+$H$23*'Advanced Outputs'!C$60^$I$23)*$J$23*EXP(-(($L$23*($B107-$M$23))^$K$23))+($G$24+$H$24*'Advanced Outputs'!C$60^$I$24)*$J$24*EXP(-(($L$24*($B107-$M$24))^$K$24))+($G$25+$H$25*'Advanced Outputs'!C$60^$I$25)*$J$25*EXP(-(($L$25*($B107-$M$25))^$K$25))+$G$26))</f>
        <v>0.60173585261141616</v>
      </c>
      <c r="E107" s="75">
        <f t="shared" si="1"/>
        <v>0.59693523139094962</v>
      </c>
      <c r="F107" s="74"/>
      <c r="G107" s="6"/>
      <c r="H107" s="6"/>
      <c r="I107" s="6"/>
      <c r="J107" s="6"/>
      <c r="K107" s="6"/>
      <c r="L107" s="6"/>
      <c r="M107" s="6"/>
    </row>
    <row r="108" spans="1:13" hidden="1" x14ac:dyDescent="0.2">
      <c r="A108" s="60"/>
      <c r="B108" s="60">
        <v>467</v>
      </c>
      <c r="C108" s="75">
        <f>10^(-(($G$21+$H$21*'Advanced Outputs'!C$61^$I$21)*(($B108/$M$21)^-$K$21)+($G$22+$H$22*'Advanced Outputs'!C$61^$I$22)*$J$22*EXP(-(($L$22*($B108-$M$22))^$K$22))+($G$23+$H$23*'Advanced Outputs'!C$61^$I$23)*$J$23*EXP(-(($L$23*($B108-$M$23))^$K$23))+($G$24+$H$24*'Advanced Outputs'!C$61^$I$24)*$J$24*EXP(-(($L$24*($B108-$M$24))^$K$24))+($G$25+$H$25*'Advanced Outputs'!C$61^$I$25)*$J$25*EXP(-(($L$25*($B108-$M$25))^$K$25))+$G$26))</f>
        <v>0.3639594243446535</v>
      </c>
      <c r="D108" s="75">
        <f>10^(-(($G$21+$H$21*'Advanced Outputs'!C$60^$I$21)*(($B108/$M$21)^-$K$21)+($G$22+$H$22*'Advanced Outputs'!C$60^$I$22)*$J$22*EXP(-(($L$22*($B108-$M$22))^$K$22))+($G$23+$H$23*'Advanced Outputs'!C$60^$I$23)*$J$23*EXP(-(($L$23*($B108-$M$23))^$K$23))+($G$24+$H$24*'Advanced Outputs'!C$60^$I$24)*$J$24*EXP(-(($L$24*($B108-$M$24))^$K$24))+($G$25+$H$25*'Advanced Outputs'!C$60^$I$25)*$J$25*EXP(-(($L$25*($B108-$M$25))^$K$25))+$G$26))</f>
        <v>0.60467935669785822</v>
      </c>
      <c r="E108" s="75">
        <f t="shared" si="1"/>
        <v>0.6019048282584486</v>
      </c>
      <c r="F108" s="74"/>
      <c r="G108" s="6"/>
      <c r="H108" s="6"/>
      <c r="I108" s="6"/>
      <c r="J108" s="6"/>
      <c r="K108" s="6"/>
      <c r="L108" s="6"/>
      <c r="M108" s="6"/>
    </row>
    <row r="109" spans="1:13" hidden="1" x14ac:dyDescent="0.2">
      <c r="A109" s="60"/>
      <c r="B109" s="60">
        <v>468</v>
      </c>
      <c r="C109" s="75">
        <f>10^(-(($G$21+$H$21*'Advanced Outputs'!C$61^$I$21)*(($B109/$M$21)^-$K$21)+($G$22+$H$22*'Advanced Outputs'!C$61^$I$22)*$J$22*EXP(-(($L$22*($B109-$M$22))^$K$22))+($G$23+$H$23*'Advanced Outputs'!C$61^$I$23)*$J$23*EXP(-(($L$23*($B109-$M$23))^$K$23))+($G$24+$H$24*'Advanced Outputs'!C$61^$I$24)*$J$24*EXP(-(($L$24*($B109-$M$24))^$K$24))+($G$25+$H$25*'Advanced Outputs'!C$61^$I$25)*$J$25*EXP(-(($L$25*($B109-$M$25))^$K$25))+$G$26))</f>
        <v>0.3687036807593439</v>
      </c>
      <c r="D109" s="75">
        <f>10^(-(($G$21+$H$21*'Advanced Outputs'!C$60^$I$21)*(($B109/$M$21)^-$K$21)+($G$22+$H$22*'Advanced Outputs'!C$60^$I$22)*$J$22*EXP(-(($L$22*($B109-$M$22))^$K$22))+($G$23+$H$23*'Advanced Outputs'!C$60^$I$23)*$J$23*EXP(-(($L$23*($B109-$M$23))^$K$23))+($G$24+$H$24*'Advanced Outputs'!C$60^$I$24)*$J$24*EXP(-(($L$24*($B109-$M$24))^$K$24))+($G$25+$H$25*'Advanced Outputs'!C$60^$I$25)*$J$25*EXP(-(($L$25*($B109-$M$25))^$K$25))+$G$26))</f>
        <v>0.60757253474758277</v>
      </c>
      <c r="E109" s="75">
        <f t="shared" si="1"/>
        <v>0.60684718230807222</v>
      </c>
      <c r="F109" s="74"/>
      <c r="G109" s="6"/>
      <c r="H109" s="6"/>
      <c r="I109" s="6"/>
      <c r="J109" s="6"/>
      <c r="K109" s="6"/>
      <c r="L109" s="6"/>
      <c r="M109" s="6"/>
    </row>
    <row r="110" spans="1:13" hidden="1" x14ac:dyDescent="0.2">
      <c r="A110" s="60"/>
      <c r="B110" s="60">
        <v>469</v>
      </c>
      <c r="C110" s="75">
        <f>10^(-(($G$21+$H$21*'Advanced Outputs'!C$61^$I$21)*(($B110/$M$21)^-$K$21)+($G$22+$H$22*'Advanced Outputs'!C$61^$I$22)*$J$22*EXP(-(($L$22*($B110-$M$22))^$K$22))+($G$23+$H$23*'Advanced Outputs'!C$61^$I$23)*$J$23*EXP(-(($L$23*($B110-$M$23))^$K$23))+($G$24+$H$24*'Advanced Outputs'!C$61^$I$24)*$J$24*EXP(-(($L$24*($B110-$M$24))^$K$24))+($G$25+$H$25*'Advanced Outputs'!C$61^$I$25)*$J$25*EXP(-(($L$25*($B110-$M$25))^$K$25))+$G$26))</f>
        <v>0.37343133428868491</v>
      </c>
      <c r="D110" s="75">
        <f>10^(-(($G$21+$H$21*'Advanced Outputs'!C$60^$I$21)*(($B110/$M$21)^-$K$21)+($G$22+$H$22*'Advanced Outputs'!C$60^$I$22)*$J$22*EXP(-(($L$22*($B110-$M$22))^$K$22))+($G$23+$H$23*'Advanced Outputs'!C$60^$I$23)*$J$23*EXP(-(($L$23*($B110-$M$23))^$K$23))+($G$24+$H$24*'Advanced Outputs'!C$60^$I$24)*$J$24*EXP(-(($L$24*($B110-$M$24))^$K$24))+($G$25+$H$25*'Advanced Outputs'!C$60^$I$25)*$J$25*EXP(-(($L$25*($B110-$M$25))^$K$25))+$G$26))</f>
        <v>0.61041907766642178</v>
      </c>
      <c r="E110" s="75">
        <f t="shared" si="1"/>
        <v>0.61176222688891035</v>
      </c>
      <c r="F110" s="74"/>
      <c r="G110" s="6"/>
      <c r="H110" s="6"/>
      <c r="I110" s="6"/>
      <c r="J110" s="6"/>
      <c r="K110" s="6"/>
      <c r="L110" s="6"/>
      <c r="M110" s="6"/>
    </row>
    <row r="111" spans="1:13" hidden="1" x14ac:dyDescent="0.2">
      <c r="A111" s="60"/>
      <c r="B111" s="60">
        <v>470</v>
      </c>
      <c r="C111" s="75">
        <f>10^(-(($G$21+$H$21*'Advanced Outputs'!C$61^$I$21)*(($B111/$M$21)^-$K$21)+($G$22+$H$22*'Advanced Outputs'!C$61^$I$22)*$J$22*EXP(-(($L$22*($B111-$M$22))^$K$22))+($G$23+$H$23*'Advanced Outputs'!C$61^$I$23)*$J$23*EXP(-(($L$23*($B111-$M$23))^$K$23))+($G$24+$H$24*'Advanced Outputs'!C$61^$I$24)*$J$24*EXP(-(($L$24*($B111-$M$24))^$K$24))+($G$25+$H$25*'Advanced Outputs'!C$61^$I$25)*$J$25*EXP(-(($L$25*($B111-$M$25))^$K$25))+$G$26))</f>
        <v>0.37814340238032085</v>
      </c>
      <c r="D111" s="75">
        <f>10^(-(($G$21+$H$21*'Advanced Outputs'!C$60^$I$21)*(($B111/$M$21)^-$K$21)+($G$22+$H$22*'Advanced Outputs'!C$60^$I$22)*$J$22*EXP(-(($L$22*($B111-$M$22))^$K$22))+($G$23+$H$23*'Advanced Outputs'!C$60^$I$23)*$J$23*EXP(-(($L$23*($B111-$M$23))^$K$23))+($G$24+$H$24*'Advanced Outputs'!C$60^$I$24)*$J$24*EXP(-(($L$24*($B111-$M$24))^$K$24))+($G$25+$H$25*'Advanced Outputs'!C$60^$I$25)*$J$25*EXP(-(($L$25*($B111-$M$25))^$K$25))+$G$26))</f>
        <v>0.61322225436054478</v>
      </c>
      <c r="E111" s="75">
        <f t="shared" si="1"/>
        <v>0.61664983566951725</v>
      </c>
      <c r="F111" s="74"/>
      <c r="G111" s="6"/>
      <c r="H111" s="6"/>
      <c r="I111" s="6"/>
      <c r="J111" s="6"/>
      <c r="K111" s="6"/>
      <c r="L111" s="6"/>
      <c r="M111" s="6"/>
    </row>
    <row r="112" spans="1:13" hidden="1" x14ac:dyDescent="0.2">
      <c r="A112" s="60"/>
      <c r="B112" s="60">
        <v>471</v>
      </c>
      <c r="C112" s="75">
        <f>10^(-(($G$21+$H$21*'Advanced Outputs'!C$61^$I$21)*(($B112/$M$21)^-$K$21)+($G$22+$H$22*'Advanced Outputs'!C$61^$I$22)*$J$22*EXP(-(($L$22*($B112-$M$22))^$K$22))+($G$23+$H$23*'Advanced Outputs'!C$61^$I$23)*$J$23*EXP(-(($L$23*($B112-$M$23))^$K$23))+($G$24+$H$24*'Advanced Outputs'!C$61^$I$24)*$J$24*EXP(-(($L$24*($B112-$M$24))^$K$24))+($G$25+$H$25*'Advanced Outputs'!C$61^$I$25)*$J$25*EXP(-(($L$25*($B112-$M$25))^$K$25))+$G$26))</f>
        <v>0.38284070110998392</v>
      </c>
      <c r="D112" s="75">
        <f>10^(-(($G$21+$H$21*'Advanced Outputs'!C$60^$I$21)*(($B112/$M$21)^-$K$21)+($G$22+$H$22*'Advanced Outputs'!C$60^$I$22)*$J$22*EXP(-(($L$22*($B112-$M$22))^$K$22))+($G$23+$H$23*'Advanced Outputs'!C$60^$I$23)*$J$23*EXP(-(($L$23*($B112-$M$23))^$K$23))+($G$24+$H$24*'Advanced Outputs'!C$60^$I$24)*$J$24*EXP(-(($L$24*($B112-$M$24))^$K$24))+($G$25+$H$25*'Advanced Outputs'!C$60^$I$25)*$J$25*EXP(-(($L$25*($B112-$M$25))^$K$25))+$G$26))</f>
        <v>0.61598495193166636</v>
      </c>
      <c r="E112" s="75">
        <f t="shared" si="1"/>
        <v>0.62150982732521998</v>
      </c>
      <c r="F112" s="74"/>
      <c r="G112" s="6"/>
      <c r="H112" s="6"/>
      <c r="I112" s="6"/>
      <c r="J112" s="6"/>
      <c r="K112" s="6"/>
      <c r="L112" s="6"/>
      <c r="M112" s="6"/>
    </row>
    <row r="113" spans="1:13" hidden="1" x14ac:dyDescent="0.2">
      <c r="A113" s="60"/>
      <c r="B113" s="60">
        <v>472</v>
      </c>
      <c r="C113" s="75">
        <f>10^(-(($G$21+$H$21*'Advanced Outputs'!C$61^$I$21)*(($B113/$M$21)^-$K$21)+($G$22+$H$22*'Advanced Outputs'!C$61^$I$22)*$J$22*EXP(-(($L$22*($B113-$M$22))^$K$22))+($G$23+$H$23*'Advanced Outputs'!C$61^$I$23)*$J$23*EXP(-(($L$23*($B113-$M$23))^$K$23))+($G$24+$H$24*'Advanced Outputs'!C$61^$I$24)*$J$24*EXP(-(($L$24*($B113-$M$24))^$K$24))+($G$25+$H$25*'Advanced Outputs'!C$61^$I$25)*$J$25*EXP(-(($L$25*($B113-$M$25))^$K$25))+$G$26))</f>
        <v>0.38752386068312111</v>
      </c>
      <c r="D113" s="75">
        <f>10^(-(($G$21+$H$21*'Advanced Outputs'!C$60^$I$21)*(($B113/$M$21)^-$K$21)+($G$22+$H$22*'Advanced Outputs'!C$60^$I$22)*$J$22*EXP(-(($L$22*($B113-$M$22))^$K$22))+($G$23+$H$23*'Advanced Outputs'!C$60^$I$23)*$J$23*EXP(-(($L$23*($B113-$M$23))^$K$23))+($G$24+$H$24*'Advanced Outputs'!C$60^$I$24)*$J$24*EXP(-(($L$24*($B113-$M$24))^$K$24))+($G$25+$H$25*'Advanced Outputs'!C$60^$I$25)*$J$25*EXP(-(($L$25*($B113-$M$25))^$K$25))+$G$26))</f>
        <v>0.61870971319163515</v>
      </c>
      <c r="E113" s="75">
        <f t="shared" si="1"/>
        <v>0.62634197010430959</v>
      </c>
      <c r="F113" s="74"/>
      <c r="G113" s="6"/>
      <c r="H113" s="6"/>
      <c r="I113" s="6"/>
      <c r="J113" s="6"/>
      <c r="K113" s="6"/>
      <c r="L113" s="6"/>
      <c r="M113" s="6"/>
    </row>
    <row r="114" spans="1:13" hidden="1" x14ac:dyDescent="0.2">
      <c r="A114" s="60"/>
      <c r="B114" s="60">
        <v>473</v>
      </c>
      <c r="C114" s="75">
        <f>10^(-(($G$21+$H$21*'Advanced Outputs'!C$61^$I$21)*(($B114/$M$21)^-$K$21)+($G$22+$H$22*'Advanced Outputs'!C$61^$I$22)*$J$22*EXP(-(($L$22*($B114-$M$22))^$K$22))+($G$23+$H$23*'Advanced Outputs'!C$61^$I$23)*$J$23*EXP(-(($L$23*($B114-$M$23))^$K$23))+($G$24+$H$24*'Advanced Outputs'!C$61^$I$24)*$J$24*EXP(-(($L$24*($B114-$M$24))^$K$24))+($G$25+$H$25*'Advanced Outputs'!C$61^$I$25)*$J$25*EXP(-(($L$25*($B114-$M$25))^$K$25))+$G$26))</f>
        <v>0.39219334050223825</v>
      </c>
      <c r="D114" s="75">
        <f>10^(-(($G$21+$H$21*'Advanced Outputs'!C$60^$I$21)*(($B114/$M$21)^-$K$21)+($G$22+$H$22*'Advanced Outputs'!C$60^$I$22)*$J$22*EXP(-(($L$22*($B114-$M$22))^$K$22))+($G$23+$H$23*'Advanced Outputs'!C$60^$I$23)*$J$23*EXP(-(($L$23*($B114-$M$23))^$K$23))+($G$24+$H$24*'Advanced Outputs'!C$60^$I$24)*$J$24*EXP(-(($L$24*($B114-$M$24))^$K$24))+($G$25+$H$25*'Advanced Outputs'!C$60^$I$25)*$J$25*EXP(-(($L$25*($B114-$M$25))^$K$25))+$G$26))</f>
        <v>0.62139877149470069</v>
      </c>
      <c r="E114" s="75">
        <f t="shared" si="1"/>
        <v>0.63114598627040075</v>
      </c>
      <c r="F114" s="74"/>
      <c r="G114" s="6"/>
      <c r="H114" s="6"/>
      <c r="I114" s="6"/>
      <c r="J114" s="6"/>
      <c r="K114" s="6"/>
      <c r="L114" s="6"/>
      <c r="M114" s="6"/>
    </row>
    <row r="115" spans="1:13" hidden="1" x14ac:dyDescent="0.2">
      <c r="A115" s="60"/>
      <c r="B115" s="60">
        <v>474</v>
      </c>
      <c r="C115" s="75">
        <f>10^(-(($G$21+$H$21*'Advanced Outputs'!C$61^$I$21)*(($B115/$M$21)^-$K$21)+($G$22+$H$22*'Advanced Outputs'!C$61^$I$22)*$J$22*EXP(-(($L$22*($B115-$M$22))^$K$22))+($G$23+$H$23*'Advanced Outputs'!C$61^$I$23)*$J$23*EXP(-(($L$23*($B115-$M$23))^$K$23))+($G$24+$H$24*'Advanced Outputs'!C$61^$I$24)*$J$24*EXP(-(($L$24*($B115-$M$24))^$K$24))+($G$25+$H$25*'Advanced Outputs'!C$61^$I$25)*$J$25*EXP(-(($L$25*($B115-$M$25))^$K$25))+$G$26))</f>
        <v>0.39684944370296438</v>
      </c>
      <c r="D115" s="75">
        <f>10^(-(($G$21+$H$21*'Advanced Outputs'!C$60^$I$21)*(($B115/$M$21)^-$K$21)+($G$22+$H$22*'Advanced Outputs'!C$60^$I$22)*$J$22*EXP(-(($L$22*($B115-$M$22))^$K$22))+($G$23+$H$23*'Advanced Outputs'!C$60^$I$23)*$J$23*EXP(-(($L$23*($B115-$M$23))^$K$23))+($G$24+$H$24*'Advanced Outputs'!C$60^$I$24)*$J$24*EXP(-(($L$24*($B115-$M$24))^$K$24))+($G$25+$H$25*'Advanced Outputs'!C$60^$I$25)*$J$25*EXP(-(($L$25*($B115-$M$25))^$K$25))+$G$26))</f>
        <v>0.62405408292584852</v>
      </c>
      <c r="E115" s="75">
        <f t="shared" si="1"/>
        <v>0.63592155641760129</v>
      </c>
      <c r="F115" s="74"/>
      <c r="G115" s="6"/>
      <c r="H115" s="6"/>
      <c r="I115" s="6"/>
      <c r="J115" s="6"/>
      <c r="K115" s="6"/>
      <c r="L115" s="6"/>
      <c r="M115" s="6"/>
    </row>
    <row r="116" spans="1:13" hidden="1" x14ac:dyDescent="0.2">
      <c r="A116" s="60"/>
      <c r="B116" s="60">
        <v>475</v>
      </c>
      <c r="C116" s="75">
        <f>10^(-(($G$21+$H$21*'Advanced Outputs'!C$61^$I$21)*(($B116/$M$21)^-$K$21)+($G$22+$H$22*'Advanced Outputs'!C$61^$I$22)*$J$22*EXP(-(($L$22*($B116-$M$22))^$K$22))+($G$23+$H$23*'Advanced Outputs'!C$61^$I$23)*$J$23*EXP(-(($L$23*($B116-$M$23))^$K$23))+($G$24+$H$24*'Advanced Outputs'!C$61^$I$24)*$J$24*EXP(-(($L$24*($B116-$M$24))^$K$24))+($G$25+$H$25*'Advanced Outputs'!C$61^$I$25)*$J$25*EXP(-(($L$25*($B116-$M$25))^$K$25))+$G$26))</f>
        <v>0.40149233108650495</v>
      </c>
      <c r="D116" s="75">
        <f>10^(-(($G$21+$H$21*'Advanced Outputs'!C$60^$I$21)*(($B116/$M$21)^-$K$21)+($G$22+$H$22*'Advanced Outputs'!C$60^$I$22)*$J$22*EXP(-(($L$22*($B116-$M$22))^$K$22))+($G$23+$H$23*'Advanced Outputs'!C$60^$I$23)*$J$23*EXP(-(($L$23*($B116-$M$23))^$K$23))+($G$24+$H$24*'Advanced Outputs'!C$60^$I$24)*$J$24*EXP(-(($L$24*($B116-$M$24))^$K$24))+($G$25+$H$25*'Advanced Outputs'!C$60^$I$25)*$J$25*EXP(-(($L$25*($B116-$M$25))^$K$25))+$G$26))</f>
        <v>0.62667735591509666</v>
      </c>
      <c r="E116" s="75">
        <f t="shared" si="1"/>
        <v>0.64066832365473225</v>
      </c>
      <c r="F116" s="74"/>
      <c r="G116" s="6"/>
      <c r="H116" s="6"/>
      <c r="I116" s="6"/>
      <c r="J116" s="6"/>
      <c r="K116" s="6"/>
      <c r="L116" s="6"/>
      <c r="M116" s="6"/>
    </row>
    <row r="117" spans="1:13" hidden="1" x14ac:dyDescent="0.2">
      <c r="A117" s="60"/>
      <c r="B117" s="60">
        <v>476</v>
      </c>
      <c r="C117" s="75">
        <f>10^(-(($G$21+$H$21*'Advanced Outputs'!C$61^$I$21)*(($B117/$M$21)^-$K$21)+($G$22+$H$22*'Advanced Outputs'!C$61^$I$22)*$J$22*EXP(-(($L$22*($B117-$M$22))^$K$22))+($G$23+$H$23*'Advanced Outputs'!C$61^$I$23)*$J$23*EXP(-(($L$23*($B117-$M$23))^$K$23))+($G$24+$H$24*'Advanced Outputs'!C$61^$I$24)*$J$24*EXP(-(($L$24*($B117-$M$24))^$K$24))+($G$25+$H$25*'Advanced Outputs'!C$61^$I$25)*$J$25*EXP(-(($L$25*($B117-$M$25))^$K$25))+$G$26))</f>
        <v>0.40612203439717115</v>
      </c>
      <c r="D117" s="75">
        <f>10^(-(($G$21+$H$21*'Advanced Outputs'!C$60^$I$21)*(($B117/$M$21)^-$K$21)+($G$22+$H$22*'Advanced Outputs'!C$60^$I$22)*$J$22*EXP(-(($L$22*($B117-$M$22))^$K$22))+($G$23+$H$23*'Advanced Outputs'!C$60^$I$23)*$J$23*EXP(-(($L$23*($B117-$M$23))^$K$23))+($G$24+$H$24*'Advanced Outputs'!C$60^$I$24)*$J$24*EXP(-(($L$24*($B117-$M$24))^$K$24))+($G$25+$H$25*'Advanced Outputs'!C$60^$I$25)*$J$25*EXP(-(($L$25*($B117-$M$25))^$K$25))+$G$26))</f>
        <v>0.6292700783717704</v>
      </c>
      <c r="E117" s="75">
        <f t="shared" si="1"/>
        <v>0.64538589765464072</v>
      </c>
      <c r="F117" s="74"/>
      <c r="G117" s="6"/>
      <c r="H117" s="6"/>
      <c r="I117" s="6"/>
      <c r="J117" s="6"/>
      <c r="K117" s="6"/>
      <c r="L117" s="6"/>
      <c r="M117" s="6"/>
    </row>
    <row r="118" spans="1:13" hidden="1" x14ac:dyDescent="0.2">
      <c r="A118" s="60"/>
      <c r="B118" s="60">
        <v>477</v>
      </c>
      <c r="C118" s="75">
        <f>10^(-(($G$21+$H$21*'Advanced Outputs'!C$61^$I$21)*(($B118/$M$21)^-$K$21)+($G$22+$H$22*'Advanced Outputs'!C$61^$I$22)*$J$22*EXP(-(($L$22*($B118-$M$22))^$K$22))+($G$23+$H$23*'Advanced Outputs'!C$61^$I$23)*$J$23*EXP(-(($L$23*($B118-$M$23))^$K$23))+($G$24+$H$24*'Advanced Outputs'!C$61^$I$24)*$J$24*EXP(-(($L$24*($B118-$M$24))^$K$24))+($G$25+$H$25*'Advanced Outputs'!C$61^$I$25)*$J$25*EXP(-(($L$25*($B118-$M$25))^$K$25))+$G$26))</f>
        <v>0.41073846891144206</v>
      </c>
      <c r="D118" s="75">
        <f>10^(-(($G$21+$H$21*'Advanced Outputs'!C$60^$I$21)*(($B118/$M$21)^-$K$21)+($G$22+$H$22*'Advanced Outputs'!C$60^$I$22)*$J$22*EXP(-(($L$22*($B118-$M$22))^$K$22))+($G$23+$H$23*'Advanced Outputs'!C$60^$I$23)*$J$23*EXP(-(($L$23*($B118-$M$23))^$K$23))+($G$24+$H$24*'Advanced Outputs'!C$60^$I$24)*$J$24*EXP(-(($L$24*($B118-$M$24))^$K$24))+($G$25+$H$25*'Advanced Outputs'!C$60^$I$25)*$J$25*EXP(-(($L$25*($B118-$M$25))^$K$25))+$G$26))</f>
        <v>0.63183354245061962</v>
      </c>
      <c r="E118" s="75">
        <f t="shared" si="1"/>
        <v>0.65007385856464395</v>
      </c>
      <c r="F118" s="74"/>
      <c r="G118" s="6"/>
      <c r="H118" s="6"/>
      <c r="I118" s="6"/>
      <c r="J118" s="6"/>
      <c r="K118" s="6"/>
      <c r="L118" s="6"/>
      <c r="M118" s="6"/>
    </row>
    <row r="119" spans="1:13" hidden="1" x14ac:dyDescent="0.2">
      <c r="A119" s="60"/>
      <c r="B119" s="60">
        <v>478</v>
      </c>
      <c r="C119" s="75">
        <f>10^(-(($G$21+$H$21*'Advanced Outputs'!C$61^$I$21)*(($B119/$M$21)^-$K$21)+($G$22+$H$22*'Advanced Outputs'!C$61^$I$22)*$J$22*EXP(-(($L$22*($B119-$M$22))^$K$22))+($G$23+$H$23*'Advanced Outputs'!C$61^$I$23)*$J$23*EXP(-(($L$23*($B119-$M$23))^$K$23))+($G$24+$H$24*'Advanced Outputs'!C$61^$I$24)*$J$24*EXP(-(($L$24*($B119-$M$24))^$K$24))+($G$25+$H$25*'Advanced Outputs'!C$61^$I$25)*$J$25*EXP(-(($L$25*($B119-$M$25))^$K$25))+$G$26))</f>
        <v>0.41534144531988054</v>
      </c>
      <c r="D119" s="75">
        <f>10^(-(($G$21+$H$21*'Advanced Outputs'!C$60^$I$21)*(($B119/$M$21)^-$K$21)+($G$22+$H$22*'Advanced Outputs'!C$60^$I$22)*$J$22*EXP(-(($L$22*($B119-$M$22))^$K$22))+($G$23+$H$23*'Advanced Outputs'!C$60^$I$23)*$J$23*EXP(-(($L$23*($B119-$M$23))^$K$23))+($G$24+$H$24*'Advanced Outputs'!C$60^$I$24)*$J$24*EXP(-(($L$24*($B119-$M$24))^$K$24))+($G$25+$H$25*'Advanced Outputs'!C$60^$I$25)*$J$25*EXP(-(($L$25*($B119-$M$25))^$K$25))+$G$26))</f>
        <v>0.63436886707417839</v>
      </c>
      <c r="E119" s="75">
        <f t="shared" si="1"/>
        <v>0.65473176077430928</v>
      </c>
      <c r="F119" s="74"/>
      <c r="G119" s="6"/>
      <c r="H119" s="6"/>
      <c r="I119" s="6"/>
      <c r="J119" s="6"/>
      <c r="K119" s="6"/>
      <c r="L119" s="6"/>
      <c r="M119" s="6"/>
    </row>
    <row r="120" spans="1:13" hidden="1" x14ac:dyDescent="0.2">
      <c r="A120" s="60"/>
      <c r="B120" s="60">
        <v>479</v>
      </c>
      <c r="C120" s="75">
        <f>10^(-(($G$21+$H$21*'Advanced Outputs'!C$61^$I$21)*(($B120/$M$21)^-$K$21)+($G$22+$H$22*'Advanced Outputs'!C$61^$I$22)*$J$22*EXP(-(($L$22*($B120-$M$22))^$K$22))+($G$23+$H$23*'Advanced Outputs'!C$61^$I$23)*$J$23*EXP(-(($L$23*($B120-$M$23))^$K$23))+($G$24+$H$24*'Advanced Outputs'!C$61^$I$24)*$J$24*EXP(-(($L$24*($B120-$M$24))^$K$24))+($G$25+$H$25*'Advanced Outputs'!C$61^$I$25)*$J$25*EXP(-(($L$25*($B120-$M$25))^$K$25))+$G$26))</f>
        <v>0.41993068089552077</v>
      </c>
      <c r="D120" s="75">
        <f>10^(-(($G$21+$H$21*'Advanced Outputs'!C$60^$I$21)*(($B120/$M$21)^-$K$21)+($G$22+$H$22*'Advanced Outputs'!C$60^$I$22)*$J$22*EXP(-(($L$22*($B120-$M$22))^$K$22))+($G$23+$H$23*'Advanced Outputs'!C$60^$I$23)*$J$23*EXP(-(($L$23*($B120-$M$23))^$K$23))+($G$24+$H$24*'Advanced Outputs'!C$60^$I$24)*$J$24*EXP(-(($L$24*($B120-$M$24))^$K$24))+($G$25+$H$25*'Advanced Outputs'!C$60^$I$25)*$J$25*EXP(-(($L$25*($B120-$M$25))^$K$25))+$G$26))</f>
        <v>0.63687701834387045</v>
      </c>
      <c r="E120" s="75">
        <f t="shared" si="1"/>
        <v>0.65935913653707412</v>
      </c>
      <c r="F120" s="74"/>
      <c r="G120" s="6"/>
      <c r="H120" s="6"/>
      <c r="I120" s="6"/>
      <c r="J120" s="6"/>
      <c r="K120" s="6"/>
      <c r="L120" s="6"/>
      <c r="M120" s="6"/>
    </row>
    <row r="121" spans="1:13" hidden="1" x14ac:dyDescent="0.2">
      <c r="A121" s="60"/>
      <c r="B121" s="60">
        <v>480</v>
      </c>
      <c r="C121" s="75">
        <f>10^(-(($G$21+$H$21*'Advanced Outputs'!C$61^$I$21)*(($B121/$M$21)^-$K$21)+($G$22+$H$22*'Advanced Outputs'!C$61^$I$22)*$J$22*EXP(-(($L$22*($B121-$M$22))^$K$22))+($G$23+$H$23*'Advanced Outputs'!C$61^$I$23)*$J$23*EXP(-(($L$23*($B121-$M$23))^$K$23))+($G$24+$H$24*'Advanced Outputs'!C$61^$I$24)*$J$24*EXP(-(($L$24*($B121-$M$24))^$K$24))+($G$25+$H$25*'Advanced Outputs'!C$61^$I$25)*$J$25*EXP(-(($L$25*($B121-$M$25))^$K$25))+$G$26))</f>
        <v>0.42450580995239501</v>
      </c>
      <c r="D121" s="75">
        <f>10^(-(($G$21+$H$21*'Advanced Outputs'!C$60^$I$21)*(($B121/$M$21)^-$K$21)+($G$22+$H$22*'Advanced Outputs'!C$60^$I$22)*$J$22*EXP(-(($L$22*($B121-$M$22))^$K$22))+($G$23+$H$23*'Advanced Outputs'!C$60^$I$23)*$J$23*EXP(-(($L$23*($B121-$M$23))^$K$23))+($G$24+$H$24*'Advanced Outputs'!C$60^$I$24)*$J$24*EXP(-(($L$24*($B121-$M$24))^$K$24))+($G$25+$H$25*'Advanced Outputs'!C$60^$I$25)*$J$25*EXP(-(($L$25*($B121-$M$25))^$K$25))+$G$26))</f>
        <v>0.63935882797680066</v>
      </c>
      <c r="E121" s="75">
        <f t="shared" si="1"/>
        <v>0.66395549944263588</v>
      </c>
      <c r="F121" s="74"/>
      <c r="G121" s="6"/>
      <c r="H121" s="6"/>
      <c r="I121" s="6"/>
      <c r="J121" s="6"/>
      <c r="K121" s="6"/>
      <c r="L121" s="6"/>
      <c r="M121" s="6"/>
    </row>
    <row r="122" spans="1:13" hidden="1" x14ac:dyDescent="0.2">
      <c r="A122" s="60"/>
      <c r="B122" s="60">
        <v>481</v>
      </c>
      <c r="C122" s="75">
        <f>10^(-(($G$21+$H$21*'Advanced Outputs'!C$61^$I$21)*(($B122/$M$21)^-$K$21)+($G$22+$H$22*'Advanced Outputs'!C$61^$I$22)*$J$22*EXP(-(($L$22*($B122-$M$22))^$K$22))+($G$23+$H$23*'Advanced Outputs'!C$61^$I$23)*$J$23*EXP(-(($L$23*($B122-$M$23))^$K$23))+($G$24+$H$24*'Advanced Outputs'!C$61^$I$24)*$J$24*EXP(-(($L$24*($B122-$M$24))^$K$24))+($G$25+$H$25*'Advanced Outputs'!C$61^$I$25)*$J$25*EXP(-(($L$25*($B122-$M$25))^$K$25))+$G$26))</f>
        <v>0.42906639360594112</v>
      </c>
      <c r="D122" s="75">
        <f>10^(-(($G$21+$H$21*'Advanced Outputs'!C$60^$I$21)*(($B122/$M$21)^-$K$21)+($G$22+$H$22*'Advanced Outputs'!C$60^$I$22)*$J$22*EXP(-(($L$22*($B122-$M$22))^$K$22))+($G$23+$H$23*'Advanced Outputs'!C$60^$I$23)*$J$23*EXP(-(($L$23*($B122-$M$23))^$K$23))+($G$24+$H$24*'Advanced Outputs'!C$60^$I$24)*$J$24*EXP(-(($L$24*($B122-$M$24))^$K$24))+($G$25+$H$25*'Advanced Outputs'!C$60^$I$25)*$J$25*EXP(-(($L$25*($B122-$M$25))^$K$25))+$G$26))</f>
        <v>0.64181500990660434</v>
      </c>
      <c r="E122" s="75">
        <f t="shared" si="1"/>
        <v>0.66852034773754831</v>
      </c>
      <c r="F122" s="74"/>
      <c r="G122" s="6"/>
      <c r="H122" s="6"/>
      <c r="I122" s="6"/>
      <c r="J122" s="6"/>
      <c r="K122" s="6"/>
      <c r="L122" s="6"/>
      <c r="M122" s="6"/>
    </row>
    <row r="123" spans="1:13" hidden="1" x14ac:dyDescent="0.2">
      <c r="A123" s="60"/>
      <c r="B123" s="60">
        <v>482</v>
      </c>
      <c r="C123" s="75">
        <f>10^(-(($G$21+$H$21*'Advanced Outputs'!C$61^$I$21)*(($B123/$M$21)^-$K$21)+($G$22+$H$22*'Advanced Outputs'!C$61^$I$22)*$J$22*EXP(-(($L$22*($B123-$M$22))^$K$22))+($G$23+$H$23*'Advanced Outputs'!C$61^$I$23)*$J$23*EXP(-(($L$23*($B123-$M$23))^$K$23))+($G$24+$H$24*'Advanced Outputs'!C$61^$I$24)*$J$24*EXP(-(($L$24*($B123-$M$24))^$K$24))+($G$25+$H$25*'Advanced Outputs'!C$61^$I$25)*$J$25*EXP(-(($L$25*($B123-$M$25))^$K$25))+$G$26))</f>
        <v>0.43361192885340549</v>
      </c>
      <c r="D123" s="75">
        <f>10^(-(($G$21+$H$21*'Advanced Outputs'!C$60^$I$21)*(($B123/$M$21)^-$K$21)+($G$22+$H$22*'Advanced Outputs'!C$60^$I$22)*$J$22*EXP(-(($L$22*($B123-$M$22))^$K$22))+($G$23+$H$23*'Advanced Outputs'!C$60^$I$23)*$J$23*EXP(-(($L$23*($B123-$M$23))^$K$23))+($G$24+$H$24*'Advanced Outputs'!C$60^$I$24)*$J$24*EXP(-(($L$24*($B123-$M$24))^$K$24))+($G$25+$H$25*'Advanced Outputs'!C$60^$I$25)*$J$25*EXP(-(($L$25*($B123-$M$25))^$K$25))+$G$26))</f>
        <v>0.644246175185752</v>
      </c>
      <c r="E123" s="75">
        <f t="shared" si="1"/>
        <v>0.67305316749204525</v>
      </c>
      <c r="F123" s="74"/>
      <c r="G123" s="6"/>
      <c r="H123" s="6"/>
      <c r="I123" s="6"/>
      <c r="J123" s="6"/>
      <c r="K123" s="6"/>
      <c r="L123" s="6"/>
      <c r="M123" s="6"/>
    </row>
    <row r="124" spans="1:13" hidden="1" x14ac:dyDescent="0.2">
      <c r="A124" s="60"/>
      <c r="B124" s="60">
        <v>483</v>
      </c>
      <c r="C124" s="75">
        <f>10^(-(($G$21+$H$21*'Advanced Outputs'!C$61^$I$21)*(($B124/$M$21)^-$K$21)+($G$22+$H$22*'Advanced Outputs'!C$61^$I$22)*$J$22*EXP(-(($L$22*($B124-$M$22))^$K$22))+($G$23+$H$23*'Advanced Outputs'!C$61^$I$23)*$J$23*EXP(-(($L$23*($B124-$M$23))^$K$23))+($G$24+$H$24*'Advanced Outputs'!C$61^$I$24)*$J$24*EXP(-(($L$24*($B124-$M$24))^$K$24))+($G$25+$H$25*'Advanced Outputs'!C$61^$I$25)*$J$25*EXP(-(($L$25*($B124-$M$25))^$K$25))+$G$26))</f>
        <v>0.438141856997254</v>
      </c>
      <c r="D124" s="75">
        <f>10^(-(($G$21+$H$21*'Advanced Outputs'!C$60^$I$21)*(($B124/$M$21)^-$K$21)+($G$22+$H$22*'Advanced Outputs'!C$60^$I$22)*$J$22*EXP(-(($L$22*($B124-$M$22))^$K$22))+($G$23+$H$23*'Advanced Outputs'!C$60^$I$23)*$J$23*EXP(-(($L$23*($B124-$M$23))^$K$23))+($G$24+$H$24*'Advanced Outputs'!C$60^$I$24)*$J$24*EXP(-(($L$24*($B124-$M$24))^$K$24))+($G$25+$H$25*'Advanced Outputs'!C$60^$I$25)*$J$25*EXP(-(($L$25*($B124-$M$25))^$K$25))+$G$26))</f>
        <v>0.64665284532381473</v>
      </c>
      <c r="E124" s="75">
        <f t="shared" si="1"/>
        <v>0.6775534356117342</v>
      </c>
      <c r="F124" s="74"/>
      <c r="G124" s="6"/>
      <c r="H124" s="6"/>
      <c r="I124" s="6"/>
      <c r="J124" s="6"/>
      <c r="K124" s="6"/>
      <c r="L124" s="6"/>
      <c r="M124" s="6"/>
    </row>
    <row r="125" spans="1:13" hidden="1" x14ac:dyDescent="0.2">
      <c r="A125" s="60"/>
      <c r="B125" s="60">
        <v>484</v>
      </c>
      <c r="C125" s="75">
        <f>10^(-(($G$21+$H$21*'Advanced Outputs'!C$61^$I$21)*(($B125/$M$21)^-$K$21)+($G$22+$H$22*'Advanced Outputs'!C$61^$I$22)*$J$22*EXP(-(($L$22*($B125-$M$22))^$K$22))+($G$23+$H$23*'Advanced Outputs'!C$61^$I$23)*$J$23*EXP(-(($L$23*($B125-$M$23))^$K$23))+($G$24+$H$24*'Advanced Outputs'!C$61^$I$24)*$J$24*EXP(-(($L$24*($B125-$M$24))^$K$24))+($G$25+$H$25*'Advanced Outputs'!C$61^$I$25)*$J$25*EXP(-(($L$25*($B125-$M$25))^$K$25))+$G$26))</f>
        <v>0.44265557143825057</v>
      </c>
      <c r="D125" s="75">
        <f>10^(-(($G$21+$H$21*'Advanced Outputs'!C$60^$I$21)*(($B125/$M$21)^-$K$21)+($G$22+$H$22*'Advanced Outputs'!C$60^$I$22)*$J$22*EXP(-(($L$22*($B125-$M$22))^$K$22))+($G$23+$H$23*'Advanced Outputs'!C$60^$I$23)*$J$23*EXP(-(($L$23*($B125-$M$23))^$K$23))+($G$24+$H$24*'Advanced Outputs'!C$60^$I$24)*$J$24*EXP(-(($L$24*($B125-$M$24))^$K$24))+($G$25+$H$25*'Advanced Outputs'!C$60^$I$25)*$J$25*EXP(-(($L$25*($B125-$M$25))^$K$25))+$G$26))</f>
        <v>0.64903546419183322</v>
      </c>
      <c r="E125" s="75">
        <f t="shared" si="1"/>
        <v>0.68202062269345631</v>
      </c>
      <c r="F125" s="74"/>
      <c r="G125" s="6"/>
      <c r="H125" s="6"/>
      <c r="I125" s="6"/>
      <c r="J125" s="6"/>
      <c r="K125" s="6"/>
      <c r="L125" s="6"/>
      <c r="M125" s="6"/>
    </row>
    <row r="126" spans="1:13" hidden="1" x14ac:dyDescent="0.2">
      <c r="A126" s="60"/>
      <c r="B126" s="60">
        <v>485</v>
      </c>
      <c r="C126" s="75">
        <f>10^(-(($G$21+$H$21*'Advanced Outputs'!C$61^$I$21)*(($B126/$M$21)^-$K$21)+($G$22+$H$22*'Advanced Outputs'!C$61^$I$22)*$J$22*EXP(-(($L$22*($B126-$M$22))^$K$22))+($G$23+$H$23*'Advanced Outputs'!C$61^$I$23)*$J$23*EXP(-(($L$23*($B126-$M$23))^$K$23))+($G$24+$H$24*'Advanced Outputs'!C$61^$I$24)*$J$24*EXP(-(($L$24*($B126-$M$24))^$K$24))+($G$25+$H$25*'Advanced Outputs'!C$61^$I$25)*$J$25*EXP(-(($L$25*($B126-$M$25))^$K$25))+$G$26))</f>
        <v>0.44715242486743506</v>
      </c>
      <c r="D126" s="75">
        <f>10^(-(($G$21+$H$21*'Advanced Outputs'!C$60^$I$21)*(($B126/$M$21)^-$K$21)+($G$22+$H$22*'Advanced Outputs'!C$60^$I$22)*$J$22*EXP(-(($L$22*($B126-$M$22))^$K$22))+($G$23+$H$23*'Advanced Outputs'!C$60^$I$23)*$J$23*EXP(-(($L$23*($B126-$M$23))^$K$23))+($G$24+$H$24*'Advanced Outputs'!C$60^$I$24)*$J$24*EXP(-(($L$24*($B126-$M$24))^$K$24))+($G$25+$H$25*'Advanced Outputs'!C$60^$I$25)*$J$25*EXP(-(($L$25*($B126-$M$25))^$K$25))+$G$26))</f>
        <v>0.65139440861745612</v>
      </c>
      <c r="E126" s="75">
        <f t="shared" si="1"/>
        <v>0.686454195725272</v>
      </c>
      <c r="F126" s="74"/>
      <c r="G126" s="6"/>
      <c r="H126" s="6"/>
      <c r="I126" s="6"/>
      <c r="J126" s="6"/>
      <c r="K126" s="6"/>
      <c r="L126" s="6"/>
      <c r="M126" s="6"/>
    </row>
    <row r="127" spans="1:13" hidden="1" x14ac:dyDescent="0.2">
      <c r="A127" s="60"/>
      <c r="B127" s="60">
        <v>486</v>
      </c>
      <c r="C127" s="75">
        <f>10^(-(($G$21+$H$21*'Advanced Outputs'!C$61^$I$21)*(($B127/$M$21)^-$K$21)+($G$22+$H$22*'Advanced Outputs'!C$61^$I$22)*$J$22*EXP(-(($L$22*($B127-$M$22))^$K$22))+($G$23+$H$23*'Advanced Outputs'!C$61^$I$23)*$J$23*EXP(-(($L$23*($B127-$M$23))^$K$23))+($G$24+$H$24*'Advanced Outputs'!C$61^$I$24)*$J$24*EXP(-(($L$24*($B127-$M$24))^$K$24))+($G$25+$H$25*'Advanced Outputs'!C$61^$I$25)*$J$25*EXP(-(($L$25*($B127-$M$25))^$K$25))+$G$26))</f>
        <v>0.45163173588790961</v>
      </c>
      <c r="D127" s="75">
        <f>10^(-(($G$21+$H$21*'Advanced Outputs'!C$60^$I$21)*(($B127/$M$21)^-$K$21)+($G$22+$H$22*'Advanced Outputs'!C$60^$I$22)*$J$22*EXP(-(($L$22*($B127-$M$22))^$K$22))+($G$23+$H$23*'Advanced Outputs'!C$60^$I$23)*$J$23*EXP(-(($L$23*($B127-$M$23))^$K$23))+($G$24+$H$24*'Advanced Outputs'!C$60^$I$24)*$J$24*EXP(-(($L$24*($B127-$M$24))^$K$24))+($G$25+$H$25*'Advanced Outputs'!C$60^$I$25)*$J$25*EXP(-(($L$25*($B127-$M$25))^$K$25))+$G$26))</f>
        <v>0.6537299977892439</v>
      </c>
      <c r="E127" s="75">
        <f t="shared" si="1"/>
        <v>0.69085362063117561</v>
      </c>
      <c r="F127" s="74"/>
      <c r="G127" s="6"/>
      <c r="H127" s="6"/>
      <c r="I127" s="6"/>
      <c r="J127" s="6"/>
      <c r="K127" s="6"/>
      <c r="L127" s="6"/>
      <c r="M127" s="6"/>
    </row>
    <row r="128" spans="1:13" hidden="1" x14ac:dyDescent="0.2">
      <c r="A128" s="60"/>
      <c r="B128" s="60">
        <v>487</v>
      </c>
      <c r="C128" s="75">
        <f>10^(-(($G$21+$H$21*'Advanced Outputs'!C$61^$I$21)*(($B128/$M$21)^-$K$21)+($G$22+$H$22*'Advanced Outputs'!C$61^$I$22)*$J$22*EXP(-(($L$22*($B128-$M$22))^$K$22))+($G$23+$H$23*'Advanced Outputs'!C$61^$I$23)*$J$23*EXP(-(($L$23*($B128-$M$23))^$K$23))+($G$24+$H$24*'Advanced Outputs'!C$61^$I$24)*$J$24*EXP(-(($L$24*($B128-$M$24))^$K$24))+($G$25+$H$25*'Advanced Outputs'!C$61^$I$25)*$J$25*EXP(-(($L$25*($B128-$M$25))^$K$25))+$G$26))</f>
        <v>0.45609279509827533</v>
      </c>
      <c r="D128" s="75">
        <f>10^(-(($G$21+$H$21*'Advanced Outputs'!C$60^$I$21)*(($B128/$M$21)^-$K$21)+($G$22+$H$22*'Advanced Outputs'!C$60^$I$22)*$J$22*EXP(-(($L$22*($B128-$M$22))^$K$22))+($G$23+$H$23*'Advanced Outputs'!C$60^$I$23)*$J$23*EXP(-(($L$23*($B128-$M$23))^$K$23))+($G$24+$H$24*'Advanced Outputs'!C$60^$I$24)*$J$24*EXP(-(($L$24*($B128-$M$24))^$K$24))+($G$25+$H$25*'Advanced Outputs'!C$60^$I$25)*$J$25*EXP(-(($L$25*($B128-$M$25))^$K$25))+$G$26))</f>
        <v>0.65604250158173005</v>
      </c>
      <c r="E128" s="75">
        <f t="shared" si="1"/>
        <v>0.69521836466178266</v>
      </c>
      <c r="F128" s="74"/>
      <c r="G128" s="6"/>
      <c r="H128" s="6"/>
      <c r="I128" s="6"/>
      <c r="J128" s="6"/>
      <c r="K128" s="6"/>
      <c r="L128" s="6"/>
      <c r="M128" s="6"/>
    </row>
    <row r="129" spans="1:13" hidden="1" x14ac:dyDescent="0.2">
      <c r="A129" s="60"/>
      <c r="B129" s="60">
        <v>488</v>
      </c>
      <c r="C129" s="75">
        <f>10^(-(($G$21+$H$21*'Advanced Outputs'!C$61^$I$21)*(($B129/$M$21)^-$K$21)+($G$22+$H$22*'Advanced Outputs'!C$61^$I$22)*$J$22*EXP(-(($L$22*($B129-$M$22))^$K$22))+($G$23+$H$23*'Advanced Outputs'!C$61^$I$23)*$J$23*EXP(-(($L$23*($B129-$M$23))^$K$23))+($G$24+$H$24*'Advanced Outputs'!C$61^$I$24)*$J$24*EXP(-(($L$24*($B129-$M$24))^$K$24))+($G$25+$H$25*'Advanced Outputs'!C$61^$I$25)*$J$25*EXP(-(($L$25*($B129-$M$25))^$K$25))+$G$26))</f>
        <v>0.46053487066987697</v>
      </c>
      <c r="D129" s="75">
        <f>10^(-(($G$21+$H$21*'Advanced Outputs'!C$60^$I$21)*(($B129/$M$21)^-$K$21)+($G$22+$H$22*'Advanced Outputs'!C$60^$I$22)*$J$22*EXP(-(($L$22*($B129-$M$22))^$K$22))+($G$23+$H$23*'Advanced Outputs'!C$60^$I$23)*$J$23*EXP(-(($L$23*($B129-$M$23))^$K$23))+($G$24+$H$24*'Advanced Outputs'!C$60^$I$24)*$J$24*EXP(-(($L$24*($B129-$M$24))^$K$24))+($G$25+$H$25*'Advanced Outputs'!C$60^$I$25)*$J$25*EXP(-(($L$25*($B129-$M$25))^$K$25))+$G$26))</f>
        <v>0.65833214790570793</v>
      </c>
      <c r="E129" s="75">
        <f t="shared" si="1"/>
        <v>0.6995478986328324</v>
      </c>
      <c r="F129" s="74"/>
      <c r="G129" s="6"/>
      <c r="H129" s="6"/>
      <c r="I129" s="6"/>
      <c r="J129" s="6"/>
      <c r="K129" s="6"/>
      <c r="L129" s="6"/>
      <c r="M129" s="6"/>
    </row>
    <row r="130" spans="1:13" hidden="1" x14ac:dyDescent="0.2">
      <c r="A130" s="60"/>
      <c r="B130" s="60">
        <v>489</v>
      </c>
      <c r="C130" s="75">
        <f>10^(-(($G$21+$H$21*'Advanced Outputs'!C$61^$I$21)*(($B130/$M$21)^-$K$21)+($G$22+$H$22*'Advanced Outputs'!C$61^$I$22)*$J$22*EXP(-(($L$22*($B130-$M$22))^$K$22))+($G$23+$H$23*'Advanced Outputs'!C$61^$I$23)*$J$23*EXP(-(($L$23*($B130-$M$23))^$K$23))+($G$24+$H$24*'Advanced Outputs'!C$61^$I$24)*$J$24*EXP(-(($L$24*($B130-$M$24))^$K$24))+($G$25+$H$25*'Advanced Outputs'!C$61^$I$25)*$J$25*EXP(-(($L$25*($B130-$M$25))^$K$25))+$G$26))</f>
        <v>0.46495721344982321</v>
      </c>
      <c r="D130" s="75">
        <f>10^(-(($G$21+$H$21*'Advanced Outputs'!C$60^$I$21)*(($B130/$M$21)^-$K$21)+($G$22+$H$22*'Advanced Outputs'!C$60^$I$22)*$J$22*EXP(-(($L$22*($B130-$M$22))^$K$22))+($G$23+$H$23*'Advanced Outputs'!C$60^$I$23)*$J$23*EXP(-(($L$23*($B130-$M$23))^$K$23))+($G$24+$H$24*'Advanced Outputs'!C$60^$I$24)*$J$24*EXP(-(($L$24*($B130-$M$24))^$K$24))+($G$25+$H$25*'Advanced Outputs'!C$60^$I$25)*$J$25*EXP(-(($L$25*($B130-$M$25))^$K$25))+$G$26))</f>
        <v>0.66059912918094554</v>
      </c>
      <c r="E130" s="75">
        <f t="shared" si="1"/>
        <v>0.70384169901390559</v>
      </c>
      <c r="F130" s="74"/>
      <c r="G130" s="6"/>
      <c r="H130" s="6"/>
      <c r="I130" s="6"/>
      <c r="J130" s="6"/>
      <c r="K130" s="6"/>
      <c r="L130" s="6"/>
      <c r="M130" s="6"/>
    </row>
    <row r="131" spans="1:13" hidden="1" x14ac:dyDescent="0.2">
      <c r="A131" s="60"/>
      <c r="B131" s="60">
        <v>490</v>
      </c>
      <c r="C131" s="75">
        <f>10^(-(($G$21+$H$21*'Advanced Outputs'!C$61^$I$21)*(($B131/$M$21)^-$K$21)+($G$22+$H$22*'Advanced Outputs'!C$61^$I$22)*$J$22*EXP(-(($L$22*($B131-$M$22))^$K$22))+($G$23+$H$23*'Advanced Outputs'!C$61^$I$23)*$J$23*EXP(-(($L$23*($B131-$M$23))^$K$23))+($G$24+$H$24*'Advanced Outputs'!C$61^$I$24)*$J$24*EXP(-(($L$24*($B131-$M$24))^$K$24))+($G$25+$H$25*'Advanced Outputs'!C$61^$I$25)*$J$25*EXP(-(($L$25*($B131-$M$25))^$K$25))+$G$26))</f>
        <v>0.46935906162117313</v>
      </c>
      <c r="D131" s="75">
        <f>10^(-(($G$21+$H$21*'Advanced Outputs'!C$60^$I$21)*(($B131/$M$21)^-$K$21)+($G$22+$H$22*'Advanced Outputs'!C$60^$I$22)*$J$22*EXP(-(($L$22*($B131-$M$22))^$K$22))+($G$23+$H$23*'Advanced Outputs'!C$60^$I$23)*$J$23*EXP(-(($L$23*($B131-$M$23))^$K$23))+($G$24+$H$24*'Advanced Outputs'!C$60^$I$24)*$J$24*EXP(-(($L$24*($B131-$M$24))^$K$24))+($G$25+$H$25*'Advanced Outputs'!C$60^$I$25)*$J$25*EXP(-(($L$25*($B131-$M$25))^$K$25))+$G$26))</f>
        <v>0.6628436080212744</v>
      </c>
      <c r="E131" s="75">
        <f t="shared" si="1"/>
        <v>0.70809924987027817</v>
      </c>
      <c r="F131" s="74"/>
      <c r="G131" s="6"/>
      <c r="H131" s="6"/>
      <c r="I131" s="6"/>
      <c r="J131" s="6"/>
      <c r="K131" s="6"/>
      <c r="L131" s="6"/>
      <c r="M131" s="6"/>
    </row>
    <row r="132" spans="1:13" hidden="1" x14ac:dyDescent="0.2">
      <c r="A132" s="60"/>
      <c r="B132" s="60">
        <v>491</v>
      </c>
      <c r="C132" s="75">
        <f>10^(-(($G$21+$H$21*'Advanced Outputs'!C$61^$I$21)*(($B132/$M$21)^-$K$21)+($G$22+$H$22*'Advanced Outputs'!C$61^$I$22)*$J$22*EXP(-(($L$22*($B132-$M$22))^$K$22))+($G$23+$H$23*'Advanced Outputs'!C$61^$I$23)*$J$23*EXP(-(($L$23*($B132-$M$23))^$K$23))+($G$24+$H$24*'Advanced Outputs'!C$61^$I$24)*$J$24*EXP(-(($L$24*($B132-$M$24))^$K$24))+($G$25+$H$25*'Advanced Outputs'!C$61^$I$25)*$J$25*EXP(-(($L$25*($B132-$M$25))^$K$25))+$G$26))</f>
        <v>0.47373964495077764</v>
      </c>
      <c r="D132" s="75">
        <f>10^(-(($G$21+$H$21*'Advanced Outputs'!C$60^$I$21)*(($B132/$M$21)^-$K$21)+($G$22+$H$22*'Advanced Outputs'!C$60^$I$22)*$J$22*EXP(-(($L$22*($B132-$M$22))^$K$22))+($G$23+$H$23*'Advanced Outputs'!C$60^$I$23)*$J$23*EXP(-(($L$23*($B132-$M$23))^$K$23))+($G$24+$H$24*'Advanced Outputs'!C$60^$I$24)*$J$24*EXP(-(($L$24*($B132-$M$24))^$K$24))+($G$25+$H$25*'Advanced Outputs'!C$60^$I$25)*$J$25*EXP(-(($L$25*($B132-$M$25))^$K$25))+$G$26))</f>
        <v>0.66506572221485694</v>
      </c>
      <c r="E132" s="75">
        <f t="shared" si="1"/>
        <v>0.71232004466128651</v>
      </c>
      <c r="F132" s="74"/>
      <c r="G132" s="6"/>
      <c r="H132" s="6"/>
      <c r="I132" s="6"/>
      <c r="J132" s="6"/>
      <c r="K132" s="6"/>
      <c r="L132" s="6"/>
      <c r="M132" s="6"/>
    </row>
    <row r="133" spans="1:13" hidden="1" x14ac:dyDescent="0.2">
      <c r="A133" s="60"/>
      <c r="B133" s="60">
        <v>492</v>
      </c>
      <c r="C133" s="75">
        <f>10^(-(($G$21+$H$21*'Advanced Outputs'!C$61^$I$21)*(($B133/$M$21)^-$K$21)+($G$22+$H$22*'Advanced Outputs'!C$61^$I$22)*$J$22*EXP(-(($L$22*($B133-$M$22))^$K$22))+($G$23+$H$23*'Advanced Outputs'!C$61^$I$23)*$J$23*EXP(-(($L$23*($B133-$M$23))^$K$23))+($G$24+$H$24*'Advanced Outputs'!C$61^$I$24)*$J$24*EXP(-(($L$24*($B133-$M$24))^$K$24))+($G$25+$H$25*'Advanced Outputs'!C$61^$I$25)*$J$25*EXP(-(($L$25*($B133-$M$25))^$K$25))+$G$26))</f>
        <v>0.47809818865413717</v>
      </c>
      <c r="D133" s="75">
        <f>10^(-(($G$21+$H$21*'Advanced Outputs'!C$60^$I$21)*(($B133/$M$21)^-$K$21)+($G$22+$H$22*'Advanced Outputs'!C$60^$I$22)*$J$22*EXP(-(($L$22*($B133-$M$22))^$K$22))+($G$23+$H$23*'Advanced Outputs'!C$60^$I$23)*$J$23*EXP(-(($L$23*($B133-$M$23))^$K$23))+($G$24+$H$24*'Advanced Outputs'!C$60^$I$24)*$J$24*EXP(-(($L$24*($B133-$M$24))^$K$24))+($G$25+$H$25*'Advanced Outputs'!C$60^$I$25)*$J$25*EXP(-(($L$25*($B133-$M$25))^$K$25))+$G$26))</f>
        <v>0.66726558907550237</v>
      </c>
      <c r="E133" s="75">
        <f t="shared" si="1"/>
        <v>0.71650358789899993</v>
      </c>
      <c r="F133" s="74"/>
      <c r="G133" s="6"/>
      <c r="H133" s="6"/>
      <c r="I133" s="6"/>
      <c r="J133" s="6"/>
      <c r="K133" s="6"/>
      <c r="L133" s="6"/>
      <c r="M133" s="6"/>
    </row>
    <row r="134" spans="1:13" hidden="1" x14ac:dyDescent="0.2">
      <c r="A134" s="60"/>
      <c r="B134" s="60">
        <v>493</v>
      </c>
      <c r="C134" s="75">
        <f>10^(-(($G$21+$H$21*'Advanced Outputs'!C$61^$I$21)*(($B134/$M$21)^-$K$21)+($G$22+$H$22*'Advanced Outputs'!C$61^$I$22)*$J$22*EXP(-(($L$22*($B134-$M$22))^$K$22))+($G$23+$H$23*'Advanced Outputs'!C$61^$I$23)*$J$23*EXP(-(($L$23*($B134-$M$23))^$K$23))+($G$24+$H$24*'Advanced Outputs'!C$61^$I$24)*$J$24*EXP(-(($L$24*($B134-$M$24))^$K$24))+($G$25+$H$25*'Advanced Outputs'!C$61^$I$25)*$J$25*EXP(-(($L$25*($B134-$M$25))^$K$25))+$G$26))</f>
        <v>0.48243391690532761</v>
      </c>
      <c r="D134" s="75">
        <f>10^(-(($G$21+$H$21*'Advanced Outputs'!C$60^$I$21)*(($B134/$M$21)^-$K$21)+($G$22+$H$22*'Advanced Outputs'!C$60^$I$22)*$J$22*EXP(-(($L$22*($B134-$M$22))^$K$22))+($G$23+$H$23*'Advanced Outputs'!C$60^$I$23)*$J$23*EXP(-(($L$23*($B134-$M$23))^$K$23))+($G$24+$H$24*'Advanced Outputs'!C$60^$I$24)*$J$24*EXP(-(($L$24*($B134-$M$24))^$K$24))+($G$25+$H$25*'Advanced Outputs'!C$60^$I$25)*$J$25*EXP(-(($L$25*($B134-$M$25))^$K$25))+$G$26))</f>
        <v>0.66944330923424689</v>
      </c>
      <c r="E134" s="75">
        <f t="shared" si="1"/>
        <v>0.72064939667134342</v>
      </c>
      <c r="F134" s="74"/>
      <c r="G134" s="6"/>
      <c r="H134" s="6"/>
      <c r="I134" s="6"/>
      <c r="J134" s="6"/>
      <c r="K134" s="6"/>
      <c r="L134" s="6"/>
      <c r="M134" s="6"/>
    </row>
    <row r="135" spans="1:13" hidden="1" x14ac:dyDescent="0.2">
      <c r="A135" s="60"/>
      <c r="B135" s="60">
        <v>494</v>
      </c>
      <c r="C135" s="75">
        <f>10^(-(($G$21+$H$21*'Advanced Outputs'!C$61^$I$21)*(($B135/$M$21)^-$K$21)+($G$22+$H$22*'Advanced Outputs'!C$61^$I$22)*$J$22*EXP(-(($L$22*($B135-$M$22))^$K$22))+($G$23+$H$23*'Advanced Outputs'!C$61^$I$23)*$J$23*EXP(-(($L$23*($B135-$M$23))^$K$23))+($G$24+$H$24*'Advanced Outputs'!C$61^$I$24)*$J$24*EXP(-(($L$24*($B135-$M$24))^$K$24))+($G$25+$H$25*'Advanced Outputs'!C$61^$I$25)*$J$25*EXP(-(($L$25*($B135-$M$25))^$K$25))+$G$26))</f>
        <v>0.48674605601861987</v>
      </c>
      <c r="D135" s="75">
        <f>10^(-(($G$21+$H$21*'Advanced Outputs'!C$60^$I$21)*(($B135/$M$21)^-$K$21)+($G$22+$H$22*'Advanced Outputs'!C$60^$I$22)*$J$22*EXP(-(($L$22*($B135-$M$22))^$K$22))+($G$23+$H$23*'Advanced Outputs'!C$60^$I$23)*$J$23*EXP(-(($L$23*($B135-$M$23))^$K$23))+($G$24+$H$24*'Advanced Outputs'!C$60^$I$24)*$J$24*EXP(-(($L$24*($B135-$M$24))^$K$24))+($G$25+$H$25*'Advanced Outputs'!C$60^$I$25)*$J$25*EXP(-(($L$25*($B135-$M$25))^$K$25))+$G$26))</f>
        <v>0.67159896993408197</v>
      </c>
      <c r="E135" s="75">
        <f t="shared" si="1"/>
        <v>0.72475700203410742</v>
      </c>
      <c r="F135" s="74"/>
      <c r="G135" s="6"/>
      <c r="H135" s="6"/>
      <c r="I135" s="6"/>
      <c r="J135" s="6"/>
      <c r="K135" s="6"/>
      <c r="L135" s="6"/>
      <c r="M135" s="6"/>
    </row>
    <row r="136" spans="1:13" hidden="1" x14ac:dyDescent="0.2">
      <c r="A136" s="60"/>
      <c r="B136" s="60">
        <v>495</v>
      </c>
      <c r="C136" s="75">
        <f>10^(-(($G$21+$H$21*'Advanced Outputs'!C$61^$I$21)*(($B136/$M$21)^-$K$21)+($G$22+$H$22*'Advanced Outputs'!C$61^$I$22)*$J$22*EXP(-(($L$22*($B136-$M$22))^$K$22))+($G$23+$H$23*'Advanced Outputs'!C$61^$I$23)*$J$23*EXP(-(($L$23*($B136-$M$23))^$K$23))+($G$24+$H$24*'Advanced Outputs'!C$61^$I$24)*$J$24*EXP(-(($L$24*($B136-$M$24))^$K$24))+($G$25+$H$25*'Advanced Outputs'!C$61^$I$25)*$J$25*EXP(-(($L$25*($B136-$M$25))^$K$25))+$G$26))</f>
        <v>0.49103383732692235</v>
      </c>
      <c r="D136" s="75">
        <f>10^(-(($G$21+$H$21*'Advanced Outputs'!C$60^$I$21)*(($B136/$M$21)^-$K$21)+($G$22+$H$22*'Advanced Outputs'!C$60^$I$22)*$J$22*EXP(-(($L$22*($B136-$M$22))^$K$22))+($G$23+$H$23*'Advanced Outputs'!C$60^$I$23)*$J$23*EXP(-(($L$23*($B136-$M$23))^$K$23))+($G$24+$H$24*'Advanced Outputs'!C$60^$I$24)*$J$24*EXP(-(($L$24*($B136-$M$24))^$K$24))+($G$25+$H$25*'Advanced Outputs'!C$60^$I$25)*$J$25*EXP(-(($L$25*($B136-$M$25))^$K$25))+$G$26))</f>
        <v>0.67373264788473675</v>
      </c>
      <c r="E136" s="75">
        <f t="shared" si="1"/>
        <v>0.7288259502765394</v>
      </c>
      <c r="F136" s="74"/>
      <c r="G136" s="6"/>
      <c r="H136" s="6"/>
      <c r="I136" s="6"/>
      <c r="J136" s="6"/>
      <c r="K136" s="6"/>
      <c r="L136" s="6"/>
      <c r="M136" s="6"/>
    </row>
    <row r="137" spans="1:13" hidden="1" x14ac:dyDescent="0.2">
      <c r="A137" s="60"/>
      <c r="B137" s="60">
        <v>496</v>
      </c>
      <c r="C137" s="75">
        <f>10^(-(($G$21+$H$21*'Advanced Outputs'!C$61^$I$21)*(($B137/$M$21)^-$K$21)+($G$22+$H$22*'Advanced Outputs'!C$61^$I$22)*$J$22*EXP(-(($L$22*($B137-$M$22))^$K$22))+($G$23+$H$23*'Advanced Outputs'!C$61^$I$23)*$J$23*EXP(-(($L$23*($B137-$M$23))^$K$23))+($G$24+$H$24*'Advanced Outputs'!C$61^$I$24)*$J$24*EXP(-(($L$24*($B137-$M$24))^$K$24))+($G$25+$H$25*'Advanced Outputs'!C$61^$I$25)*$J$25*EXP(-(($L$25*($B137-$M$25))^$K$25))+$G$26))</f>
        <v>0.49529649978063617</v>
      </c>
      <c r="D137" s="75">
        <f>10^(-(($G$21+$H$21*'Advanced Outputs'!C$60^$I$21)*(($B137/$M$21)^-$K$21)+($G$22+$H$22*'Advanced Outputs'!C$60^$I$22)*$J$22*EXP(-(($L$22*($B137-$M$22))^$K$22))+($G$23+$H$23*'Advanced Outputs'!C$60^$I$23)*$J$23*EXP(-(($L$23*($B137-$M$23))^$K$23))+($G$24+$H$24*'Advanced Outputs'!C$60^$I$24)*$J$24*EXP(-(($L$24*($B137-$M$24))^$K$24))+($G$25+$H$25*'Advanced Outputs'!C$60^$I$25)*$J$25*EXP(-(($L$25*($B137-$M$25))^$K$25))+$G$26))</f>
        <v>0.67584441172883669</v>
      </c>
      <c r="E137" s="75">
        <f t="shared" si="1"/>
        <v>0.73285580406538864</v>
      </c>
      <c r="F137" s="74"/>
      <c r="G137" s="6"/>
      <c r="H137" s="6"/>
      <c r="I137" s="6"/>
      <c r="J137" s="6"/>
      <c r="K137" s="6"/>
      <c r="L137" s="6"/>
      <c r="M137" s="6"/>
    </row>
    <row r="138" spans="1:13" hidden="1" x14ac:dyDescent="0.2">
      <c r="A138" s="60"/>
      <c r="B138" s="60">
        <v>497</v>
      </c>
      <c r="C138" s="75">
        <f>10^(-(($G$21+$H$21*'Advanced Outputs'!C$61^$I$21)*(($B138/$M$21)^-$K$21)+($G$22+$H$22*'Advanced Outputs'!C$61^$I$22)*$J$22*EXP(-(($L$22*($B138-$M$22))^$K$22))+($G$23+$H$23*'Advanced Outputs'!C$61^$I$23)*$J$23*EXP(-(($L$23*($B138-$M$23))^$K$23))+($G$24+$H$24*'Advanced Outputs'!C$61^$I$24)*$J$24*EXP(-(($L$24*($B138-$M$24))^$K$24))+($G$25+$H$25*'Advanced Outputs'!C$61^$I$25)*$J$25*EXP(-(($L$25*($B138-$M$25))^$K$25))+$G$26))</f>
        <v>0.49953329228896814</v>
      </c>
      <c r="D138" s="75">
        <f>10^(-(($G$21+$H$21*'Advanced Outputs'!C$60^$I$21)*(($B138/$M$21)^-$K$21)+($G$22+$H$22*'Advanced Outputs'!C$60^$I$22)*$J$22*EXP(-(($L$22*($B138-$M$22))^$K$22))+($G$23+$H$23*'Advanced Outputs'!C$60^$I$23)*$J$23*EXP(-(($L$23*($B138-$M$23))^$K$23))+($G$24+$H$24*'Advanced Outputs'!C$60^$I$24)*$J$24*EXP(-(($L$24*($B138-$M$24))^$K$24))+($G$25+$H$25*'Advanced Outputs'!C$60^$I$25)*$J$25*EXP(-(($L$25*($B138-$M$25))^$K$25))+$G$26))</f>
        <v>0.67793432416554811</v>
      </c>
      <c r="E138" s="75">
        <f t="shared" si="1"/>
        <v>0.73684614347242383</v>
      </c>
      <c r="F138" s="74"/>
      <c r="G138" s="6"/>
      <c r="H138" s="6"/>
      <c r="I138" s="6"/>
      <c r="J138" s="6"/>
      <c r="K138" s="6"/>
      <c r="L138" s="6"/>
      <c r="M138" s="6"/>
    </row>
    <row r="139" spans="1:13" hidden="1" x14ac:dyDescent="0.2">
      <c r="A139" s="60"/>
      <c r="B139" s="60">
        <v>498</v>
      </c>
      <c r="C139" s="75">
        <f>10^(-(($G$21+$H$21*'Advanced Outputs'!C$61^$I$21)*(($B139/$M$21)^-$K$21)+($G$22+$H$22*'Advanced Outputs'!C$61^$I$22)*$J$22*EXP(-(($L$22*($B139-$M$22))^$K$22))+($G$23+$H$23*'Advanced Outputs'!C$61^$I$23)*$J$23*EXP(-(($L$23*($B139-$M$23))^$K$23))+($G$24+$H$24*'Advanced Outputs'!C$61^$I$24)*$J$24*EXP(-(($L$24*($B139-$M$24))^$K$24))+($G$25+$H$25*'Advanced Outputs'!C$61^$I$25)*$J$25*EXP(-(($L$25*($B139-$M$25))^$K$25))+$G$26))</f>
        <v>0.50374347582422541</v>
      </c>
      <c r="D139" s="75">
        <f>10^(-(($G$21+$H$21*'Advanced Outputs'!C$60^$I$21)*(($B139/$M$21)^-$K$21)+($G$22+$H$22*'Advanced Outputs'!C$60^$I$22)*$J$22*EXP(-(($L$22*($B139-$M$22))^$K$22))+($G$23+$H$23*'Advanced Outputs'!C$60^$I$23)*$J$23*EXP(-(($L$23*($B139-$M$23))^$K$23))+($G$24+$H$24*'Advanced Outputs'!C$60^$I$24)*$J$24*EXP(-(($L$24*($B139-$M$24))^$K$24))+($G$25+$H$25*'Advanced Outputs'!C$60^$I$25)*$J$25*EXP(-(($L$25*($B139-$M$25))^$K$25))+$G$26))</f>
        <v>0.68000244377301655</v>
      </c>
      <c r="E139" s="75">
        <f t="shared" si="1"/>
        <v>0.74079656689053597</v>
      </c>
      <c r="F139" s="74"/>
      <c r="G139" s="6"/>
      <c r="H139" s="6"/>
      <c r="I139" s="6"/>
      <c r="J139" s="6"/>
      <c r="K139" s="6"/>
      <c r="L139" s="6"/>
      <c r="M139" s="6"/>
    </row>
    <row r="140" spans="1:13" hidden="1" x14ac:dyDescent="0.2">
      <c r="A140" s="60"/>
      <c r="B140" s="60">
        <v>499</v>
      </c>
      <c r="C140" s="75">
        <f>10^(-(($G$21+$H$21*'Advanced Outputs'!C$61^$I$21)*(($B140/$M$21)^-$K$21)+($G$22+$H$22*'Advanced Outputs'!C$61^$I$22)*$J$22*EXP(-(($L$22*($B140-$M$22))^$K$22))+($G$23+$H$23*'Advanced Outputs'!C$61^$I$23)*$J$23*EXP(-(($L$23*($B140-$M$23))^$K$23))+($G$24+$H$24*'Advanced Outputs'!C$61^$I$24)*$J$24*EXP(-(($L$24*($B140-$M$24))^$K$24))+($G$25+$H$25*'Advanced Outputs'!C$61^$I$25)*$J$25*EXP(-(($L$25*($B140-$M$25))^$K$25))+$G$26))</f>
        <v>0.50792632530812321</v>
      </c>
      <c r="D140" s="75">
        <f>10^(-(($G$21+$H$21*'Advanced Outputs'!C$60^$I$21)*(($B140/$M$21)^-$K$21)+($G$22+$H$22*'Advanced Outputs'!C$60^$I$22)*$J$22*EXP(-(($L$22*($B140-$M$22))^$K$22))+($G$23+$H$23*'Advanced Outputs'!C$60^$I$23)*$J$23*EXP(-(($L$23*($B140-$M$23))^$K$23))+($G$24+$H$24*'Advanced Outputs'!C$60^$I$24)*$J$24*EXP(-(($L$24*($B140-$M$24))^$K$24))+($G$25+$H$25*'Advanced Outputs'!C$60^$I$25)*$J$25*EXP(-(($L$25*($B140-$M$25))^$K$25))+$G$26))</f>
        <v>0.68204882656647414</v>
      </c>
      <c r="E140" s="75">
        <f t="shared" si="1"/>
        <v>0.74470669184359262</v>
      </c>
      <c r="F140" s="74"/>
      <c r="G140" s="6"/>
      <c r="H140" s="6"/>
      <c r="I140" s="6"/>
      <c r="J140" s="6"/>
      <c r="K140" s="6"/>
      <c r="L140" s="6"/>
      <c r="M140" s="6"/>
    </row>
    <row r="141" spans="1:13" hidden="1" x14ac:dyDescent="0.2">
      <c r="A141" s="60"/>
      <c r="B141" s="60">
        <v>500</v>
      </c>
      <c r="C141" s="75">
        <f>10^(-(($G$21+$H$21*'Advanced Outputs'!C$61^$I$21)*(($B141/$M$21)^-$K$21)+($G$22+$H$22*'Advanced Outputs'!C$61^$I$22)*$J$22*EXP(-(($L$22*($B141-$M$22))^$K$22))+($G$23+$H$23*'Advanced Outputs'!C$61^$I$23)*$J$23*EXP(-(($L$23*($B141-$M$23))^$K$23))+($G$24+$H$24*'Advanced Outputs'!C$61^$I$24)*$J$24*EXP(-(($L$24*($B141-$M$24))^$K$24))+($G$25+$H$25*'Advanced Outputs'!C$61^$I$25)*$J$25*EXP(-(($L$25*($B141-$M$25))^$K$25))+$G$26))</f>
        <v>0.51208113129770549</v>
      </c>
      <c r="D141" s="75">
        <f>10^(-(($G$21+$H$21*'Advanced Outputs'!C$60^$I$21)*(($B141/$M$21)^-$K$21)+($G$22+$H$22*'Advanced Outputs'!C$60^$I$22)*$J$22*EXP(-(($L$22*($B141-$M$22))^$K$22))+($G$23+$H$23*'Advanced Outputs'!C$60^$I$23)*$J$23*EXP(-(($L$23*($B141-$M$23))^$K$23))+($G$24+$H$24*'Advanced Outputs'!C$60^$I$24)*$J$24*EXP(-(($L$24*($B141-$M$24))^$K$24))+($G$25+$H$25*'Advanced Outputs'!C$60^$I$25)*$J$25*EXP(-(($L$25*($B141-$M$25))^$K$25))+$G$26))</f>
        <v>0.6840735273248556</v>
      </c>
      <c r="E141" s="75">
        <f t="shared" si="1"/>
        <v>0.74857615569521418</v>
      </c>
      <c r="F141" s="74"/>
      <c r="G141" s="6"/>
      <c r="H141" s="6"/>
      <c r="I141" s="6"/>
      <c r="J141" s="6"/>
      <c r="K141" s="6"/>
      <c r="L141" s="6"/>
      <c r="M141" s="6"/>
    </row>
    <row r="142" spans="1:13" hidden="1" x14ac:dyDescent="0.2">
      <c r="A142" s="60"/>
      <c r="B142" s="60">
        <v>501</v>
      </c>
      <c r="C142" s="75">
        <f>10^(-(($G$21+$H$21*'Advanced Outputs'!C$61^$I$21)*(($B142/$M$21)^-$K$21)+($G$22+$H$22*'Advanced Outputs'!C$61^$I$22)*$J$22*EXP(-(($L$22*($B142-$M$22))^$K$22))+($G$23+$H$23*'Advanced Outputs'!C$61^$I$23)*$J$23*EXP(-(($L$23*($B142-$M$23))^$K$23))+($G$24+$H$24*'Advanced Outputs'!C$61^$I$24)*$J$24*EXP(-(($L$24*($B142-$M$24))^$K$24))+($G$25+$H$25*'Advanced Outputs'!C$61^$I$25)*$J$25*EXP(-(($L$25*($B142-$M$25))^$K$25))+$G$26))</f>
        <v>0.51620720148710308</v>
      </c>
      <c r="D142" s="75">
        <f>10^(-(($G$21+$H$21*'Advanced Outputs'!C$60^$I$21)*(($B142/$M$21)^-$K$21)+($G$22+$H$22*'Advanced Outputs'!C$60^$I$22)*$J$22*EXP(-(($L$22*($B142-$M$22))^$K$22))+($G$23+$H$23*'Advanced Outputs'!C$60^$I$23)*$J$23*EXP(-(($L$23*($B142-$M$23))^$K$23))+($G$24+$H$24*'Advanced Outputs'!C$60^$I$24)*$J$24*EXP(-(($L$24*($B142-$M$24))^$K$24))+($G$25+$H$25*'Advanced Outputs'!C$60^$I$25)*$J$25*EXP(-(($L$25*($B142-$M$25))^$K$25))+$G$26))</f>
        <v>0.68607660071506493</v>
      </c>
      <c r="E142" s="75">
        <f t="shared" si="1"/>
        <v>0.75240461626163158</v>
      </c>
      <c r="F142" s="74"/>
      <c r="G142" s="6"/>
      <c r="H142" s="6"/>
      <c r="I142" s="6"/>
      <c r="J142" s="6"/>
      <c r="K142" s="6"/>
      <c r="L142" s="6"/>
      <c r="M142" s="6"/>
    </row>
    <row r="143" spans="1:13" hidden="1" x14ac:dyDescent="0.2">
      <c r="A143" s="60"/>
      <c r="B143" s="60">
        <v>502</v>
      </c>
      <c r="C143" s="75">
        <f>10^(-(($G$21+$H$21*'Advanced Outputs'!C$61^$I$21)*(($B143/$M$21)^-$K$21)+($G$22+$H$22*'Advanced Outputs'!C$61^$I$22)*$J$22*EXP(-(($L$22*($B143-$M$22))^$K$22))+($G$23+$H$23*'Advanced Outputs'!C$61^$I$23)*$J$23*EXP(-(($L$23*($B143-$M$23))^$K$23))+($G$24+$H$24*'Advanced Outputs'!C$61^$I$24)*$J$24*EXP(-(($L$24*($B143-$M$24))^$K$24))+($G$25+$H$25*'Advanced Outputs'!C$61^$I$25)*$J$25*EXP(-(($L$25*($B143-$M$25))^$K$25))+$G$26))</f>
        <v>0.52030386204005508</v>
      </c>
      <c r="D143" s="75">
        <f>10^(-(($G$21+$H$21*'Advanced Outputs'!C$60^$I$21)*(($B143/$M$21)^-$K$21)+($G$22+$H$22*'Advanced Outputs'!C$60^$I$22)*$J$22*EXP(-(($L$22*($B143-$M$22))^$K$22))+($G$23+$H$23*'Advanced Outputs'!C$60^$I$23)*$J$23*EXP(-(($L$23*($B143-$M$23))^$K$23))+($G$24+$H$24*'Advanced Outputs'!C$60^$I$24)*$J$24*EXP(-(($L$24*($B143-$M$24))^$K$24))+($G$25+$H$25*'Advanced Outputs'!C$60^$I$25)*$J$25*EXP(-(($L$25*($B143-$M$25))^$K$25))+$G$26))</f>
        <v>0.6880581022397052</v>
      </c>
      <c r="E143" s="75">
        <f t="shared" si="1"/>
        <v>0.75619175233371783</v>
      </c>
      <c r="F143" s="74"/>
      <c r="G143" s="6"/>
      <c r="H143" s="6"/>
      <c r="I143" s="6"/>
      <c r="J143" s="6"/>
      <c r="K143" s="6"/>
      <c r="L143" s="6"/>
      <c r="M143" s="6"/>
    </row>
    <row r="144" spans="1:13" hidden="1" x14ac:dyDescent="0.2">
      <c r="A144" s="60"/>
      <c r="B144" s="60">
        <v>503</v>
      </c>
      <c r="C144" s="75">
        <f>10^(-(($G$21+$H$21*'Advanced Outputs'!C$61^$I$21)*(($B144/$M$21)^-$K$21)+($G$22+$H$22*'Advanced Outputs'!C$61^$I$22)*$J$22*EXP(-(($L$22*($B144-$M$22))^$K$22))+($G$23+$H$23*'Advanced Outputs'!C$61^$I$23)*$J$23*EXP(-(($L$23*($B144-$M$23))^$K$23))+($G$24+$H$24*'Advanced Outputs'!C$61^$I$24)*$J$24*EXP(-(($L$24*($B144-$M$24))^$K$24))+($G$25+$H$25*'Advanced Outputs'!C$61^$I$25)*$J$25*EXP(-(($L$25*($B144-$M$25))^$K$25))+$G$26))</f>
        <v>0.52437045876689303</v>
      </c>
      <c r="D144" s="75">
        <f>10^(-(($G$21+$H$21*'Advanced Outputs'!C$60^$I$21)*(($B144/$M$21)^-$K$21)+($G$22+$H$22*'Advanced Outputs'!C$60^$I$22)*$J$22*EXP(-(($L$22*($B144-$M$22))^$K$22))+($G$23+$H$23*'Advanced Outputs'!C$60^$I$23)*$J$23*EXP(-(($L$23*($B144-$M$23))^$K$23))+($G$24+$H$24*'Advanced Outputs'!C$60^$I$24)*$J$24*EXP(-(($L$24*($B144-$M$24))^$K$24))+($G$25+$H$25*'Advanced Outputs'!C$60^$I$25)*$J$25*EXP(-(($L$25*($B144-$M$25))^$K$25))+$G$26))</f>
        <v>0.69001808903106199</v>
      </c>
      <c r="E144" s="75">
        <f t="shared" si="1"/>
        <v>0.7599372641132135</v>
      </c>
      <c r="F144" s="74"/>
      <c r="G144" s="6"/>
      <c r="H144" s="6"/>
      <c r="I144" s="6"/>
      <c r="J144" s="6"/>
      <c r="K144" s="6"/>
      <c r="L144" s="6"/>
      <c r="M144" s="6"/>
    </row>
    <row r="145" spans="1:13" hidden="1" x14ac:dyDescent="0.2">
      <c r="A145" s="60"/>
      <c r="B145" s="60">
        <v>504</v>
      </c>
      <c r="C145" s="75">
        <f>10^(-(($G$21+$H$21*'Advanced Outputs'!C$61^$I$21)*(($B145/$M$21)^-$K$21)+($G$22+$H$22*'Advanced Outputs'!C$61^$I$22)*$J$22*EXP(-(($L$22*($B145-$M$22))^$K$22))+($G$23+$H$23*'Advanced Outputs'!C$61^$I$23)*$J$23*EXP(-(($L$23*($B145-$M$23))^$K$23))+($G$24+$H$24*'Advanced Outputs'!C$61^$I$24)*$J$24*EXP(-(($L$24*($B145-$M$24))^$K$24))+($G$25+$H$25*'Advanced Outputs'!C$61^$I$25)*$J$25*EXP(-(($L$25*($B145-$M$25))^$K$25))+$G$26))</f>
        <v>0.52840635815854275</v>
      </c>
      <c r="D145" s="75">
        <f>10^(-(($G$21+$H$21*'Advanced Outputs'!C$60^$I$21)*(($B145/$M$21)^-$K$21)+($G$22+$H$22*'Advanced Outputs'!C$60^$I$22)*$J$22*EXP(-(($L$22*($B145-$M$22))^$K$22))+($G$23+$H$23*'Advanced Outputs'!C$60^$I$23)*$J$23*EXP(-(($L$23*($B145-$M$23))^$K$23))+($G$24+$H$24*'Advanced Outputs'!C$60^$I$24)*$J$24*EXP(-(($L$24*($B145-$M$24))^$K$24))+($G$25+$H$25*'Advanced Outputs'!C$60^$I$25)*$J$25*EXP(-(($L$25*($B145-$M$25))^$K$25))+$G$26))</f>
        <v>0.69195662051141749</v>
      </c>
      <c r="E145" s="75">
        <f t="shared" si="1"/>
        <v>0.76364087356806187</v>
      </c>
      <c r="F145" s="74"/>
      <c r="G145" s="6"/>
      <c r="H145" s="6"/>
      <c r="I145" s="6"/>
      <c r="J145" s="6"/>
      <c r="K145" s="6"/>
      <c r="L145" s="6"/>
      <c r="M145" s="6"/>
    </row>
    <row r="146" spans="1:13" hidden="1" x14ac:dyDescent="0.2">
      <c r="A146" s="60"/>
      <c r="B146" s="60">
        <v>505</v>
      </c>
      <c r="C146" s="75">
        <f>10^(-(($G$21+$H$21*'Advanced Outputs'!C$61^$I$21)*(($B146/$M$21)^-$K$21)+($G$22+$H$22*'Advanced Outputs'!C$61^$I$22)*$J$22*EXP(-(($L$22*($B146-$M$22))^$K$22))+($G$23+$H$23*'Advanced Outputs'!C$61^$I$23)*$J$23*EXP(-(($L$23*($B146-$M$23))^$K$23))+($G$24+$H$24*'Advanced Outputs'!C$61^$I$24)*$J$24*EXP(-(($L$24*($B146-$M$24))^$K$24))+($G$25+$H$25*'Advanced Outputs'!C$61^$I$25)*$J$25*EXP(-(($L$25*($B146-$M$25))^$K$25))+$G$26))</f>
        <v>0.53241094828903346</v>
      </c>
      <c r="D146" s="75">
        <f>10^(-(($G$21+$H$21*'Advanced Outputs'!C$60^$I$21)*(($B146/$M$21)^-$K$21)+($G$22+$H$22*'Advanced Outputs'!C$60^$I$22)*$J$22*EXP(-(($L$22*($B146-$M$22))^$K$22))+($G$23+$H$23*'Advanced Outputs'!C$60^$I$23)*$J$23*EXP(-(($L$23*($B146-$M$23))^$K$23))+($G$24+$H$24*'Advanced Outputs'!C$60^$I$24)*$J$24*EXP(-(($L$24*($B146-$M$24))^$K$24))+($G$25+$H$25*'Advanced Outputs'!C$60^$I$25)*$J$25*EXP(-(($L$25*($B146-$M$25))^$K$25))+$G$26))</f>
        <v>0.69387375893735159</v>
      </c>
      <c r="E146" s="75">
        <f t="shared" si="1"/>
        <v>0.76730232471163928</v>
      </c>
      <c r="F146" s="74"/>
      <c r="G146" s="6"/>
      <c r="H146" s="6"/>
      <c r="I146" s="6"/>
      <c r="J146" s="6"/>
      <c r="K146" s="6"/>
      <c r="L146" s="6"/>
      <c r="M146" s="6"/>
    </row>
    <row r="147" spans="1:13" hidden="1" x14ac:dyDescent="0.2">
      <c r="A147" s="60"/>
      <c r="B147" s="60">
        <v>506</v>
      </c>
      <c r="C147" s="75">
        <f>10^(-(($G$21+$H$21*'Advanced Outputs'!C$61^$I$21)*(($B147/$M$21)^-$K$21)+($G$22+$H$22*'Advanced Outputs'!C$61^$I$22)*$J$22*EXP(-(($L$22*($B147-$M$22))^$K$22))+($G$23+$H$23*'Advanced Outputs'!C$61^$I$23)*$J$23*EXP(-(($L$23*($B147-$M$23))^$K$23))+($G$24+$H$24*'Advanced Outputs'!C$61^$I$24)*$J$24*EXP(-(($L$24*($B147-$M$24))^$K$24))+($G$25+$H$25*'Advanced Outputs'!C$61^$I$25)*$J$25*EXP(-(($L$25*($B147-$M$25))^$K$25))+$G$26))</f>
        <v>0.53638363959701596</v>
      </c>
      <c r="D147" s="75">
        <f>10^(-(($G$21+$H$21*'Advanced Outputs'!C$60^$I$21)*(($B147/$M$21)^-$K$21)+($G$22+$H$22*'Advanced Outputs'!C$60^$I$22)*$J$22*EXP(-(($L$22*($B147-$M$22))^$K$22))+($G$23+$H$23*'Advanced Outputs'!C$60^$I$23)*$J$23*EXP(-(($L$23*($B147-$M$23))^$K$23))+($G$24+$H$24*'Advanced Outputs'!C$60^$I$24)*$J$24*EXP(-(($L$24*($B147-$M$24))^$K$24))+($G$25+$H$25*'Advanced Outputs'!C$60^$I$25)*$J$25*EXP(-(($L$25*($B147-$M$25))^$K$25))+$G$26))</f>
        <v>0.69576956984350569</v>
      </c>
      <c r="E147" s="75">
        <f t="shared" si="1"/>
        <v>0.77092138381053477</v>
      </c>
      <c r="F147" s="74"/>
      <c r="G147" s="6"/>
      <c r="H147" s="6"/>
      <c r="I147" s="6"/>
      <c r="J147" s="6"/>
      <c r="K147" s="6"/>
      <c r="L147" s="6"/>
      <c r="M147" s="6"/>
    </row>
    <row r="148" spans="1:13" hidden="1" x14ac:dyDescent="0.2">
      <c r="A148" s="60"/>
      <c r="B148" s="60">
        <v>507</v>
      </c>
      <c r="C148" s="75">
        <f>10^(-(($G$21+$H$21*'Advanced Outputs'!C$61^$I$21)*(($B148/$M$21)^-$K$21)+($G$22+$H$22*'Advanced Outputs'!C$61^$I$22)*$J$22*EXP(-(($L$22*($B148-$M$22))^$K$22))+($G$23+$H$23*'Advanced Outputs'!C$61^$I$23)*$J$23*EXP(-(($L$23*($B148-$M$23))^$K$23))+($G$24+$H$24*'Advanced Outputs'!C$61^$I$24)*$J$24*EXP(-(($L$24*($B148-$M$24))^$K$24))+($G$25+$H$25*'Advanced Outputs'!C$61^$I$25)*$J$25*EXP(-(($L$25*($B148-$M$25))^$K$25))+$G$26))</f>
        <v>0.54032386555588485</v>
      </c>
      <c r="D148" s="75">
        <f>10^(-(($G$21+$H$21*'Advanced Outputs'!C$60^$I$21)*(($B148/$M$21)^-$K$21)+($G$22+$H$22*'Advanced Outputs'!C$60^$I$22)*$J$22*EXP(-(($L$22*($B148-$M$22))^$K$22))+($G$23+$H$23*'Advanced Outputs'!C$60^$I$23)*$J$23*EXP(-(($L$23*($B148-$M$23))^$K$23))+($G$24+$H$24*'Advanced Outputs'!C$60^$I$24)*$J$24*EXP(-(($L$24*($B148-$M$24))^$K$24))+($G$25+$H$25*'Advanced Outputs'!C$60^$I$25)*$J$25*EXP(-(($L$25*($B148-$M$25))^$K$25))+$G$26))</f>
        <v>0.69764412239936247</v>
      </c>
      <c r="E148" s="75">
        <f t="shared" si="1"/>
        <v>0.77449783952537832</v>
      </c>
      <c r="F148" s="74"/>
      <c r="G148" s="6"/>
      <c r="H148" s="6"/>
      <c r="I148" s="6"/>
      <c r="J148" s="6"/>
      <c r="K148" s="6"/>
      <c r="L148" s="6"/>
      <c r="M148" s="6"/>
    </row>
    <row r="149" spans="1:13" hidden="1" x14ac:dyDescent="0.2">
      <c r="A149" s="60"/>
      <c r="B149" s="60">
        <v>508</v>
      </c>
      <c r="C149" s="75">
        <f>10^(-(($G$21+$H$21*'Advanced Outputs'!C$61^$I$21)*(($B149/$M$21)^-$K$21)+($G$22+$H$22*'Advanced Outputs'!C$61^$I$22)*$J$22*EXP(-(($L$22*($B149-$M$22))^$K$22))+($G$23+$H$23*'Advanced Outputs'!C$61^$I$23)*$J$23*EXP(-(($L$23*($B149-$M$23))^$K$23))+($G$24+$H$24*'Advanced Outputs'!C$61^$I$24)*$J$24*EXP(-(($L$24*($B149-$M$24))^$K$24))+($G$25+$H$25*'Advanced Outputs'!C$61^$I$25)*$J$25*EXP(-(($L$25*($B149-$M$25))^$K$25))+$G$26))</f>
        <v>0.54423108324126768</v>
      </c>
      <c r="D149" s="75">
        <f>10^(-(($G$21+$H$21*'Advanced Outputs'!C$60^$I$21)*(($B149/$M$21)^-$K$21)+($G$22+$H$22*'Advanced Outputs'!C$60^$I$22)*$J$22*EXP(-(($L$22*($B149-$M$22))^$K$22))+($G$23+$H$23*'Advanced Outputs'!C$60^$I$23)*$J$23*EXP(-(($L$23*($B149-$M$23))^$K$23))+($G$24+$H$24*'Advanced Outputs'!C$60^$I$24)*$J$24*EXP(-(($L$24*($B149-$M$24))^$K$24))+($G$25+$H$25*'Advanced Outputs'!C$60^$I$25)*$J$25*EXP(-(($L$25*($B149-$M$25))^$K$25))+$G$26))</f>
        <v>0.69949748969087877</v>
      </c>
      <c r="E149" s="75">
        <f t="shared" ref="E149:E212" si="2">C149/D149</f>
        <v>0.77803150298905821</v>
      </c>
      <c r="F149" s="74"/>
      <c r="G149" s="6"/>
      <c r="H149" s="6"/>
      <c r="I149" s="6"/>
      <c r="J149" s="6"/>
      <c r="K149" s="6"/>
      <c r="L149" s="6"/>
      <c r="M149" s="6"/>
    </row>
    <row r="150" spans="1:13" hidden="1" x14ac:dyDescent="0.2">
      <c r="A150" s="60"/>
      <c r="B150" s="60">
        <v>509</v>
      </c>
      <c r="C150" s="75">
        <f>10^(-(($G$21+$H$21*'Advanced Outputs'!C$61^$I$21)*(($B150/$M$21)^-$K$21)+($G$22+$H$22*'Advanced Outputs'!C$61^$I$22)*$J$22*EXP(-(($L$22*($B150-$M$22))^$K$22))+($G$23+$H$23*'Advanced Outputs'!C$61^$I$23)*$J$23*EXP(-(($L$23*($B150-$M$23))^$K$23))+($G$24+$H$24*'Advanced Outputs'!C$61^$I$24)*$J$24*EXP(-(($L$24*($B150-$M$24))^$K$24))+($G$25+$H$25*'Advanced Outputs'!C$61^$I$25)*$J$25*EXP(-(($L$25*($B150-$M$25))^$K$25))+$G$26))</f>
        <v>0.54810477380387868</v>
      </c>
      <c r="D150" s="75">
        <f>10^(-(($G$21+$H$21*'Advanced Outputs'!C$60^$I$21)*(($B150/$M$21)^-$K$21)+($G$22+$H$22*'Advanced Outputs'!C$60^$I$22)*$J$22*EXP(-(($L$22*($B150-$M$22))^$K$22))+($G$23+$H$23*'Advanced Outputs'!C$60^$I$23)*$J$23*EXP(-(($L$23*($B150-$M$23))^$K$23))+($G$24+$H$24*'Advanced Outputs'!C$60^$I$24)*$J$24*EXP(-(($L$24*($B150-$M$24))^$K$24))+($G$25+$H$25*'Advanced Outputs'!C$60^$I$25)*$J$25*EXP(-(($L$25*($B150-$M$25))^$K$25))+$G$26))</f>
        <v>0.70132974893729938</v>
      </c>
      <c r="E150" s="75">
        <f t="shared" si="2"/>
        <v>0.78152220782649362</v>
      </c>
      <c r="F150" s="74"/>
      <c r="G150" s="6"/>
      <c r="H150" s="6"/>
      <c r="I150" s="6"/>
      <c r="J150" s="6"/>
      <c r="K150" s="6"/>
      <c r="L150" s="6"/>
      <c r="M150" s="6"/>
    </row>
    <row r="151" spans="1:13" hidden="1" x14ac:dyDescent="0.2">
      <c r="A151" s="60"/>
      <c r="B151" s="60">
        <v>510</v>
      </c>
      <c r="C151" s="75">
        <f>10^(-(($G$21+$H$21*'Advanced Outputs'!C$61^$I$21)*(($B151/$M$21)^-$K$21)+($G$22+$H$22*'Advanced Outputs'!C$61^$I$22)*$J$22*EXP(-(($L$22*($B151-$M$22))^$K$22))+($G$23+$H$23*'Advanced Outputs'!C$61^$I$23)*$J$23*EXP(-(($L$23*($B151-$M$23))^$K$23))+($G$24+$H$24*'Advanced Outputs'!C$61^$I$24)*$J$24*EXP(-(($L$24*($B151-$M$24))^$K$24))+($G$25+$H$25*'Advanced Outputs'!C$61^$I$25)*$J$25*EXP(-(($L$25*($B151-$M$25))^$K$25))+$G$26))</f>
        <v>0.55194444285504807</v>
      </c>
      <c r="D151" s="75">
        <f>10^(-(($G$21+$H$21*'Advanced Outputs'!C$60^$I$21)*(($B151/$M$21)^-$K$21)+($G$22+$H$22*'Advanced Outputs'!C$60^$I$22)*$J$22*EXP(-(($L$22*($B151-$M$22))^$K$22))+($G$23+$H$23*'Advanced Outputs'!C$60^$I$23)*$J$23*EXP(-(($L$23*($B151-$M$23))^$K$23))+($G$24+$H$24*'Advanced Outputs'!C$60^$I$24)*$J$24*EXP(-(($L$24*($B151-$M$24))^$K$24))+($G$25+$H$25*'Advanced Outputs'!C$60^$I$25)*$J$25*EXP(-(($L$25*($B151-$M$25))^$K$25))+$G$26))</f>
        <v>0.70314098165213545</v>
      </c>
      <c r="E151" s="75">
        <f t="shared" si="2"/>
        <v>0.7849698101199728</v>
      </c>
      <c r="F151" s="74"/>
      <c r="G151" s="6"/>
      <c r="H151" s="6"/>
      <c r="I151" s="6"/>
      <c r="J151" s="6"/>
      <c r="K151" s="6"/>
      <c r="L151" s="6"/>
      <c r="M151" s="6"/>
    </row>
    <row r="152" spans="1:13" hidden="1" x14ac:dyDescent="0.2">
      <c r="A152" s="60"/>
      <c r="B152" s="60">
        <v>511</v>
      </c>
      <c r="C152" s="75">
        <f>10^(-(($G$21+$H$21*'Advanced Outputs'!C$61^$I$21)*(($B152/$M$21)^-$K$21)+($G$22+$H$22*'Advanced Outputs'!C$61^$I$22)*$J$22*EXP(-(($L$22*($B152-$M$22))^$K$22))+($G$23+$H$23*'Advanced Outputs'!C$61^$I$23)*$J$23*EXP(-(($L$23*($B152-$M$23))^$K$23))+($G$24+$H$24*'Advanced Outputs'!C$61^$I$24)*$J$24*EXP(-(($L$24*($B152-$M$24))^$K$24))+($G$25+$H$25*'Advanced Outputs'!C$61^$I$25)*$J$25*EXP(-(($L$25*($B152-$M$25))^$K$25))+$G$26))</f>
        <v>0.55574962077160006</v>
      </c>
      <c r="D152" s="75">
        <f>10^(-(($G$21+$H$21*'Advanced Outputs'!C$60^$I$21)*(($B152/$M$21)^-$K$21)+($G$22+$H$22*'Advanced Outputs'!C$60^$I$22)*$J$22*EXP(-(($L$22*($B152-$M$22))^$K$22))+($G$23+$H$23*'Advanced Outputs'!C$60^$I$23)*$J$23*EXP(-(($L$23*($B152-$M$23))^$K$23))+($G$24+$H$24*'Advanced Outputs'!C$60^$I$24)*$J$24*EXP(-(($L$24*($B152-$M$24))^$K$24))+($G$25+$H$25*'Advanced Outputs'!C$60^$I$25)*$J$25*EXP(-(($L$25*($B152-$M$25))^$K$25))+$G$26))</f>
        <v>0.70493127375612852</v>
      </c>
      <c r="E152" s="75">
        <f t="shared" si="2"/>
        <v>0.78837418832387063</v>
      </c>
      <c r="F152" s="74"/>
      <c r="G152" s="6"/>
      <c r="H152" s="6"/>
      <c r="I152" s="6"/>
      <c r="J152" s="6"/>
      <c r="K152" s="6"/>
      <c r="L152" s="6"/>
      <c r="M152" s="6"/>
    </row>
    <row r="153" spans="1:13" hidden="1" x14ac:dyDescent="0.2">
      <c r="A153" s="60"/>
      <c r="B153" s="60">
        <v>512</v>
      </c>
      <c r="C153" s="75">
        <f>10^(-(($G$21+$H$21*'Advanced Outputs'!C$61^$I$21)*(($B153/$M$21)^-$K$21)+($G$22+$H$22*'Advanced Outputs'!C$61^$I$22)*$J$22*EXP(-(($L$22*($B153-$M$22))^$K$22))+($G$23+$H$23*'Advanced Outputs'!C$61^$I$23)*$J$23*EXP(-(($L$23*($B153-$M$23))^$K$23))+($G$24+$H$24*'Advanced Outputs'!C$61^$I$24)*$J$24*EXP(-(($L$24*($B153-$M$24))^$K$24))+($G$25+$H$25*'Advanced Outputs'!C$61^$I$25)*$J$25*EXP(-(($L$25*($B153-$M$25))^$K$25))+$G$26))</f>
        <v>0.55951986292619216</v>
      </c>
      <c r="D153" s="75">
        <f>10^(-(($G$21+$H$21*'Advanced Outputs'!C$60^$I$21)*(($B153/$M$21)^-$K$21)+($G$22+$H$22*'Advanced Outputs'!C$60^$I$22)*$J$22*EXP(-(($L$22*($B153-$M$22))^$K$22))+($G$23+$H$23*'Advanced Outputs'!C$60^$I$23)*$J$23*EXP(-(($L$23*($B153-$M$23))^$K$23))+($G$24+$H$24*'Advanced Outputs'!C$60^$I$24)*$J$24*EXP(-(($L$24*($B153-$M$24))^$K$24))+($G$25+$H$25*'Advanced Outputs'!C$60^$I$25)*$J$25*EXP(-(($L$25*($B153-$M$25))^$K$25))+$G$26))</f>
        <v>0.70670071564897974</v>
      </c>
      <c r="E153" s="75">
        <f t="shared" si="2"/>
        <v>0.79173524313240862</v>
      </c>
      <c r="F153" s="74"/>
      <c r="G153" s="6"/>
      <c r="H153" s="6"/>
      <c r="I153" s="6"/>
      <c r="J153" s="6"/>
      <c r="K153" s="6"/>
      <c r="L153" s="6"/>
      <c r="M153" s="6"/>
    </row>
    <row r="154" spans="1:13" hidden="1" x14ac:dyDescent="0.2">
      <c r="A154" s="60"/>
      <c r="B154" s="60">
        <v>513</v>
      </c>
      <c r="C154" s="75">
        <f>10^(-(($G$21+$H$21*'Advanced Outputs'!C$61^$I$21)*(($B154/$M$21)^-$K$21)+($G$22+$H$22*'Advanced Outputs'!C$61^$I$22)*$J$22*EXP(-(($L$22*($B154-$M$22))^$K$22))+($G$23+$H$23*'Advanced Outputs'!C$61^$I$23)*$J$23*EXP(-(($L$23*($B154-$M$23))^$K$23))+($G$24+$H$24*'Advanced Outputs'!C$61^$I$24)*$J$24*EXP(-(($L$24*($B154-$M$24))^$K$24))+($G$25+$H$25*'Advanced Outputs'!C$61^$I$25)*$J$25*EXP(-(($L$25*($B154-$M$25))^$K$25))+$G$26))</f>
        <v>0.56325474984870783</v>
      </c>
      <c r="D154" s="75">
        <f>10^(-(($G$21+$H$21*'Advanced Outputs'!C$60^$I$21)*(($B154/$M$21)^-$K$21)+($G$22+$H$22*'Advanced Outputs'!C$60^$I$22)*$J$22*EXP(-(($L$22*($B154-$M$22))^$K$22))+($G$23+$H$23*'Advanced Outputs'!C$60^$I$23)*$J$23*EXP(-(($L$23*($B154-$M$23))^$K$23))+($G$24+$H$24*'Advanced Outputs'!C$60^$I$24)*$J$24*EXP(-(($L$24*($B154-$M$24))^$K$24))+($G$25+$H$25*'Advanced Outputs'!C$60^$I$25)*$J$25*EXP(-(($L$25*($B154-$M$25))^$K$25))+$G$26))</f>
        <v>0.70844940224573272</v>
      </c>
      <c r="E154" s="75">
        <f t="shared" si="2"/>
        <v>0.79505289730393103</v>
      </c>
      <c r="F154" s="74"/>
      <c r="G154" s="6"/>
      <c r="H154" s="6"/>
      <c r="I154" s="6"/>
      <c r="J154" s="6"/>
      <c r="K154" s="6"/>
      <c r="L154" s="6"/>
      <c r="M154" s="6"/>
    </row>
    <row r="155" spans="1:13" hidden="1" x14ac:dyDescent="0.2">
      <c r="A155" s="60"/>
      <c r="B155" s="60">
        <v>514</v>
      </c>
      <c r="C155" s="75">
        <f>10^(-(($G$21+$H$21*'Advanced Outputs'!C$61^$I$21)*(($B155/$M$21)^-$K$21)+($G$22+$H$22*'Advanced Outputs'!C$61^$I$22)*$J$22*EXP(-(($L$22*($B155-$M$22))^$K$22))+($G$23+$H$23*'Advanced Outputs'!C$61^$I$23)*$J$23*EXP(-(($L$23*($B155-$M$23))^$K$23))+($G$24+$H$24*'Advanced Outputs'!C$61^$I$24)*$J$24*EXP(-(($L$24*($B155-$M$24))^$K$24))+($G$25+$H$25*'Advanced Outputs'!C$61^$I$25)*$J$25*EXP(-(($L$25*($B155-$M$25))^$K$25))+$G$26))</f>
        <v>0.56695388732383312</v>
      </c>
      <c r="D155" s="75">
        <f>10^(-(($G$21+$H$21*'Advanced Outputs'!C$60^$I$21)*(($B155/$M$21)^-$K$21)+($G$22+$H$22*'Advanced Outputs'!C$60^$I$22)*$J$22*EXP(-(($L$22*($B155-$M$22))^$K$22))+($G$23+$H$23*'Advanced Outputs'!C$60^$I$23)*$J$23*EXP(-(($L$23*($B155-$M$23))^$K$23))+($G$24+$H$24*'Advanced Outputs'!C$60^$I$24)*$J$24*EXP(-(($L$24*($B155-$M$24))^$K$24))+($G$25+$H$25*'Advanced Outputs'!C$60^$I$25)*$J$25*EXP(-(($L$25*($B155-$M$25))^$K$25))+$G$26))</f>
        <v>0.71017743298290281</v>
      </c>
      <c r="E155" s="75">
        <f t="shared" si="2"/>
        <v>0.79832709544500868</v>
      </c>
      <c r="F155" s="74"/>
      <c r="G155" s="6"/>
      <c r="H155" s="6"/>
      <c r="I155" s="6"/>
      <c r="J155" s="6"/>
      <c r="K155" s="6"/>
      <c r="L155" s="6"/>
      <c r="M155" s="6"/>
    </row>
    <row r="156" spans="1:13" hidden="1" x14ac:dyDescent="0.2">
      <c r="A156" s="60"/>
      <c r="B156" s="60">
        <v>515</v>
      </c>
      <c r="C156" s="75">
        <f>10^(-(($G$21+$H$21*'Advanced Outputs'!C$61^$I$21)*(($B156/$M$21)^-$K$21)+($G$22+$H$22*'Advanced Outputs'!C$61^$I$22)*$J$22*EXP(-(($L$22*($B156-$M$22))^$K$22))+($G$23+$H$23*'Advanced Outputs'!C$61^$I$23)*$J$23*EXP(-(($L$23*($B156-$M$23))^$K$23))+($G$24+$H$24*'Advanced Outputs'!C$61^$I$24)*$J$24*EXP(-(($L$24*($B156-$M$24))^$K$24))+($G$25+$H$25*'Advanced Outputs'!C$61^$I$25)*$J$25*EXP(-(($L$25*($B156-$M$25))^$K$25))+$G$26))</f>
        <v>0.570616906429532</v>
      </c>
      <c r="D156" s="75">
        <f>10^(-(($G$21+$H$21*'Advanced Outputs'!C$60^$I$21)*(($B156/$M$21)^-$K$21)+($G$22+$H$22*'Advanced Outputs'!C$60^$I$22)*$J$22*EXP(-(($L$22*($B156-$M$22))^$K$22))+($G$23+$H$23*'Advanced Outputs'!C$60^$I$23)*$J$23*EXP(-(($L$23*($B156-$M$23))^$K$23))+($G$24+$H$24*'Advanced Outputs'!C$60^$I$24)*$J$24*EXP(-(($L$24*($B156-$M$24))^$K$24))+($G$25+$H$25*'Advanced Outputs'!C$60^$I$25)*$J$25*EXP(-(($L$25*($B156-$M$25))^$K$25))+$G$26))</f>
        <v>0.71188491179876734</v>
      </c>
      <c r="E156" s="75">
        <f t="shared" si="2"/>
        <v>0.80155780375751473</v>
      </c>
      <c r="F156" s="74"/>
      <c r="G156" s="6"/>
      <c r="H156" s="6"/>
      <c r="I156" s="6"/>
      <c r="J156" s="6"/>
      <c r="K156" s="6"/>
      <c r="L156" s="6"/>
      <c r="M156" s="6"/>
    </row>
    <row r="157" spans="1:13" hidden="1" x14ac:dyDescent="0.2">
      <c r="A157" s="60"/>
      <c r="B157" s="60">
        <v>516</v>
      </c>
      <c r="C157" s="75">
        <f>10^(-(($G$21+$H$21*'Advanced Outputs'!C$61^$I$21)*(($B157/$M$21)^-$K$21)+($G$22+$H$22*'Advanced Outputs'!C$61^$I$22)*$J$22*EXP(-(($L$22*($B157-$M$22))^$K$22))+($G$23+$H$23*'Advanced Outputs'!C$61^$I$23)*$J$23*EXP(-(($L$23*($B157-$M$23))^$K$23))+($G$24+$H$24*'Advanced Outputs'!C$61^$I$24)*$J$24*EXP(-(($L$24*($B157-$M$24))^$K$24))+($G$25+$H$25*'Advanced Outputs'!C$61^$I$25)*$J$25*EXP(-(($L$25*($B157-$M$25))^$K$25))+$G$26))</f>
        <v>0.57424346352075828</v>
      </c>
      <c r="D157" s="75">
        <f>10^(-(($G$21+$H$21*'Advanced Outputs'!C$60^$I$21)*(($B157/$M$21)^-$K$21)+($G$22+$H$22*'Advanced Outputs'!C$60^$I$22)*$J$22*EXP(-(($L$22*($B157-$M$22))^$K$22))+($G$23+$H$23*'Advanced Outputs'!C$60^$I$23)*$J$23*EXP(-(($L$23*($B157-$M$23))^$K$23))+($G$24+$H$24*'Advanced Outputs'!C$60^$I$24)*$J$24*EXP(-(($L$24*($B157-$M$24))^$K$24))+($G$25+$H$25*'Advanced Outputs'!C$60^$I$25)*$J$25*EXP(-(($L$25*($B157-$M$25))^$K$25))+$G$26))</f>
        <v>0.71357194709162997</v>
      </c>
      <c r="E157" s="75">
        <f t="shared" si="2"/>
        <v>0.80474500975165086</v>
      </c>
      <c r="F157" s="74"/>
      <c r="G157" s="6"/>
      <c r="H157" s="6"/>
      <c r="I157" s="6"/>
      <c r="J157" s="6"/>
      <c r="K157" s="6"/>
      <c r="L157" s="6"/>
      <c r="M157" s="6"/>
    </row>
    <row r="158" spans="1:13" hidden="1" x14ac:dyDescent="0.2">
      <c r="A158" s="60"/>
      <c r="B158" s="60">
        <v>517</v>
      </c>
      <c r="C158" s="75">
        <f>10^(-(($G$21+$H$21*'Advanced Outputs'!C$61^$I$21)*(($B158/$M$21)^-$K$21)+($G$22+$H$22*'Advanced Outputs'!C$61^$I$22)*$J$22*EXP(-(($L$22*($B158-$M$22))^$K$22))+($G$23+$H$23*'Advanced Outputs'!C$61^$I$23)*$J$23*EXP(-(($L$23*($B158-$M$23))^$K$23))+($G$24+$H$24*'Advanced Outputs'!C$61^$I$24)*$J$24*EXP(-(($L$24*($B158-$M$24))^$K$24))+($G$25+$H$25*'Advanced Outputs'!C$61^$I$25)*$J$25*EXP(-(($L$25*($B158-$M$25))^$K$25))+$G$26))</f>
        <v>0.57783324016241144</v>
      </c>
      <c r="D158" s="75">
        <f>10^(-(($G$21+$H$21*'Advanced Outputs'!C$60^$I$21)*(($B158/$M$21)^-$K$21)+($G$22+$H$22*'Advanced Outputs'!C$60^$I$22)*$J$22*EXP(-(($L$22*($B158-$M$22))^$K$22))+($G$23+$H$23*'Advanced Outputs'!C$60^$I$23)*$J$23*EXP(-(($L$23*($B158-$M$23))^$K$23))+($G$24+$H$24*'Advanced Outputs'!C$60^$I$24)*$J$24*EXP(-(($L$24*($B158-$M$24))^$K$24))+($G$25+$H$25*'Advanced Outputs'!C$60^$I$25)*$J$25*EXP(-(($L$25*($B158-$M$25))^$K$25))+$G$26))</f>
        <v>0.71523865165936018</v>
      </c>
      <c r="E158" s="75">
        <f t="shared" si="2"/>
        <v>0.80788872192775529</v>
      </c>
      <c r="F158" s="74"/>
      <c r="G158" s="6"/>
      <c r="H158" s="6"/>
      <c r="I158" s="6"/>
      <c r="J158" s="6"/>
      <c r="K158" s="6"/>
      <c r="L158" s="6"/>
      <c r="M158" s="6"/>
    </row>
    <row r="159" spans="1:13" hidden="1" x14ac:dyDescent="0.2">
      <c r="A159" s="60"/>
      <c r="B159" s="60">
        <v>518</v>
      </c>
      <c r="C159" s="75">
        <f>10^(-(($G$21+$H$21*'Advanced Outputs'!C$61^$I$21)*(($B159/$M$21)^-$K$21)+($G$22+$H$22*'Advanced Outputs'!C$61^$I$22)*$J$22*EXP(-(($L$22*($B159-$M$22))^$K$22))+($G$23+$H$23*'Advanced Outputs'!C$61^$I$23)*$J$23*EXP(-(($L$23*($B159-$M$23))^$K$23))+($G$24+$H$24*'Advanced Outputs'!C$61^$I$24)*$J$24*EXP(-(($L$24*($B159-$M$24))^$K$24))+($G$25+$H$25*'Advanced Outputs'!C$61^$I$25)*$J$25*EXP(-(($L$25*($B159-$M$25))^$K$25))+$G$26))</f>
        <v>0.58138594301523605</v>
      </c>
      <c r="D159" s="75">
        <f>10^(-(($G$21+$H$21*'Advanced Outputs'!C$60^$I$21)*(($B159/$M$21)^-$K$21)+($G$22+$H$22*'Advanced Outputs'!C$60^$I$22)*$J$22*EXP(-(($L$22*($B159-$M$22))^$K$22))+($G$23+$H$23*'Advanced Outputs'!C$60^$I$23)*$J$23*EXP(-(($L$23*($B159-$M$23))^$K$23))+($G$24+$H$24*'Advanced Outputs'!C$60^$I$24)*$J$24*EXP(-(($L$24*($B159-$M$24))^$K$24))+($G$25+$H$25*'Advanced Outputs'!C$60^$I$25)*$J$25*EXP(-(($L$25*($B159-$M$25))^$K$25))+$G$26))</f>
        <v>0.71688514262305525</v>
      </c>
      <c r="E159" s="75">
        <f t="shared" si="2"/>
        <v>0.81098896942956189</v>
      </c>
      <c r="F159" s="74"/>
      <c r="G159" s="6"/>
      <c r="H159" s="6"/>
      <c r="I159" s="6"/>
      <c r="J159" s="6"/>
      <c r="K159" s="6"/>
      <c r="L159" s="6"/>
      <c r="M159" s="6"/>
    </row>
    <row r="160" spans="1:13" hidden="1" x14ac:dyDescent="0.2">
      <c r="A160" s="60"/>
      <c r="B160" s="60">
        <v>519</v>
      </c>
      <c r="C160" s="75">
        <f>10^(-(($G$21+$H$21*'Advanced Outputs'!C$61^$I$21)*(($B160/$M$21)^-$K$21)+($G$22+$H$22*'Advanced Outputs'!C$61^$I$22)*$J$22*EXP(-(($L$22*($B160-$M$22))^$K$22))+($G$23+$H$23*'Advanced Outputs'!C$61^$I$23)*$J$23*EXP(-(($L$23*($B160-$M$23))^$K$23))+($G$24+$H$24*'Advanced Outputs'!C$61^$I$24)*$J$24*EXP(-(($L$24*($B160-$M$24))^$K$24))+($G$25+$H$25*'Advanced Outputs'!C$61^$I$25)*$J$25*EXP(-(($L$25*($B160-$M$25))^$K$25))+$G$26))</f>
        <v>0.58490130367810045</v>
      </c>
      <c r="D160" s="75">
        <f>10^(-(($G$21+$H$21*'Advanced Outputs'!C$60^$I$21)*(($B160/$M$21)^-$K$21)+($G$22+$H$22*'Advanced Outputs'!C$60^$I$22)*$J$22*EXP(-(($L$22*($B160-$M$22))^$K$22))+($G$23+$H$23*'Advanced Outputs'!C$60^$I$23)*$J$23*EXP(-(($L$23*($B160-$M$23))^$K$23))+($G$24+$H$24*'Advanced Outputs'!C$60^$I$24)*$J$24*EXP(-(($L$24*($B160-$M$24))^$K$24))+($G$25+$H$25*'Advanced Outputs'!C$60^$I$25)*$J$25*EXP(-(($L$25*($B160-$M$25))^$K$25))+$G$26))</f>
        <v>0.71851154133729223</v>
      </c>
      <c r="E160" s="75">
        <f t="shared" si="2"/>
        <v>0.81404580167144336</v>
      </c>
      <c r="F160" s="74"/>
      <c r="G160" s="6"/>
      <c r="H160" s="6"/>
      <c r="I160" s="6"/>
      <c r="J160" s="6"/>
      <c r="K160" s="6"/>
      <c r="L160" s="6"/>
      <c r="M160" s="6"/>
    </row>
    <row r="161" spans="1:13" hidden="1" x14ac:dyDescent="0.2">
      <c r="A161" s="60"/>
      <c r="B161" s="60">
        <v>520</v>
      </c>
      <c r="C161" s="75">
        <f>10^(-(($G$21+$H$21*'Advanced Outputs'!C$61^$I$21)*(($B161/$M$21)^-$K$21)+($G$22+$H$22*'Advanced Outputs'!C$61^$I$22)*$J$22*EXP(-(($L$22*($B161-$M$22))^$K$22))+($G$23+$H$23*'Advanced Outputs'!C$61^$I$23)*$J$23*EXP(-(($L$23*($B161-$M$23))^$K$23))+($G$24+$H$24*'Advanced Outputs'!C$61^$I$24)*$J$24*EXP(-(($L$24*($B161-$M$24))^$K$24))+($G$25+$H$25*'Advanced Outputs'!C$61^$I$25)*$J$25*EXP(-(($L$25*($B161-$M$25))^$K$25))+$G$26))</f>
        <v>0.58837907848984661</v>
      </c>
      <c r="D161" s="75">
        <f>10^(-(($G$21+$H$21*'Advanced Outputs'!C$60^$I$21)*(($B161/$M$21)^-$K$21)+($G$22+$H$22*'Advanced Outputs'!C$60^$I$22)*$J$22*EXP(-(($L$22*($B161-$M$22))^$K$22))+($G$23+$H$23*'Advanced Outputs'!C$60^$I$23)*$J$23*EXP(-(($L$23*($B161-$M$23))^$K$23))+($G$24+$H$24*'Advanced Outputs'!C$60^$I$24)*$J$24*EXP(-(($L$24*($B161-$M$24))^$K$24))+($G$25+$H$25*'Advanced Outputs'!C$60^$I$25)*$J$25*EXP(-(($L$25*($B161-$M$25))^$K$25))+$G$26))</f>
        <v>0.72011797328909466</v>
      </c>
      <c r="E161" s="75">
        <f t="shared" si="2"/>
        <v>0.81705928794203164</v>
      </c>
      <c r="F161" s="74"/>
      <c r="G161" s="6"/>
      <c r="H161" s="6"/>
      <c r="I161" s="6"/>
      <c r="J161" s="6"/>
      <c r="K161" s="6"/>
      <c r="L161" s="6"/>
      <c r="M161" s="6"/>
    </row>
    <row r="162" spans="1:13" hidden="1" x14ac:dyDescent="0.2">
      <c r="A162" s="60"/>
      <c r="B162" s="60">
        <v>521</v>
      </c>
      <c r="C162" s="75">
        <f>10^(-(($G$21+$H$21*'Advanced Outputs'!C$61^$I$21)*(($B162/$M$21)^-$K$21)+($G$22+$H$22*'Advanced Outputs'!C$61^$I$22)*$J$22*EXP(-(($L$22*($B162-$M$22))^$K$22))+($G$23+$H$23*'Advanced Outputs'!C$61^$I$23)*$J$23*EXP(-(($L$23*($B162-$M$23))^$K$23))+($G$24+$H$24*'Advanced Outputs'!C$61^$I$24)*$J$24*EXP(-(($L$24*($B162-$M$24))^$K$24))+($G$25+$H$25*'Advanced Outputs'!C$61^$I$25)*$J$25*EXP(-(($L$25*($B162-$M$25))^$K$25))+$G$26))</f>
        <v>0.59181904829368881</v>
      </c>
      <c r="D162" s="75">
        <f>10^(-(($G$21+$H$21*'Advanced Outputs'!C$60^$I$21)*(($B162/$M$21)^-$K$21)+($G$22+$H$22*'Advanced Outputs'!C$60^$I$22)*$J$22*EXP(-(($L$22*($B162-$M$22))^$K$22))+($G$23+$H$23*'Advanced Outputs'!C$60^$I$23)*$J$23*EXP(-(($L$23*($B162-$M$23))^$K$23))+($G$24+$H$24*'Advanced Outputs'!C$60^$I$24)*$J$24*EXP(-(($L$24*($B162-$M$24))^$K$24))+($G$25+$H$25*'Advanced Outputs'!C$60^$I$25)*$J$25*EXP(-(($L$25*($B162-$M$25))^$K$25))+$G$26))</f>
        <v>0.72170456798745741</v>
      </c>
      <c r="E162" s="75">
        <f t="shared" si="2"/>
        <v>0.82002951698647708</v>
      </c>
      <c r="F162" s="74"/>
      <c r="G162" s="6"/>
      <c r="H162" s="6"/>
      <c r="I162" s="6"/>
      <c r="J162" s="6"/>
      <c r="K162" s="6"/>
      <c r="L162" s="6"/>
      <c r="M162" s="6"/>
    </row>
    <row r="163" spans="1:13" hidden="1" x14ac:dyDescent="0.2">
      <c r="A163" s="60"/>
      <c r="B163" s="60">
        <v>522</v>
      </c>
      <c r="C163" s="75">
        <f>10^(-(($G$21+$H$21*'Advanced Outputs'!C$61^$I$21)*(($B163/$M$21)^-$K$21)+($G$22+$H$22*'Advanced Outputs'!C$61^$I$22)*$J$22*EXP(-(($L$22*($B163-$M$22))^$K$22))+($G$23+$H$23*'Advanced Outputs'!C$61^$I$23)*$J$23*EXP(-(($L$23*($B163-$M$23))^$K$23))+($G$24+$H$24*'Advanced Outputs'!C$61^$I$24)*$J$24*EXP(-(($L$24*($B163-$M$24))^$K$24))+($G$25+$H$25*'Advanced Outputs'!C$61^$I$25)*$J$25*EXP(-(($L$25*($B163-$M$25))^$K$25))+$G$26))</f>
        <v>0.59522101816693918</v>
      </c>
      <c r="D163" s="75">
        <f>10^(-(($G$21+$H$21*'Advanced Outputs'!C$60^$I$21)*(($B163/$M$21)^-$K$21)+($G$22+$H$22*'Advanced Outputs'!C$60^$I$22)*$J$22*EXP(-(($L$22*($B163-$M$22))^$K$22))+($G$23+$H$23*'Advanced Outputs'!C$60^$I$23)*$J$23*EXP(-(($L$23*($B163-$M$23))^$K$23))+($G$24+$H$24*'Advanced Outputs'!C$60^$I$24)*$J$24*EXP(-(($L$24*($B163-$M$24))^$K$24))+($G$25+$H$25*'Advanced Outputs'!C$60^$I$25)*$J$25*EXP(-(($L$25*($B163-$M$25))^$K$25))+$G$26))</f>
        <v>0.72327145884502053</v>
      </c>
      <c r="E163" s="75">
        <f t="shared" si="2"/>
        <v>0.82295659656947773</v>
      </c>
      <c r="F163" s="74"/>
      <c r="G163" s="6"/>
      <c r="H163" s="6"/>
      <c r="I163" s="6"/>
      <c r="J163" s="6"/>
      <c r="K163" s="6"/>
      <c r="L163" s="6"/>
      <c r="M163" s="6"/>
    </row>
    <row r="164" spans="1:13" hidden="1" x14ac:dyDescent="0.2">
      <c r="A164" s="60"/>
      <c r="B164" s="60">
        <v>523</v>
      </c>
      <c r="C164" s="75">
        <f>10^(-(($G$21+$H$21*'Advanced Outputs'!C$61^$I$21)*(($B164/$M$21)^-$K$21)+($G$22+$H$22*'Advanced Outputs'!C$61^$I$22)*$J$22*EXP(-(($L$22*($B164-$M$22))^$K$22))+($G$23+$H$23*'Advanced Outputs'!C$61^$I$23)*$J$23*EXP(-(($L$23*($B164-$M$23))^$K$23))+($G$24+$H$24*'Advanced Outputs'!C$61^$I$24)*$J$24*EXP(-(($L$24*($B164-$M$24))^$K$24))+($G$25+$H$25*'Advanced Outputs'!C$61^$I$25)*$J$25*EXP(-(($L$25*($B164-$M$25))^$K$25))+$G$26))</f>
        <v>0.59858481711867317</v>
      </c>
      <c r="D164" s="75">
        <f>10^(-(($G$21+$H$21*'Advanced Outputs'!C$60^$I$21)*(($B164/$M$21)^-$K$21)+($G$22+$H$22*'Advanced Outputs'!C$60^$I$22)*$J$22*EXP(-(($L$22*($B164-$M$22))^$K$22))+($G$23+$H$23*'Advanced Outputs'!C$60^$I$23)*$J$23*EXP(-(($L$23*($B164-$M$23))^$K$23))+($G$24+$H$24*'Advanced Outputs'!C$60^$I$24)*$J$24*EXP(-(($L$24*($B164-$M$24))^$K$24))+($G$25+$H$25*'Advanced Outputs'!C$60^$I$25)*$J$25*EXP(-(($L$25*($B164-$M$25))^$K$25))+$G$26))</f>
        <v>0.72481878305326919</v>
      </c>
      <c r="E164" s="75">
        <f t="shared" si="2"/>
        <v>0.82584065302110321</v>
      </c>
      <c r="F164" s="74"/>
      <c r="G164" s="6"/>
      <c r="H164" s="6"/>
      <c r="I164" s="6"/>
      <c r="J164" s="6"/>
      <c r="K164" s="6"/>
      <c r="L164" s="6"/>
      <c r="M164" s="6"/>
    </row>
    <row r="165" spans="1:13" hidden="1" x14ac:dyDescent="0.2">
      <c r="A165" s="60"/>
      <c r="B165" s="60">
        <v>524</v>
      </c>
      <c r="C165" s="75">
        <f>10^(-(($G$21+$H$21*'Advanced Outputs'!C$61^$I$21)*(($B165/$M$21)^-$K$21)+($G$22+$H$22*'Advanced Outputs'!C$61^$I$22)*$J$22*EXP(-(($L$22*($B165-$M$22))^$K$22))+($G$23+$H$23*'Advanced Outputs'!C$61^$I$23)*$J$23*EXP(-(($L$23*($B165-$M$23))^$K$23))+($G$24+$H$24*'Advanced Outputs'!C$61^$I$24)*$J$24*EXP(-(($L$24*($B165-$M$24))^$K$24))+($G$25+$H$25*'Advanced Outputs'!C$61^$I$25)*$J$25*EXP(-(($L$25*($B165-$M$25))^$K$25))+$G$26))</f>
        <v>0.60191029775778015</v>
      </c>
      <c r="D165" s="75">
        <f>10^(-(($G$21+$H$21*'Advanced Outputs'!C$60^$I$21)*(($B165/$M$21)^-$K$21)+($G$22+$H$22*'Advanced Outputs'!C$60^$I$22)*$J$22*EXP(-(($L$22*($B165-$M$22))^$K$22))+($G$23+$H$23*'Advanced Outputs'!C$60^$I$23)*$J$23*EXP(-(($L$23*($B165-$M$23))^$K$23))+($G$24+$H$24*'Advanced Outputs'!C$60^$I$24)*$J$24*EXP(-(($L$24*($B165-$M$24))^$K$24))+($G$25+$H$25*'Advanced Outputs'!C$60^$I$25)*$J$25*EXP(-(($L$25*($B165-$M$25))^$K$25))+$G$26))</f>
        <v>0.72634668145245507</v>
      </c>
      <c r="E165" s="75">
        <f t="shared" si="2"/>
        <v>0.82868183076730939</v>
      </c>
      <c r="F165" s="74"/>
      <c r="G165" s="6"/>
      <c r="H165" s="6"/>
      <c r="I165" s="6"/>
      <c r="J165" s="6"/>
      <c r="K165" s="6"/>
      <c r="L165" s="6"/>
      <c r="M165" s="6"/>
    </row>
    <row r="166" spans="1:13" hidden="1" x14ac:dyDescent="0.2">
      <c r="A166" s="60"/>
      <c r="B166" s="60">
        <v>525</v>
      </c>
      <c r="C166" s="75">
        <f>10^(-(($G$21+$H$21*'Advanced Outputs'!C$61^$I$21)*(($B166/$M$21)^-$K$21)+($G$22+$H$22*'Advanced Outputs'!C$61^$I$22)*$J$22*EXP(-(($L$22*($B166-$M$22))^$K$22))+($G$23+$H$23*'Advanced Outputs'!C$61^$I$23)*$J$23*EXP(-(($L$23*($B166-$M$23))^$K$23))+($G$24+$H$24*'Advanced Outputs'!C$61^$I$24)*$J$24*EXP(-(($L$24*($B166-$M$24))^$K$24))+($G$25+$H$25*'Advanced Outputs'!C$61^$I$25)*$J$25*EXP(-(($L$25*($B166-$M$25))^$K$25))+$G$26))</f>
        <v>0.60519733593371428</v>
      </c>
      <c r="D166" s="75">
        <f>10^(-(($G$21+$H$21*'Advanced Outputs'!C$60^$I$21)*(($B166/$M$21)^-$K$21)+($G$22+$H$22*'Advanced Outputs'!C$60^$I$22)*$J$22*EXP(-(($L$22*($B166-$M$22))^$K$22))+($G$23+$H$23*'Advanced Outputs'!C$60^$I$23)*$J$23*EXP(-(($L$23*($B166-$M$23))^$K$23))+($G$24+$H$24*'Advanced Outputs'!C$60^$I$24)*$J$24*EXP(-(($L$24*($B166-$M$24))^$K$24))+($G$25+$H$25*'Advanced Outputs'!C$60^$I$25)*$J$25*EXP(-(($L$25*($B166-$M$25))^$K$25))+$G$26))</f>
        <v>0.72785529839727336</v>
      </c>
      <c r="E166" s="75">
        <f t="shared" si="2"/>
        <v>0.83148029184695071</v>
      </c>
      <c r="F166" s="74"/>
      <c r="G166" s="6"/>
      <c r="H166" s="6"/>
      <c r="I166" s="6"/>
      <c r="J166" s="6"/>
      <c r="K166" s="6"/>
      <c r="L166" s="6"/>
      <c r="M166" s="6"/>
    </row>
    <row r="167" spans="1:13" hidden="1" x14ac:dyDescent="0.2">
      <c r="A167" s="60"/>
      <c r="B167" s="60">
        <v>526</v>
      </c>
      <c r="C167" s="75">
        <f>10^(-(($G$21+$H$21*'Advanced Outputs'!C$61^$I$21)*(($B167/$M$21)^-$K$21)+($G$22+$H$22*'Advanced Outputs'!C$61^$I$22)*$J$22*EXP(-(($L$22*($B167-$M$22))^$K$22))+($G$23+$H$23*'Advanced Outputs'!C$61^$I$23)*$J$23*EXP(-(($L$23*($B167-$M$23))^$K$23))+($G$24+$H$24*'Advanced Outputs'!C$61^$I$24)*$J$24*EXP(-(($L$24*($B167-$M$24))^$K$24))+($G$25+$H$25*'Advanced Outputs'!C$61^$I$25)*$J$25*EXP(-(($L$25*($B167-$M$25))^$K$25))+$G$26))</f>
        <v>0.60844583035212174</v>
      </c>
      <c r="D167" s="75">
        <f>10^(-(($G$21+$H$21*'Advanced Outputs'!C$60^$I$21)*(($B167/$M$21)^-$K$21)+($G$22+$H$22*'Advanced Outputs'!C$60^$I$22)*$J$22*EXP(-(($L$22*($B167-$M$22))^$K$22))+($G$23+$H$23*'Advanced Outputs'!C$60^$I$23)*$J$23*EXP(-(($L$23*($B167-$M$23))^$K$23))+($G$24+$H$24*'Advanced Outputs'!C$60^$I$24)*$J$24*EXP(-(($L$24*($B167-$M$24))^$K$24))+($G$25+$H$25*'Advanced Outputs'!C$60^$I$25)*$J$25*EXP(-(($L$25*($B167-$M$25))^$K$25))+$G$26))</f>
        <v>0.72934478161919791</v>
      </c>
      <c r="E167" s="75">
        <f t="shared" si="2"/>
        <v>0.83423621541697768</v>
      </c>
      <c r="F167" s="74"/>
      <c r="G167" s="6"/>
      <c r="H167" s="6"/>
      <c r="I167" s="6"/>
      <c r="J167" s="6"/>
      <c r="K167" s="6"/>
      <c r="L167" s="6"/>
      <c r="M167" s="6"/>
    </row>
    <row r="168" spans="1:13" hidden="1" x14ac:dyDescent="0.2">
      <c r="A168" s="60"/>
      <c r="B168" s="60">
        <v>527</v>
      </c>
      <c r="C168" s="75">
        <f>10^(-(($G$21+$H$21*'Advanced Outputs'!C$61^$I$21)*(($B168/$M$21)^-$K$21)+($G$22+$H$22*'Advanced Outputs'!C$61^$I$22)*$J$22*EXP(-(($L$22*($B168-$M$22))^$K$22))+($G$23+$H$23*'Advanced Outputs'!C$61^$I$23)*$J$23*EXP(-(($L$23*($B168-$M$23))^$K$23))+($G$24+$H$24*'Advanced Outputs'!C$61^$I$24)*$J$24*EXP(-(($L$24*($B168-$M$24))^$K$24))+($G$25+$H$25*'Advanced Outputs'!C$61^$I$25)*$J$25*EXP(-(($L$25*($B168-$M$25))^$K$25))+$G$26))</f>
        <v>0.61165570216741305</v>
      </c>
      <c r="D168" s="75">
        <f>10^(-(($G$21+$H$21*'Advanced Outputs'!C$60^$I$21)*(($B168/$M$21)^-$K$21)+($G$22+$H$22*'Advanced Outputs'!C$60^$I$22)*$J$22*EXP(-(($L$22*($B168-$M$22))^$K$22))+($G$23+$H$23*'Advanced Outputs'!C$60^$I$23)*$J$23*EXP(-(($L$23*($B168-$M$23))^$K$23))+($G$24+$H$24*'Advanced Outputs'!C$60^$I$24)*$J$24*EXP(-(($L$24*($B168-$M$24))^$K$24))+($G$25+$H$25*'Advanced Outputs'!C$60^$I$25)*$J$25*EXP(-(($L$25*($B168-$M$25))^$K$25))+$G$26))</f>
        <v>0.73081528208625202</v>
      </c>
      <c r="E168" s="75">
        <f t="shared" si="2"/>
        <v>0.83694979724743146</v>
      </c>
      <c r="F168" s="74"/>
      <c r="G168" s="6"/>
      <c r="H168" s="6"/>
      <c r="I168" s="6"/>
      <c r="J168" s="6"/>
      <c r="K168" s="6"/>
      <c r="L168" s="6"/>
      <c r="M168" s="6"/>
    </row>
    <row r="169" spans="1:13" hidden="1" x14ac:dyDescent="0.2">
      <c r="A169" s="60"/>
      <c r="B169" s="60">
        <v>528</v>
      </c>
      <c r="C169" s="75">
        <f>10^(-(($G$21+$H$21*'Advanced Outputs'!C$61^$I$21)*(($B169/$M$21)^-$K$21)+($G$22+$H$22*'Advanced Outputs'!C$61^$I$22)*$J$22*EXP(-(($L$22*($B169-$M$22))^$K$22))+($G$23+$H$23*'Advanced Outputs'!C$61^$I$23)*$J$23*EXP(-(($L$23*($B169-$M$23))^$K$23))+($G$24+$H$24*'Advanced Outputs'!C$61^$I$24)*$J$24*EXP(-(($L$24*($B169-$M$24))^$K$24))+($G$25+$H$25*'Advanced Outputs'!C$61^$I$25)*$J$25*EXP(-(($L$25*($B169-$M$25))^$K$25))+$G$26))</f>
        <v>0.61482689455423722</v>
      </c>
      <c r="D169" s="75">
        <f>10^(-(($G$21+$H$21*'Advanced Outputs'!C$60^$I$21)*(($B169/$M$21)^-$K$21)+($G$22+$H$22*'Advanced Outputs'!C$60^$I$22)*$J$22*EXP(-(($L$22*($B169-$M$22))^$K$22))+($G$23+$H$23*'Advanced Outputs'!C$60^$I$23)*$J$23*EXP(-(($L$23*($B169-$M$23))^$K$23))+($G$24+$H$24*'Advanced Outputs'!C$60^$I$24)*$J$24*EXP(-(($L$24*($B169-$M$24))^$K$24))+($G$25+$H$25*'Advanced Outputs'!C$60^$I$25)*$J$25*EXP(-(($L$25*($B169-$M$25))^$K$25))+$G$26))</f>
        <v>0.73226695386090213</v>
      </c>
      <c r="E169" s="75">
        <f t="shared" si="2"/>
        <v>0.83962124920774006</v>
      </c>
      <c r="F169" s="74"/>
      <c r="G169" s="6"/>
      <c r="H169" s="6"/>
      <c r="I169" s="6"/>
      <c r="J169" s="6"/>
      <c r="K169" s="6"/>
      <c r="L169" s="6"/>
      <c r="M169" s="6"/>
    </row>
    <row r="170" spans="1:13" hidden="1" x14ac:dyDescent="0.2">
      <c r="A170" s="60"/>
      <c r="B170" s="60">
        <v>529</v>
      </c>
      <c r="C170" s="75">
        <f>10^(-(($G$21+$H$21*'Advanced Outputs'!C$61^$I$21)*(($B170/$M$21)^-$K$21)+($G$22+$H$22*'Advanced Outputs'!C$61^$I$22)*$J$22*EXP(-(($L$22*($B170-$M$22))^$K$22))+($G$23+$H$23*'Advanced Outputs'!C$61^$I$23)*$J$23*EXP(-(($L$23*($B170-$M$23))^$K$23))+($G$24+$H$24*'Advanced Outputs'!C$61^$I$24)*$J$24*EXP(-(($L$24*($B170-$M$24))^$K$24))+($G$25+$H$25*'Advanced Outputs'!C$61^$I$25)*$J$25*EXP(-(($L$25*($B170-$M$25))^$K$25))+$G$26))</f>
        <v>0.61795937225972086</v>
      </c>
      <c r="D170" s="75">
        <f>10^(-(($G$21+$H$21*'Advanced Outputs'!C$60^$I$21)*(($B170/$M$21)^-$K$21)+($G$22+$H$22*'Advanced Outputs'!C$60^$I$22)*$J$22*EXP(-(($L$22*($B170-$M$22))^$K$22))+($G$23+$H$23*'Advanced Outputs'!C$60^$I$23)*$J$23*EXP(-(($L$23*($B170-$M$23))^$K$23))+($G$24+$H$24*'Advanced Outputs'!C$60^$I$24)*$J$24*EXP(-(($L$24*($B170-$M$24))^$K$24))+($G$25+$H$25*'Advanced Outputs'!C$60^$I$25)*$J$25*EXP(-(($L$25*($B170-$M$25))^$K$25))+$G$26))</f>
        <v>0.73369995395666809</v>
      </c>
      <c r="E170" s="75">
        <f t="shared" si="2"/>
        <v>0.84225079874574615</v>
      </c>
      <c r="F170" s="74"/>
      <c r="G170" s="6"/>
      <c r="H170" s="6"/>
      <c r="I170" s="6"/>
      <c r="J170" s="6"/>
      <c r="K170" s="6"/>
      <c r="L170" s="6"/>
      <c r="M170" s="6"/>
    </row>
    <row r="171" spans="1:13" hidden="1" x14ac:dyDescent="0.2">
      <c r="A171" s="60"/>
      <c r="B171" s="60">
        <v>530</v>
      </c>
      <c r="C171" s="75">
        <f>10^(-(($G$21+$H$21*'Advanced Outputs'!C$61^$I$21)*(($B171/$M$21)^-$K$21)+($G$22+$H$22*'Advanced Outputs'!C$61^$I$22)*$J$22*EXP(-(($L$22*($B171-$M$22))^$K$22))+($G$23+$H$23*'Advanced Outputs'!C$61^$I$23)*$J$23*EXP(-(($L$23*($B171-$M$23))^$K$23))+($G$24+$H$24*'Advanced Outputs'!C$61^$I$24)*$J$24*EXP(-(($L$24*($B171-$M$24))^$K$24))+($G$25+$H$25*'Advanced Outputs'!C$61^$I$25)*$J$25*EXP(-(($L$25*($B171-$M$25))^$K$25))+$G$26))</f>
        <v>0.62105312113824507</v>
      </c>
      <c r="D171" s="75">
        <f>10^(-(($G$21+$H$21*'Advanced Outputs'!C$60^$I$21)*(($B171/$M$21)^-$K$21)+($G$22+$H$22*'Advanced Outputs'!C$60^$I$22)*$J$22*EXP(-(($L$22*($B171-$M$22))^$K$22))+($G$23+$H$23*'Advanced Outputs'!C$60^$I$23)*$J$23*EXP(-(($L$23*($B171-$M$23))^$K$23))+($G$24+$H$24*'Advanced Outputs'!C$60^$I$24)*$J$24*EXP(-(($L$24*($B171-$M$24))^$K$24))+($G$25+$H$25*'Advanced Outputs'!C$60^$I$25)*$J$25*EXP(-(($L$25*($B171-$M$25))^$K$25))+$G$26))</f>
        <v>0.73511444219397004</v>
      </c>
      <c r="E171" s="75">
        <f t="shared" si="2"/>
        <v>0.84483868836081399</v>
      </c>
      <c r="F171" s="74"/>
      <c r="G171" s="6"/>
      <c r="H171" s="6"/>
      <c r="I171" s="6"/>
      <c r="J171" s="6"/>
      <c r="K171" s="6"/>
      <c r="L171" s="6"/>
      <c r="M171" s="6"/>
    </row>
    <row r="172" spans="1:13" hidden="1" x14ac:dyDescent="0.2">
      <c r="A172" s="60"/>
      <c r="B172" s="60">
        <v>531</v>
      </c>
      <c r="C172" s="75">
        <f>10^(-(($G$21+$H$21*'Advanced Outputs'!C$61^$I$21)*(($B172/$M$21)^-$K$21)+($G$22+$H$22*'Advanced Outputs'!C$61^$I$22)*$J$22*EXP(-(($L$22*($B172-$M$22))^$K$22))+($G$23+$H$23*'Advanced Outputs'!C$61^$I$23)*$J$23*EXP(-(($L$23*($B172-$M$23))^$K$23))+($G$24+$H$24*'Advanced Outputs'!C$61^$I$24)*$J$24*EXP(-(($L$24*($B172-$M$24))^$K$24))+($G$25+$H$25*'Advanced Outputs'!C$61^$I$25)*$J$25*EXP(-(($L$25*($B172-$M$25))^$K$25))+$G$26))</f>
        <v>0.62410814767044953</v>
      </c>
      <c r="D172" s="75">
        <f>10^(-(($G$21+$H$21*'Advanced Outputs'!C$60^$I$21)*(($B172/$M$21)^-$K$21)+($G$22+$H$22*'Advanced Outputs'!C$60^$I$22)*$J$22*EXP(-(($L$22*($B172-$M$22))^$K$22))+($G$23+$H$23*'Advanced Outputs'!C$60^$I$23)*$J$23*EXP(-(($L$23*($B172-$M$23))^$K$23))+($G$24+$H$24*'Advanced Outputs'!C$60^$I$24)*$J$24*EXP(-(($L$24*($B172-$M$24))^$K$24))+($G$25+$H$25*'Advanced Outputs'!C$60^$I$25)*$J$25*EXP(-(($L$25*($B172-$M$25))^$K$25))+$G$26))</f>
        <v>0.73651058105567035</v>
      </c>
      <c r="E172" s="75">
        <f t="shared" si="2"/>
        <v>0.84738517507228495</v>
      </c>
      <c r="F172" s="74"/>
      <c r="G172" s="6"/>
      <c r="H172" s="6"/>
      <c r="I172" s="6"/>
      <c r="J172" s="6"/>
      <c r="K172" s="6"/>
      <c r="L172" s="6"/>
      <c r="M172" s="6"/>
    </row>
    <row r="173" spans="1:13" hidden="1" x14ac:dyDescent="0.2">
      <c r="A173" s="60"/>
      <c r="B173" s="60">
        <v>532</v>
      </c>
      <c r="C173" s="75">
        <f>10^(-(($G$21+$H$21*'Advanced Outputs'!C$61^$I$21)*(($B173/$M$21)^-$K$21)+($G$22+$H$22*'Advanced Outputs'!C$61^$I$22)*$J$22*EXP(-(($L$22*($B173-$M$22))^$K$22))+($G$23+$H$23*'Advanced Outputs'!C$61^$I$23)*$J$23*EXP(-(($L$23*($B173-$M$23))^$K$23))+($G$24+$H$24*'Advanced Outputs'!C$61^$I$24)*$J$24*EXP(-(($L$24*($B173-$M$24))^$K$24))+($G$25+$H$25*'Advanced Outputs'!C$61^$I$25)*$J$25*EXP(-(($L$25*($B173-$M$25))^$K$25))+$G$26))</f>
        <v>0.6271244784680774</v>
      </c>
      <c r="D173" s="75">
        <f>10^(-(($G$21+$H$21*'Advanced Outputs'!C$60^$I$21)*(($B173/$M$21)^-$K$21)+($G$22+$H$22*'Advanced Outputs'!C$60^$I$22)*$J$22*EXP(-(($L$22*($B173-$M$22))^$K$22))+($G$23+$H$23*'Advanced Outputs'!C$60^$I$23)*$J$23*EXP(-(($L$23*($B173-$M$23))^$K$23))+($G$24+$H$24*'Advanced Outputs'!C$60^$I$24)*$J$24*EXP(-(($L$24*($B173-$M$24))^$K$24))+($G$25+$H$25*'Advanced Outputs'!C$60^$I$25)*$J$25*EXP(-(($L$25*($B173-$M$25))^$K$25))+$G$26))</f>
        <v>0.73788853554271172</v>
      </c>
      <c r="E173" s="75">
        <f t="shared" si="2"/>
        <v>0.84989052988447888</v>
      </c>
      <c r="F173" s="74"/>
      <c r="G173" s="6"/>
      <c r="H173" s="6"/>
      <c r="I173" s="6"/>
      <c r="J173" s="6"/>
      <c r="K173" s="6"/>
      <c r="L173" s="6"/>
      <c r="M173" s="6"/>
    </row>
    <row r="174" spans="1:13" hidden="1" x14ac:dyDescent="0.2">
      <c r="A174" s="60"/>
      <c r="B174" s="60">
        <v>533</v>
      </c>
      <c r="C174" s="75">
        <f>10^(-(($G$21+$H$21*'Advanced Outputs'!C$61^$I$21)*(($B174/$M$21)^-$K$21)+($G$22+$H$22*'Advanced Outputs'!C$61^$I$22)*$J$22*EXP(-(($L$22*($B174-$M$22))^$K$22))+($G$23+$H$23*'Advanced Outputs'!C$61^$I$23)*$J$23*EXP(-(($L$23*($B174-$M$23))^$K$23))+($G$24+$H$24*'Advanced Outputs'!C$61^$I$24)*$J$24*EXP(-(($L$24*($B174-$M$24))^$K$24))+($G$25+$H$25*'Advanced Outputs'!C$61^$I$25)*$J$25*EXP(-(($L$25*($B174-$M$25))^$K$25))+$G$26))</f>
        <v>0.63010215976620254</v>
      </c>
      <c r="D174" s="75">
        <f>10^(-(($G$21+$H$21*'Advanced Outputs'!C$60^$I$21)*(($B174/$M$21)^-$K$21)+($G$22+$H$22*'Advanced Outputs'!C$60^$I$22)*$J$22*EXP(-(($L$22*($B174-$M$22))^$K$22))+($G$23+$H$23*'Advanced Outputs'!C$60^$I$23)*$J$23*EXP(-(($L$23*($B174-$M$23))^$K$23))+($G$24+$H$24*'Advanced Outputs'!C$60^$I$24)*$J$24*EXP(-(($L$24*($B174-$M$24))^$K$24))+($G$25+$H$25*'Advanced Outputs'!C$60^$I$25)*$J$25*EXP(-(($L$25*($B174-$M$25))^$K$25))+$G$26))</f>
        <v>0.73924847303020358</v>
      </c>
      <c r="E174" s="75">
        <f t="shared" si="2"/>
        <v>0.85235503724937467</v>
      </c>
      <c r="F174" s="74"/>
      <c r="G174" s="6"/>
      <c r="H174" s="6"/>
      <c r="I174" s="6"/>
      <c r="J174" s="6"/>
      <c r="K174" s="6"/>
      <c r="L174" s="6"/>
      <c r="M174" s="6"/>
    </row>
    <row r="175" spans="1:13" hidden="1" x14ac:dyDescent="0.2">
      <c r="A175" s="60"/>
      <c r="B175" s="60">
        <v>534</v>
      </c>
      <c r="C175" s="75">
        <f>10^(-(($G$21+$H$21*'Advanced Outputs'!C$61^$I$21)*(($B175/$M$21)^-$K$21)+($G$22+$H$22*'Advanced Outputs'!C$61^$I$22)*$J$22*EXP(-(($L$22*($B175-$M$22))^$K$22))+($G$23+$H$23*'Advanced Outputs'!C$61^$I$23)*$J$23*EXP(-(($L$23*($B175-$M$23))^$K$23))+($G$24+$H$24*'Advanced Outputs'!C$61^$I$24)*$J$24*EXP(-(($L$24*($B175-$M$24))^$K$24))+($G$25+$H$25*'Advanced Outputs'!C$61^$I$25)*$J$25*EXP(-(($L$25*($B175-$M$25))^$K$25))+$G$26))</f>
        <v>0.63304125690431368</v>
      </c>
      <c r="D175" s="75">
        <f>10^(-(($G$21+$H$21*'Advanced Outputs'!C$60^$I$21)*(($B175/$M$21)^-$K$21)+($G$22+$H$22*'Advanced Outputs'!C$60^$I$22)*$J$22*EXP(-(($L$22*($B175-$M$22))^$K$22))+($G$23+$H$23*'Advanced Outputs'!C$60^$I$23)*$J$23*EXP(-(($L$23*($B175-$M$23))^$K$23))+($G$24+$H$24*'Advanced Outputs'!C$60^$I$24)*$J$24*EXP(-(($L$24*($B175-$M$24))^$K$24))+($G$25+$H$25*'Advanced Outputs'!C$60^$I$25)*$J$25*EXP(-(($L$25*($B175-$M$25))^$K$25))+$G$26))</f>
        <v>0.74059056312427096</v>
      </c>
      <c r="E175" s="75">
        <f t="shared" si="2"/>
        <v>0.85477899452803241</v>
      </c>
      <c r="F175" s="74"/>
      <c r="G175" s="6"/>
      <c r="H175" s="6"/>
      <c r="I175" s="6"/>
      <c r="J175" s="6"/>
      <c r="K175" s="6"/>
      <c r="L175" s="6"/>
      <c r="M175" s="6"/>
    </row>
    <row r="176" spans="1:13" hidden="1" x14ac:dyDescent="0.2">
      <c r="A176" s="60"/>
      <c r="B176" s="60">
        <v>535</v>
      </c>
      <c r="C176" s="75">
        <f>10^(-(($G$21+$H$21*'Advanced Outputs'!C$61^$I$21)*(($B176/$M$21)^-$K$21)+($G$22+$H$22*'Advanced Outputs'!C$61^$I$22)*$J$22*EXP(-(($L$22*($B176-$M$22))^$K$22))+($G$23+$H$23*'Advanced Outputs'!C$61^$I$23)*$J$23*EXP(-(($L$23*($B176-$M$23))^$K$23))+($G$24+$H$24*'Advanced Outputs'!C$61^$I$24)*$J$24*EXP(-(($L$24*($B176-$M$24))^$K$24))+($G$25+$H$25*'Advanced Outputs'!C$61^$I$25)*$J$25*EXP(-(($L$25*($B176-$M$25))^$K$25))+$G$26))</f>
        <v>0.63594185379766488</v>
      </c>
      <c r="D176" s="75">
        <f>10^(-(($G$21+$H$21*'Advanced Outputs'!C$60^$I$21)*(($B176/$M$21)^-$K$21)+($G$22+$H$22*'Advanced Outputs'!C$60^$I$22)*$J$22*EXP(-(($L$22*($B176-$M$22))^$K$22))+($G$23+$H$23*'Advanced Outputs'!C$60^$I$23)*$J$23*EXP(-(($L$23*($B176-$M$23))^$K$23))+($G$24+$H$24*'Advanced Outputs'!C$60^$I$24)*$J$24*EXP(-(($L$24*($B176-$M$24))^$K$24))+($G$25+$H$25*'Advanced Outputs'!C$60^$I$25)*$J$25*EXP(-(($L$25*($B176-$M$25))^$K$25))+$G$26))</f>
        <v>0.74191497751993807</v>
      </c>
      <c r="E176" s="75">
        <f t="shared" si="2"/>
        <v>0.85716271145176426</v>
      </c>
      <c r="F176" s="74"/>
      <c r="G176" s="6"/>
      <c r="H176" s="6"/>
      <c r="I176" s="6"/>
      <c r="J176" s="6"/>
      <c r="K176" s="6"/>
      <c r="L176" s="6"/>
      <c r="M176" s="6"/>
    </row>
    <row r="177" spans="1:13" hidden="1" x14ac:dyDescent="0.2">
      <c r="A177" s="60"/>
      <c r="B177" s="60">
        <v>536</v>
      </c>
      <c r="C177" s="75">
        <f>10^(-(($G$21+$H$21*'Advanced Outputs'!C$61^$I$21)*(($B177/$M$21)^-$K$21)+($G$22+$H$22*'Advanced Outputs'!C$61^$I$22)*$J$22*EXP(-(($L$22*($B177-$M$22))^$K$22))+($G$23+$H$23*'Advanced Outputs'!C$61^$I$23)*$J$23*EXP(-(($L$23*($B177-$M$23))^$K$23))+($G$24+$H$24*'Advanced Outputs'!C$61^$I$24)*$J$24*EXP(-(($L$24*($B177-$M$24))^$K$24))+($G$25+$H$25*'Advanced Outputs'!C$61^$I$25)*$J$25*EXP(-(($L$25*($B177-$M$25))^$K$25))+$G$26))</f>
        <v>0.63880405240024274</v>
      </c>
      <c r="D177" s="75">
        <f>10^(-(($G$21+$H$21*'Advanced Outputs'!C$60^$I$21)*(($B177/$M$21)^-$K$21)+($G$22+$H$22*'Advanced Outputs'!C$60^$I$22)*$J$22*EXP(-(($L$22*($B177-$M$22))^$K$22))+($G$23+$H$23*'Advanced Outputs'!C$60^$I$23)*$J$23*EXP(-(($L$23*($B177-$M$23))^$K$23))+($G$24+$H$24*'Advanced Outputs'!C$60^$I$24)*$J$24*EXP(-(($L$24*($B177-$M$24))^$K$24))+($G$25+$H$25*'Advanced Outputs'!C$60^$I$25)*$J$25*EXP(-(($L$25*($B177-$M$25))^$K$25))+$G$26))</f>
        <v>0.74322188986029392</v>
      </c>
      <c r="E177" s="75">
        <f t="shared" si="2"/>
        <v>0.85950650958399655</v>
      </c>
      <c r="F177" s="74"/>
      <c r="G177" s="6"/>
      <c r="H177" s="6"/>
      <c r="I177" s="6"/>
      <c r="J177" s="6"/>
      <c r="K177" s="6"/>
      <c r="L177" s="6"/>
      <c r="M177" s="6"/>
    </row>
    <row r="178" spans="1:13" hidden="1" x14ac:dyDescent="0.2">
      <c r="A178" s="60"/>
      <c r="B178" s="60">
        <v>537</v>
      </c>
      <c r="C178" s="75">
        <f>10^(-(($G$21+$H$21*'Advanced Outputs'!C$61^$I$21)*(($B178/$M$21)^-$K$21)+($G$22+$H$22*'Advanced Outputs'!C$61^$I$22)*$J$22*EXP(-(($L$22*($B178-$M$22))^$K$22))+($G$23+$H$23*'Advanced Outputs'!C$61^$I$23)*$J$23*EXP(-(($L$23*($B178-$M$23))^$K$23))+($G$24+$H$24*'Advanced Outputs'!C$61^$I$24)*$J$24*EXP(-(($L$24*($B178-$M$24))^$K$24))+($G$25+$H$25*'Advanced Outputs'!C$61^$I$25)*$J$25*EXP(-(($L$25*($B178-$M$25))^$K$25))+$G$26))</f>
        <v>0.64162797216064116</v>
      </c>
      <c r="D178" s="75">
        <f>10^(-(($G$21+$H$21*'Advanced Outputs'!C$60^$I$21)*(($B178/$M$21)^-$K$21)+($G$22+$H$22*'Advanced Outputs'!C$60^$I$22)*$J$22*EXP(-(($L$22*($B178-$M$22))^$K$22))+($G$23+$H$23*'Advanced Outputs'!C$60^$I$23)*$J$23*EXP(-(($L$23*($B178-$M$23))^$K$23))+($G$24+$H$24*'Advanced Outputs'!C$60^$I$24)*$J$24*EXP(-(($L$24*($B178-$M$24))^$K$24))+($G$25+$H$25*'Advanced Outputs'!C$60^$I$25)*$J$25*EXP(-(($L$25*($B178-$M$25))^$K$25))+$G$26))</f>
        <v>0.74451147559715425</v>
      </c>
      <c r="E178" s="75">
        <f t="shared" si="2"/>
        <v>0.86181072178371354</v>
      </c>
      <c r="F178" s="74"/>
      <c r="G178" s="6"/>
      <c r="H178" s="6"/>
      <c r="I178" s="6"/>
      <c r="J178" s="6"/>
      <c r="K178" s="6"/>
      <c r="L178" s="6"/>
      <c r="M178" s="6"/>
    </row>
    <row r="179" spans="1:13" hidden="1" x14ac:dyDescent="0.2">
      <c r="A179" s="60"/>
      <c r="B179" s="60">
        <v>538</v>
      </c>
      <c r="C179" s="75">
        <f>10^(-(($G$21+$H$21*'Advanced Outputs'!C$61^$I$21)*(($B179/$M$21)^-$K$21)+($G$22+$H$22*'Advanced Outputs'!C$61^$I$22)*$J$22*EXP(-(($L$22*($B179-$M$22))^$K$22))+($G$23+$H$23*'Advanced Outputs'!C$61^$I$23)*$J$23*EXP(-(($L$23*($B179-$M$23))^$K$23))+($G$24+$H$24*'Advanced Outputs'!C$61^$I$24)*$J$24*EXP(-(($L$24*($B179-$M$24))^$K$24))+($G$25+$H$25*'Advanced Outputs'!C$61^$I$25)*$J$25*EXP(-(($L$25*($B179-$M$25))^$K$25))+$G$26))</f>
        <v>0.64441374947208241</v>
      </c>
      <c r="D179" s="75">
        <f>10^(-(($G$21+$H$21*'Advanced Outputs'!C$60^$I$21)*(($B179/$M$21)^-$K$21)+($G$22+$H$22*'Advanced Outputs'!C$60^$I$22)*$J$22*EXP(-(($L$22*($B179-$M$22))^$K$22))+($G$23+$H$23*'Advanced Outputs'!C$60^$I$23)*$J$23*EXP(-(($L$23*($B179-$M$23))^$K$23))+($G$24+$H$24*'Advanced Outputs'!C$60^$I$24)*$J$24*EXP(-(($L$24*($B179-$M$24))^$K$24))+($G$25+$H$25*'Advanced Outputs'!C$60^$I$25)*$J$25*EXP(-(($L$25*($B179-$M$25))^$K$25))+$G$26))</f>
        <v>0.74578391185341164</v>
      </c>
      <c r="E179" s="75">
        <f t="shared" si="2"/>
        <v>0.86407569167132403</v>
      </c>
      <c r="F179" s="74"/>
      <c r="G179" s="6"/>
      <c r="H179" s="6"/>
      <c r="I179" s="6"/>
      <c r="J179" s="6"/>
      <c r="K179" s="6"/>
      <c r="L179" s="6"/>
      <c r="M179" s="6"/>
    </row>
    <row r="180" spans="1:13" hidden="1" x14ac:dyDescent="0.2">
      <c r="A180" s="60"/>
      <c r="B180" s="60">
        <v>539</v>
      </c>
      <c r="C180" s="75">
        <f>10^(-(($G$21+$H$21*'Advanced Outputs'!C$61^$I$21)*(($B180/$M$21)^-$K$21)+($G$22+$H$22*'Advanced Outputs'!C$61^$I$22)*$J$22*EXP(-(($L$22*($B180-$M$22))^$K$22))+($G$23+$H$23*'Advanced Outputs'!C$61^$I$23)*$J$23*EXP(-(($L$23*($B180-$M$23))^$K$23))+($G$24+$H$24*'Advanced Outputs'!C$61^$I$24)*$J$24*EXP(-(($L$24*($B180-$M$24))^$K$24))+($G$25+$H$25*'Advanced Outputs'!C$61^$I$25)*$J$25*EXP(-(($L$25*($B180-$M$25))^$K$25))+$G$26))</f>
        <v>0.64716153711776314</v>
      </c>
      <c r="D180" s="75">
        <f>10^(-(($G$21+$H$21*'Advanced Outputs'!C$60^$I$21)*(($B180/$M$21)^-$K$21)+($G$22+$H$22*'Advanced Outputs'!C$60^$I$22)*$J$22*EXP(-(($L$22*($B180-$M$22))^$K$22))+($G$23+$H$23*'Advanced Outputs'!C$60^$I$23)*$J$23*EXP(-(($L$23*($B180-$M$23))^$K$23))+($G$24+$H$24*'Advanced Outputs'!C$60^$I$24)*$J$24*EXP(-(($L$24*($B180-$M$24))^$K$24))+($G$25+$H$25*'Advanced Outputs'!C$60^$I$25)*$J$25*EXP(-(($L$25*($B180-$M$25))^$K$25))+$G$26))</f>
        <v>0.7470393772872459</v>
      </c>
      <c r="E180" s="75">
        <f t="shared" si="2"/>
        <v>0.86630177309772727</v>
      </c>
      <c r="F180" s="74"/>
      <c r="G180" s="6"/>
      <c r="H180" s="6"/>
      <c r="I180" s="6"/>
      <c r="J180" s="6"/>
      <c r="K180" s="6"/>
      <c r="L180" s="6"/>
      <c r="M180" s="6"/>
    </row>
    <row r="181" spans="1:13" hidden="1" x14ac:dyDescent="0.2">
      <c r="A181" s="60"/>
      <c r="B181" s="60">
        <v>540</v>
      </c>
      <c r="C181" s="75">
        <f>10^(-(($G$21+$H$21*'Advanced Outputs'!C$61^$I$21)*(($B181/$M$21)^-$K$21)+($G$22+$H$22*'Advanced Outputs'!C$61^$I$22)*$J$22*EXP(-(($L$22*($B181-$M$22))^$K$22))+($G$23+$H$23*'Advanced Outputs'!C$61^$I$23)*$J$23*EXP(-(($L$23*($B181-$M$23))^$K$23))+($G$24+$H$24*'Advanced Outputs'!C$61^$I$24)*$J$24*EXP(-(($L$24*($B181-$M$24))^$K$24))+($G$25+$H$25*'Advanced Outputs'!C$61^$I$25)*$J$25*EXP(-(($L$25*($B181-$M$25))^$K$25))+$G$26))</f>
        <v>0.64987150371266156</v>
      </c>
      <c r="D181" s="75">
        <f>10^(-(($G$21+$H$21*'Advanced Outputs'!C$60^$I$21)*(($B181/$M$21)^-$K$21)+($G$22+$H$22*'Advanced Outputs'!C$60^$I$22)*$J$22*EXP(-(($L$22*($B181-$M$22))^$K$22))+($G$23+$H$23*'Advanced Outputs'!C$60^$I$23)*$J$23*EXP(-(($L$23*($B181-$M$23))^$K$23))+($G$24+$H$24*'Advanced Outputs'!C$60^$I$24)*$J$24*EXP(-(($L$24*($B181-$M$24))^$K$24))+($G$25+$H$25*'Advanced Outputs'!C$60^$I$25)*$J$25*EXP(-(($L$25*($B181-$M$25))^$K$25))+$G$26))</f>
        <v>0.74827805195834596</v>
      </c>
      <c r="E181" s="75">
        <f t="shared" si="2"/>
        <v>0.86848932961732472</v>
      </c>
      <c r="F181" s="74"/>
      <c r="G181" s="6"/>
      <c r="H181" s="6"/>
      <c r="I181" s="6"/>
      <c r="J181" s="6"/>
      <c r="K181" s="6"/>
      <c r="L181" s="6"/>
      <c r="M181" s="6"/>
    </row>
    <row r="182" spans="1:13" hidden="1" x14ac:dyDescent="0.2">
      <c r="A182" s="60"/>
      <c r="B182" s="60">
        <v>541</v>
      </c>
      <c r="C182" s="75">
        <f>10^(-(($G$21+$H$21*'Advanced Outputs'!C$61^$I$21)*(($B182/$M$21)^-$K$21)+($G$22+$H$22*'Advanced Outputs'!C$61^$I$22)*$J$22*EXP(-(($L$22*($B182-$M$22))^$K$22))+($G$23+$H$23*'Advanced Outputs'!C$61^$I$23)*$J$23*EXP(-(($L$23*($B182-$M$23))^$K$23))+($G$24+$H$24*'Advanced Outputs'!C$61^$I$24)*$J$24*EXP(-(($L$24*($B182-$M$24))^$K$24))+($G$25+$H$25*'Advanced Outputs'!C$61^$I$25)*$J$25*EXP(-(($L$25*($B182-$M$25))^$K$25))+$G$26))</f>
        <v>0.65254383314288134</v>
      </c>
      <c r="D182" s="75">
        <f>10^(-(($G$21+$H$21*'Advanced Outputs'!C$60^$I$21)*(($B182/$M$21)^-$K$21)+($G$22+$H$22*'Advanced Outputs'!C$60^$I$22)*$J$22*EXP(-(($L$22*($B182-$M$22))^$K$22))+($G$23+$H$23*'Advanced Outputs'!C$60^$I$23)*$J$23*EXP(-(($L$23*($B182-$M$23))^$K$23))+($G$24+$H$24*'Advanced Outputs'!C$60^$I$24)*$J$24*EXP(-(($L$24*($B182-$M$24))^$K$24))+($G$25+$H$25*'Advanced Outputs'!C$60^$I$25)*$J$25*EXP(-(($L$25*($B182-$M$25))^$K$25))+$G$26))</f>
        <v>0.74950011719627596</v>
      </c>
      <c r="E182" s="75">
        <f t="shared" si="2"/>
        <v>0.87063873396566249</v>
      </c>
      <c r="F182" s="74"/>
      <c r="G182" s="6"/>
      <c r="H182" s="6"/>
      <c r="I182" s="6"/>
      <c r="J182" s="6"/>
      <c r="K182" s="6"/>
      <c r="L182" s="6"/>
      <c r="M182" s="6"/>
    </row>
    <row r="183" spans="1:13" hidden="1" x14ac:dyDescent="0.2">
      <c r="A183" s="60"/>
      <c r="B183" s="60">
        <v>542</v>
      </c>
      <c r="C183" s="75">
        <f>10^(-(($G$21+$H$21*'Advanced Outputs'!C$61^$I$21)*(($B183/$M$21)^-$K$21)+($G$22+$H$22*'Advanced Outputs'!C$61^$I$22)*$J$22*EXP(-(($L$22*($B183-$M$22))^$K$22))+($G$23+$H$23*'Advanced Outputs'!C$61^$I$23)*$J$23*EXP(-(($L$23*($B183-$M$23))^$K$23))+($G$24+$H$24*'Advanced Outputs'!C$61^$I$24)*$J$24*EXP(-(($L$24*($B183-$M$24))^$K$24))+($G$25+$H$25*'Advanced Outputs'!C$61^$I$25)*$J$25*EXP(-(($L$25*($B183-$M$25))^$K$25))+$G$26))</f>
        <v>0.65517872400357002</v>
      </c>
      <c r="D183" s="75">
        <f>10^(-(($G$21+$H$21*'Advanced Outputs'!C$60^$I$21)*(($B183/$M$21)^-$K$21)+($G$22+$H$22*'Advanced Outputs'!C$60^$I$22)*$J$22*EXP(-(($L$22*($B183-$M$22))^$K$22))+($G$23+$H$23*'Advanced Outputs'!C$60^$I$23)*$J$23*EXP(-(($L$23*($B183-$M$23))^$K$23))+($G$24+$H$24*'Advanced Outputs'!C$60^$I$24)*$J$24*EXP(-(($L$24*($B183-$M$24))^$K$24))+($G$25+$H$25*'Advanced Outputs'!C$60^$I$25)*$J$25*EXP(-(($L$25*($B183-$M$25))^$K$25))+$G$26))</f>
        <v>0.75070575547110951</v>
      </c>
      <c r="E183" s="75">
        <f t="shared" si="2"/>
        <v>0.87275036754235225</v>
      </c>
      <c r="F183" s="74"/>
      <c r="G183" s="6"/>
      <c r="H183" s="6"/>
      <c r="I183" s="6"/>
      <c r="J183" s="6"/>
      <c r="K183" s="6"/>
      <c r="L183" s="6"/>
      <c r="M183" s="6"/>
    </row>
    <row r="184" spans="1:13" hidden="1" x14ac:dyDescent="0.2">
      <c r="A184" s="60"/>
      <c r="B184" s="60">
        <v>543</v>
      </c>
      <c r="C184" s="75">
        <f>10^(-(($G$21+$H$21*'Advanced Outputs'!C$61^$I$21)*(($B184/$M$21)^-$K$21)+($G$22+$H$22*'Advanced Outputs'!C$61^$I$22)*$J$22*EXP(-(($L$22*($B184-$M$22))^$K$22))+($G$23+$H$23*'Advanced Outputs'!C$61^$I$23)*$J$23*EXP(-(($L$23*($B184-$M$23))^$K$23))+($G$24+$H$24*'Advanced Outputs'!C$61^$I$24)*$J$24*EXP(-(($L$24*($B184-$M$24))^$K$24))+($G$25+$H$25*'Advanced Outputs'!C$61^$I$25)*$J$25*EXP(-(($L$25*($B184-$M$25))^$K$25))+$G$26))</f>
        <v>0.65777638903639168</v>
      </c>
      <c r="D184" s="75">
        <f>10^(-(($G$21+$H$21*'Advanced Outputs'!C$60^$I$21)*(($B184/$M$21)^-$K$21)+($G$22+$H$22*'Advanced Outputs'!C$60^$I$22)*$J$22*EXP(-(($L$22*($B184-$M$22))^$K$22))+($G$23+$H$23*'Advanced Outputs'!C$60^$I$23)*$J$23*EXP(-(($L$23*($B184-$M$23))^$K$23))+($G$24+$H$24*'Advanced Outputs'!C$60^$I$24)*$J$24*EXP(-(($L$24*($B184-$M$24))^$K$24))+($G$25+$H$25*'Advanced Outputs'!C$60^$I$25)*$J$25*EXP(-(($L$25*($B184-$M$25))^$K$25))+$G$26))</f>
        <v>0.75189515026643416</v>
      </c>
      <c r="E184" s="75">
        <f t="shared" si="2"/>
        <v>0.8748246198998737</v>
      </c>
      <c r="F184" s="74"/>
      <c r="G184" s="6"/>
      <c r="H184" s="6"/>
      <c r="I184" s="6"/>
      <c r="J184" s="6"/>
      <c r="K184" s="6"/>
      <c r="L184" s="6"/>
      <c r="M184" s="6"/>
    </row>
    <row r="185" spans="1:13" hidden="1" x14ac:dyDescent="0.2">
      <c r="A185" s="60"/>
      <c r="B185" s="60">
        <v>544</v>
      </c>
      <c r="C185" s="75">
        <f>10^(-(($G$21+$H$21*'Advanced Outputs'!C$61^$I$21)*(($B185/$M$21)^-$K$21)+($G$22+$H$22*'Advanced Outputs'!C$61^$I$22)*$J$22*EXP(-(($L$22*($B185-$M$22))^$K$22))+($G$23+$H$23*'Advanced Outputs'!C$61^$I$23)*$J$23*EXP(-(($L$23*($B185-$M$23))^$K$23))+($G$24+$H$24*'Advanced Outputs'!C$61^$I$24)*$J$24*EXP(-(($L$24*($B185-$M$24))^$K$24))+($G$25+$H$25*'Advanced Outputs'!C$61^$I$25)*$J$25*EXP(-(($L$25*($B185-$M$25))^$K$25))+$G$26))</f>
        <v>0.66033705456749547</v>
      </c>
      <c r="D185" s="75">
        <f>10^(-(($G$21+$H$21*'Advanced Outputs'!C$60^$I$21)*(($B185/$M$21)^-$K$21)+($G$22+$H$22*'Advanced Outputs'!C$60^$I$22)*$J$22*EXP(-(($L$22*($B185-$M$22))^$K$22))+($G$23+$H$23*'Advanced Outputs'!C$60^$I$23)*$J$23*EXP(-(($L$23*($B185-$M$23))^$K$23))+($G$24+$H$24*'Advanced Outputs'!C$60^$I$24)*$J$24*EXP(-(($L$24*($B185-$M$24))^$K$24))+($G$25+$H$25*'Advanced Outputs'!C$60^$I$25)*$J$25*EXP(-(($L$25*($B185-$M$25))^$K$25))+$G$26))</f>
        <v>0.75306848595482234</v>
      </c>
      <c r="E185" s="75">
        <f t="shared" si="2"/>
        <v>0.87686188823882083</v>
      </c>
      <c r="F185" s="74"/>
      <c r="G185" s="6"/>
      <c r="H185" s="6"/>
      <c r="I185" s="6"/>
      <c r="J185" s="6"/>
      <c r="K185" s="6"/>
      <c r="L185" s="6"/>
      <c r="M185" s="6"/>
    </row>
    <row r="186" spans="1:13" hidden="1" x14ac:dyDescent="0.2">
      <c r="A186" s="60"/>
      <c r="B186" s="60">
        <v>545</v>
      </c>
      <c r="C186" s="75">
        <f>10^(-(($G$21+$H$21*'Advanced Outputs'!C$61^$I$21)*(($B186/$M$21)^-$K$21)+($G$22+$H$22*'Advanced Outputs'!C$61^$I$22)*$J$22*EXP(-(($L$22*($B186-$M$22))^$K$22))+($G$23+$H$23*'Advanced Outputs'!C$61^$I$23)*$J$23*EXP(-(($L$23*($B186-$M$23))^$K$23))+($G$24+$H$24*'Advanced Outputs'!C$61^$I$24)*$J$24*EXP(-(($L$24*($B186-$M$24))^$K$24))+($G$25+$H$25*'Advanced Outputs'!C$61^$I$25)*$J$25*EXP(-(($L$25*($B186-$M$25))^$K$25))+$G$26))</f>
        <v>0.66286095994686933</v>
      </c>
      <c r="D186" s="75">
        <f>10^(-(($G$21+$H$21*'Advanced Outputs'!C$60^$I$21)*(($B186/$M$21)^-$K$21)+($G$22+$H$22*'Advanced Outputs'!C$60^$I$22)*$J$22*EXP(-(($L$22*($B186-$M$22))^$K$22))+($G$23+$H$23*'Advanced Outputs'!C$60^$I$23)*$J$23*EXP(-(($L$23*($B186-$M$23))^$K$23))+($G$24+$H$24*'Advanced Outputs'!C$60^$I$24)*$J$24*EXP(-(($L$24*($B186-$M$24))^$K$24))+($G$25+$H$25*'Advanced Outputs'!C$60^$I$25)*$J$25*EXP(-(($L$25*($B186-$M$25))^$K$25))+$G$26))</f>
        <v>0.75422594767585194</v>
      </c>
      <c r="E186" s="75">
        <f t="shared" si="2"/>
        <v>0.87886257691011038</v>
      </c>
      <c r="F186" s="74"/>
      <c r="G186" s="6"/>
      <c r="H186" s="6"/>
      <c r="I186" s="6"/>
      <c r="J186" s="6"/>
      <c r="K186" s="6"/>
      <c r="L186" s="6"/>
      <c r="M186" s="6"/>
    </row>
    <row r="187" spans="1:13" hidden="1" x14ac:dyDescent="0.2">
      <c r="A187" s="60"/>
      <c r="B187" s="60">
        <v>546</v>
      </c>
      <c r="C187" s="75">
        <f>10^(-(($G$21+$H$21*'Advanced Outputs'!C$61^$I$21)*(($B187/$M$21)^-$K$21)+($G$22+$H$22*'Advanced Outputs'!C$61^$I$22)*$J$22*EXP(-(($L$22*($B187-$M$22))^$K$22))+($G$23+$H$23*'Advanced Outputs'!C$61^$I$23)*$J$23*EXP(-(($L$23*($B187-$M$23))^$K$23))+($G$24+$H$24*'Advanced Outputs'!C$61^$I$24)*$J$24*EXP(-(($L$24*($B187-$M$24))^$K$24))+($G$25+$H$25*'Advanced Outputs'!C$61^$I$25)*$J$25*EXP(-(($L$25*($B187-$M$25))^$K$25))+$G$26))</f>
        <v>0.66534835698993133</v>
      </c>
      <c r="D187" s="75">
        <f>10^(-(($G$21+$H$21*'Advanced Outputs'!C$60^$I$21)*(($B187/$M$21)^-$K$21)+($G$22+$H$22*'Advanced Outputs'!C$60^$I$22)*$J$22*EXP(-(($L$22*($B187-$M$22))^$K$22))+($G$23+$H$23*'Advanced Outputs'!C$60^$I$23)*$J$23*EXP(-(($L$23*($B187-$M$23))^$K$23))+($G$24+$H$24*'Advanced Outputs'!C$60^$I$24)*$J$24*EXP(-(($L$24*($B187-$M$24))^$K$24))+($G$25+$H$25*'Advanced Outputs'!C$60^$I$25)*$J$25*EXP(-(($L$25*($B187-$M$25))^$K$25))+$G$26))</f>
        <v>0.75536772121674711</v>
      </c>
      <c r="E187" s="75">
        <f t="shared" si="2"/>
        <v>0.88082709692464423</v>
      </c>
      <c r="F187" s="74"/>
      <c r="G187" s="6"/>
      <c r="H187" s="6"/>
      <c r="I187" s="6"/>
      <c r="J187" s="6"/>
      <c r="K187" s="6"/>
      <c r="L187" s="6"/>
      <c r="M187" s="6"/>
    </row>
    <row r="188" spans="1:13" hidden="1" x14ac:dyDescent="0.2">
      <c r="A188" s="60"/>
      <c r="B188" s="60">
        <v>547</v>
      </c>
      <c r="C188" s="75">
        <f>10^(-(($G$21+$H$21*'Advanced Outputs'!C$61^$I$21)*(($B188/$M$21)^-$K$21)+($G$22+$H$22*'Advanced Outputs'!C$61^$I$22)*$J$22*EXP(-(($L$22*($B188-$M$22))^$K$22))+($G$23+$H$23*'Advanced Outputs'!C$61^$I$23)*$J$23*EXP(-(($L$23*($B188-$M$23))^$K$23))+($G$24+$H$24*'Advanced Outputs'!C$61^$I$24)*$J$24*EXP(-(($L$24*($B188-$M$24))^$K$24))+($G$25+$H$25*'Advanced Outputs'!C$61^$I$25)*$J$25*EXP(-(($L$25*($B188-$M$25))^$K$25))+$G$26))</f>
        <v>0.66779950942215971</v>
      </c>
      <c r="D188" s="75">
        <f>10^(-(($G$21+$H$21*'Advanced Outputs'!C$60^$I$21)*(($B188/$M$21)^-$K$21)+($G$22+$H$22*'Advanced Outputs'!C$60^$I$22)*$J$22*EXP(-(($L$22*($B188-$M$22))^$K$22))+($G$23+$H$23*'Advanced Outputs'!C$60^$I$23)*$J$23*EXP(-(($L$23*($B188-$M$23))^$K$23))+($G$24+$H$24*'Advanced Outputs'!C$60^$I$24)*$J$24*EXP(-(($L$24*($B188-$M$24))^$K$24))+($G$25+$H$25*'Advanced Outputs'!C$60^$I$25)*$J$25*EXP(-(($L$25*($B188-$M$25))^$K$25))+$G$26))</f>
        <v>0.75649399289570596</v>
      </c>
      <c r="E188" s="75">
        <f t="shared" si="2"/>
        <v>0.88275586547086549</v>
      </c>
      <c r="F188" s="74"/>
      <c r="G188" s="6"/>
      <c r="H188" s="6"/>
      <c r="I188" s="6"/>
      <c r="J188" s="6"/>
      <c r="K188" s="6"/>
      <c r="L188" s="6"/>
      <c r="M188" s="6"/>
    </row>
    <row r="189" spans="1:13" hidden="1" x14ac:dyDescent="0.2">
      <c r="A189" s="60"/>
      <c r="B189" s="60">
        <v>548</v>
      </c>
      <c r="C189" s="75">
        <f>10^(-(($G$21+$H$21*'Advanced Outputs'!C$61^$I$21)*(($B189/$M$21)^-$K$21)+($G$22+$H$22*'Advanced Outputs'!C$61^$I$22)*$J$22*EXP(-(($L$22*($B189-$M$22))^$K$22))+($G$23+$H$23*'Advanced Outputs'!C$61^$I$23)*$J$23*EXP(-(($L$23*($B189-$M$23))^$K$23))+($G$24+$H$24*'Advanced Outputs'!C$61^$I$24)*$J$24*EXP(-(($L$24*($B189-$M$24))^$K$24))+($G$25+$H$25*'Advanced Outputs'!C$61^$I$25)*$J$25*EXP(-(($L$25*($B189-$M$25))^$K$25))+$G$26))</f>
        <v>0.67021469232752284</v>
      </c>
      <c r="D189" s="75">
        <f>10^(-(($G$21+$H$21*'Advanced Outputs'!C$60^$I$21)*(($B189/$M$21)^-$K$21)+($G$22+$H$22*'Advanced Outputs'!C$60^$I$22)*$J$22*EXP(-(($L$22*($B189-$M$22))^$K$22))+($G$23+$H$23*'Advanced Outputs'!C$60^$I$23)*$J$23*EXP(-(($L$23*($B189-$M$23))^$K$23))+($G$24+$H$24*'Advanced Outputs'!C$60^$I$24)*$J$24*EXP(-(($L$24*($B189-$M$24))^$K$24))+($G$25+$H$25*'Advanced Outputs'!C$60^$I$25)*$J$25*EXP(-(($L$25*($B189-$M$25))^$K$25))+$G$26))</f>
        <v>0.75760494944796841</v>
      </c>
      <c r="E189" s="75">
        <f t="shared" si="2"/>
        <v>0.88464930544062204</v>
      </c>
      <c r="F189" s="74"/>
      <c r="G189" s="6"/>
      <c r="H189" s="6"/>
      <c r="I189" s="6"/>
      <c r="J189" s="6"/>
      <c r="K189" s="6"/>
      <c r="L189" s="6"/>
      <c r="M189" s="6"/>
    </row>
    <row r="190" spans="1:13" hidden="1" x14ac:dyDescent="0.2">
      <c r="A190" s="60"/>
      <c r="B190" s="60">
        <v>549</v>
      </c>
      <c r="C190" s="75">
        <f>10^(-(($G$21+$H$21*'Advanced Outputs'!C$61^$I$21)*(($B190/$M$21)^-$K$21)+($G$22+$H$22*'Advanced Outputs'!C$61^$I$22)*$J$22*EXP(-(($L$22*($B190-$M$22))^$K$22))+($G$23+$H$23*'Advanced Outputs'!C$61^$I$23)*$J$23*EXP(-(($L$23*($B190-$M$23))^$K$23))+($G$24+$H$24*'Advanced Outputs'!C$61^$I$24)*$J$24*EXP(-(($L$24*($B190-$M$24))^$K$24))+($G$25+$H$25*'Advanced Outputs'!C$61^$I$25)*$J$25*EXP(-(($L$25*($B190-$M$25))^$K$25))+$G$26))</f>
        <v>0.67259419160143263</v>
      </c>
      <c r="D190" s="75">
        <f>10^(-(($G$21+$H$21*'Advanced Outputs'!C$60^$I$21)*(($B190/$M$21)^-$K$21)+($G$22+$H$22*'Advanced Outputs'!C$60^$I$22)*$J$22*EXP(-(($L$22*($B190-$M$22))^$K$22))+($G$23+$H$23*'Advanced Outputs'!C$60^$I$23)*$J$23*EXP(-(($L$23*($B190-$M$23))^$K$23))+($G$24+$H$24*'Advanced Outputs'!C$60^$I$24)*$J$24*EXP(-(($L$24*($B190-$M$24))^$K$24))+($G$25+$H$25*'Advanced Outputs'!C$60^$I$25)*$J$25*EXP(-(($L$25*($B190-$M$25))^$K$25))+$G$26))</f>
        <v>0.7587007779146715</v>
      </c>
      <c r="E190" s="75">
        <f t="shared" si="2"/>
        <v>0.88650784496371904</v>
      </c>
      <c r="F190" s="74"/>
      <c r="G190" s="6"/>
      <c r="H190" s="6"/>
      <c r="I190" s="6"/>
      <c r="J190" s="6"/>
      <c r="K190" s="6"/>
      <c r="L190" s="6"/>
      <c r="M190" s="6"/>
    </row>
    <row r="191" spans="1:13" hidden="1" x14ac:dyDescent="0.2">
      <c r="A191" s="60"/>
      <c r="B191" s="60">
        <v>550</v>
      </c>
      <c r="C191" s="75">
        <f>10^(-(($G$21+$H$21*'Advanced Outputs'!C$61^$I$21)*(($B191/$M$21)^-$K$21)+($G$22+$H$22*'Advanced Outputs'!C$61^$I$22)*$J$22*EXP(-(($L$22*($B191-$M$22))^$K$22))+($G$23+$H$23*'Advanced Outputs'!C$61^$I$23)*$J$23*EXP(-(($L$23*($B191-$M$23))^$K$23))+($G$24+$H$24*'Advanced Outputs'!C$61^$I$24)*$J$24*EXP(-(($L$24*($B191-$M$24))^$K$24))+($G$25+$H$25*'Advanced Outputs'!C$61^$I$25)*$J$25*EXP(-(($L$25*($B191-$M$25))^$K$25))+$G$26))</f>
        <v>0.67493830340889505</v>
      </c>
      <c r="D191" s="75">
        <f>10^(-(($G$21+$H$21*'Advanced Outputs'!C$60^$I$21)*(($B191/$M$21)^-$K$21)+($G$22+$H$22*'Advanced Outputs'!C$60^$I$22)*$J$22*EXP(-(($L$22*($B191-$M$22))^$K$22))+($G$23+$H$23*'Advanced Outputs'!C$60^$I$23)*$J$23*EXP(-(($L$23*($B191-$M$23))^$K$23))+($G$24+$H$24*'Advanced Outputs'!C$60^$I$24)*$J$24*EXP(-(($L$24*($B191-$M$24))^$K$24))+($G$25+$H$25*'Advanced Outputs'!C$60^$I$25)*$J$25*EXP(-(($L$25*($B191-$M$25))^$K$25))+$G$26))</f>
        <v>0.75978166553453386</v>
      </c>
      <c r="E191" s="75">
        <f t="shared" si="2"/>
        <v>0.88833191695149893</v>
      </c>
      <c r="F191" s="74"/>
      <c r="G191" s="6"/>
      <c r="H191" s="6"/>
      <c r="I191" s="6"/>
      <c r="J191" s="6"/>
      <c r="K191" s="6"/>
      <c r="L191" s="6"/>
      <c r="M191" s="6"/>
    </row>
    <row r="192" spans="1:13" hidden="1" x14ac:dyDescent="0.2">
      <c r="A192" s="60"/>
      <c r="B192" s="60">
        <v>551</v>
      </c>
      <c r="C192" s="75">
        <f>10^(-(($G$21+$H$21*'Advanced Outputs'!C$61^$I$21)*(($B192/$M$21)^-$K$21)+($G$22+$H$22*'Advanced Outputs'!C$61^$I$22)*$J$22*EXP(-(($L$22*($B192-$M$22))^$K$22))+($G$23+$H$23*'Advanced Outputs'!C$61^$I$23)*$J$23*EXP(-(($L$23*($B192-$M$23))^$K$23))+($G$24+$H$24*'Advanced Outputs'!C$61^$I$24)*$J$24*EXP(-(($L$24*($B192-$M$24))^$K$24))+($G$25+$H$25*'Advanced Outputs'!C$61^$I$25)*$J$25*EXP(-(($L$25*($B192-$M$25))^$K$25))+$G$26))</f>
        <v>0.67724733364849932</v>
      </c>
      <c r="D192" s="75">
        <f>10^(-(($G$21+$H$21*'Advanced Outputs'!C$60^$I$21)*(($B192/$M$21)^-$K$21)+($G$22+$H$22*'Advanced Outputs'!C$60^$I$22)*$J$22*EXP(-(($L$22*($B192-$M$22))^$K$22))+($G$23+$H$23*'Advanced Outputs'!C$60^$I$23)*$J$23*EXP(-(($L$23*($B192-$M$23))^$K$23))+($G$24+$H$24*'Advanced Outputs'!C$60^$I$24)*$J$24*EXP(-(($L$24*($B192-$M$24))^$K$24))+($G$25+$H$25*'Advanced Outputs'!C$60^$I$25)*$J$25*EXP(-(($L$25*($B192-$M$25))^$K$25))+$G$26))</f>
        <v>0.76084779963839988</v>
      </c>
      <c r="E192" s="75">
        <f t="shared" si="2"/>
        <v>0.89012195864976873</v>
      </c>
      <c r="F192" s="74"/>
      <c r="G192" s="6"/>
      <c r="H192" s="6"/>
      <c r="I192" s="6"/>
      <c r="J192" s="6"/>
      <c r="K192" s="6"/>
      <c r="L192" s="6"/>
      <c r="M192" s="6"/>
    </row>
    <row r="193" spans="1:13" hidden="1" x14ac:dyDescent="0.2">
      <c r="A193" s="60"/>
      <c r="B193" s="60">
        <v>552</v>
      </c>
      <c r="C193" s="75">
        <f>10^(-(($G$21+$H$21*'Advanced Outputs'!C$61^$I$21)*(($B193/$M$21)^-$K$21)+($G$22+$H$22*'Advanced Outputs'!C$61^$I$22)*$J$22*EXP(-(($L$22*($B193-$M$22))^$K$22))+($G$23+$H$23*'Advanced Outputs'!C$61^$I$23)*$J$23*EXP(-(($L$23*($B193-$M$23))^$K$23))+($G$24+$H$24*'Advanced Outputs'!C$61^$I$24)*$J$24*EXP(-(($L$24*($B193-$M$24))^$K$24))+($G$25+$H$25*'Advanced Outputs'!C$61^$I$25)*$J$25*EXP(-(($L$25*($B193-$M$25))^$K$25))+$G$26))</f>
        <v>0.67952159742284257</v>
      </c>
      <c r="D193" s="75">
        <f>10^(-(($G$21+$H$21*'Advanced Outputs'!C$60^$I$21)*(($B193/$M$21)^-$K$21)+($G$22+$H$22*'Advanced Outputs'!C$60^$I$22)*$J$22*EXP(-(($L$22*($B193-$M$22))^$K$22))+($G$23+$H$23*'Advanced Outputs'!C$60^$I$23)*$J$23*EXP(-(($L$23*($B193-$M$23))^$K$23))+($G$24+$H$24*'Advanced Outputs'!C$60^$I$24)*$J$24*EXP(-(($L$24*($B193-$M$24))^$K$24))+($G$25+$H$25*'Advanced Outputs'!C$60^$I$25)*$J$25*EXP(-(($L$25*($B193-$M$25))^$K$25))+$G$26))</f>
        <v>0.76189936754667564</v>
      </c>
      <c r="E193" s="75">
        <f t="shared" si="2"/>
        <v>0.89187841120135014</v>
      </c>
      <c r="F193" s="74"/>
      <c r="G193" s="6"/>
      <c r="H193" s="6"/>
      <c r="I193" s="6"/>
      <c r="J193" s="6"/>
      <c r="K193" s="6"/>
      <c r="L193" s="6"/>
      <c r="M193" s="6"/>
    </row>
    <row r="194" spans="1:13" hidden="1" x14ac:dyDescent="0.2">
      <c r="A194" s="60"/>
      <c r="B194" s="60">
        <v>553</v>
      </c>
      <c r="C194" s="75">
        <f>10^(-(($G$21+$H$21*'Advanced Outputs'!C$61^$I$21)*(($B194/$M$21)^-$K$21)+($G$22+$H$22*'Advanced Outputs'!C$61^$I$22)*$J$22*EXP(-(($L$22*($B194-$M$22))^$K$22))+($G$23+$H$23*'Advanced Outputs'!C$61^$I$23)*$J$23*EXP(-(($L$23*($B194-$M$23))^$K$23))+($G$24+$H$24*'Advanced Outputs'!C$61^$I$24)*$J$24*EXP(-(($L$24*($B194-$M$24))^$K$24))+($G$25+$H$25*'Advanced Outputs'!C$61^$I$25)*$J$25*EXP(-(($L$25*($B194-$M$25))^$K$25))+$G$26))</f>
        <v>0.68176141851594951</v>
      </c>
      <c r="D194" s="75">
        <f>10^(-(($G$21+$H$21*'Advanced Outputs'!C$60^$I$21)*(($B194/$M$21)^-$K$21)+($G$22+$H$22*'Advanced Outputs'!C$60^$I$22)*$J$22*EXP(-(($L$22*($B194-$M$22))^$K$22))+($G$23+$H$23*'Advanced Outputs'!C$60^$I$23)*$J$23*EXP(-(($L$23*($B194-$M$23))^$K$23))+($G$24+$H$24*'Advanced Outputs'!C$60^$I$24)*$J$24*EXP(-(($L$24*($B194-$M$24))^$K$24))+($G$25+$H$25*'Advanced Outputs'!C$60^$I$25)*$J$25*EXP(-(($L$25*($B194-$M$25))^$K$25))+$G$26))</f>
        <v>0.76293655646967173</v>
      </c>
      <c r="E194" s="75">
        <f t="shared" si="2"/>
        <v>0.89360171921851128</v>
      </c>
      <c r="F194" s="74"/>
      <c r="G194" s="6"/>
      <c r="H194" s="6"/>
      <c r="I194" s="6"/>
      <c r="J194" s="6"/>
      <c r="K194" s="6"/>
      <c r="L194" s="6"/>
      <c r="M194" s="6"/>
    </row>
    <row r="195" spans="1:13" hidden="1" x14ac:dyDescent="0.2">
      <c r="A195" s="60"/>
      <c r="B195" s="60">
        <v>554</v>
      </c>
      <c r="C195" s="75">
        <f>10^(-(($G$21+$H$21*'Advanced Outputs'!C$61^$I$21)*(($B195/$M$21)^-$K$21)+($G$22+$H$22*'Advanced Outputs'!C$61^$I$22)*$J$22*EXP(-(($L$22*($B195-$M$22))^$K$22))+($G$23+$H$23*'Advanced Outputs'!C$61^$I$23)*$J$23*EXP(-(($L$23*($B195-$M$23))^$K$23))+($G$24+$H$24*'Advanced Outputs'!C$61^$I$24)*$J$24*EXP(-(($L$24*($B195-$M$24))^$K$24))+($G$25+$H$25*'Advanced Outputs'!C$61^$I$25)*$J$25*EXP(-(($L$25*($B195-$M$25))^$K$25))+$G$26))</f>
        <v>0.6839671288782091</v>
      </c>
      <c r="D195" s="75">
        <f>10^(-(($G$21+$H$21*'Advanced Outputs'!C$60^$I$21)*(($B195/$M$21)^-$K$21)+($G$22+$H$22*'Advanced Outputs'!C$60^$I$22)*$J$22*EXP(-(($L$22*($B195-$M$22))^$K$22))+($G$23+$H$23*'Advanced Outputs'!C$60^$I$23)*$J$23*EXP(-(($L$23*($B195-$M$23))^$K$23))+($G$24+$H$24*'Advanced Outputs'!C$60^$I$24)*$J$24*EXP(-(($L$24*($B195-$M$24))^$K$24))+($G$25+$H$25*'Advanced Outputs'!C$60^$I$25)*$J$25*EXP(-(($L$25*($B195-$M$25))^$K$25))+$G$26))</f>
        <v>0.76395955341087318</v>
      </c>
      <c r="E195" s="75">
        <f t="shared" si="2"/>
        <v>0.89529233036550238</v>
      </c>
      <c r="F195" s="74"/>
      <c r="G195" s="6"/>
      <c r="H195" s="6"/>
      <c r="I195" s="6"/>
      <c r="J195" s="6"/>
      <c r="K195" s="6"/>
      <c r="L195" s="6"/>
      <c r="M195" s="6"/>
    </row>
    <row r="196" spans="1:13" hidden="1" x14ac:dyDescent="0.2">
      <c r="A196" s="60"/>
      <c r="B196" s="60">
        <v>555</v>
      </c>
      <c r="C196" s="75">
        <f>10^(-(($G$21+$H$21*'Advanced Outputs'!C$61^$I$21)*(($B196/$M$21)^-$K$21)+($G$22+$H$22*'Advanced Outputs'!C$61^$I$22)*$J$22*EXP(-(($L$22*($B196-$M$22))^$K$22))+($G$23+$H$23*'Advanced Outputs'!C$61^$I$23)*$J$23*EXP(-(($L$23*($B196-$M$23))^$K$23))+($G$24+$H$24*'Advanced Outputs'!C$61^$I$24)*$J$24*EXP(-(($L$24*($B196-$M$24))^$K$24))+($G$25+$H$25*'Advanced Outputs'!C$61^$I$25)*$J$25*EXP(-(($L$25*($B196-$M$25))^$K$25))+$G$26))</f>
        <v>0.68613906811931391</v>
      </c>
      <c r="D196" s="75">
        <f>10^(-(($G$21+$H$21*'Advanced Outputs'!C$60^$I$21)*(($B196/$M$21)^-$K$21)+($G$22+$H$22*'Advanced Outputs'!C$60^$I$22)*$J$22*EXP(-(($L$22*($B196-$M$22))^$K$22))+($G$23+$H$23*'Advanced Outputs'!C$60^$I$23)*$J$23*EXP(-(($L$23*($B196-$M$23))^$K$23))+($G$24+$H$24*'Advanced Outputs'!C$60^$I$24)*$J$24*EXP(-(($L$24*($B196-$M$24))^$K$24))+($G$25+$H$25*'Advanced Outputs'!C$60^$I$25)*$J$25*EXP(-(($L$25*($B196-$M$25))^$K$25))+$G$26))</f>
        <v>0.76496854507314749</v>
      </c>
      <c r="E196" s="75">
        <f t="shared" si="2"/>
        <v>0.89695069495139079</v>
      </c>
      <c r="F196" s="74"/>
      <c r="G196" s="6"/>
      <c r="H196" s="6"/>
      <c r="I196" s="6"/>
      <c r="J196" s="6"/>
      <c r="K196" s="6"/>
      <c r="L196" s="6"/>
      <c r="M196" s="6"/>
    </row>
    <row r="197" spans="1:13" hidden="1" x14ac:dyDescent="0.2">
      <c r="A197" s="60"/>
      <c r="B197" s="60">
        <v>556</v>
      </c>
      <c r="C197" s="75">
        <f>10^(-(($G$21+$H$21*'Advanced Outputs'!C$61^$I$21)*(($B197/$M$21)^-$K$21)+($G$22+$H$22*'Advanced Outputs'!C$61^$I$22)*$J$22*EXP(-(($L$22*($B197-$M$22))^$K$22))+($G$23+$H$23*'Advanced Outputs'!C$61^$I$23)*$J$23*EXP(-(($L$23*($B197-$M$23))^$K$23))+($G$24+$H$24*'Advanced Outputs'!C$61^$I$24)*$J$24*EXP(-(($L$24*($B197-$M$24))^$K$24))+($G$25+$H$25*'Advanced Outputs'!C$61^$I$25)*$J$25*EXP(-(($L$25*($B197-$M$25))^$K$25))+$G$26))</f>
        <v>0.68827758300964825</v>
      </c>
      <c r="D197" s="75">
        <f>10^(-(($G$21+$H$21*'Advanced Outputs'!C$60^$I$21)*(($B197/$M$21)^-$K$21)+($G$22+$H$22*'Advanced Outputs'!C$60^$I$22)*$J$22*EXP(-(($L$22*($B197-$M$22))^$K$22))+($G$23+$H$23*'Advanced Outputs'!C$60^$I$23)*$J$23*EXP(-(($L$23*($B197-$M$23))^$K$23))+($G$24+$H$24*'Advanced Outputs'!C$60^$I$24)*$J$24*EXP(-(($L$24*($B197-$M$24))^$K$24))+($G$25+$H$25*'Advanced Outputs'!C$60^$I$25)*$J$25*EXP(-(($L$25*($B197-$M$25))^$K$25))+$G$26))</f>
        <v>0.76596371776789285</v>
      </c>
      <c r="E197" s="75">
        <f t="shared" si="2"/>
        <v>0.89857726553337147</v>
      </c>
      <c r="F197" s="74"/>
      <c r="G197" s="6"/>
      <c r="H197" s="6"/>
      <c r="I197" s="6"/>
      <c r="J197" s="6"/>
      <c r="K197" s="6"/>
      <c r="L197" s="6"/>
      <c r="M197" s="6"/>
    </row>
    <row r="198" spans="1:13" hidden="1" x14ac:dyDescent="0.2">
      <c r="A198" s="60"/>
      <c r="B198" s="60">
        <v>557</v>
      </c>
      <c r="C198" s="75">
        <f>10^(-(($G$21+$H$21*'Advanced Outputs'!C$61^$I$21)*(($B198/$M$21)^-$K$21)+($G$22+$H$22*'Advanced Outputs'!C$61^$I$22)*$J$22*EXP(-(($L$22*($B198-$M$22))^$K$22))+($G$23+$H$23*'Advanced Outputs'!C$61^$I$23)*$J$23*EXP(-(($L$23*($B198-$M$23))^$K$23))+($G$24+$H$24*'Advanced Outputs'!C$61^$I$24)*$J$24*EXP(-(($L$24*($B198-$M$24))^$K$24))+($G$25+$H$25*'Advanced Outputs'!C$61^$I$25)*$J$25*EXP(-(($L$25*($B198-$M$25))^$K$25))+$G$26))</f>
        <v>0.69038302699053944</v>
      </c>
      <c r="D198" s="75">
        <f>10^(-(($G$21+$H$21*'Advanced Outputs'!C$60^$I$21)*(($B198/$M$21)^-$K$21)+($G$22+$H$22*'Advanced Outputs'!C$60^$I$22)*$J$22*EXP(-(($L$22*($B198-$M$22))^$K$22))+($G$23+$H$23*'Advanced Outputs'!C$60^$I$23)*$J$23*EXP(-(($L$23*($B198-$M$23))^$K$23))+($G$24+$H$24*'Advanced Outputs'!C$60^$I$24)*$J$24*EXP(-(($L$24*($B198-$M$24))^$K$24))+($G$25+$H$25*'Advanced Outputs'!C$60^$I$25)*$J$25*EXP(-(($L$25*($B198-$M$25))^$K$25))+$G$26))</f>
        <v>0.76694525732713159</v>
      </c>
      <c r="E198" s="75">
        <f t="shared" si="2"/>
        <v>0.90017249653069387</v>
      </c>
      <c r="F198" s="74"/>
      <c r="G198" s="6"/>
      <c r="H198" s="6"/>
      <c r="I198" s="6"/>
      <c r="J198" s="6"/>
      <c r="K198" s="6"/>
      <c r="L198" s="6"/>
      <c r="M198" s="6"/>
    </row>
    <row r="199" spans="1:13" hidden="1" x14ac:dyDescent="0.2">
      <c r="A199" s="60"/>
      <c r="B199" s="60">
        <v>558</v>
      </c>
      <c r="C199" s="75">
        <f>10^(-(($G$21+$H$21*'Advanced Outputs'!C$61^$I$21)*(($B199/$M$21)^-$K$21)+($G$22+$H$22*'Advanced Outputs'!C$61^$I$22)*$J$22*EXP(-(($L$22*($B199-$M$22))^$K$22))+($G$23+$H$23*'Advanced Outputs'!C$61^$I$23)*$J$23*EXP(-(($L$23*($B199-$M$23))^$K$23))+($G$24+$H$24*'Advanced Outputs'!C$61^$I$24)*$J$24*EXP(-(($L$24*($B199-$M$24))^$K$24))+($G$25+$H$25*'Advanced Outputs'!C$61^$I$25)*$J$25*EXP(-(($L$25*($B199-$M$25))^$K$25))+$G$26))</f>
        <v>0.69245575969375139</v>
      </c>
      <c r="D199" s="75">
        <f>10^(-(($G$21+$H$21*'Advanced Outputs'!C$60^$I$21)*(($B199/$M$21)^-$K$21)+($G$22+$H$22*'Advanced Outputs'!C$60^$I$22)*$J$22*EXP(-(($L$22*($B199-$M$22))^$K$22))+($G$23+$H$23*'Advanced Outputs'!C$60^$I$23)*$J$23*EXP(-(($L$23*($B199-$M$23))^$K$23))+($G$24+$H$24*'Advanced Outputs'!C$60^$I$24)*$J$24*EXP(-(($L$24*($B199-$M$24))^$K$24))+($G$25+$H$25*'Advanced Outputs'!C$60^$I$25)*$J$25*EXP(-(($L$25*($B199-$M$25))^$K$25))+$G$26))</f>
        <v>0.76791334901854513</v>
      </c>
      <c r="E199" s="75">
        <f t="shared" si="2"/>
        <v>0.90173684384932939</v>
      </c>
      <c r="F199" s="74"/>
      <c r="G199" s="6"/>
      <c r="H199" s="6"/>
      <c r="I199" s="6"/>
      <c r="J199" s="6"/>
      <c r="K199" s="6"/>
      <c r="L199" s="6"/>
      <c r="M199" s="6"/>
    </row>
    <row r="200" spans="1:13" hidden="1" x14ac:dyDescent="0.2">
      <c r="A200" s="60"/>
      <c r="B200" s="60">
        <v>559</v>
      </c>
      <c r="C200" s="75">
        <f>10^(-(($G$21+$H$21*'Advanced Outputs'!C$61^$I$21)*(($B200/$M$21)^-$K$21)+($G$22+$H$22*'Advanced Outputs'!C$61^$I$22)*$J$22*EXP(-(($L$22*($B200-$M$22))^$K$22))+($G$23+$H$23*'Advanced Outputs'!C$61^$I$23)*$J$23*EXP(-(($L$23*($B200-$M$23))^$K$23))+($G$24+$H$24*'Advanced Outputs'!C$61^$I$24)*$J$24*EXP(-(($L$24*($B200-$M$24))^$K$24))+($G$25+$H$25*'Advanced Outputs'!C$61^$I$25)*$J$25*EXP(-(($L$25*($B200-$M$25))^$K$25))+$G$26))</f>
        <v>0.6944961464705629</v>
      </c>
      <c r="D200" s="75">
        <f>10^(-(($G$21+$H$21*'Advanced Outputs'!C$60^$I$21)*(($B200/$M$21)^-$K$21)+($G$22+$H$22*'Advanced Outputs'!C$60^$I$22)*$J$22*EXP(-(($L$22*($B200-$M$22))^$K$22))+($G$23+$H$23*'Advanced Outputs'!C$60^$I$23)*$J$23*EXP(-(($L$23*($B200-$M$23))^$K$23))+($G$24+$H$24*'Advanced Outputs'!C$60^$I$24)*$J$24*EXP(-(($L$24*($B200-$M$24))^$K$24))+($G$25+$H$25*'Advanced Outputs'!C$60^$I$25)*$J$25*EXP(-(($L$25*($B200-$M$25))^$K$25))+$G$26))</f>
        <v>0.76886817746344238</v>
      </c>
      <c r="E200" s="75">
        <f t="shared" si="2"/>
        <v>0.90327076451747712</v>
      </c>
      <c r="F200" s="74"/>
      <c r="G200" s="6"/>
      <c r="H200" s="6"/>
      <c r="I200" s="6"/>
      <c r="J200" s="6"/>
      <c r="K200" s="6"/>
      <c r="L200" s="6"/>
      <c r="M200" s="6"/>
    </row>
    <row r="201" spans="1:13" hidden="1" x14ac:dyDescent="0.2">
      <c r="A201" s="60"/>
      <c r="B201" s="60">
        <v>560</v>
      </c>
      <c r="C201" s="75">
        <f>10^(-(($G$21+$H$21*'Advanced Outputs'!C$61^$I$21)*(($B201/$M$21)^-$K$21)+($G$22+$H$22*'Advanced Outputs'!C$61^$I$22)*$J$22*EXP(-(($L$22*($B201-$M$22))^$K$22))+($G$23+$H$23*'Advanced Outputs'!C$61^$I$23)*$J$23*EXP(-(($L$23*($B201-$M$23))^$K$23))+($G$24+$H$24*'Advanced Outputs'!C$61^$I$24)*$J$24*EXP(-(($L$24*($B201-$M$24))^$K$24))+($G$25+$H$25*'Advanced Outputs'!C$61^$I$25)*$J$25*EXP(-(($L$25*($B201-$M$25))^$K$25))+$G$26))</f>
        <v>0.69650455793074684</v>
      </c>
      <c r="D201" s="75">
        <f>10^(-(($G$21+$H$21*'Advanced Outputs'!C$60^$I$21)*(($B201/$M$21)^-$K$21)+($G$22+$H$22*'Advanced Outputs'!C$60^$I$22)*$J$22*EXP(-(($L$22*($B201-$M$22))^$K$22))+($G$23+$H$23*'Advanced Outputs'!C$60^$I$23)*$J$23*EXP(-(($L$23*($B201-$M$23))^$K$23))+($G$24+$H$24*'Advanced Outputs'!C$60^$I$24)*$J$24*EXP(-(($L$24*($B201-$M$24))^$K$24))+($G$25+$H$25*'Advanced Outputs'!C$60^$I$25)*$J$25*EXP(-(($L$25*($B201-$M$25))^$K$25))+$G$26))</f>
        <v>0.76980992655765146</v>
      </c>
      <c r="E201" s="75">
        <f t="shared" si="2"/>
        <v>0.90477471633198703</v>
      </c>
      <c r="F201" s="74"/>
      <c r="G201" s="6"/>
      <c r="H201" s="6"/>
      <c r="I201" s="6"/>
      <c r="J201" s="6"/>
      <c r="K201" s="6"/>
      <c r="L201" s="6"/>
      <c r="M201" s="6"/>
    </row>
    <row r="202" spans="1:13" hidden="1" x14ac:dyDescent="0.2">
      <c r="A202" s="60"/>
      <c r="B202" s="60">
        <v>561</v>
      </c>
      <c r="C202" s="75">
        <f>10^(-(($G$21+$H$21*'Advanced Outputs'!C$61^$I$21)*(($B202/$M$21)^-$K$21)+($G$22+$H$22*'Advanced Outputs'!C$61^$I$22)*$J$22*EXP(-(($L$22*($B202-$M$22))^$K$22))+($G$23+$H$23*'Advanced Outputs'!C$61^$I$23)*$J$23*EXP(-(($L$23*($B202-$M$23))^$K$23))+($G$24+$H$24*'Advanced Outputs'!C$61^$I$24)*$J$24*EXP(-(($L$24*($B202-$M$24))^$K$24))+($G$25+$H$25*'Advanced Outputs'!C$61^$I$25)*$J$25*EXP(-(($L$25*($B202-$M$25))^$K$25))+$G$26))</f>
        <v>0.69848136949172601</v>
      </c>
      <c r="D202" s="75">
        <f>10^(-(($G$21+$H$21*'Advanced Outputs'!C$60^$I$21)*(($B202/$M$21)^-$K$21)+($G$22+$H$22*'Advanced Outputs'!C$60^$I$22)*$J$22*EXP(-(($L$22*($B202-$M$22))^$K$22))+($G$23+$H$23*'Advanced Outputs'!C$60^$I$23)*$J$23*EXP(-(($L$23*($B202-$M$23))^$K$23))+($G$24+$H$24*'Advanced Outputs'!C$60^$I$24)*$J$24*EXP(-(($L$24*($B202-$M$24))^$K$24))+($G$25+$H$25*'Advanced Outputs'!C$60^$I$25)*$J$25*EXP(-(($L$25*($B202-$M$25))^$K$25))+$G$26))</f>
        <v>0.77073877939532232</v>
      </c>
      <c r="E202" s="75">
        <f t="shared" si="2"/>
        <v>0.90624915751574697</v>
      </c>
      <c r="F202" s="74"/>
      <c r="G202" s="6"/>
      <c r="H202" s="6"/>
      <c r="I202" s="6"/>
      <c r="J202" s="6"/>
      <c r="K202" s="6"/>
      <c r="L202" s="6"/>
      <c r="M202" s="6"/>
    </row>
    <row r="203" spans="1:13" hidden="1" x14ac:dyDescent="0.2">
      <c r="A203" s="60"/>
      <c r="B203" s="60">
        <v>562</v>
      </c>
      <c r="C203" s="75">
        <f>10^(-(($G$21+$H$21*'Advanced Outputs'!C$61^$I$21)*(($B203/$M$21)^-$K$21)+($G$22+$H$22*'Advanced Outputs'!C$61^$I$22)*$J$22*EXP(-(($L$22*($B203-$M$22))^$K$22))+($G$23+$H$23*'Advanced Outputs'!C$61^$I$23)*$J$23*EXP(-(($L$23*($B203-$M$23))^$K$23))+($G$24+$H$24*'Advanced Outputs'!C$61^$I$24)*$J$24*EXP(-(($L$24*($B203-$M$24))^$K$24))+($G$25+$H$25*'Advanced Outputs'!C$61^$I$25)*$J$25*EXP(-(($L$25*($B203-$M$25))^$K$25))+$G$26))</f>
        <v>0.70042696093816104</v>
      </c>
      <c r="D203" s="75">
        <f>10^(-(($G$21+$H$21*'Advanced Outputs'!C$60^$I$21)*(($B203/$M$21)^-$K$21)+($G$22+$H$22*'Advanced Outputs'!C$60^$I$22)*$J$22*EXP(-(($L$22*($B203-$M$22))^$K$22))+($G$23+$H$23*'Advanced Outputs'!C$60^$I$23)*$J$23*EXP(-(($L$23*($B203-$M$23))^$K$23))+($G$24+$H$24*'Advanced Outputs'!C$60^$I$24)*$J$24*EXP(-(($L$24*($B203-$M$24))^$K$24))+($G$25+$H$25*'Advanced Outputs'!C$60^$I$25)*$J$25*EXP(-(($L$25*($B203-$M$25))^$K$25))+$G$26))</f>
        <v>0.7716549181956186</v>
      </c>
      <c r="E203" s="75">
        <f t="shared" si="2"/>
        <v>0.90769454638608171</v>
      </c>
      <c r="F203" s="74"/>
      <c r="G203" s="6"/>
      <c r="H203" s="6"/>
      <c r="I203" s="6"/>
      <c r="J203" s="6"/>
      <c r="K203" s="6"/>
      <c r="L203" s="6"/>
      <c r="M203" s="6"/>
    </row>
    <row r="204" spans="1:13" hidden="1" x14ac:dyDescent="0.2">
      <c r="A204" s="60"/>
      <c r="B204" s="60">
        <v>563</v>
      </c>
      <c r="C204" s="75">
        <f>10^(-(($G$21+$H$21*'Advanced Outputs'!C$61^$I$21)*(($B204/$M$21)^-$K$21)+($G$22+$H$22*'Advanced Outputs'!C$61^$I$22)*$J$22*EXP(-(($L$22*($B204-$M$22))^$K$22))+($G$23+$H$23*'Advanced Outputs'!C$61^$I$23)*$J$23*EXP(-(($L$23*($B204-$M$23))^$K$23))+($G$24+$H$24*'Advanced Outputs'!C$61^$I$24)*$J$24*EXP(-(($L$24*($B204-$M$24))^$K$24))+($G$25+$H$25*'Advanced Outputs'!C$61^$I$25)*$J$25*EXP(-(($L$25*($B204-$M$25))^$K$25))+$G$26))</f>
        <v>0.70234171599218687</v>
      </c>
      <c r="D204" s="75">
        <f>10^(-(($G$21+$H$21*'Advanced Outputs'!C$60^$I$21)*(($B204/$M$21)^-$K$21)+($G$22+$H$22*'Advanced Outputs'!C$60^$I$22)*$J$22*EXP(-(($L$22*($B204-$M$22))^$K$22))+($G$23+$H$23*'Advanced Outputs'!C$60^$I$23)*$J$23*EXP(-(($L$23*($B204-$M$23))^$K$23))+($G$24+$H$24*'Advanced Outputs'!C$60^$I$24)*$J$24*EXP(-(($L$24*($B204-$M$24))^$K$24))+($G$25+$H$25*'Advanced Outputs'!C$60^$I$25)*$J$25*EXP(-(($L$25*($B204-$M$25))^$K$25))+$G$26))</f>
        <v>0.77255852423228322</v>
      </c>
      <c r="E204" s="75">
        <f t="shared" si="2"/>
        <v>0.90911134103416558</v>
      </c>
      <c r="F204" s="74"/>
      <c r="G204" s="6"/>
      <c r="H204" s="6"/>
      <c r="I204" s="6"/>
      <c r="J204" s="6"/>
      <c r="K204" s="6"/>
      <c r="L204" s="6"/>
      <c r="M204" s="6"/>
    </row>
    <row r="205" spans="1:13" hidden="1" x14ac:dyDescent="0.2">
      <c r="A205" s="60"/>
      <c r="B205" s="60">
        <v>564</v>
      </c>
      <c r="C205" s="75">
        <f>10^(-(($G$21+$H$21*'Advanced Outputs'!C$61^$I$21)*(($B205/$M$21)^-$K$21)+($G$22+$H$22*'Advanced Outputs'!C$61^$I$22)*$J$22*EXP(-(($L$22*($B205-$M$22))^$K$22))+($G$23+$H$23*'Advanced Outputs'!C$61^$I$23)*$J$23*EXP(-(($L$23*($B205-$M$23))^$K$23))+($G$24+$H$24*'Advanced Outputs'!C$61^$I$24)*$J$24*EXP(-(($L$24*($B205-$M$24))^$K$24))+($G$25+$H$25*'Advanced Outputs'!C$61^$I$25)*$J$25*EXP(-(($L$25*($B205-$M$25))^$K$25))+$G$26))</f>
        <v>0.70422602189449046</v>
      </c>
      <c r="D205" s="75">
        <f>10^(-(($G$21+$H$21*'Advanced Outputs'!C$60^$I$21)*(($B205/$M$21)^-$K$21)+($G$22+$H$22*'Advanced Outputs'!C$60^$I$22)*$J$22*EXP(-(($L$22*($B205-$M$22))^$K$22))+($G$23+$H$23*'Advanced Outputs'!C$60^$I$23)*$J$23*EXP(-(($L$23*($B205-$M$23))^$K$23))+($G$24+$H$24*'Advanced Outputs'!C$60^$I$24)*$J$24*EXP(-(($L$24*($B205-$M$24))^$K$24))+($G$25+$H$25*'Advanced Outputs'!C$60^$I$25)*$J$25*EXP(-(($L$25*($B205-$M$25))^$K$25))+$G$26))</f>
        <v>0.77344977776604928</v>
      </c>
      <c r="E205" s="75">
        <f t="shared" si="2"/>
        <v>0.91049999901545331</v>
      </c>
      <c r="F205" s="74"/>
      <c r="G205" s="6"/>
      <c r="H205" s="6"/>
      <c r="I205" s="6"/>
      <c r="J205" s="6"/>
      <c r="K205" s="6"/>
      <c r="L205" s="6"/>
      <c r="M205" s="6"/>
    </row>
    <row r="206" spans="1:13" hidden="1" x14ac:dyDescent="0.2">
      <c r="A206" s="60"/>
      <c r="B206" s="60">
        <v>565</v>
      </c>
      <c r="C206" s="75">
        <f>10^(-(($G$21+$H$21*'Advanced Outputs'!C$61^$I$21)*(($B206/$M$21)^-$K$21)+($G$22+$H$22*'Advanced Outputs'!C$61^$I$22)*$J$22*EXP(-(($L$22*($B206-$M$22))^$K$22))+($G$23+$H$23*'Advanced Outputs'!C$61^$I$23)*$J$23*EXP(-(($L$23*($B206-$M$23))^$K$23))+($G$24+$H$24*'Advanced Outputs'!C$61^$I$24)*$J$24*EXP(-(($L$24*($B206-$M$24))^$K$24))+($G$25+$H$25*'Advanced Outputs'!C$61^$I$25)*$J$25*EXP(-(($L$25*($B206-$M$25))^$K$25))+$G$26))</f>
        <v>0.70608026899639487</v>
      </c>
      <c r="D206" s="75">
        <f>10^(-(($G$21+$H$21*'Advanced Outputs'!C$60^$I$21)*(($B206/$M$21)^-$K$21)+($G$22+$H$22*'Advanced Outputs'!C$60^$I$22)*$J$22*EXP(-(($L$22*($B206-$M$22))^$K$22))+($G$23+$H$23*'Advanced Outputs'!C$60^$I$23)*$J$23*EXP(-(($L$23*($B206-$M$23))^$K$23))+($G$24+$H$24*'Advanced Outputs'!C$60^$I$24)*$J$24*EXP(-(($L$24*($B206-$M$24))^$K$24))+($G$25+$H$25*'Advanced Outputs'!C$60^$I$25)*$J$25*EXP(-(($L$25*($B206-$M$25))^$K$25))+$G$26))</f>
        <v>0.7743288579798725</v>
      </c>
      <c r="E206" s="75">
        <f t="shared" si="2"/>
        <v>0.91186097705110758</v>
      </c>
      <c r="F206" s="74"/>
      <c r="G206" s="6"/>
      <c r="H206" s="6"/>
      <c r="I206" s="6"/>
      <c r="J206" s="6"/>
      <c r="K206" s="6"/>
      <c r="L206" s="6"/>
      <c r="M206" s="6"/>
    </row>
    <row r="207" spans="1:13" hidden="1" x14ac:dyDescent="0.2">
      <c r="A207" s="60"/>
      <c r="B207" s="60">
        <v>566</v>
      </c>
      <c r="C207" s="75">
        <f>10^(-(($G$21+$H$21*'Advanced Outputs'!C$61^$I$21)*(($B207/$M$21)^-$K$21)+($G$22+$H$22*'Advanced Outputs'!C$61^$I$22)*$J$22*EXP(-(($L$22*($B207-$M$22))^$K$22))+($G$23+$H$23*'Advanced Outputs'!C$61^$I$23)*$J$23*EXP(-(($L$23*($B207-$M$23))^$K$23))+($G$24+$H$24*'Advanced Outputs'!C$61^$I$24)*$J$24*EXP(-(($L$24*($B207-$M$24))^$K$24))+($G$25+$H$25*'Advanced Outputs'!C$61^$I$25)*$J$25*EXP(-(($L$25*($B207-$M$25))^$K$25))+$G$26))</f>
        <v>0.70790485036308581</v>
      </c>
      <c r="D207" s="75">
        <f>10^(-(($G$21+$H$21*'Advanced Outputs'!C$60^$I$21)*(($B207/$M$21)^-$K$21)+($G$22+$H$22*'Advanced Outputs'!C$60^$I$22)*$J$22*EXP(-(($L$22*($B207-$M$22))^$K$22))+($G$23+$H$23*'Advanced Outputs'!C$60^$I$23)*$J$23*EXP(-(($L$23*($B207-$M$23))^$K$23))+($G$24+$H$24*'Advanced Outputs'!C$60^$I$24)*$J$24*EXP(-(($L$24*($B207-$M$24))^$K$24))+($G$25+$H$25*'Advanced Outputs'!C$60^$I$25)*$J$25*EXP(-(($L$25*($B207-$M$25))^$K$25))+$G$26))</f>
        <v>0.77519594291695471</v>
      </c>
      <c r="E207" s="75">
        <f t="shared" si="2"/>
        <v>0.91319473074038304</v>
      </c>
      <c r="F207" s="74"/>
      <c r="G207" s="6"/>
      <c r="H207" s="6"/>
      <c r="I207" s="6"/>
      <c r="J207" s="6"/>
      <c r="K207" s="6"/>
      <c r="L207" s="6"/>
      <c r="M207" s="6"/>
    </row>
    <row r="208" spans="1:13" hidden="1" x14ac:dyDescent="0.2">
      <c r="A208" s="60"/>
      <c r="B208" s="60">
        <v>567</v>
      </c>
      <c r="C208" s="75">
        <f>10^(-(($G$21+$H$21*'Advanced Outputs'!C$61^$I$21)*(($B208/$M$21)^-$K$21)+($G$22+$H$22*'Advanced Outputs'!C$61^$I$22)*$J$22*EXP(-(($L$22*($B208-$M$22))^$K$22))+($G$23+$H$23*'Advanced Outputs'!C$61^$I$23)*$J$23*EXP(-(($L$23*($B208-$M$23))^$K$23))+($G$24+$H$24*'Advanced Outputs'!C$61^$I$24)*$J$24*EXP(-(($L$24*($B208-$M$24))^$K$24))+($G$25+$H$25*'Advanced Outputs'!C$61^$I$25)*$J$25*EXP(-(($L$25*($B208-$M$25))^$K$25))+$G$26))</f>
        <v>0.709700161388094</v>
      </c>
      <c r="D208" s="75">
        <f>10^(-(($G$21+$H$21*'Advanced Outputs'!C$60^$I$21)*(($B208/$M$21)^-$K$21)+($G$22+$H$22*'Advanced Outputs'!C$60^$I$22)*$J$22*EXP(-(($L$22*($B208-$M$22))^$K$22))+($G$23+$H$23*'Advanced Outputs'!C$60^$I$23)*$J$23*EXP(-(($L$23*($B208-$M$23))^$K$23))+($G$24+$H$24*'Advanced Outputs'!C$60^$I$24)*$J$24*EXP(-(($L$24*($B208-$M$24))^$K$24))+($G$25+$H$25*'Advanced Outputs'!C$60^$I$25)*$J$25*EXP(-(($L$25*($B208-$M$25))^$K$25))+$G$26))</f>
        <v>0.77605120942152872</v>
      </c>
      <c r="E208" s="75">
        <f t="shared" si="2"/>
        <v>0.91450171428391558</v>
      </c>
      <c r="F208" s="74"/>
      <c r="G208" s="6"/>
      <c r="H208" s="6"/>
      <c r="I208" s="6"/>
      <c r="J208" s="6"/>
      <c r="K208" s="6"/>
      <c r="L208" s="6"/>
      <c r="M208" s="6"/>
    </row>
    <row r="209" spans="1:13" hidden="1" x14ac:dyDescent="0.2">
      <c r="A209" s="60"/>
      <c r="B209" s="60">
        <v>568</v>
      </c>
      <c r="C209" s="75">
        <f>10^(-(($G$21+$H$21*'Advanced Outputs'!C$61^$I$21)*(($B209/$M$21)^-$K$21)+($G$22+$H$22*'Advanced Outputs'!C$61^$I$22)*$J$22*EXP(-(($L$22*($B209-$M$22))^$K$22))+($G$23+$H$23*'Advanced Outputs'!C$61^$I$23)*$J$23*EXP(-(($L$23*($B209-$M$23))^$K$23))+($G$24+$H$24*'Advanced Outputs'!C$61^$I$24)*$J$24*EXP(-(($L$24*($B209-$M$24))^$K$24))+($G$25+$H$25*'Advanced Outputs'!C$61^$I$25)*$J$25*EXP(-(($L$25*($B209-$M$25))^$K$25))+$G$26))</f>
        <v>0.71146659941911794</v>
      </c>
      <c r="D209" s="75">
        <f>10^(-(($G$21+$H$21*'Advanced Outputs'!C$60^$I$21)*(($B209/$M$21)^-$K$21)+($G$22+$H$22*'Advanced Outputs'!C$60^$I$22)*$J$22*EXP(-(($L$22*($B209-$M$22))^$K$22))+($G$23+$H$23*'Advanced Outputs'!C$60^$I$23)*$J$23*EXP(-(($L$23*($B209-$M$23))^$K$23))+($G$24+$H$24*'Advanced Outputs'!C$60^$I$24)*$J$24*EXP(-(($L$24*($B209-$M$24))^$K$24))+($G$25+$H$25*'Advanced Outputs'!C$60^$I$25)*$J$25*EXP(-(($L$25*($B209-$M$25))^$K$25))+$G$26))</f>
        <v>0.77689483308236751</v>
      </c>
      <c r="E209" s="75">
        <f t="shared" si="2"/>
        <v>0.91578238021784764</v>
      </c>
      <c r="F209" s="74"/>
      <c r="G209" s="6"/>
      <c r="H209" s="6"/>
      <c r="I209" s="6"/>
      <c r="J209" s="6"/>
      <c r="K209" s="6"/>
      <c r="L209" s="6"/>
      <c r="M209" s="6"/>
    </row>
    <row r="210" spans="1:13" hidden="1" x14ac:dyDescent="0.2">
      <c r="A210" s="60"/>
      <c r="B210" s="60">
        <v>569</v>
      </c>
      <c r="C210" s="75">
        <f>10^(-(($G$21+$H$21*'Advanced Outputs'!C$61^$I$21)*(($B210/$M$21)^-$K$21)+($G$22+$H$22*'Advanced Outputs'!C$61^$I$22)*$J$22*EXP(-(($L$22*($B210-$M$22))^$K$22))+($G$23+$H$23*'Advanced Outputs'!C$61^$I$23)*$J$23*EXP(-(($L$23*($B210-$M$23))^$K$23))+($G$24+$H$24*'Advanced Outputs'!C$61^$I$24)*$J$24*EXP(-(($L$24*($B210-$M$24))^$K$24))+($G$25+$H$25*'Advanced Outputs'!C$61^$I$25)*$J$25*EXP(-(($L$25*($B210-$M$25))^$K$25))+$G$26))</f>
        <v>0.71320456339525451</v>
      </c>
      <c r="D210" s="75">
        <f>10^(-(($G$21+$H$21*'Advanced Outputs'!C$60^$I$21)*(($B210/$M$21)^-$K$21)+($G$22+$H$22*'Advanced Outputs'!C$60^$I$22)*$J$22*EXP(-(($L$22*($B210-$M$22))^$K$22))+($G$23+$H$23*'Advanced Outputs'!C$60^$I$23)*$J$23*EXP(-(($L$23*($B210-$M$23))^$K$23))+($G$24+$H$24*'Advanced Outputs'!C$60^$I$24)*$J$24*EXP(-(($L$24*($B210-$M$24))^$K$24))+($G$25+$H$25*'Advanced Outputs'!C$60^$I$25)*$J$25*EXP(-(($L$25*($B210-$M$25))^$K$25))+$G$26))</f>
        <v>0.777726988178985</v>
      </c>
      <c r="E210" s="75">
        <f t="shared" si="2"/>
        <v>0.9170371791587083</v>
      </c>
      <c r="F210" s="74"/>
      <c r="G210" s="6"/>
      <c r="H210" s="6"/>
      <c r="I210" s="6"/>
      <c r="J210" s="6"/>
      <c r="K210" s="6"/>
      <c r="L210" s="6"/>
      <c r="M210" s="6"/>
    </row>
    <row r="211" spans="1:13" hidden="1" x14ac:dyDescent="0.2">
      <c r="A211" s="60"/>
      <c r="B211" s="60">
        <v>570</v>
      </c>
      <c r="C211" s="75">
        <f>10^(-(($G$21+$H$21*'Advanced Outputs'!C$61^$I$21)*(($B211/$M$21)^-$K$21)+($G$22+$H$22*'Advanced Outputs'!C$61^$I$22)*$J$22*EXP(-(($L$22*($B211-$M$22))^$K$22))+($G$23+$H$23*'Advanced Outputs'!C$61^$I$23)*$J$23*EXP(-(($L$23*($B211-$M$23))^$K$23))+($G$24+$H$24*'Advanced Outputs'!C$61^$I$24)*$J$24*EXP(-(($L$24*($B211-$M$24))^$K$24))+($G$25+$H$25*'Advanced Outputs'!C$61^$I$25)*$J$25*EXP(-(($L$25*($B211-$M$25))^$K$25))+$G$26))</f>
        <v>0.71491445349567562</v>
      </c>
      <c r="D211" s="75">
        <f>10^(-(($G$21+$H$21*'Advanced Outputs'!C$60^$I$21)*(($B211/$M$21)^-$K$21)+($G$22+$H$22*'Advanced Outputs'!C$60^$I$22)*$J$22*EXP(-(($L$22*($B211-$M$22))^$K$22))+($G$23+$H$23*'Advanced Outputs'!C$60^$I$23)*$J$23*EXP(-(($L$23*($B211-$M$23))^$K$23))+($G$24+$H$24*'Advanced Outputs'!C$60^$I$24)*$J$24*EXP(-(($L$24*($B211-$M$24))^$K$24))+($G$25+$H$25*'Advanced Outputs'!C$60^$I$25)*$J$25*EXP(-(($L$25*($B211-$M$25))^$K$25))+$G$26))</f>
        <v>0.7785478476304879</v>
      </c>
      <c r="E211" s="75">
        <f t="shared" si="2"/>
        <v>0.91826655955895242</v>
      </c>
      <c r="F211" s="74"/>
      <c r="G211" s="6"/>
      <c r="H211" s="6"/>
      <c r="I211" s="6"/>
      <c r="J211" s="6"/>
      <c r="K211" s="6"/>
      <c r="L211" s="6"/>
      <c r="M211" s="6"/>
    </row>
    <row r="212" spans="1:13" hidden="1" x14ac:dyDescent="0.2">
      <c r="A212" s="60"/>
      <c r="B212" s="60">
        <v>571</v>
      </c>
      <c r="C212" s="75">
        <f>10^(-(($G$21+$H$21*'Advanced Outputs'!C$61^$I$21)*(($B212/$M$21)^-$K$21)+($G$22+$H$22*'Advanced Outputs'!C$61^$I$22)*$J$22*EXP(-(($L$22*($B212-$M$22))^$K$22))+($G$23+$H$23*'Advanced Outputs'!C$61^$I$23)*$J$23*EXP(-(($L$23*($B212-$M$23))^$K$23))+($G$24+$H$24*'Advanced Outputs'!C$61^$I$24)*$J$24*EXP(-(($L$24*($B212-$M$24))^$K$24))+($G$25+$H$25*'Advanced Outputs'!C$61^$I$25)*$J$25*EXP(-(($L$25*($B212-$M$25))^$K$25))+$G$26))</f>
        <v>0.7165966707997723</v>
      </c>
      <c r="D212" s="75">
        <f>10^(-(($G$21+$H$21*'Advanced Outputs'!C$60^$I$21)*(($B212/$M$21)^-$K$21)+($G$22+$H$22*'Advanced Outputs'!C$60^$I$22)*$J$22*EXP(-(($L$22*($B212-$M$22))^$K$22))+($G$23+$H$23*'Advanced Outputs'!C$60^$I$23)*$J$23*EXP(-(($L$23*($B212-$M$23))^$K$23))+($G$24+$H$24*'Advanced Outputs'!C$60^$I$24)*$J$24*EXP(-(($L$24*($B212-$M$24))^$K$24))+($G$25+$H$25*'Advanced Outputs'!C$60^$I$25)*$J$25*EXP(-(($L$25*($B212-$M$25))^$K$25))+$G$26))</f>
        <v>0.77935758294704138</v>
      </c>
      <c r="E212" s="75">
        <f t="shared" si="2"/>
        <v>0.91947096747304791</v>
      </c>
      <c r="F212" s="74"/>
      <c r="G212" s="6"/>
      <c r="H212" s="6"/>
      <c r="I212" s="6"/>
      <c r="J212" s="6"/>
      <c r="K212" s="6"/>
      <c r="L212" s="6"/>
      <c r="M212" s="6"/>
    </row>
    <row r="213" spans="1:13" hidden="1" x14ac:dyDescent="0.2">
      <c r="A213" s="60"/>
      <c r="B213" s="60">
        <v>572</v>
      </c>
      <c r="C213" s="75">
        <f>10^(-(($G$21+$H$21*'Advanced Outputs'!C$61^$I$21)*(($B213/$M$21)^-$K$21)+($G$22+$H$22*'Advanced Outputs'!C$61^$I$22)*$J$22*EXP(-(($L$22*($B213-$M$22))^$K$22))+($G$23+$H$23*'Advanced Outputs'!C$61^$I$23)*$J$23*EXP(-(($L$23*($B213-$M$23))^$K$23))+($G$24+$H$24*'Advanced Outputs'!C$61^$I$24)*$J$24*EXP(-(($L$24*($B213-$M$24))^$K$24))+($G$25+$H$25*'Advanced Outputs'!C$61^$I$25)*$J$25*EXP(-(($L$25*($B213-$M$25))^$K$25))+$G$26))</f>
        <v>0.71825161695876516</v>
      </c>
      <c r="D213" s="75">
        <f>10^(-(($G$21+$H$21*'Advanced Outputs'!C$60^$I$21)*(($B213/$M$21)^-$K$21)+($G$22+$H$22*'Advanced Outputs'!C$60^$I$22)*$J$22*EXP(-(($L$22*($B213-$M$22))^$K$22))+($G$23+$H$23*'Advanced Outputs'!C$60^$I$23)*$J$23*EXP(-(($L$23*($B213-$M$23))^$K$23))+($G$24+$H$24*'Advanced Outputs'!C$60^$I$24)*$J$24*EXP(-(($L$24*($B213-$M$24))^$K$24))+($G$25+$H$25*'Advanced Outputs'!C$60^$I$25)*$J$25*EXP(-(($L$25*($B213-$M$25))^$K$25))+$G$26))</f>
        <v>0.78015636418390266</v>
      </c>
      <c r="E213" s="75">
        <f t="shared" ref="E213:E276" si="3">C213/D213</f>
        <v>0.92065084633399852</v>
      </c>
      <c r="F213" s="74"/>
      <c r="G213" s="6"/>
      <c r="H213" s="6"/>
      <c r="I213" s="6"/>
      <c r="J213" s="6"/>
      <c r="K213" s="6"/>
      <c r="L213" s="6"/>
      <c r="M213" s="6"/>
    </row>
    <row r="214" spans="1:13" hidden="1" x14ac:dyDescent="0.2">
      <c r="A214" s="60"/>
      <c r="B214" s="60">
        <v>573</v>
      </c>
      <c r="C214" s="75">
        <f>10^(-(($G$21+$H$21*'Advanced Outputs'!C$61^$I$21)*(($B214/$M$21)^-$K$21)+($G$22+$H$22*'Advanced Outputs'!C$61^$I$22)*$J$22*EXP(-(($L$22*($B214-$M$22))^$K$22))+($G$23+$H$23*'Advanced Outputs'!C$61^$I$23)*$J$23*EXP(-(($L$23*($B214-$M$23))^$K$23))+($G$24+$H$24*'Advanced Outputs'!C$61^$I$24)*$J$24*EXP(-(($L$24*($B214-$M$24))^$K$24))+($G$25+$H$25*'Advanced Outputs'!C$61^$I$25)*$J$25*EXP(-(($L$25*($B214-$M$25))^$K$25))+$G$26))</f>
        <v>0.71987969387876127</v>
      </c>
      <c r="D214" s="75">
        <f>10^(-(($G$21+$H$21*'Advanced Outputs'!C$60^$I$21)*(($B214/$M$21)^-$K$21)+($G$22+$H$22*'Advanced Outputs'!C$60^$I$22)*$J$22*EXP(-(($L$22*($B214-$M$22))^$K$22))+($G$23+$H$23*'Advanced Outputs'!C$60^$I$23)*$J$23*EXP(-(($L$23*($B214-$M$23))^$K$23))+($G$24+$H$24*'Advanced Outputs'!C$60^$I$24)*$J$24*EXP(-(($L$24*($B214-$M$24))^$K$24))+($G$25+$H$25*'Advanced Outputs'!C$60^$I$25)*$J$25*EXP(-(($L$25*($B214-$M$25))^$K$25))+$G$26))</f>
        <v>0.78094435989798594</v>
      </c>
      <c r="E214" s="75">
        <f t="shared" si="3"/>
        <v>0.92180663674016228</v>
      </c>
      <c r="F214" s="74"/>
      <c r="G214" s="6"/>
      <c r="H214" s="6"/>
      <c r="I214" s="6"/>
      <c r="J214" s="6"/>
      <c r="K214" s="6"/>
      <c r="L214" s="6"/>
      <c r="M214" s="6"/>
    </row>
    <row r="215" spans="1:13" hidden="1" x14ac:dyDescent="0.2">
      <c r="A215" s="60"/>
      <c r="B215" s="60">
        <v>574</v>
      </c>
      <c r="C215" s="75">
        <f>10^(-(($G$21+$H$21*'Advanced Outputs'!C$61^$I$21)*(($B215/$M$21)^-$K$21)+($G$22+$H$22*'Advanced Outputs'!C$61^$I$22)*$J$22*EXP(-(($L$22*($B215-$M$22))^$K$22))+($G$23+$H$23*'Advanced Outputs'!C$61^$I$23)*$J$23*EXP(-(($L$23*($B215-$M$23))^$K$23))+($G$24+$H$24*'Advanced Outputs'!C$61^$I$24)*$J$24*EXP(-(($L$24*($B215-$M$24))^$K$24))+($G$25+$H$25*'Advanced Outputs'!C$61^$I$25)*$J$25*EXP(-(($L$25*($B215-$M$25))^$K$25))+$G$26))</f>
        <v>0.72148130341521899</v>
      </c>
      <c r="D215" s="75">
        <f>10^(-(($G$21+$H$21*'Advanced Outputs'!C$60^$I$21)*(($B215/$M$21)^-$K$21)+($G$22+$H$22*'Advanced Outputs'!C$60^$I$22)*$J$22*EXP(-(($L$22*($B215-$M$22))^$K$22))+($G$23+$H$23*'Advanced Outputs'!C$60^$I$23)*$J$23*EXP(-(($L$23*($B215-$M$23))^$K$23))+($G$24+$H$24*'Advanced Outputs'!C$60^$I$24)*$J$24*EXP(-(($L$24*($B215-$M$24))^$K$24))+($G$25+$H$25*'Advanced Outputs'!C$60^$I$25)*$J$25*EXP(-(($L$25*($B215-$M$25))^$K$25))+$G$26))</f>
        <v>0.7817217371069064</v>
      </c>
      <c r="E215" s="75">
        <f t="shared" si="3"/>
        <v>0.92293877625223431</v>
      </c>
      <c r="F215" s="74"/>
      <c r="G215" s="6"/>
      <c r="H215" s="6"/>
      <c r="I215" s="6"/>
      <c r="J215" s="6"/>
      <c r="K215" s="6"/>
      <c r="L215" s="6"/>
      <c r="M215" s="6"/>
    </row>
    <row r="216" spans="1:13" hidden="1" x14ac:dyDescent="0.2">
      <c r="A216" s="60"/>
      <c r="B216" s="60">
        <v>575</v>
      </c>
      <c r="C216" s="75">
        <f>10^(-(($G$21+$H$21*'Advanced Outputs'!C$61^$I$21)*(($B216/$M$21)^-$K$21)+($G$22+$H$22*'Advanced Outputs'!C$61^$I$22)*$J$22*EXP(-(($L$22*($B216-$M$22))^$K$22))+($G$23+$H$23*'Advanced Outputs'!C$61^$I$23)*$J$23*EXP(-(($L$23*($B216-$M$23))^$K$23))+($G$24+$H$24*'Advanced Outputs'!C$61^$I$24)*$J$24*EXP(-(($L$24*($B216-$M$24))^$K$24))+($G$25+$H$25*'Advanced Outputs'!C$61^$I$25)*$J$25*EXP(-(($L$25*($B216-$M$25))^$K$25))+$G$26))</f>
        <v>0.72305684707876527</v>
      </c>
      <c r="D216" s="75">
        <f>10^(-(($G$21+$H$21*'Advanced Outputs'!C$60^$I$21)*(($B216/$M$21)^-$K$21)+($G$22+$H$22*'Advanced Outputs'!C$60^$I$22)*$J$22*EXP(-(($L$22*($B216-$M$22))^$K$22))+($G$23+$H$23*'Advanced Outputs'!C$60^$I$23)*$J$23*EXP(-(($L$23*($B216-$M$23))^$K$23))+($G$24+$H$24*'Advanced Outputs'!C$60^$I$24)*$J$24*EXP(-(($L$24*($B216-$M$24))^$K$24))+($G$25+$H$25*'Advanced Outputs'!C$60^$I$25)*$J$25*EXP(-(($L$25*($B216-$M$25))^$K$25))+$G$26))</f>
        <v>0.78248866125046412</v>
      </c>
      <c r="E216" s="75">
        <f t="shared" si="3"/>
        <v>0.92404769920023733</v>
      </c>
      <c r="F216" s="74"/>
      <c r="G216" s="6"/>
      <c r="H216" s="6"/>
      <c r="I216" s="6"/>
      <c r="J216" s="6"/>
      <c r="K216" s="6"/>
      <c r="L216" s="6"/>
      <c r="M216" s="6"/>
    </row>
    <row r="217" spans="1:13" hidden="1" x14ac:dyDescent="0.2">
      <c r="A217" s="60"/>
      <c r="B217" s="60">
        <v>576</v>
      </c>
      <c r="C217" s="75">
        <f>10^(-(($G$21+$H$21*'Advanced Outputs'!C$61^$I$21)*(($B217/$M$21)^-$K$21)+($G$22+$H$22*'Advanced Outputs'!C$61^$I$22)*$J$22*EXP(-(($L$22*($B217-$M$22))^$K$22))+($G$23+$H$23*'Advanced Outputs'!C$61^$I$23)*$J$23*EXP(-(($L$23*($B217-$M$23))^$K$23))+($G$24+$H$24*'Advanced Outputs'!C$61^$I$24)*$J$24*EXP(-(($L$24*($B217-$M$24))^$K$24))+($G$25+$H$25*'Advanced Outputs'!C$61^$I$25)*$J$25*EXP(-(($L$25*($B217-$M$25))^$K$25))+$G$26))</f>
        <v>0.72460672575229279</v>
      </c>
      <c r="D217" s="75">
        <f>10^(-(($G$21+$H$21*'Advanced Outputs'!C$60^$I$21)*(($B217/$M$21)^-$K$21)+($G$22+$H$22*'Advanced Outputs'!C$60^$I$22)*$J$22*EXP(-(($L$22*($B217-$M$22))^$K$22))+($G$23+$H$23*'Advanced Outputs'!C$60^$I$23)*$J$23*EXP(-(($L$23*($B217-$M$23))^$K$23))+($G$24+$H$24*'Advanced Outputs'!C$60^$I$24)*$J$24*EXP(-(($L$24*($B217-$M$24))^$K$24))+($G$25+$H$25*'Advanced Outputs'!C$60^$I$25)*$J$25*EXP(-(($L$25*($B217-$M$25))^$K$25))+$G$26))</f>
        <v>0.78324529615451688</v>
      </c>
      <c r="E217" s="75">
        <f t="shared" si="3"/>
        <v>0.92513383650036496</v>
      </c>
      <c r="F217" s="74"/>
      <c r="G217" s="6"/>
      <c r="H217" s="6"/>
      <c r="I217" s="6"/>
      <c r="J217" s="6"/>
      <c r="K217" s="6"/>
      <c r="L217" s="6"/>
      <c r="M217" s="6"/>
    </row>
    <row r="218" spans="1:13" hidden="1" x14ac:dyDescent="0.2">
      <c r="A218" s="60"/>
      <c r="B218" s="60">
        <v>577</v>
      </c>
      <c r="C218" s="75">
        <f>10^(-(($G$21+$H$21*'Advanced Outputs'!C$61^$I$21)*(($B218/$M$21)^-$K$21)+($G$22+$H$22*'Advanced Outputs'!C$61^$I$22)*$J$22*EXP(-(($L$22*($B218-$M$22))^$K$22))+($G$23+$H$23*'Advanced Outputs'!C$61^$I$23)*$J$23*EXP(-(($L$23*($B218-$M$23))^$K$23))+($G$24+$H$24*'Advanced Outputs'!C$61^$I$24)*$J$24*EXP(-(($L$24*($B218-$M$24))^$K$24))+($G$25+$H$25*'Advanced Outputs'!C$61^$I$25)*$J$25*EXP(-(($L$25*($B218-$M$25))^$K$25))+$G$26))</f>
        <v>0.72613133941924934</v>
      </c>
      <c r="D218" s="75">
        <f>10^(-(($G$21+$H$21*'Advanced Outputs'!C$60^$I$21)*(($B218/$M$21)^-$K$21)+($G$22+$H$22*'Advanced Outputs'!C$60^$I$22)*$J$22*EXP(-(($L$22*($B218-$M$22))^$K$22))+($G$23+$H$23*'Advanced Outputs'!C$60^$I$23)*$J$23*EXP(-(($L$23*($B218-$M$23))^$K$23))+($G$24+$H$24*'Advanced Outputs'!C$60^$I$24)*$J$24*EXP(-(($L$24*($B218-$M$24))^$K$24))+($G$25+$H$25*'Advanced Outputs'!C$60^$I$25)*$J$25*EXP(-(($L$25*($B218-$M$25))^$K$25))+$G$26))</f>
        <v>0.78399180399719481</v>
      </c>
      <c r="E218" s="75">
        <f t="shared" si="3"/>
        <v>0.92619761548151014</v>
      </c>
      <c r="F218" s="74"/>
      <c r="G218" s="6"/>
      <c r="H218" s="6"/>
      <c r="I218" s="6"/>
      <c r="J218" s="6"/>
      <c r="K218" s="6"/>
      <c r="L218" s="6"/>
      <c r="M218" s="6"/>
    </row>
    <row r="219" spans="1:13" hidden="1" x14ac:dyDescent="0.2">
      <c r="A219" s="60"/>
      <c r="B219" s="60">
        <v>578</v>
      </c>
      <c r="C219" s="75">
        <f>10^(-(($G$21+$H$21*'Advanced Outputs'!C$61^$I$21)*(($B219/$M$21)^-$K$21)+($G$22+$H$22*'Advanced Outputs'!C$61^$I$22)*$J$22*EXP(-(($L$22*($B219-$M$22))^$K$22))+($G$23+$H$23*'Advanced Outputs'!C$61^$I$23)*$J$23*EXP(-(($L$23*($B219-$M$23))^$K$23))+($G$24+$H$24*'Advanced Outputs'!C$61^$I$24)*$J$24*EXP(-(($L$24*($B219-$M$24))^$K$24))+($G$25+$H$25*'Advanced Outputs'!C$61^$I$25)*$J$25*EXP(-(($L$25*($B219-$M$25))^$K$25))+$G$26))</f>
        <v>0.72763108690301848</v>
      </c>
      <c r="D219" s="75">
        <f>10^(-(($G$21+$H$21*'Advanced Outputs'!C$60^$I$21)*(($B219/$M$21)^-$K$21)+($G$22+$H$22*'Advanced Outputs'!C$60^$I$22)*$J$22*EXP(-(($L$22*($B219-$M$22))^$K$22))+($G$23+$H$23*'Advanced Outputs'!C$60^$I$23)*$J$23*EXP(-(($L$23*($B219-$M$23))^$K$23))+($G$24+$H$24*'Advanced Outputs'!C$60^$I$24)*$J$24*EXP(-(($L$24*($B219-$M$24))^$K$24))+($G$25+$H$25*'Advanced Outputs'!C$60^$I$25)*$J$25*EXP(-(($L$25*($B219-$M$25))^$K$25))+$G$26))</f>
        <v>0.78472834527740809</v>
      </c>
      <c r="E219" s="75">
        <f t="shared" si="3"/>
        <v>0.92723945972130617</v>
      </c>
      <c r="F219" s="74"/>
      <c r="G219" s="6"/>
      <c r="H219" s="6"/>
      <c r="I219" s="6"/>
      <c r="J219" s="6"/>
      <c r="K219" s="6"/>
      <c r="L219" s="6"/>
      <c r="M219" s="6"/>
    </row>
    <row r="220" spans="1:13" hidden="1" x14ac:dyDescent="0.2">
      <c r="A220" s="60"/>
      <c r="B220" s="60">
        <v>579</v>
      </c>
      <c r="C220" s="75">
        <f>10^(-(($G$21+$H$21*'Advanced Outputs'!C$61^$I$21)*(($B220/$M$21)^-$K$21)+($G$22+$H$22*'Advanced Outputs'!C$61^$I$22)*$J$22*EXP(-(($L$22*($B220-$M$22))^$K$22))+($G$23+$H$23*'Advanced Outputs'!C$61^$I$23)*$J$23*EXP(-(($L$23*($B220-$M$23))^$K$23))+($G$24+$H$24*'Advanced Outputs'!C$61^$I$24)*$J$24*EXP(-(($L$24*($B220-$M$24))^$K$24))+($G$25+$H$25*'Advanced Outputs'!C$61^$I$25)*$J$25*EXP(-(($L$25*($B220-$M$25))^$K$25))+$G$26))</f>
        <v>0.72910636561727249</v>
      </c>
      <c r="D220" s="75">
        <f>10^(-(($G$21+$H$21*'Advanced Outputs'!C$60^$I$21)*(($B220/$M$21)^-$K$21)+($G$22+$H$22*'Advanced Outputs'!C$60^$I$22)*$J$22*EXP(-(($L$22*($B220-$M$22))^$K$22))+($G$23+$H$23*'Advanced Outputs'!C$60^$I$23)*$J$23*EXP(-(($L$23*($B220-$M$23))^$K$23))+($G$24+$H$24*'Advanced Outputs'!C$60^$I$24)*$J$24*EXP(-(($L$24*($B220-$M$24))^$K$24))+($G$25+$H$25*'Advanced Outputs'!C$60^$I$25)*$J$25*EXP(-(($L$25*($B220-$M$25))^$K$25))+$G$26))</f>
        <v>0.78545507878559595</v>
      </c>
      <c r="E220" s="75">
        <f t="shared" si="3"/>
        <v>0.92825978889149829</v>
      </c>
      <c r="F220" s="74"/>
      <c r="G220" s="6"/>
      <c r="H220" s="6"/>
      <c r="I220" s="6"/>
      <c r="J220" s="6"/>
      <c r="K220" s="6"/>
      <c r="L220" s="6"/>
      <c r="M220" s="6"/>
    </row>
    <row r="221" spans="1:13" hidden="1" x14ac:dyDescent="0.2">
      <c r="A221" s="60"/>
      <c r="B221" s="60">
        <v>580</v>
      </c>
      <c r="C221" s="75">
        <f>10^(-(($G$21+$H$21*'Advanced Outputs'!C$61^$I$21)*(($B221/$M$21)^-$K$21)+($G$22+$H$22*'Advanced Outputs'!C$61^$I$22)*$J$22*EXP(-(($L$22*($B221-$M$22))^$K$22))+($G$23+$H$23*'Advanced Outputs'!C$61^$I$23)*$J$23*EXP(-(($L$23*($B221-$M$23))^$K$23))+($G$24+$H$24*'Advanced Outputs'!C$61^$I$24)*$J$24*EXP(-(($L$24*($B221-$M$24))^$K$24))+($G$25+$H$25*'Advanced Outputs'!C$61^$I$25)*$J$25*EXP(-(($L$25*($B221-$M$25))^$K$25))+$G$26))</f>
        <v>0.73055757132717403</v>
      </c>
      <c r="D221" s="75">
        <f>10^(-(($G$21+$H$21*'Advanced Outputs'!C$60^$I$21)*(($B221/$M$21)^-$K$21)+($G$22+$H$22*'Advanced Outputs'!C$60^$I$22)*$J$22*EXP(-(($L$22*($B221-$M$22))^$K$22))+($G$23+$H$23*'Advanced Outputs'!C$60^$I$23)*$J$23*EXP(-(($L$23*($B221-$M$23))^$K$23))+($G$24+$H$24*'Advanced Outputs'!C$60^$I$24)*$J$24*EXP(-(($L$24*($B221-$M$24))^$K$24))+($G$25+$H$25*'Advanced Outputs'!C$60^$I$25)*$J$25*EXP(-(($L$25*($B221-$M$25))^$K$25))+$G$26))</f>
        <v>0.78617216157667047</v>
      </c>
      <c r="E221" s="75">
        <f t="shared" si="3"/>
        <v>0.92925901861246119</v>
      </c>
      <c r="F221" s="74"/>
      <c r="G221" s="6"/>
      <c r="H221" s="6"/>
      <c r="I221" s="6"/>
      <c r="J221" s="6"/>
      <c r="K221" s="6"/>
      <c r="L221" s="6"/>
      <c r="M221" s="6"/>
    </row>
    <row r="222" spans="1:13" hidden="1" x14ac:dyDescent="0.2">
      <c r="A222" s="60"/>
      <c r="B222" s="60">
        <v>581</v>
      </c>
      <c r="C222" s="75">
        <f>10^(-(($G$21+$H$21*'Advanced Outputs'!C$61^$I$21)*(($B222/$M$21)^-$K$21)+($G$22+$H$22*'Advanced Outputs'!C$61^$I$22)*$J$22*EXP(-(($L$22*($B222-$M$22))^$K$22))+($G$23+$H$23*'Advanced Outputs'!C$61^$I$23)*$J$23*EXP(-(($L$23*($B222-$M$23))^$K$23))+($G$24+$H$24*'Advanced Outputs'!C$61^$I$24)*$J$24*EXP(-(($L$24*($B222-$M$24))^$K$24))+($G$25+$H$25*'Advanced Outputs'!C$61^$I$25)*$J$25*EXP(-(($L$25*($B222-$M$25))^$K$25))+$G$26))</f>
        <v>0.73198509792128241</v>
      </c>
      <c r="D222" s="75">
        <f>10^(-(($G$21+$H$21*'Advanced Outputs'!C$60^$I$21)*(($B222/$M$21)^-$K$21)+($G$22+$H$22*'Advanced Outputs'!C$60^$I$22)*$J$22*EXP(-(($L$22*($B222-$M$22))^$K$22))+($G$23+$H$23*'Advanced Outputs'!C$60^$I$23)*$J$23*EXP(-(($L$23*($B222-$M$23))^$K$23))+($G$24+$H$24*'Advanced Outputs'!C$60^$I$24)*$J$24*EXP(-(($L$24*($B222-$M$24))^$K$24))+($G$25+$H$25*'Advanced Outputs'!C$60^$I$25)*$J$25*EXP(-(($L$25*($B222-$M$25))^$K$25))+$G$26))</f>
        <v>0.78687974894509805</v>
      </c>
      <c r="E222" s="75">
        <f t="shared" si="3"/>
        <v>0.93023756031667082</v>
      </c>
      <c r="F222" s="74"/>
      <c r="G222" s="6"/>
      <c r="H222" s="6"/>
      <c r="I222" s="6"/>
      <c r="J222" s="6"/>
      <c r="K222" s="6"/>
      <c r="L222" s="6"/>
      <c r="M222" s="6"/>
    </row>
    <row r="223" spans="1:13" hidden="1" x14ac:dyDescent="0.2">
      <c r="A223" s="60"/>
      <c r="B223" s="60">
        <v>582</v>
      </c>
      <c r="C223" s="75">
        <f>10^(-(($G$21+$H$21*'Advanced Outputs'!C$61^$I$21)*(($B223/$M$21)^-$K$21)+($G$22+$H$22*'Advanced Outputs'!C$61^$I$22)*$J$22*EXP(-(($L$22*($B223-$M$22))^$K$22))+($G$23+$H$23*'Advanced Outputs'!C$61^$I$23)*$J$23*EXP(-(($L$23*($B223-$M$23))^$K$23))+($G$24+$H$24*'Advanced Outputs'!C$61^$I$24)*$J$24*EXP(-(($L$24*($B223-$M$24))^$K$24))+($G$25+$H$25*'Advanced Outputs'!C$61^$I$25)*$J$25*EXP(-(($L$25*($B223-$M$25))^$K$25))+$G$26))</f>
        <v>0.73338933719401567</v>
      </c>
      <c r="D223" s="75">
        <f>10^(-(($G$21+$H$21*'Advanced Outputs'!C$60^$I$21)*(($B223/$M$21)^-$K$21)+($G$22+$H$22*'Advanced Outputs'!C$60^$I$22)*$J$22*EXP(-(($L$22*($B223-$M$22))^$K$22))+($G$23+$H$23*'Advanced Outputs'!C$60^$I$23)*$J$23*EXP(-(($L$23*($B223-$M$23))^$K$23))+($G$24+$H$24*'Advanced Outputs'!C$60^$I$24)*$J$24*EXP(-(($L$24*($B223-$M$24))^$K$24))+($G$25+$H$25*'Advanced Outputs'!C$60^$I$25)*$J$25*EXP(-(($L$25*($B223-$M$25))^$K$25))+$G$26))</f>
        <v>0.7875779944020711</v>
      </c>
      <c r="E223" s="75">
        <f t="shared" si="3"/>
        <v>0.93119582112093491</v>
      </c>
      <c r="F223" s="74"/>
      <c r="G223" s="6"/>
      <c r="H223" s="6"/>
      <c r="I223" s="6"/>
      <c r="J223" s="6"/>
      <c r="K223" s="6"/>
      <c r="L223" s="6"/>
      <c r="M223" s="6"/>
    </row>
    <row r="224" spans="1:13" hidden="1" x14ac:dyDescent="0.2">
      <c r="A224" s="60"/>
      <c r="B224" s="60">
        <v>583</v>
      </c>
      <c r="C224" s="75">
        <f>10^(-(($G$21+$H$21*'Advanced Outputs'!C$61^$I$21)*(($B224/$M$21)^-$K$21)+($G$22+$H$22*'Advanced Outputs'!C$61^$I$22)*$J$22*EXP(-(($L$22*($B224-$M$22))^$K$22))+($G$23+$H$23*'Advanced Outputs'!C$61^$I$23)*$J$23*EXP(-(($L$23*($B224-$M$23))^$K$23))+($G$24+$H$24*'Advanced Outputs'!C$61^$I$24)*$J$24*EXP(-(($L$24*($B224-$M$24))^$K$24))+($G$25+$H$25*'Advanced Outputs'!C$61^$I$25)*$J$25*EXP(-(($L$25*($B224-$M$25))^$K$25))+$G$26))</f>
        <v>0.73477067863850654</v>
      </c>
      <c r="D224" s="75">
        <f>10^(-(($G$21+$H$21*'Advanced Outputs'!C$60^$I$21)*(($B224/$M$21)^-$K$21)+($G$22+$H$22*'Advanced Outputs'!C$60^$I$22)*$J$22*EXP(-(($L$22*($B224-$M$22))^$K$22))+($G$23+$H$23*'Advanced Outputs'!C$60^$I$23)*$J$23*EXP(-(($L$23*($B224-$M$23))^$K$23))+($G$24+$H$24*'Advanced Outputs'!C$60^$I$24)*$J$24*EXP(-(($L$24*($B224-$M$24))^$K$24))+($G$25+$H$25*'Advanced Outputs'!C$60^$I$25)*$J$25*EXP(-(($L$25*($B224-$M$25))^$K$25))+$G$26))</f>
        <v>0.78826704965471583</v>
      </c>
      <c r="E224" s="75">
        <f t="shared" si="3"/>
        <v>0.93213420370717981</v>
      </c>
      <c r="F224" s="74"/>
      <c r="G224" s="6"/>
      <c r="H224" s="6"/>
      <c r="I224" s="6"/>
      <c r="J224" s="6"/>
      <c r="K224" s="6"/>
      <c r="L224" s="6"/>
      <c r="M224" s="6"/>
    </row>
    <row r="225" spans="1:13" hidden="1" x14ac:dyDescent="0.2">
      <c r="A225" s="60"/>
      <c r="B225" s="60">
        <v>584</v>
      </c>
      <c r="C225" s="75">
        <f>10^(-(($G$21+$H$21*'Advanced Outputs'!C$61^$I$21)*(($B225/$M$21)^-$K$21)+($G$22+$H$22*'Advanced Outputs'!C$61^$I$22)*$J$22*EXP(-(($L$22*($B225-$M$22))^$K$22))+($G$23+$H$23*'Advanced Outputs'!C$61^$I$23)*$J$23*EXP(-(($L$23*($B225-$M$23))^$K$23))+($G$24+$H$24*'Advanced Outputs'!C$61^$I$24)*$J$24*EXP(-(($L$24*($B225-$M$24))^$K$24))+($G$25+$H$25*'Advanced Outputs'!C$61^$I$25)*$J$25*EXP(-(($L$25*($B225-$M$25))^$K$25))+$G$26))</f>
        <v>0.73612950924968157</v>
      </c>
      <c r="D225" s="75">
        <f>10^(-(($G$21+$H$21*'Advanced Outputs'!C$60^$I$21)*(($B225/$M$21)^-$K$21)+($G$22+$H$22*'Advanced Outputs'!C$60^$I$22)*$J$22*EXP(-(($L$22*($B225-$M$22))^$K$22))+($G$23+$H$23*'Advanced Outputs'!C$60^$I$23)*$J$23*EXP(-(($L$23*($B225-$M$23))^$K$23))+($G$24+$H$24*'Advanced Outputs'!C$60^$I$24)*$J$24*EXP(-(($L$24*($B225-$M$24))^$K$24))+($G$25+$H$25*'Advanced Outputs'!C$60^$I$25)*$J$25*EXP(-(($L$25*($B225-$M$25))^$K$25))+$G$26))</f>
        <v>0.78894706458728359</v>
      </c>
      <c r="E225" s="75">
        <f t="shared" si="3"/>
        <v>0.93305310621159088</v>
      </c>
      <c r="F225" s="74"/>
      <c r="G225" s="6"/>
      <c r="H225" s="6"/>
      <c r="I225" s="6"/>
      <c r="J225" s="6"/>
      <c r="K225" s="6"/>
      <c r="L225" s="6"/>
      <c r="M225" s="6"/>
    </row>
    <row r="226" spans="1:13" hidden="1" x14ac:dyDescent="0.2">
      <c r="A226" s="60"/>
      <c r="B226" s="60">
        <v>585</v>
      </c>
      <c r="C226" s="75">
        <f>10^(-(($G$21+$H$21*'Advanced Outputs'!C$61^$I$21)*(($B226/$M$21)^-$K$21)+($G$22+$H$22*'Advanced Outputs'!C$61^$I$22)*$J$22*EXP(-(($L$22*($B226-$M$22))^$K$22))+($G$23+$H$23*'Advanced Outputs'!C$61^$I$23)*$J$23*EXP(-(($L$23*($B226-$M$23))^$K$23))+($G$24+$H$24*'Advanced Outputs'!C$61^$I$24)*$J$24*EXP(-(($L$24*($B226-$M$24))^$K$24))+($G$25+$H$25*'Advanced Outputs'!C$61^$I$25)*$J$25*EXP(-(($L$25*($B226-$M$25))^$K$25))+$G$26))</f>
        <v>0.73746621333738827</v>
      </c>
      <c r="D226" s="75">
        <f>10^(-(($G$21+$H$21*'Advanced Outputs'!C$60^$I$21)*(($B226/$M$21)^-$K$21)+($G$22+$H$22*'Advanced Outputs'!C$60^$I$22)*$J$22*EXP(-(($L$22*($B226-$M$22))^$K$22))+($G$23+$H$23*'Advanced Outputs'!C$60^$I$23)*$J$23*EXP(-(($L$23*($B226-$M$23))^$K$23))+($G$24+$H$24*'Advanced Outputs'!C$60^$I$24)*$J$24*EXP(-(($L$24*($B226-$M$24))^$K$24))+($G$25+$H$25*'Advanced Outputs'!C$60^$I$25)*$J$25*EXP(-(($L$25*($B226-$M$25))^$K$25))+$G$26))</f>
        <v>0.7896181872442728</v>
      </c>
      <c r="E226" s="75">
        <f t="shared" si="3"/>
        <v>0.93395292212190262</v>
      </c>
      <c r="F226" s="74"/>
      <c r="G226" s="6"/>
      <c r="H226" s="6"/>
      <c r="I226" s="6"/>
      <c r="J226" s="6"/>
      <c r="K226" s="6"/>
      <c r="L226" s="6"/>
      <c r="M226" s="6"/>
    </row>
    <row r="227" spans="1:13" hidden="1" x14ac:dyDescent="0.2">
      <c r="A227" s="60"/>
      <c r="B227" s="60">
        <v>586</v>
      </c>
      <c r="C227" s="75">
        <f>10^(-(($G$21+$H$21*'Advanced Outputs'!C$61^$I$21)*(($B227/$M$21)^-$K$21)+($G$22+$H$22*'Advanced Outputs'!C$61^$I$22)*$J$22*EXP(-(($L$22*($B227-$M$22))^$K$22))+($G$23+$H$23*'Advanced Outputs'!C$61^$I$23)*$J$23*EXP(-(($L$23*($B227-$M$23))^$K$23))+($G$24+$H$24*'Advanced Outputs'!C$61^$I$24)*$J$24*EXP(-(($L$24*($B227-$M$24))^$K$24))+($G$25+$H$25*'Advanced Outputs'!C$61^$I$25)*$J$25*EXP(-(($L$25*($B227-$M$25))^$K$25))+$G$26))</f>
        <v>0.73878117234937757</v>
      </c>
      <c r="D227" s="75">
        <f>10^(-(($G$21+$H$21*'Advanced Outputs'!C$60^$I$21)*(($B227/$M$21)^-$K$21)+($G$22+$H$22*'Advanced Outputs'!C$60^$I$22)*$J$22*EXP(-(($L$22*($B227-$M$22))^$K$22))+($G$23+$H$23*'Advanced Outputs'!C$60^$I$23)*$J$23*EXP(-(($L$23*($B227-$M$23))^$K$23))+($G$24+$H$24*'Advanced Outputs'!C$60^$I$24)*$J$24*EXP(-(($L$24*($B227-$M$24))^$K$24))+($G$25+$H$25*'Advanced Outputs'!C$60^$I$25)*$J$25*EXP(-(($L$25*($B227-$M$25))^$K$25))+$G$26))</f>
        <v>0.79028056381542755</v>
      </c>
      <c r="E227" s="75">
        <f t="shared" si="3"/>
        <v>0.93483404018262328</v>
      </c>
      <c r="F227" s="74"/>
      <c r="G227" s="6"/>
      <c r="H227" s="6"/>
      <c r="I227" s="6"/>
      <c r="J227" s="6"/>
      <c r="K227" s="6"/>
      <c r="L227" s="6"/>
      <c r="M227" s="6"/>
    </row>
    <row r="228" spans="1:13" hidden="1" x14ac:dyDescent="0.2">
      <c r="A228" s="60"/>
      <c r="B228" s="60">
        <v>587</v>
      </c>
      <c r="C228" s="75">
        <f>10^(-(($G$21+$H$21*'Advanced Outputs'!C$61^$I$21)*(($B228/$M$21)^-$K$21)+($G$22+$H$22*'Advanced Outputs'!C$61^$I$22)*$J$22*EXP(-(($L$22*($B228-$M$22))^$K$22))+($G$23+$H$23*'Advanced Outputs'!C$61^$I$23)*$J$23*EXP(-(($L$23*($B228-$M$23))^$K$23))+($G$24+$H$24*'Advanced Outputs'!C$61^$I$24)*$J$24*EXP(-(($L$24*($B228-$M$24))^$K$24))+($G$25+$H$25*'Advanced Outputs'!C$61^$I$25)*$J$25*EXP(-(($L$25*($B228-$M$25))^$K$25))+$G$26))</f>
        <v>0.74007476470395517</v>
      </c>
      <c r="D228" s="75">
        <f>10^(-(($G$21+$H$21*'Advanced Outputs'!C$60^$I$21)*(($B228/$M$21)^-$K$21)+($G$22+$H$22*'Advanced Outputs'!C$60^$I$22)*$J$22*EXP(-(($L$22*($B228-$M$22))^$K$22))+($G$23+$H$23*'Advanced Outputs'!C$60^$I$23)*$J$23*EXP(-(($L$23*($B228-$M$23))^$K$23))+($G$24+$H$24*'Advanced Outputs'!C$60^$I$24)*$J$24*EXP(-(($L$24*($B228-$M$24))^$K$24))+($G$25+$H$25*'Advanced Outputs'!C$60^$I$25)*$J$25*EXP(-(($L$25*($B228-$M$25))^$K$25))+$G$26))</f>
        <v>0.79093433862256179</v>
      </c>
      <c r="E228" s="75">
        <f t="shared" si="3"/>
        <v>0.93569684430798616</v>
      </c>
      <c r="F228" s="74"/>
      <c r="G228" s="6"/>
      <c r="H228" s="6"/>
      <c r="I228" s="6"/>
      <c r="J228" s="6"/>
      <c r="K228" s="6"/>
      <c r="L228" s="6"/>
      <c r="M228" s="6"/>
    </row>
    <row r="229" spans="1:13" hidden="1" x14ac:dyDescent="0.2">
      <c r="A229" s="60"/>
      <c r="B229" s="60">
        <v>588</v>
      </c>
      <c r="C229" s="75">
        <f>10^(-(($G$21+$H$21*'Advanced Outputs'!C$61^$I$21)*(($B229/$M$21)^-$K$21)+($G$22+$H$22*'Advanced Outputs'!C$61^$I$22)*$J$22*EXP(-(($L$22*($B229-$M$22))^$K$22))+($G$23+$H$23*'Advanced Outputs'!C$61^$I$23)*$J$23*EXP(-(($L$23*($B229-$M$23))^$K$23))+($G$24+$H$24*'Advanced Outputs'!C$61^$I$24)*$J$24*EXP(-(($L$24*($B229-$M$24))^$K$24))+($G$25+$H$25*'Advanced Outputs'!C$61^$I$25)*$J$25*EXP(-(($L$25*($B229-$M$25))^$K$25))+$G$26))</f>
        <v>0.74134736563209902</v>
      </c>
      <c r="D229" s="75">
        <f>10^(-(($G$21+$H$21*'Advanced Outputs'!C$60^$I$21)*(($B229/$M$21)^-$K$21)+($G$22+$H$22*'Advanced Outputs'!C$60^$I$22)*$J$22*EXP(-(($L$22*($B229-$M$22))^$K$22))+($G$23+$H$23*'Advanced Outputs'!C$60^$I$23)*$J$23*EXP(-(($L$23*($B229-$M$23))^$K$23))+($G$24+$H$24*'Advanced Outputs'!C$60^$I$24)*$J$24*EXP(-(($L$24*($B229-$M$24))^$K$24))+($G$25+$H$25*'Advanced Outputs'!C$60^$I$25)*$J$25*EXP(-(($L$25*($B229-$M$25))^$K$25))+$G$26))</f>
        <v>0.79157965410815323</v>
      </c>
      <c r="E229" s="75">
        <f t="shared" si="3"/>
        <v>0.93654171350241522</v>
      </c>
      <c r="F229" s="74"/>
      <c r="G229" s="6"/>
      <c r="H229" s="6"/>
      <c r="I229" s="6"/>
      <c r="J229" s="6"/>
      <c r="K229" s="6"/>
      <c r="L229" s="6"/>
      <c r="M229" s="6"/>
    </row>
    <row r="230" spans="1:13" hidden="1" x14ac:dyDescent="0.2">
      <c r="A230" s="60"/>
      <c r="B230" s="60">
        <v>589</v>
      </c>
      <c r="C230" s="75">
        <f>10^(-(($G$21+$H$21*'Advanced Outputs'!C$61^$I$21)*(($B230/$M$21)^-$K$21)+($G$22+$H$22*'Advanced Outputs'!C$61^$I$22)*$J$22*EXP(-(($L$22*($B230-$M$22))^$K$22))+($G$23+$H$23*'Advanced Outputs'!C$61^$I$23)*$J$23*EXP(-(($L$23*($B230-$M$23))^$K$23))+($G$24+$H$24*'Advanced Outputs'!C$61^$I$24)*$J$24*EXP(-(($L$24*($B230-$M$24))^$K$24))+($G$25+$H$25*'Advanced Outputs'!C$61^$I$25)*$J$25*EXP(-(($L$25*($B230-$M$25))^$K$25))+$G$26))</f>
        <v>0.74259934702883701</v>
      </c>
      <c r="D230" s="75">
        <f>10^(-(($G$21+$H$21*'Advanced Outputs'!C$60^$I$21)*(($B230/$M$21)^-$K$21)+($G$22+$H$22*'Advanced Outputs'!C$60^$I$22)*$J$22*EXP(-(($L$22*($B230-$M$22))^$K$22))+($G$23+$H$23*'Advanced Outputs'!C$60^$I$23)*$J$23*EXP(-(($L$23*($B230-$M$23))^$K$23))+($G$24+$H$24*'Advanced Outputs'!C$60^$I$24)*$J$24*EXP(-(($L$24*($B230-$M$24))^$K$24))+($G$25+$H$25*'Advanced Outputs'!C$60^$I$25)*$J$25*EXP(-(($L$25*($B230-$M$25))^$K$25))+$G$26))</f>
        <v>0.7922166508256544</v>
      </c>
      <c r="E230" s="75">
        <f t="shared" si="3"/>
        <v>0.93736902178828752</v>
      </c>
      <c r="F230" s="74"/>
      <c r="G230" s="6"/>
      <c r="H230" s="6"/>
      <c r="I230" s="6"/>
      <c r="J230" s="6"/>
      <c r="K230" s="6"/>
      <c r="L230" s="6"/>
      <c r="M230" s="6"/>
    </row>
    <row r="231" spans="1:13" hidden="1" x14ac:dyDescent="0.2">
      <c r="A231" s="60"/>
      <c r="B231" s="60">
        <v>590</v>
      </c>
      <c r="C231" s="75">
        <f>10^(-(($G$21+$H$21*'Advanced Outputs'!C$61^$I$21)*(($B231/$M$21)^-$K$21)+($G$22+$H$22*'Advanced Outputs'!C$61^$I$22)*$J$22*EXP(-(($L$22*($B231-$M$22))^$K$22))+($G$23+$H$23*'Advanced Outputs'!C$61^$I$23)*$J$23*EXP(-(($L$23*($B231-$M$23))^$K$23))+($G$24+$H$24*'Advanced Outputs'!C$61^$I$24)*$J$24*EXP(-(($L$24*($B231-$M$24))^$K$24))+($G$25+$H$25*'Advanced Outputs'!C$61^$I$25)*$J$25*EXP(-(($L$25*($B231-$M$25))^$K$25))+$G$26))</f>
        <v>0.74383107731367992</v>
      </c>
      <c r="D231" s="75">
        <f>10^(-(($G$21+$H$21*'Advanced Outputs'!C$60^$I$21)*(($B231/$M$21)^-$K$21)+($G$22+$H$22*'Advanced Outputs'!C$60^$I$22)*$J$22*EXP(-(($L$22*($B231-$M$22))^$K$22))+($G$23+$H$23*'Advanced Outputs'!C$60^$I$23)*$J$23*EXP(-(($L$23*($B231-$M$23))^$K$23))+($G$24+$H$24*'Advanced Outputs'!C$60^$I$24)*$J$24*EXP(-(($L$24*($B231-$M$24))^$K$24))+($G$25+$H$25*'Advanced Outputs'!C$60^$I$25)*$J$25*EXP(-(($L$25*($B231-$M$25))^$K$25))+$G$26))</f>
        <v>0.79284546743146955</v>
      </c>
      <c r="E231" s="75">
        <f t="shared" si="3"/>
        <v>0.93817913814077991</v>
      </c>
      <c r="F231" s="74"/>
      <c r="G231" s="6"/>
      <c r="H231" s="6"/>
      <c r="I231" s="6"/>
      <c r="J231" s="6"/>
      <c r="K231" s="6"/>
      <c r="L231" s="6"/>
      <c r="M231" s="6"/>
    </row>
    <row r="232" spans="1:13" hidden="1" x14ac:dyDescent="0.2">
      <c r="A232" s="60"/>
      <c r="B232" s="60">
        <v>591</v>
      </c>
      <c r="C232" s="75">
        <f>10^(-(($G$21+$H$21*'Advanced Outputs'!C$61^$I$21)*(($B232/$M$21)^-$K$21)+($G$22+$H$22*'Advanced Outputs'!C$61^$I$22)*$J$22*EXP(-(($L$22*($B232-$M$22))^$K$22))+($G$23+$H$23*'Advanced Outputs'!C$61^$I$23)*$J$23*EXP(-(($L$23*($B232-$M$23))^$K$23))+($G$24+$H$24*'Advanced Outputs'!C$61^$I$24)*$J$24*EXP(-(($L$24*($B232-$M$24))^$K$24))+($G$25+$H$25*'Advanced Outputs'!C$61^$I$25)*$J$25*EXP(-(($L$25*($B232-$M$25))^$K$25))+$G$26))</f>
        <v>0.74504292129988992</v>
      </c>
      <c r="D232" s="75">
        <f>10^(-(($G$21+$H$21*'Advanced Outputs'!C$60^$I$21)*(($B232/$M$21)^-$K$21)+($G$22+$H$22*'Advanced Outputs'!C$60^$I$22)*$J$22*EXP(-(($L$22*($B232-$M$22))^$K$22))+($G$23+$H$23*'Advanced Outputs'!C$60^$I$23)*$J$23*EXP(-(($L$23*($B232-$M$23))^$K$23))+($G$24+$H$24*'Advanced Outputs'!C$60^$I$24)*$J$24*EXP(-(($L$24*($B232-$M$24))^$K$24))+($G$25+$H$25*'Advanced Outputs'!C$60^$I$25)*$J$25*EXP(-(($L$25*($B232-$M$25))^$K$25))+$G$26))</f>
        <v>0.79346624067854143</v>
      </c>
      <c r="E232" s="75">
        <f t="shared" si="3"/>
        <v>0.93897242642958345</v>
      </c>
      <c r="F232" s="74"/>
      <c r="G232" s="6"/>
      <c r="H232" s="6"/>
      <c r="I232" s="6"/>
      <c r="J232" s="6"/>
      <c r="K232" s="6"/>
      <c r="L232" s="6"/>
      <c r="M232" s="6"/>
    </row>
    <row r="233" spans="1:13" hidden="1" x14ac:dyDescent="0.2">
      <c r="A233" s="60"/>
      <c r="B233" s="60">
        <v>592</v>
      </c>
      <c r="C233" s="75">
        <f>10^(-(($G$21+$H$21*'Advanced Outputs'!C$61^$I$21)*(($B233/$M$21)^-$K$21)+($G$22+$H$22*'Advanced Outputs'!C$61^$I$22)*$J$22*EXP(-(($L$22*($B233-$M$22))^$K$22))+($G$23+$H$23*'Advanced Outputs'!C$61^$I$23)*$J$23*EXP(-(($L$23*($B233-$M$23))^$K$23))+($G$24+$H$24*'Advanced Outputs'!C$61^$I$24)*$J$24*EXP(-(($L$24*($B233-$M$24))^$K$24))+($G$25+$H$25*'Advanced Outputs'!C$61^$I$25)*$J$25*EXP(-(($L$25*($B233-$M$25))^$K$25))+$G$26))</f>
        <v>0.74623524007237274</v>
      </c>
      <c r="D233" s="75">
        <f>10^(-(($G$21+$H$21*'Advanced Outputs'!C$60^$I$21)*(($B233/$M$21)^-$K$21)+($G$22+$H$22*'Advanced Outputs'!C$60^$I$22)*$J$22*EXP(-(($L$22*($B233-$M$22))^$K$22))+($G$23+$H$23*'Advanced Outputs'!C$60^$I$23)*$J$23*EXP(-(($L$23*($B233-$M$23))^$K$23))+($G$24+$H$24*'Advanced Outputs'!C$60^$I$24)*$J$24*EXP(-(($L$24*($B233-$M$24))^$K$24))+($G$25+$H$25*'Advanced Outputs'!C$60^$I$25)*$J$25*EXP(-(($L$25*($B233-$M$25))^$K$25))+$G$26))</f>
        <v>0.79407910541149718</v>
      </c>
      <c r="E233" s="75">
        <f t="shared" si="3"/>
        <v>0.93974924536727178</v>
      </c>
      <c r="F233" s="74"/>
      <c r="G233" s="6"/>
      <c r="H233" s="6"/>
      <c r="I233" s="6"/>
      <c r="J233" s="6"/>
      <c r="K233" s="6"/>
      <c r="L233" s="6"/>
      <c r="M233" s="6"/>
    </row>
    <row r="234" spans="1:13" hidden="1" x14ac:dyDescent="0.2">
      <c r="A234" s="60"/>
      <c r="B234" s="60">
        <v>593</v>
      </c>
      <c r="C234" s="75">
        <f>10^(-(($G$21+$H$21*'Advanced Outputs'!C$61^$I$21)*(($B234/$M$21)^-$K$21)+($G$22+$H$22*'Advanced Outputs'!C$61^$I$22)*$J$22*EXP(-(($L$22*($B234-$M$22))^$K$22))+($G$23+$H$23*'Advanced Outputs'!C$61^$I$23)*$J$23*EXP(-(($L$23*($B234-$M$23))^$K$23))+($G$24+$H$24*'Advanced Outputs'!C$61^$I$24)*$J$24*EXP(-(($L$24*($B234-$M$24))^$K$24))+($G$25+$H$25*'Advanced Outputs'!C$61^$I$25)*$J$25*EXP(-(($L$25*($B234-$M$25))^$K$25))+$G$26))</f>
        <v>0.74740839087397015</v>
      </c>
      <c r="D234" s="75">
        <f>10^(-(($G$21+$H$21*'Advanced Outputs'!C$60^$I$21)*(($B234/$M$21)^-$K$21)+($G$22+$H$22*'Advanced Outputs'!C$60^$I$22)*$J$22*EXP(-(($L$22*($B234-$M$22))^$K$22))+($G$23+$H$23*'Advanced Outputs'!C$60^$I$23)*$J$23*EXP(-(($L$23*($B234-$M$23))^$K$23))+($G$24+$H$24*'Advanced Outputs'!C$60^$I$24)*$J$24*EXP(-(($L$24*($B234-$M$24))^$K$24))+($G$25+$H$25*'Advanced Outputs'!C$60^$I$25)*$J$25*EXP(-(($L$25*($B234-$M$25))^$K$25))+$G$26))</f>
        <v>0.79468419456330042</v>
      </c>
      <c r="E234" s="75">
        <f t="shared" si="3"/>
        <v>0.94050994846410707</v>
      </c>
      <c r="F234" s="74"/>
      <c r="G234" s="6"/>
      <c r="H234" s="6"/>
      <c r="I234" s="6"/>
      <c r="J234" s="6"/>
      <c r="K234" s="6"/>
      <c r="L234" s="6"/>
      <c r="M234" s="6"/>
    </row>
    <row r="235" spans="1:13" hidden="1" x14ac:dyDescent="0.2">
      <c r="A235" s="60"/>
      <c r="B235" s="60">
        <v>594</v>
      </c>
      <c r="C235" s="75">
        <f>10^(-(($G$21+$H$21*'Advanced Outputs'!C$61^$I$21)*(($B235/$M$21)^-$K$21)+($G$22+$H$22*'Advanced Outputs'!C$61^$I$22)*$J$22*EXP(-(($L$22*($B235-$M$22))^$K$22))+($G$23+$H$23*'Advanced Outputs'!C$61^$I$23)*$J$23*EXP(-(($L$23*($B235-$M$23))^$K$23))+($G$24+$H$24*'Advanced Outputs'!C$61^$I$24)*$J$24*EXP(-(($L$24*($B235-$M$24))^$K$24))+($G$25+$H$25*'Advanced Outputs'!C$61^$I$25)*$J$25*EXP(-(($L$25*($B235-$M$25))^$K$25))+$G$26))</f>
        <v>0.74856272699993054</v>
      </c>
      <c r="D235" s="75">
        <f>10^(-(($G$21+$H$21*'Advanced Outputs'!C$60^$I$21)*(($B235/$M$21)^-$K$21)+($G$22+$H$22*'Advanced Outputs'!C$60^$I$22)*$J$22*EXP(-(($L$22*($B235-$M$22))^$K$22))+($G$23+$H$23*'Advanced Outputs'!C$60^$I$23)*$J$23*EXP(-(($L$23*($B235-$M$23))^$K$23))+($G$24+$H$24*'Advanced Outputs'!C$60^$I$24)*$J$24*EXP(-(($L$24*($B235-$M$24))^$K$24))+($G$25+$H$25*'Advanced Outputs'!C$60^$I$25)*$J$25*EXP(-(($L$25*($B235-$M$25))^$K$25))+$G$26))</f>
        <v>0.79528163915335803</v>
      </c>
      <c r="E235" s="75">
        <f t="shared" si="3"/>
        <v>0.94125488398906887</v>
      </c>
      <c r="F235" s="74"/>
      <c r="G235" s="6"/>
      <c r="H235" s="6"/>
      <c r="I235" s="6"/>
      <c r="J235" s="6"/>
      <c r="K235" s="6"/>
      <c r="L235" s="6"/>
      <c r="M235" s="6"/>
    </row>
    <row r="236" spans="1:13" hidden="1" x14ac:dyDescent="0.2">
      <c r="A236" s="60"/>
      <c r="B236" s="60">
        <v>595</v>
      </c>
      <c r="C236" s="75">
        <f>10^(-(($G$21+$H$21*'Advanced Outputs'!C$61^$I$21)*(($B236/$M$21)^-$K$21)+($G$22+$H$22*'Advanced Outputs'!C$61^$I$22)*$J$22*EXP(-(($L$22*($B236-$M$22))^$K$22))+($G$23+$H$23*'Advanced Outputs'!C$61^$I$23)*$J$23*EXP(-(($L$23*($B236-$M$23))^$K$23))+($G$24+$H$24*'Advanced Outputs'!C$61^$I$24)*$J$24*EXP(-(($L$24*($B236-$M$24))^$K$24))+($G$25+$H$25*'Advanced Outputs'!C$61^$I$25)*$J$25*EXP(-(($L$25*($B236-$M$25))^$K$25))+$G$26))</f>
        <v>0.74969859770033354</v>
      </c>
      <c r="D236" s="75">
        <f>10^(-(($G$21+$H$21*'Advanced Outputs'!C$60^$I$21)*(($B236/$M$21)^-$K$21)+($G$22+$H$22*'Advanced Outputs'!C$60^$I$22)*$J$22*EXP(-(($L$22*($B236-$M$22))^$K$22))+($G$23+$H$23*'Advanced Outputs'!C$60^$I$23)*$J$23*EXP(-(($L$23*($B236-$M$23))^$K$23))+($G$24+$H$24*'Advanced Outputs'!C$60^$I$24)*$J$24*EXP(-(($L$24*($B236-$M$24))^$K$24))+($G$25+$H$25*'Advanced Outputs'!C$60^$I$25)*$J$25*EXP(-(($L$25*($B236-$M$25))^$K$25))+$G$26))</f>
        <v>0.79587156828702765</v>
      </c>
      <c r="E236" s="75">
        <f t="shared" si="3"/>
        <v>0.94198439493689512</v>
      </c>
      <c r="F236" s="74"/>
      <c r="G236" s="6"/>
      <c r="H236" s="6"/>
      <c r="I236" s="6"/>
      <c r="J236" s="6"/>
      <c r="K236" s="6"/>
      <c r="L236" s="6"/>
      <c r="M236" s="6"/>
    </row>
    <row r="237" spans="1:13" hidden="1" x14ac:dyDescent="0.2">
      <c r="A237" s="60"/>
      <c r="B237" s="60">
        <v>596</v>
      </c>
      <c r="C237" s="75">
        <f>10^(-(($G$21+$H$21*'Advanced Outputs'!C$61^$I$21)*(($B237/$M$21)^-$K$21)+($G$22+$H$22*'Advanced Outputs'!C$61^$I$22)*$J$22*EXP(-(($L$22*($B237-$M$22))^$K$22))+($G$23+$H$23*'Advanced Outputs'!C$61^$I$23)*$J$23*EXP(-(($L$23*($B237-$M$23))^$K$23))+($G$24+$H$24*'Advanced Outputs'!C$61^$I$24)*$J$24*EXP(-(($L$24*($B237-$M$24))^$K$24))+($G$25+$H$25*'Advanced Outputs'!C$61^$I$25)*$J$25*EXP(-(($L$25*($B237-$M$25))^$K$25))+$G$26))</f>
        <v>0.75081634809024345</v>
      </c>
      <c r="D237" s="75">
        <f>10^(-(($G$21+$H$21*'Advanced Outputs'!C$60^$I$21)*(($B237/$M$21)^-$K$21)+($G$22+$H$22*'Advanced Outputs'!C$60^$I$22)*$J$22*EXP(-(($L$22*($B237-$M$22))^$K$22))+($G$23+$H$23*'Advanced Outputs'!C$60^$I$23)*$J$23*EXP(-(($L$23*($B237-$M$23))^$K$23))+($G$24+$H$24*'Advanced Outputs'!C$60^$I$24)*$J$24*EXP(-(($L$24*($B237-$M$24))^$K$24))+($G$25+$H$25*'Advanced Outputs'!C$60^$I$25)*$J$25*EXP(-(($L$25*($B237-$M$25))^$K$25))+$G$26))</f>
        <v>0.79645410915647874</v>
      </c>
      <c r="E237" s="75">
        <f t="shared" si="3"/>
        <v>0.94269881900092145</v>
      </c>
      <c r="F237" s="74"/>
      <c r="G237" s="6"/>
      <c r="H237" s="6"/>
      <c r="I237" s="6"/>
      <c r="J237" s="6"/>
      <c r="K237" s="6"/>
      <c r="L237" s="6"/>
      <c r="M237" s="6"/>
    </row>
    <row r="238" spans="1:13" hidden="1" x14ac:dyDescent="0.2">
      <c r="A238" s="60"/>
      <c r="B238" s="60">
        <v>597</v>
      </c>
      <c r="C238" s="75">
        <f>10^(-(($G$21+$H$21*'Advanced Outputs'!C$61^$I$21)*(($B238/$M$21)^-$K$21)+($G$22+$H$22*'Advanced Outputs'!C$61^$I$22)*$J$22*EXP(-(($L$22*($B238-$M$22))^$K$22))+($G$23+$H$23*'Advanced Outputs'!C$61^$I$23)*$J$23*EXP(-(($L$23*($B238-$M$23))^$K$23))+($G$24+$H$24*'Advanced Outputs'!C$61^$I$24)*$J$24*EXP(-(($L$24*($B238-$M$24))^$K$24))+($G$25+$H$25*'Advanced Outputs'!C$61^$I$25)*$J$25*EXP(-(($L$25*($B238-$M$25))^$K$25))+$G$26))</f>
        <v>0.75191631906736323</v>
      </c>
      <c r="D238" s="75">
        <f>10^(-(($G$21+$H$21*'Advanced Outputs'!C$60^$I$21)*(($B238/$M$21)^-$K$21)+($G$22+$H$22*'Advanced Outputs'!C$60^$I$22)*$J$22*EXP(-(($L$22*($B238-$M$22))^$K$22))+($G$23+$H$23*'Advanced Outputs'!C$60^$I$23)*$J$23*EXP(-(($L$23*($B238-$M$23))^$K$23))+($G$24+$H$24*'Advanced Outputs'!C$60^$I$24)*$J$24*EXP(-(($L$24*($B238-$M$24))^$K$24))+($G$25+$H$25*'Advanced Outputs'!C$60^$I$25)*$J$25*EXP(-(($L$25*($B238-$M$25))^$K$25))+$G$26))</f>
        <v>0.79702938704285164</v>
      </c>
      <c r="E238" s="75">
        <f t="shared" si="3"/>
        <v>0.94339848855151065</v>
      </c>
      <c r="F238" s="74"/>
      <c r="G238" s="6"/>
      <c r="H238" s="6"/>
      <c r="I238" s="6"/>
      <c r="J238" s="6"/>
      <c r="K238" s="6"/>
      <c r="L238" s="6"/>
      <c r="M238" s="6"/>
    </row>
    <row r="239" spans="1:13" hidden="1" x14ac:dyDescent="0.2">
      <c r="A239" s="60"/>
      <c r="B239" s="60">
        <v>598</v>
      </c>
      <c r="C239" s="75">
        <f>10^(-(($G$21+$H$21*'Advanced Outputs'!C$61^$I$21)*(($B239/$M$21)^-$K$21)+($G$22+$H$22*'Advanced Outputs'!C$61^$I$22)*$J$22*EXP(-(($L$22*($B239-$M$22))^$K$22))+($G$23+$H$23*'Advanced Outputs'!C$61^$I$23)*$J$23*EXP(-(($L$23*($B239-$M$23))^$K$23))+($G$24+$H$24*'Advanced Outputs'!C$61^$I$24)*$J$24*EXP(-(($L$24*($B239-$M$24))^$K$24))+($G$25+$H$25*'Advanced Outputs'!C$61^$I$25)*$J$25*EXP(-(($L$25*($B239-$M$25))^$K$25))+$G$26))</f>
        <v>0.7529988472369632</v>
      </c>
      <c r="D239" s="75">
        <f>10^(-(($G$21+$H$21*'Advanced Outputs'!C$60^$I$21)*(($B239/$M$21)^-$K$21)+($G$22+$H$22*'Advanced Outputs'!C$60^$I$22)*$J$22*EXP(-(($L$22*($B239-$M$22))^$K$22))+($G$23+$H$23*'Advanced Outputs'!C$60^$I$23)*$J$23*EXP(-(($L$23*($B239-$M$23))^$K$23))+($G$24+$H$24*'Advanced Outputs'!C$60^$I$24)*$J$24*EXP(-(($L$24*($B239-$M$24))^$K$24))+($G$25+$H$25*'Advanced Outputs'!C$60^$I$25)*$J$25*EXP(-(($L$25*($B239-$M$25))^$K$25))+$G$26))</f>
        <v>0.79759752531966976</v>
      </c>
      <c r="E239" s="75">
        <f t="shared" si="3"/>
        <v>0.94408373061986139</v>
      </c>
      <c r="F239" s="74"/>
      <c r="G239" s="6"/>
      <c r="H239" s="6"/>
      <c r="I239" s="6"/>
      <c r="J239" s="6"/>
      <c r="K239" s="6"/>
      <c r="L239" s="6"/>
      <c r="M239" s="6"/>
    </row>
    <row r="240" spans="1:13" hidden="1" x14ac:dyDescent="0.2">
      <c r="A240" s="60"/>
      <c r="B240" s="60">
        <v>599</v>
      </c>
      <c r="C240" s="75">
        <f>10^(-(($G$21+$H$21*'Advanced Outputs'!C$61^$I$21)*(($B240/$M$21)^-$K$21)+($G$22+$H$22*'Advanced Outputs'!C$61^$I$22)*$J$22*EXP(-(($L$22*($B240-$M$22))^$K$22))+($G$23+$H$23*'Advanced Outputs'!C$61^$I$23)*$J$23*EXP(-(($L$23*($B240-$M$23))^$K$23))+($G$24+$H$24*'Advanced Outputs'!C$61^$I$24)*$J$24*EXP(-(($L$24*($B240-$M$24))^$K$24))+($G$25+$H$25*'Advanced Outputs'!C$61^$I$25)*$J$25*EXP(-(($L$25*($B240-$M$25))^$K$25))+$G$26))</f>
        <v>0.75406426484385569</v>
      </c>
      <c r="D240" s="75">
        <f>10^(-(($G$21+$H$21*'Advanced Outputs'!C$60^$I$21)*(($B240/$M$21)^-$K$21)+($G$22+$H$22*'Advanced Outputs'!C$60^$I$22)*$J$22*EXP(-(($L$22*($B240-$M$22))^$K$22))+($G$23+$H$23*'Advanced Outputs'!C$60^$I$23)*$J$23*EXP(-(($L$23*($B240-$M$23))^$K$23))+($G$24+$H$24*'Advanced Outputs'!C$60^$I$24)*$J$24*EXP(-(($L$24*($B240-$M$24))^$K$24))+($G$25+$H$25*'Advanced Outputs'!C$60^$I$25)*$J$25*EXP(-(($L$25*($B240-$M$25))^$K$25))+$G$26))</f>
        <v>0.79815864545745019</v>
      </c>
      <c r="E240" s="75">
        <f t="shared" si="3"/>
        <v>0.94475486688699262</v>
      </c>
      <c r="F240" s="74"/>
      <c r="G240" s="6"/>
      <c r="H240" s="6"/>
      <c r="I240" s="6"/>
      <c r="J240" s="6"/>
      <c r="K240" s="6"/>
      <c r="L240" s="6"/>
      <c r="M240" s="6"/>
    </row>
    <row r="241" spans="1:13" hidden="1" x14ac:dyDescent="0.2">
      <c r="A241" s="60"/>
      <c r="B241" s="60">
        <v>600</v>
      </c>
      <c r="C241" s="75">
        <f>10^(-(($G$21+$H$21*'Advanced Outputs'!C$61^$I$21)*(($B241/$M$21)^-$K$21)+($G$22+$H$22*'Advanced Outputs'!C$61^$I$22)*$J$22*EXP(-(($L$22*($B241-$M$22))^$K$22))+($G$23+$H$23*'Advanced Outputs'!C$61^$I$23)*$J$23*EXP(-(($L$23*($B241-$M$23))^$K$23))+($G$24+$H$24*'Advanced Outputs'!C$61^$I$24)*$J$24*EXP(-(($L$24*($B241-$M$24))^$K$24))+($G$25+$H$25*'Advanced Outputs'!C$61^$I$25)*$J$25*EXP(-(($L$25*($B241-$M$25))^$K$25))+$G$26))</f>
        <v>0.75511289971119167</v>
      </c>
      <c r="D241" s="75">
        <f>10^(-(($G$21+$H$21*'Advanced Outputs'!C$60^$I$21)*(($B241/$M$21)^-$K$21)+($G$22+$H$22*'Advanced Outputs'!C$60^$I$22)*$J$22*EXP(-(($L$22*($B241-$M$22))^$K$22))+($G$23+$H$23*'Advanced Outputs'!C$60^$I$23)*$J$23*EXP(-(($L$23*($B241-$M$23))^$K$23))+($G$24+$H$24*'Advanced Outputs'!C$60^$I$24)*$J$24*EXP(-(($L$24*($B241-$M$24))^$K$24))+($G$25+$H$25*'Advanced Outputs'!C$60^$I$25)*$J$25*EXP(-(($L$25*($B241-$M$25))^$K$25))+$G$26))</f>
        <v>0.79871286702946742</v>
      </c>
      <c r="E241" s="75">
        <f t="shared" si="3"/>
        <v>0.94541221367770056</v>
      </c>
      <c r="F241" s="74"/>
      <c r="G241" s="6"/>
      <c r="H241" s="6"/>
      <c r="I241" s="6"/>
      <c r="J241" s="6"/>
      <c r="K241" s="6"/>
      <c r="L241" s="6"/>
      <c r="M241" s="6"/>
    </row>
    <row r="242" spans="1:13" hidden="1" x14ac:dyDescent="0.2">
      <c r="A242" s="60"/>
      <c r="B242" s="60">
        <v>601</v>
      </c>
      <c r="C242" s="75">
        <f>10^(-(($G$21+$H$21*'Advanced Outputs'!C$61^$I$21)*(($B242/$M$21)^-$K$21)+($G$22+$H$22*'Advanced Outputs'!C$61^$I$22)*$J$22*EXP(-(($L$22*($B242-$M$22))^$K$22))+($G$23+$H$23*'Advanced Outputs'!C$61^$I$23)*$J$23*EXP(-(($L$23*($B242-$M$23))^$K$23))+($G$24+$H$24*'Advanced Outputs'!C$61^$I$24)*$J$24*EXP(-(($L$24*($B242-$M$24))^$K$24))+($G$25+$H$25*'Advanced Outputs'!C$61^$I$25)*$J$25*EXP(-(($L$25*($B242-$M$25))^$K$25))+$G$26))</f>
        <v>0.75614507518585006</v>
      </c>
      <c r="D242" s="75">
        <f>10^(-(($G$21+$H$21*'Advanced Outputs'!C$60^$I$21)*(($B242/$M$21)^-$K$21)+($G$22+$H$22*'Advanced Outputs'!C$60^$I$22)*$J$22*EXP(-(($L$22*($B242-$M$22))^$K$22))+($G$23+$H$23*'Advanced Outputs'!C$60^$I$23)*$J$23*EXP(-(($L$23*($B242-$M$23))^$K$23))+($G$24+$H$24*'Advanced Outputs'!C$60^$I$24)*$J$24*EXP(-(($L$24*($B242-$M$24))^$K$24))+($G$25+$H$25*'Advanced Outputs'!C$60^$I$25)*$J$25*EXP(-(($L$25*($B242-$M$25))^$K$25))+$G$26))</f>
        <v>0.799260307718622</v>
      </c>
      <c r="E242" s="75">
        <f t="shared" si="3"/>
        <v>0.94605608195928259</v>
      </c>
      <c r="F242" s="74"/>
      <c r="G242" s="6"/>
      <c r="H242" s="6"/>
      <c r="I242" s="6"/>
      <c r="J242" s="6"/>
      <c r="K242" s="6"/>
      <c r="L242" s="6"/>
      <c r="M242" s="6"/>
    </row>
    <row r="243" spans="1:13" hidden="1" x14ac:dyDescent="0.2">
      <c r="A243" s="60"/>
      <c r="B243" s="60">
        <v>602</v>
      </c>
      <c r="C243" s="75">
        <f>10^(-(($G$21+$H$21*'Advanced Outputs'!C$61^$I$21)*(($B243/$M$21)^-$K$21)+($G$22+$H$22*'Advanced Outputs'!C$61^$I$22)*$J$22*EXP(-(($L$22*($B243-$M$22))^$K$22))+($G$23+$H$23*'Advanced Outputs'!C$61^$I$23)*$J$23*EXP(-(($L$23*($B243-$M$23))^$K$23))+($G$24+$H$24*'Advanced Outputs'!C$61^$I$24)*$J$24*EXP(-(($L$24*($B243-$M$24))^$K$24))+($G$25+$H$25*'Advanced Outputs'!C$61^$I$25)*$J$25*EXP(-(($L$25*($B243-$M$25))^$K$25))+$G$26))</f>
        <v>0.75716111009019726</v>
      </c>
      <c r="D243" s="75">
        <f>10^(-(($G$21+$H$21*'Advanced Outputs'!C$60^$I$21)*(($B243/$M$21)^-$K$21)+($G$22+$H$22*'Advanced Outputs'!C$60^$I$22)*$J$22*EXP(-(($L$22*($B243-$M$22))^$K$22))+($G$23+$H$23*'Advanced Outputs'!C$60^$I$23)*$J$23*EXP(-(($L$23*($B243-$M$23))^$K$23))+($G$24+$H$24*'Advanced Outputs'!C$60^$I$24)*$J$24*EXP(-(($L$24*($B243-$M$24))^$K$24))+($G$25+$H$25*'Advanced Outputs'!C$60^$I$25)*$J$25*EXP(-(($L$25*($B243-$M$25))^$K$25))+$G$26))</f>
        <v>0.79980108332536282</v>
      </c>
      <c r="E243" s="75">
        <f t="shared" si="3"/>
        <v>0.94668677734483708</v>
      </c>
      <c r="F243" s="74"/>
      <c r="G243" s="6"/>
      <c r="H243" s="6"/>
      <c r="I243" s="6"/>
      <c r="J243" s="6"/>
      <c r="K243" s="6"/>
      <c r="L243" s="6"/>
      <c r="M243" s="6"/>
    </row>
    <row r="244" spans="1:13" hidden="1" x14ac:dyDescent="0.2">
      <c r="A244" s="60"/>
      <c r="B244" s="60">
        <v>603</v>
      </c>
      <c r="C244" s="75">
        <f>10^(-(($G$21+$H$21*'Advanced Outputs'!C$61^$I$21)*(($B244/$M$21)^-$K$21)+($G$22+$H$22*'Advanced Outputs'!C$61^$I$22)*$J$22*EXP(-(($L$22*($B244-$M$22))^$K$22))+($G$23+$H$23*'Advanced Outputs'!C$61^$I$23)*$J$23*EXP(-(($L$23*($B244-$M$23))^$K$23))+($G$24+$H$24*'Advanced Outputs'!C$61^$I$24)*$J$24*EXP(-(($L$24*($B244-$M$24))^$K$24))+($G$25+$H$25*'Advanced Outputs'!C$61^$I$25)*$J$25*EXP(-(($L$25*($B244-$M$25))^$K$25))+$G$26))</f>
        <v>0.75816131867999281</v>
      </c>
      <c r="D244" s="75">
        <f>10^(-(($G$21+$H$21*'Advanced Outputs'!C$60^$I$21)*(($B244/$M$21)^-$K$21)+($G$22+$H$22*'Advanced Outputs'!C$60^$I$22)*$J$22*EXP(-(($L$22*($B244-$M$22))^$K$22))+($G$23+$H$23*'Advanced Outputs'!C$60^$I$23)*$J$23*EXP(-(($L$23*($B244-$M$23))^$K$23))+($G$24+$H$24*'Advanced Outputs'!C$60^$I$24)*$J$24*EXP(-(($L$24*($B244-$M$24))^$K$24))+($G$25+$H$25*'Advanced Outputs'!C$60^$I$25)*$J$25*EXP(-(($L$25*($B244-$M$25))^$K$25))+$G$26))</f>
        <v>0.80033530777662121</v>
      </c>
      <c r="E244" s="75">
        <f t="shared" si="3"/>
        <v>0.94730460010093742</v>
      </c>
      <c r="F244" s="74"/>
      <c r="G244" s="6"/>
      <c r="H244" s="6"/>
      <c r="I244" s="6"/>
      <c r="J244" s="6"/>
      <c r="K244" s="6"/>
      <c r="L244" s="6"/>
      <c r="M244" s="6"/>
    </row>
    <row r="245" spans="1:13" hidden="1" x14ac:dyDescent="0.2">
      <c r="A245" s="60"/>
      <c r="B245" s="60">
        <v>604</v>
      </c>
      <c r="C245" s="75">
        <f>10^(-(($G$21+$H$21*'Advanced Outputs'!C$61^$I$21)*(($B245/$M$21)^-$K$21)+($G$22+$H$22*'Advanced Outputs'!C$61^$I$22)*$J$22*EXP(-(($L$22*($B245-$M$22))^$K$22))+($G$23+$H$23*'Advanced Outputs'!C$61^$I$23)*$J$23*EXP(-(($L$23*($B245-$M$23))^$K$23))+($G$24+$H$24*'Advanced Outputs'!C$61^$I$24)*$J$24*EXP(-(($L$24*($B245-$M$24))^$K$24))+($G$25+$H$25*'Advanced Outputs'!C$61^$I$25)*$J$25*EXP(-(($L$25*($B245-$M$25))^$K$25))+$G$26))</f>
        <v>0.75914601060821929</v>
      </c>
      <c r="D245" s="75">
        <f>10^(-(($G$21+$H$21*'Advanced Outputs'!C$60^$I$21)*(($B245/$M$21)^-$K$21)+($G$22+$H$22*'Advanced Outputs'!C$60^$I$22)*$J$22*EXP(-(($L$22*($B245-$M$22))^$K$22))+($G$23+$H$23*'Advanced Outputs'!C$60^$I$23)*$J$23*EXP(-(($L$23*($B245-$M$23))^$K$23))+($G$24+$H$24*'Advanced Outputs'!C$60^$I$24)*$J$24*EXP(-(($L$24*($B245-$M$24))^$K$24))+($G$25+$H$25*'Advanced Outputs'!C$60^$I$25)*$J$25*EXP(-(($L$25*($B245-$M$25))^$K$25))+$G$26))</f>
        <v>0.80086309313570747</v>
      </c>
      <c r="E245" s="75">
        <f t="shared" si="3"/>
        <v>0.94790984515949073</v>
      </c>
      <c r="F245" s="74"/>
      <c r="G245" s="6"/>
      <c r="H245" s="6"/>
      <c r="I245" s="6"/>
      <c r="J245" s="6"/>
      <c r="K245" s="6"/>
      <c r="L245" s="6"/>
      <c r="M245" s="6"/>
    </row>
    <row r="246" spans="1:13" hidden="1" x14ac:dyDescent="0.2">
      <c r="A246" s="60"/>
      <c r="B246" s="60">
        <v>605</v>
      </c>
      <c r="C246" s="75">
        <f>10^(-(($G$21+$H$21*'Advanced Outputs'!C$61^$I$21)*(($B246/$M$21)^-$K$21)+($G$22+$H$22*'Advanced Outputs'!C$61^$I$22)*$J$22*EXP(-(($L$22*($B246-$M$22))^$K$22))+($G$23+$H$23*'Advanced Outputs'!C$61^$I$23)*$J$23*EXP(-(($L$23*($B246-$M$23))^$K$23))+($G$24+$H$24*'Advanced Outputs'!C$61^$I$24)*$J$24*EXP(-(($L$24*($B246-$M$24))^$K$24))+($G$25+$H$25*'Advanced Outputs'!C$61^$I$25)*$J$25*EXP(-(($L$25*($B246-$M$25))^$K$25))+$G$26))</f>
        <v>0.76011549089461783</v>
      </c>
      <c r="D246" s="75">
        <f>10^(-(($G$21+$H$21*'Advanced Outputs'!C$60^$I$21)*(($B246/$M$21)^-$K$21)+($G$22+$H$22*'Advanced Outputs'!C$60^$I$22)*$J$22*EXP(-(($L$22*($B246-$M$22))^$K$22))+($G$23+$H$23*'Advanced Outputs'!C$60^$I$23)*$J$23*EXP(-(($L$23*($B246-$M$23))^$K$23))+($G$24+$H$24*'Advanced Outputs'!C$60^$I$24)*$J$24*EXP(-(($L$24*($B246-$M$24))^$K$24))+($G$25+$H$25*'Advanced Outputs'!C$60^$I$25)*$J$25*EXP(-(($L$25*($B246-$M$25))^$K$25))+$G$26))</f>
        <v>0.80138454961312622</v>
      </c>
      <c r="E246" s="75">
        <f t="shared" si="3"/>
        <v>0.94850280213359328</v>
      </c>
      <c r="F246" s="74"/>
      <c r="G246" s="6"/>
      <c r="H246" s="6"/>
      <c r="I246" s="6"/>
      <c r="J246" s="6"/>
      <c r="K246" s="6"/>
      <c r="L246" s="6"/>
      <c r="M246" s="6"/>
    </row>
    <row r="247" spans="1:13" hidden="1" x14ac:dyDescent="0.2">
      <c r="A247" s="60"/>
      <c r="B247" s="60">
        <v>606</v>
      </c>
      <c r="C247" s="75">
        <f>10^(-(($G$21+$H$21*'Advanced Outputs'!C$61^$I$21)*(($B247/$M$21)^-$K$21)+($G$22+$H$22*'Advanced Outputs'!C$61^$I$22)*$J$22*EXP(-(($L$22*($B247-$M$22))^$K$22))+($G$23+$H$23*'Advanced Outputs'!C$61^$I$23)*$J$23*EXP(-(($L$23*($B247-$M$23))^$K$23))+($G$24+$H$24*'Advanced Outputs'!C$61^$I$24)*$J$24*EXP(-(($L$24*($B247-$M$24))^$K$24))+($G$25+$H$25*'Advanced Outputs'!C$61^$I$25)*$J$25*EXP(-(($L$25*($B247-$M$25))^$K$25))+$G$26))</f>
        <v>0.76107005990071153</v>
      </c>
      <c r="D247" s="75">
        <f>10^(-(($G$21+$H$21*'Advanced Outputs'!C$60^$I$21)*(($B247/$M$21)^-$K$21)+($G$22+$H$22*'Advanced Outputs'!C$60^$I$22)*$J$22*EXP(-(($L$22*($B247-$M$22))^$K$22))+($G$23+$H$23*'Advanced Outputs'!C$60^$I$23)*$J$23*EXP(-(($L$23*($B247-$M$23))^$K$23))+($G$24+$H$24*'Advanced Outputs'!C$60^$I$24)*$J$24*EXP(-(($L$24*($B247-$M$24))^$K$24))+($G$25+$H$25*'Advanced Outputs'!C$60^$I$25)*$J$25*EXP(-(($L$25*($B247-$M$25))^$K$25))+$G$26))</f>
        <v>0.80189978557826558</v>
      </c>
      <c r="E247" s="75">
        <f t="shared" si="3"/>
        <v>0.94908375533719469</v>
      </c>
      <c r="F247" s="74"/>
      <c r="G247" s="6"/>
      <c r="H247" s="6"/>
      <c r="I247" s="6"/>
      <c r="J247" s="6"/>
      <c r="K247" s="6"/>
      <c r="L247" s="6"/>
      <c r="M247" s="6"/>
    </row>
    <row r="248" spans="1:13" hidden="1" x14ac:dyDescent="0.2">
      <c r="A248" s="60"/>
      <c r="B248" s="60">
        <v>607</v>
      </c>
      <c r="C248" s="75">
        <f>10^(-(($G$21+$H$21*'Advanced Outputs'!C$61^$I$21)*(($B248/$M$21)^-$K$21)+($G$22+$H$22*'Advanced Outputs'!C$61^$I$22)*$J$22*EXP(-(($L$22*($B248-$M$22))^$K$22))+($G$23+$H$23*'Advanced Outputs'!C$61^$I$23)*$J$23*EXP(-(($L$23*($B248-$M$23))^$K$23))+($G$24+$H$24*'Advanced Outputs'!C$61^$I$24)*$J$24*EXP(-(($L$24*($B248-$M$24))^$K$24))+($G$25+$H$25*'Advanced Outputs'!C$61^$I$25)*$J$25*EXP(-(($L$25*($B248-$M$25))^$K$25))+$G$26))</f>
        <v>0.76201001331010276</v>
      </c>
      <c r="D248" s="75">
        <f>10^(-(($G$21+$H$21*'Advanced Outputs'!C$60^$I$21)*(($B248/$M$21)^-$K$21)+($G$22+$H$22*'Advanced Outputs'!C$60^$I$22)*$J$22*EXP(-(($L$22*($B248-$M$22))^$K$22))+($G$23+$H$23*'Advanced Outputs'!C$60^$I$23)*$J$23*EXP(-(($L$23*($B248-$M$23))^$K$23))+($G$24+$H$24*'Advanced Outputs'!C$60^$I$24)*$J$24*EXP(-(($L$24*($B248-$M$24))^$K$24))+($G$25+$H$25*'Advanced Outputs'!C$60^$I$25)*$J$25*EXP(-(($L$25*($B248-$M$25))^$K$25))+$G$26))</f>
        <v>0.80240890757191619</v>
      </c>
      <c r="E248" s="75">
        <f t="shared" si="3"/>
        <v>0.94965298380839236</v>
      </c>
      <c r="F248" s="74"/>
      <c r="G248" s="6"/>
      <c r="H248" s="6"/>
      <c r="I248" s="6"/>
      <c r="J248" s="6"/>
      <c r="K248" s="6"/>
      <c r="L248" s="6"/>
      <c r="M248" s="6"/>
    </row>
    <row r="249" spans="1:13" hidden="1" x14ac:dyDescent="0.2">
      <c r="A249" s="60"/>
      <c r="B249" s="60">
        <v>608</v>
      </c>
      <c r="C249" s="75">
        <f>10^(-(($G$21+$H$21*'Advanced Outputs'!C$61^$I$21)*(($B249/$M$21)^-$K$21)+($G$22+$H$22*'Advanced Outputs'!C$61^$I$22)*$J$22*EXP(-(($L$22*($B249-$M$22))^$K$22))+($G$23+$H$23*'Advanced Outputs'!C$61^$I$23)*$J$23*EXP(-(($L$23*($B249-$M$23))^$K$23))+($G$24+$H$24*'Advanced Outputs'!C$61^$I$24)*$J$24*EXP(-(($L$24*($B249-$M$24))^$K$24))+($G$25+$H$25*'Advanced Outputs'!C$61^$I$25)*$J$25*EXP(-(($L$25*($B249-$M$25))^$K$25))+$G$26))</f>
        <v>0.7629356421138318</v>
      </c>
      <c r="D249" s="75">
        <f>10^(-(($G$21+$H$21*'Advanced Outputs'!C$60^$I$21)*(($B249/$M$21)^-$K$21)+($G$22+$H$22*'Advanced Outputs'!C$60^$I$22)*$J$22*EXP(-(($L$22*($B249-$M$22))^$K$22))+($G$23+$H$23*'Advanced Outputs'!C$60^$I$23)*$J$23*EXP(-(($L$23*($B249-$M$23))^$K$23))+($G$24+$H$24*'Advanced Outputs'!C$60^$I$24)*$J$24*EXP(-(($L$24*($B249-$M$24))^$K$24))+($G$25+$H$25*'Advanced Outputs'!C$60^$I$25)*$J$25*EXP(-(($L$25*($B249-$M$25))^$K$25))+$G$26))</f>
        <v>0.80291202031957876</v>
      </c>
      <c r="E249" s="75">
        <f t="shared" si="3"/>
        <v>0.9502107613361731</v>
      </c>
      <c r="F249" s="74"/>
      <c r="G249" s="6"/>
      <c r="H249" s="6"/>
      <c r="I249" s="6"/>
      <c r="J249" s="6"/>
      <c r="K249" s="6"/>
      <c r="L249" s="6"/>
      <c r="M249" s="6"/>
    </row>
    <row r="250" spans="1:13" hidden="1" x14ac:dyDescent="0.2">
      <c r="A250" s="60"/>
      <c r="B250" s="60">
        <v>609</v>
      </c>
      <c r="C250" s="75">
        <f>10^(-(($G$21+$H$21*'Advanced Outputs'!C$61^$I$21)*(($B250/$M$21)^-$K$21)+($G$22+$H$22*'Advanced Outputs'!C$61^$I$22)*$J$22*EXP(-(($L$22*($B250-$M$22))^$K$22))+($G$23+$H$23*'Advanced Outputs'!C$61^$I$23)*$J$23*EXP(-(($L$23*($B250-$M$23))^$K$23))+($G$24+$H$24*'Advanced Outputs'!C$61^$I$24)*$J$24*EXP(-(($L$24*($B250-$M$24))^$K$24))+($G$25+$H$25*'Advanced Outputs'!C$61^$I$25)*$J$25*EXP(-(($L$25*($B250-$M$25))^$K$25))+$G$26))</f>
        <v>0.76384723260059006</v>
      </c>
      <c r="D250" s="75">
        <f>10^(-(($G$21+$H$21*'Advanced Outputs'!C$60^$I$21)*(($B250/$M$21)^-$K$21)+($G$22+$H$22*'Advanced Outputs'!C$60^$I$22)*$J$22*EXP(-(($L$22*($B250-$M$22))^$K$22))+($G$23+$H$23*'Advanced Outputs'!C$60^$I$23)*$J$23*EXP(-(($L$23*($B250-$M$23))^$K$23))+($G$24+$H$24*'Advanced Outputs'!C$60^$I$24)*$J$24*EXP(-(($L$24*($B250-$M$24))^$K$24))+($G$25+$H$25*'Advanced Outputs'!C$60^$I$25)*$J$25*EXP(-(($L$25*($B250-$M$25))^$K$25))+$G$26))</f>
        <v>0.80340922674551707</v>
      </c>
      <c r="E250" s="75">
        <f t="shared" si="3"/>
        <v>0.95075735649043225</v>
      </c>
      <c r="F250" s="74"/>
      <c r="G250" s="6"/>
      <c r="H250" s="6"/>
      <c r="I250" s="6"/>
      <c r="J250" s="6"/>
      <c r="K250" s="6"/>
      <c r="L250" s="6"/>
      <c r="M250" s="6"/>
    </row>
    <row r="251" spans="1:13" hidden="1" x14ac:dyDescent="0.2">
      <c r="A251" s="60"/>
      <c r="B251" s="60">
        <v>610</v>
      </c>
      <c r="C251" s="75">
        <f>10^(-(($G$21+$H$21*'Advanced Outputs'!C$61^$I$21)*(($B251/$M$21)^-$K$21)+($G$22+$H$22*'Advanced Outputs'!C$61^$I$22)*$J$22*EXP(-(($L$22*($B251-$M$22))^$K$22))+($G$23+$H$23*'Advanced Outputs'!C$61^$I$23)*$J$23*EXP(-(($L$23*($B251-$M$23))^$K$23))+($G$24+$H$24*'Advanced Outputs'!C$61^$I$24)*$J$24*EXP(-(($L$24*($B251-$M$24))^$K$24))+($G$25+$H$25*'Advanced Outputs'!C$61^$I$25)*$J$25*EXP(-(($L$25*($B251-$M$25))^$K$25))+$G$26))</f>
        <v>0.76474506635158057</v>
      </c>
      <c r="D251" s="75">
        <f>10^(-(($G$21+$H$21*'Advanced Outputs'!C$60^$I$21)*(($B251/$M$21)^-$K$21)+($G$22+$H$22*'Advanced Outputs'!C$60^$I$22)*$J$22*EXP(-(($L$22*($B251-$M$22))^$K$22))+($G$23+$H$23*'Advanced Outputs'!C$60^$I$23)*$J$23*EXP(-(($L$23*($B251-$M$23))^$K$23))+($G$24+$H$24*'Advanced Outputs'!C$60^$I$24)*$J$24*EXP(-(($L$24*($B251-$M$24))^$K$24))+($G$25+$H$25*'Advanced Outputs'!C$60^$I$25)*$J$25*EXP(-(($L$25*($B251-$M$25))^$K$25))+$G$26))</f>
        <v>0.80390062798751649</v>
      </c>
      <c r="E251" s="75">
        <f t="shared" si="3"/>
        <v>0.95129303265509579</v>
      </c>
      <c r="F251" s="74"/>
      <c r="G251" s="6"/>
      <c r="H251" s="6"/>
      <c r="I251" s="6"/>
      <c r="J251" s="6"/>
      <c r="K251" s="6"/>
      <c r="L251" s="6"/>
      <c r="M251" s="6"/>
    </row>
    <row r="252" spans="1:13" hidden="1" x14ac:dyDescent="0.2">
      <c r="A252" s="60"/>
      <c r="B252" s="60">
        <v>611</v>
      </c>
      <c r="C252" s="75">
        <f>10^(-(($G$21+$H$21*'Advanced Outputs'!C$61^$I$21)*(($B252/$M$21)^-$K$21)+($G$22+$H$22*'Advanced Outputs'!C$61^$I$22)*$J$22*EXP(-(($L$22*($B252-$M$22))^$K$22))+($G$23+$H$23*'Advanced Outputs'!C$61^$I$23)*$J$23*EXP(-(($L$23*($B252-$M$23))^$K$23))+($G$24+$H$24*'Advanced Outputs'!C$61^$I$24)*$J$24*EXP(-(($L$24*($B252-$M$24))^$K$24))+($G$25+$H$25*'Advanced Outputs'!C$61^$I$25)*$J$25*EXP(-(($L$25*($B252-$M$25))^$K$25))+$G$26))</f>
        <v>0.76562942023982494</v>
      </c>
      <c r="D252" s="75">
        <f>10^(-(($G$21+$H$21*'Advanced Outputs'!C$60^$I$21)*(($B252/$M$21)^-$K$21)+($G$22+$H$22*'Advanced Outputs'!C$60^$I$22)*$J$22*EXP(-(($L$22*($B252-$M$22))^$K$22))+($G$23+$H$23*'Advanced Outputs'!C$60^$I$23)*$J$23*EXP(-(($L$23*($B252-$M$23))^$K$23))+($G$24+$H$24*'Advanced Outputs'!C$60^$I$24)*$J$24*EXP(-(($L$24*($B252-$M$24))^$K$24))+($G$25+$H$25*'Advanced Outputs'!C$60^$I$25)*$J$25*EXP(-(($L$25*($B252-$M$25))^$K$25))+$G$26))</f>
        <v>0.80438632341230654</v>
      </c>
      <c r="E252" s="75">
        <f t="shared" si="3"/>
        <v>0.95181804806418135</v>
      </c>
      <c r="F252" s="74"/>
      <c r="G252" s="6"/>
      <c r="H252" s="6"/>
      <c r="I252" s="6"/>
      <c r="J252" s="6"/>
      <c r="K252" s="6"/>
      <c r="L252" s="6"/>
      <c r="M252" s="6"/>
    </row>
    <row r="253" spans="1:13" hidden="1" x14ac:dyDescent="0.2">
      <c r="A253" s="60"/>
      <c r="B253" s="60">
        <v>612</v>
      </c>
      <c r="C253" s="75">
        <f>10^(-(($G$21+$H$21*'Advanced Outputs'!C$61^$I$21)*(($B253/$M$21)^-$K$21)+($G$22+$H$22*'Advanced Outputs'!C$61^$I$22)*$J$22*EXP(-(($L$22*($B253-$M$22))^$K$22))+($G$23+$H$23*'Advanced Outputs'!C$61^$I$23)*$J$23*EXP(-(($L$23*($B253-$M$23))^$K$23))+($G$24+$H$24*'Advanced Outputs'!C$61^$I$24)*$J$24*EXP(-(($L$24*($B253-$M$24))^$K$24))+($G$25+$H$25*'Advanced Outputs'!C$61^$I$25)*$J$25*EXP(-(($L$25*($B253-$M$25))^$K$25))+$G$26))</f>
        <v>0.76650056643371867</v>
      </c>
      <c r="D253" s="75">
        <f>10^(-(($G$21+$H$21*'Advanced Outputs'!C$60^$I$21)*(($B253/$M$21)^-$K$21)+($G$22+$H$22*'Advanced Outputs'!C$60^$I$22)*$J$22*EXP(-(($L$22*($B253-$M$22))^$K$22))+($G$23+$H$23*'Advanced Outputs'!C$60^$I$23)*$J$23*EXP(-(($L$23*($B253-$M$23))^$K$23))+($G$24+$H$24*'Advanced Outputs'!C$60^$I$24)*$J$24*EXP(-(($L$24*($B253-$M$24))^$K$24))+($G$25+$H$25*'Advanced Outputs'!C$60^$I$25)*$J$25*EXP(-(($L$25*($B253-$M$25))^$K$25))+$G$26))</f>
        <v>0.80486641063161024</v>
      </c>
      <c r="E253" s="75">
        <f t="shared" si="3"/>
        <v>0.95233265584063276</v>
      </c>
      <c r="F253" s="74"/>
      <c r="G253" s="6"/>
      <c r="H253" s="6"/>
      <c r="I253" s="6"/>
      <c r="J253" s="6"/>
      <c r="K253" s="6"/>
      <c r="L253" s="6"/>
      <c r="M253" s="6"/>
    </row>
    <row r="254" spans="1:13" hidden="1" x14ac:dyDescent="0.2">
      <c r="A254" s="60"/>
      <c r="B254" s="60">
        <v>613</v>
      </c>
      <c r="C254" s="75">
        <f>10^(-(($G$21+$H$21*'Advanced Outputs'!C$61^$I$21)*(($B254/$M$21)^-$K$21)+($G$22+$H$22*'Advanced Outputs'!C$61^$I$22)*$J$22*EXP(-(($L$22*($B254-$M$22))^$K$22))+($G$23+$H$23*'Advanced Outputs'!C$61^$I$23)*$J$23*EXP(-(($L$23*($B254-$M$23))^$K$23))+($G$24+$H$24*'Advanced Outputs'!C$61^$I$24)*$J$24*EXP(-(($L$24*($B254-$M$24))^$K$24))+($G$25+$H$25*'Advanced Outputs'!C$61^$I$25)*$J$25*EXP(-(($L$25*($B254-$M$25))^$K$25))+$G$26))</f>
        <v>0.76735877240463846</v>
      </c>
      <c r="D254" s="75">
        <f>10^(-(($G$21+$H$21*'Advanced Outputs'!C$60^$I$21)*(($B254/$M$21)^-$K$21)+($G$22+$H$22*'Advanced Outputs'!C$60^$I$22)*$J$22*EXP(-(($L$22*($B254-$M$22))^$K$22))+($G$23+$H$23*'Advanced Outputs'!C$60^$I$23)*$J$23*EXP(-(($L$23*($B254-$M$23))^$K$23))+($G$24+$H$24*'Advanced Outputs'!C$60^$I$24)*$J$24*EXP(-(($L$24*($B254-$M$24))^$K$24))+($G$25+$H$25*'Advanced Outputs'!C$60^$I$25)*$J$25*EXP(-(($L$25*($B254-$M$25))^$K$25))+$G$26))</f>
        <v>0.80534098551878053</v>
      </c>
      <c r="E254" s="75">
        <f t="shared" si="3"/>
        <v>0.95283710403776989</v>
      </c>
      <c r="F254" s="74"/>
      <c r="G254" s="6"/>
      <c r="H254" s="6"/>
      <c r="I254" s="6"/>
      <c r="J254" s="6"/>
      <c r="K254" s="6"/>
      <c r="L254" s="6"/>
      <c r="M254" s="6"/>
    </row>
    <row r="255" spans="1:13" hidden="1" x14ac:dyDescent="0.2">
      <c r="A255" s="60"/>
      <c r="B255" s="60">
        <v>614</v>
      </c>
      <c r="C255" s="75">
        <f>10^(-(($G$21+$H$21*'Advanced Outputs'!C$61^$I$21)*(($B255/$M$21)^-$K$21)+($G$22+$H$22*'Advanced Outputs'!C$61^$I$22)*$J$22*EXP(-(($L$22*($B255-$M$22))^$K$22))+($G$23+$H$23*'Advanced Outputs'!C$61^$I$23)*$J$23*EXP(-(($L$23*($B255-$M$23))^$K$23))+($G$24+$H$24*'Advanced Outputs'!C$61^$I$24)*$J$24*EXP(-(($L$24*($B255-$M$24))^$K$24))+($G$25+$H$25*'Advanced Outputs'!C$61^$I$25)*$J$25*EXP(-(($L$25*($B255-$M$25))^$K$25))+$G$26))</f>
        <v>0.76820430093841452</v>
      </c>
      <c r="D255" s="75">
        <f>10^(-(($G$21+$H$21*'Advanced Outputs'!C$60^$I$21)*(($B255/$M$21)^-$K$21)+($G$22+$H$22*'Advanced Outputs'!C$60^$I$22)*$J$22*EXP(-(($L$22*($B255-$M$22))^$K$22))+($G$23+$H$23*'Advanced Outputs'!C$60^$I$23)*$J$23*EXP(-(($L$23*($B255-$M$23))^$K$23))+($G$24+$H$24*'Advanced Outputs'!C$60^$I$24)*$J$24*EXP(-(($L$24*($B255-$M$24))^$K$24))+($G$25+$H$25*'Advanced Outputs'!C$60^$I$25)*$J$25*EXP(-(($L$25*($B255-$M$25))^$K$25))+$G$26))</f>
        <v>0.80581014222598835</v>
      </c>
      <c r="E255" s="75">
        <f t="shared" si="3"/>
        <v>0.95333163568320123</v>
      </c>
      <c r="F255" s="74"/>
      <c r="G255" s="6"/>
      <c r="H255" s="6"/>
      <c r="I255" s="6"/>
      <c r="J255" s="6"/>
      <c r="K255" s="6"/>
      <c r="L255" s="6"/>
      <c r="M255" s="6"/>
    </row>
    <row r="256" spans="1:13" hidden="1" x14ac:dyDescent="0.2">
      <c r="A256" s="60"/>
      <c r="B256" s="60">
        <v>615</v>
      </c>
      <c r="C256" s="75">
        <f>10^(-(($G$21+$H$21*'Advanced Outputs'!C$61^$I$21)*(($B256/$M$21)^-$K$21)+($G$22+$H$22*'Advanced Outputs'!C$61^$I$22)*$J$22*EXP(-(($L$22*($B256-$M$22))^$K$22))+($G$23+$H$23*'Advanced Outputs'!C$61^$I$23)*$J$23*EXP(-(($L$23*($B256-$M$23))^$K$23))+($G$24+$H$24*'Advanced Outputs'!C$61^$I$24)*$J$24*EXP(-(($L$24*($B256-$M$24))^$K$24))+($G$25+$H$25*'Advanced Outputs'!C$61^$I$25)*$J$25*EXP(-(($L$25*($B256-$M$25))^$K$25))+$G$26))</f>
        <v>0.76903741015047533</v>
      </c>
      <c r="D256" s="75">
        <f>10^(-(($G$21+$H$21*'Advanced Outputs'!C$60^$I$21)*(($B256/$M$21)^-$K$21)+($G$22+$H$22*'Advanced Outputs'!C$60^$I$22)*$J$22*EXP(-(($L$22*($B256-$M$22))^$K$22))+($G$23+$H$23*'Advanced Outputs'!C$60^$I$23)*$J$23*EXP(-(($L$23*($B256-$M$23))^$K$23))+($G$24+$H$24*'Advanced Outputs'!C$60^$I$24)*$J$24*EXP(-(($L$24*($B256-$M$24))^$K$24))+($G$25+$H$25*'Advanced Outputs'!C$60^$I$25)*$J$25*EXP(-(($L$25*($B256-$M$25))^$K$25))+$G$26))</f>
        <v>0.80627397320192251</v>
      </c>
      <c r="E256" s="75">
        <f t="shared" si="3"/>
        <v>0.953816488825044</v>
      </c>
      <c r="F256" s="74"/>
      <c r="G256" s="6"/>
      <c r="H256" s="6"/>
      <c r="I256" s="6"/>
      <c r="J256" s="6"/>
      <c r="K256" s="6"/>
      <c r="L256" s="6"/>
      <c r="M256" s="6"/>
    </row>
    <row r="257" spans="1:13" hidden="1" x14ac:dyDescent="0.2">
      <c r="A257" s="60"/>
      <c r="B257" s="60">
        <v>616</v>
      </c>
      <c r="C257" s="75">
        <f>10^(-(($G$21+$H$21*'Advanced Outputs'!C$61^$I$21)*(($B257/$M$21)^-$K$21)+($G$22+$H$22*'Advanced Outputs'!C$61^$I$22)*$J$22*EXP(-(($L$22*($B257-$M$22))^$K$22))+($G$23+$H$23*'Advanced Outputs'!C$61^$I$23)*$J$23*EXP(-(($L$23*($B257-$M$23))^$K$23))+($G$24+$H$24*'Advanced Outputs'!C$61^$I$24)*$J$24*EXP(-(($L$24*($B257-$M$24))^$K$24))+($G$25+$H$25*'Advanced Outputs'!C$61^$I$25)*$J$25*EXP(-(($L$25*($B257-$M$25))^$K$25))+$G$26))</f>
        <v>0.76985835350448828</v>
      </c>
      <c r="D257" s="75">
        <f>10^(-(($G$21+$H$21*'Advanced Outputs'!C$60^$I$21)*(($B257/$M$21)^-$K$21)+($G$22+$H$22*'Advanced Outputs'!C$60^$I$22)*$J$22*EXP(-(($L$22*($B257-$M$22))^$K$22))+($G$23+$H$23*'Advanced Outputs'!C$60^$I$23)*$J$23*EXP(-(($L$23*($B257-$M$23))^$K$23))+($G$24+$H$24*'Advanced Outputs'!C$60^$I$24)*$J$24*EXP(-(($L$24*($B257-$M$24))^$K$24))+($G$25+$H$25*'Advanced Outputs'!C$60^$I$25)*$J$25*EXP(-(($L$25*($B257-$M$25))^$K$25))+$G$26))</f>
        <v>0.80673256920997127</v>
      </c>
      <c r="E257" s="75">
        <f t="shared" si="3"/>
        <v>0.95429189658030822</v>
      </c>
      <c r="F257" s="74"/>
      <c r="G257" s="6"/>
      <c r="H257" s="6"/>
      <c r="I257" s="6"/>
      <c r="J257" s="6"/>
      <c r="K257" s="6"/>
      <c r="L257" s="6"/>
      <c r="M257" s="6"/>
    </row>
    <row r="258" spans="1:13" hidden="1" x14ac:dyDescent="0.2">
      <c r="A258" s="60"/>
      <c r="B258" s="60">
        <v>617</v>
      </c>
      <c r="C258" s="75">
        <f>10^(-(($G$21+$H$21*'Advanced Outputs'!C$61^$I$21)*(($B258/$M$21)^-$K$21)+($G$22+$H$22*'Advanced Outputs'!C$61^$I$22)*$J$22*EXP(-(($L$22*($B258-$M$22))^$K$22))+($G$23+$H$23*'Advanced Outputs'!C$61^$I$23)*$J$23*EXP(-(($L$23*($B258-$M$23))^$K$23))+($G$24+$H$24*'Advanced Outputs'!C$61^$I$24)*$J$24*EXP(-(($L$24*($B258-$M$24))^$K$24))+($G$25+$H$25*'Advanced Outputs'!C$61^$I$25)*$J$25*EXP(-(($L$25*($B258-$M$25))^$K$25))+$G$26))</f>
        <v>0.77066737983431266</v>
      </c>
      <c r="D258" s="75">
        <f>10^(-(($G$21+$H$21*'Advanced Outputs'!C$60^$I$21)*(($B258/$M$21)^-$K$21)+($G$22+$H$22*'Advanced Outputs'!C$60^$I$22)*$J$22*EXP(-(($L$22*($B258-$M$22))^$K$22))+($G$23+$H$23*'Advanced Outputs'!C$60^$I$23)*$J$23*EXP(-(($L$23*($B258-$M$23))^$K$23))+($G$24+$H$24*'Advanced Outputs'!C$60^$I$24)*$J$24*EXP(-(($L$24*($B258-$M$24))^$K$24))+($G$25+$H$25*'Advanced Outputs'!C$60^$I$25)*$J$25*EXP(-(($L$25*($B258-$M$25))^$K$25))+$G$26))</f>
        <v>0.80718601934684697</v>
      </c>
      <c r="E258" s="75">
        <f t="shared" si="3"/>
        <v>0.95475808718530064</v>
      </c>
      <c r="F258" s="74"/>
      <c r="G258" s="6"/>
      <c r="H258" s="6"/>
      <c r="I258" s="6"/>
      <c r="J258" s="6"/>
      <c r="K258" s="6"/>
      <c r="L258" s="6"/>
      <c r="M258" s="6"/>
    </row>
    <row r="259" spans="1:13" hidden="1" x14ac:dyDescent="0.2">
      <c r="A259" s="60"/>
      <c r="B259" s="60">
        <v>618</v>
      </c>
      <c r="C259" s="75">
        <f>10^(-(($G$21+$H$21*'Advanced Outputs'!C$61^$I$21)*(($B259/$M$21)^-$K$21)+($G$22+$H$22*'Advanced Outputs'!C$61^$I$22)*$J$22*EXP(-(($L$22*($B259-$M$22))^$K$22))+($G$23+$H$23*'Advanced Outputs'!C$61^$I$23)*$J$23*EXP(-(($L$23*($B259-$M$23))^$K$23))+($G$24+$H$24*'Advanced Outputs'!C$61^$I$24)*$J$24*EXP(-(($L$24*($B259-$M$24))^$K$24))+($G$25+$H$25*'Advanced Outputs'!C$61^$I$25)*$J$25*EXP(-(($L$25*($B259-$M$25))^$K$25))+$G$26))</f>
        <v>0.77146473336909416</v>
      </c>
      <c r="D259" s="75">
        <f>10^(-(($G$21+$H$21*'Advanced Outputs'!C$60^$I$21)*(($B259/$M$21)^-$K$21)+($G$22+$H$22*'Advanced Outputs'!C$60^$I$22)*$J$22*EXP(-(($L$22*($B259-$M$22))^$K$22))+($G$23+$H$23*'Advanced Outputs'!C$60^$I$23)*$J$23*EXP(-(($L$23*($B259-$M$23))^$K$23))+($G$24+$H$24*'Advanced Outputs'!C$60^$I$24)*$J$24*EXP(-(($L$24*($B259-$M$24))^$K$24))+($G$25+$H$25*'Advanced Outputs'!C$60^$I$25)*$J$25*EXP(-(($L$25*($B259-$M$25))^$K$25))+$G$26))</f>
        <v>0.80763441106162048</v>
      </c>
      <c r="E259" s="75">
        <f t="shared" si="3"/>
        <v>0.95521528404791223</v>
      </c>
      <c r="F259" s="74"/>
      <c r="G259" s="6"/>
      <c r="H259" s="6"/>
      <c r="I259" s="6"/>
      <c r="J259" s="6"/>
      <c r="K259" s="6"/>
      <c r="L259" s="6"/>
      <c r="M259" s="6"/>
    </row>
    <row r="260" spans="1:13" hidden="1" x14ac:dyDescent="0.2">
      <c r="A260" s="60"/>
      <c r="B260" s="60">
        <v>619</v>
      </c>
      <c r="C260" s="75">
        <f>10^(-(($G$21+$H$21*'Advanced Outputs'!C$61^$I$21)*(($B260/$M$21)^-$K$21)+($G$22+$H$22*'Advanced Outputs'!C$61^$I$22)*$J$22*EXP(-(($L$22*($B260-$M$22))^$K$22))+($G$23+$H$23*'Advanced Outputs'!C$61^$I$23)*$J$23*EXP(-(($L$23*($B260-$M$23))^$K$23))+($G$24+$H$24*'Advanced Outputs'!C$61^$I$24)*$J$24*EXP(-(($L$24*($B260-$M$24))^$K$24))+($G$25+$H$25*'Advanced Outputs'!C$61^$I$25)*$J$25*EXP(-(($L$25*($B260-$M$25))^$K$25))+$G$26))</f>
        <v>0.77225065376132762</v>
      </c>
      <c r="D260" s="75">
        <f>10^(-(($G$21+$H$21*'Advanced Outputs'!C$60^$I$21)*(($B260/$M$21)^-$K$21)+($G$22+$H$22*'Advanced Outputs'!C$60^$I$22)*$J$22*EXP(-(($L$22*($B260-$M$22))^$K$22))+($G$23+$H$23*'Advanced Outputs'!C$60^$I$23)*$J$23*EXP(-(($L$23*($B260-$M$23))^$K$23))+($G$24+$H$24*'Advanced Outputs'!C$60^$I$24)*$J$24*EXP(-(($L$24*($B260-$M$24))^$K$24))+($G$25+$H$25*'Advanced Outputs'!C$60^$I$25)*$J$25*EXP(-(($L$25*($B260-$M$25))^$K$25))+$G$26))</f>
        <v>0.80807783017513657</v>
      </c>
      <c r="E260" s="75">
        <f t="shared" si="3"/>
        <v>0.95566370580165028</v>
      </c>
      <c r="F260" s="74"/>
      <c r="G260" s="6"/>
      <c r="H260" s="6"/>
      <c r="I260" s="6"/>
      <c r="J260" s="6"/>
      <c r="K260" s="6"/>
      <c r="L260" s="6"/>
      <c r="M260" s="6"/>
    </row>
    <row r="261" spans="1:13" hidden="1" x14ac:dyDescent="0.2">
      <c r="A261" s="60"/>
      <c r="B261" s="60">
        <v>620</v>
      </c>
      <c r="C261" s="75">
        <f>10^(-(($G$21+$H$21*'Advanced Outputs'!C$61^$I$21)*(($B261/$M$21)^-$K$21)+($G$22+$H$22*'Advanced Outputs'!C$61^$I$22)*$J$22*EXP(-(($L$22*($B261-$M$22))^$K$22))+($G$23+$H$23*'Advanced Outputs'!C$61^$I$23)*$J$23*EXP(-(($L$23*($B261-$M$23))^$K$23))+($G$24+$H$24*'Advanced Outputs'!C$61^$I$24)*$J$24*EXP(-(($L$24*($B261-$M$24))^$K$24))+($G$25+$H$25*'Advanced Outputs'!C$61^$I$25)*$J$25*EXP(-(($L$25*($B261-$M$25))^$K$25))+$G$26))</f>
        <v>0.77302537611772482</v>
      </c>
      <c r="D261" s="75">
        <f>10^(-(($G$21+$H$21*'Advanced Outputs'!C$60^$I$21)*(($B261/$M$21)^-$K$21)+($G$22+$H$22*'Advanced Outputs'!C$60^$I$22)*$J$22*EXP(-(($L$22*($B261-$M$22))^$K$22))+($G$23+$H$23*'Advanced Outputs'!C$60^$I$23)*$J$23*EXP(-(($L$23*($B261-$M$23))^$K$23))+($G$24+$H$24*'Advanced Outputs'!C$60^$I$24)*$J$24*EXP(-(($L$24*($B261-$M$24))^$K$24))+($G$25+$H$25*'Advanced Outputs'!C$60^$I$25)*$J$25*EXP(-(($L$25*($B261-$M$25))^$K$25))+$G$26))</f>
        <v>0.80851636089977408</v>
      </c>
      <c r="E261" s="75">
        <f t="shared" si="3"/>
        <v>0.95610356636128868</v>
      </c>
      <c r="F261" s="74"/>
      <c r="G261" s="6"/>
      <c r="H261" s="6"/>
      <c r="I261" s="6"/>
      <c r="J261" s="6"/>
      <c r="K261" s="6"/>
      <c r="L261" s="6"/>
      <c r="M261" s="6"/>
    </row>
    <row r="262" spans="1:13" hidden="1" x14ac:dyDescent="0.2">
      <c r="A262" s="60"/>
      <c r="B262" s="60">
        <v>621</v>
      </c>
      <c r="C262" s="75">
        <f>10^(-(($G$21+$H$21*'Advanced Outputs'!C$61^$I$21)*(($B262/$M$21)^-$K$21)+($G$22+$H$22*'Advanced Outputs'!C$61^$I$22)*$J$22*EXP(-(($L$22*($B262-$M$22))^$K$22))+($G$23+$H$23*'Advanced Outputs'!C$61^$I$23)*$J$23*EXP(-(($L$23*($B262-$M$23))^$K$23))+($G$24+$H$24*'Advanced Outputs'!C$61^$I$24)*$J$24*EXP(-(($L$24*($B262-$M$24))^$K$24))+($G$25+$H$25*'Advanced Outputs'!C$61^$I$25)*$J$25*EXP(-(($L$25*($B262-$M$25))^$K$25))+$G$26))</f>
        <v>0.77378913103272395</v>
      </c>
      <c r="D262" s="75">
        <f>10^(-(($G$21+$H$21*'Advanced Outputs'!C$60^$I$21)*(($B262/$M$21)^-$K$21)+($G$22+$H$22*'Advanced Outputs'!C$60^$I$22)*$J$22*EXP(-(($L$22*($B262-$M$22))^$K$22))+($G$23+$H$23*'Advanced Outputs'!C$60^$I$23)*$J$23*EXP(-(($L$23*($B262-$M$23))^$K$23))+($G$24+$H$24*'Advanced Outputs'!C$60^$I$24)*$J$24*EXP(-(($L$24*($B262-$M$24))^$K$24))+($G$25+$H$25*'Advanced Outputs'!C$60^$I$25)*$J$25*EXP(-(($L$25*($B262-$M$25))^$K$25))+$G$26))</f>
        <v>0.80895008585952333</v>
      </c>
      <c r="E262" s="75">
        <f t="shared" si="3"/>
        <v>0.95653507498000911</v>
      </c>
      <c r="F262" s="74"/>
      <c r="G262" s="6"/>
      <c r="H262" s="6"/>
      <c r="I262" s="6"/>
      <c r="J262" s="6"/>
      <c r="K262" s="6"/>
      <c r="L262" s="6"/>
      <c r="M262" s="6"/>
    </row>
    <row r="263" spans="1:13" hidden="1" x14ac:dyDescent="0.2">
      <c r="A263" s="60"/>
      <c r="B263" s="60">
        <v>622</v>
      </c>
      <c r="C263" s="75">
        <f>10^(-(($G$21+$H$21*'Advanced Outputs'!C$61^$I$21)*(($B263/$M$21)^-$K$21)+($G$22+$H$22*'Advanced Outputs'!C$61^$I$22)*$J$22*EXP(-(($L$22*($B263-$M$22))^$K$22))+($G$23+$H$23*'Advanced Outputs'!C$61^$I$23)*$J$23*EXP(-(($L$23*($B263-$M$23))^$K$23))+($G$24+$H$24*'Advanced Outputs'!C$61^$I$24)*$J$24*EXP(-(($L$24*($B263-$M$24))^$K$24))+($G$25+$H$25*'Advanced Outputs'!C$61^$I$25)*$J$25*EXP(-(($L$25*($B263-$M$25))^$K$25))+$G$26))</f>
        <v>0.77454214462448545</v>
      </c>
      <c r="D263" s="75">
        <f>10^(-(($G$21+$H$21*'Advanced Outputs'!C$60^$I$21)*(($B263/$M$21)^-$K$21)+($G$22+$H$22*'Advanced Outputs'!C$60^$I$22)*$J$22*EXP(-(($L$22*($B263-$M$22))^$K$22))+($G$23+$H$23*'Advanced Outputs'!C$60^$I$23)*$J$23*EXP(-(($L$23*($B263-$M$23))^$K$23))+($G$24+$H$24*'Advanced Outputs'!C$60^$I$24)*$J$24*EXP(-(($L$24*($B263-$M$24))^$K$24))+($G$25+$H$25*'Advanced Outputs'!C$60^$I$25)*$J$25*EXP(-(($L$25*($B263-$M$25))^$K$25))+$G$26))</f>
        <v>0.80937908611035014</v>
      </c>
      <c r="E263" s="75">
        <f t="shared" si="3"/>
        <v>0.95695843630790944</v>
      </c>
      <c r="F263" s="74"/>
      <c r="G263" s="6"/>
      <c r="H263" s="6"/>
      <c r="I263" s="6"/>
      <c r="J263" s="6"/>
      <c r="K263" s="6"/>
      <c r="L263" s="6"/>
      <c r="M263" s="6"/>
    </row>
    <row r="264" spans="1:13" hidden="1" x14ac:dyDescent="0.2">
      <c r="A264" s="60"/>
      <c r="B264" s="60">
        <v>623</v>
      </c>
      <c r="C264" s="75">
        <f>10^(-(($G$21+$H$21*'Advanced Outputs'!C$61^$I$21)*(($B264/$M$21)^-$K$21)+($G$22+$H$22*'Advanced Outputs'!C$61^$I$22)*$J$22*EXP(-(($L$22*($B264-$M$22))^$K$22))+($G$23+$H$23*'Advanced Outputs'!C$61^$I$23)*$J$23*EXP(-(($L$23*($B264-$M$23))^$K$23))+($G$24+$H$24*'Advanced Outputs'!C$61^$I$24)*$J$24*EXP(-(($L$24*($B264-$M$24))^$K$24))+($G$25+$H$25*'Advanced Outputs'!C$61^$I$25)*$J$25*EXP(-(($L$25*($B264-$M$25))^$K$25))+$G$26))</f>
        <v>0.77528463857321905</v>
      </c>
      <c r="D264" s="75">
        <f>10^(-(($G$21+$H$21*'Advanced Outputs'!C$60^$I$21)*(($B264/$M$21)^-$K$21)+($G$22+$H$22*'Advanced Outputs'!C$60^$I$22)*$J$22*EXP(-(($L$22*($B264-$M$22))^$K$22))+($G$23+$H$23*'Advanced Outputs'!C$60^$I$23)*$J$23*EXP(-(($L$23*($B264-$M$23))^$K$23))+($G$24+$H$24*'Advanced Outputs'!C$60^$I$24)*$J$24*EXP(-(($L$24*($B264-$M$24))^$K$24))+($G$25+$H$25*'Advanced Outputs'!C$60^$I$25)*$J$25*EXP(-(($L$25*($B264-$M$25))^$K$25))+$G$26))</f>
        <v>0.80980344116081682</v>
      </c>
      <c r="E264" s="75">
        <f t="shared" si="3"/>
        <v>0.95737385045176315</v>
      </c>
      <c r="F264" s="74"/>
      <c r="G264" s="6"/>
      <c r="H264" s="6"/>
      <c r="I264" s="6"/>
      <c r="J264" s="6"/>
      <c r="K264" s="6"/>
      <c r="L264" s="6"/>
      <c r="M264" s="6"/>
    </row>
    <row r="265" spans="1:13" hidden="1" x14ac:dyDescent="0.2">
      <c r="A265" s="60"/>
      <c r="B265" s="60">
        <v>624</v>
      </c>
      <c r="C265" s="75">
        <f>10^(-(($G$21+$H$21*'Advanced Outputs'!C$61^$I$21)*(($B265/$M$21)^-$K$21)+($G$22+$H$22*'Advanced Outputs'!C$61^$I$22)*$J$22*EXP(-(($L$22*($B265-$M$22))^$K$22))+($G$23+$H$23*'Advanced Outputs'!C$61^$I$23)*$J$23*EXP(-(($L$23*($B265-$M$23))^$K$23))+($G$24+$H$24*'Advanced Outputs'!C$61^$I$24)*$J$24*EXP(-(($L$24*($B265-$M$24))^$K$24))+($G$25+$H$25*'Advanced Outputs'!C$61^$I$25)*$J$25*EXP(-(($L$25*($B265-$M$25))^$K$25))+$G$26))</f>
        <v>0.77601683016169631</v>
      </c>
      <c r="D265" s="75">
        <f>10^(-(($G$21+$H$21*'Advanced Outputs'!C$60^$I$21)*(($B265/$M$21)^-$K$21)+($G$22+$H$22*'Advanced Outputs'!C$60^$I$22)*$J$22*EXP(-(($L$22*($B265-$M$22))^$K$22))+($G$23+$H$23*'Advanced Outputs'!C$60^$I$23)*$J$23*EXP(-(($L$23*($B265-$M$23))^$K$23))+($G$24+$H$24*'Advanced Outputs'!C$60^$I$24)*$J$24*EXP(-(($L$24*($B265-$M$24))^$K$24))+($G$25+$H$25*'Advanced Outputs'!C$60^$I$25)*$J$25*EXP(-(($L$25*($B265-$M$25))^$K$25))+$G$26))</f>
        <v>0.81022322899293409</v>
      </c>
      <c r="E265" s="75">
        <f t="shared" si="3"/>
        <v>0.95778151303591408</v>
      </c>
      <c r="F265" s="74"/>
      <c r="G265" s="6"/>
      <c r="H265" s="6"/>
      <c r="I265" s="6"/>
      <c r="J265" s="6"/>
      <c r="K265" s="6"/>
      <c r="L265" s="6"/>
      <c r="M265" s="6"/>
    </row>
    <row r="266" spans="1:13" hidden="1" x14ac:dyDescent="0.2">
      <c r="A266" s="60"/>
      <c r="B266" s="60">
        <v>625</v>
      </c>
      <c r="C266" s="75">
        <f>10^(-(($G$21+$H$21*'Advanced Outputs'!C$61^$I$21)*(($B266/$M$21)^-$K$21)+($G$22+$H$22*'Advanced Outputs'!C$61^$I$22)*$J$22*EXP(-(($L$22*($B266-$M$22))^$K$22))+($G$23+$H$23*'Advanced Outputs'!C$61^$I$23)*$J$23*EXP(-(($L$23*($B266-$M$23))^$K$23))+($G$24+$H$24*'Advanced Outputs'!C$61^$I$24)*$J$24*EXP(-(($L$24*($B266-$M$24))^$K$24))+($G$25+$H$25*'Advanced Outputs'!C$61^$I$25)*$J$25*EXP(-(($L$25*($B266-$M$25))^$K$25))+$G$26))</f>
        <v>0.77673893231780289</v>
      </c>
      <c r="D266" s="75">
        <f>10^(-(($G$21+$H$21*'Advanced Outputs'!C$60^$I$21)*(($B266/$M$21)^-$K$21)+($G$22+$H$22*'Advanced Outputs'!C$60^$I$22)*$J$22*EXP(-(($L$22*($B266-$M$22))^$K$22))+($G$23+$H$23*'Advanced Outputs'!C$60^$I$23)*$J$23*EXP(-(($L$23*($B266-$M$23))^$K$23))+($G$24+$H$24*'Advanced Outputs'!C$60^$I$24)*$J$24*EXP(-(($L$24*($B266-$M$24))^$K$24))+($G$25+$H$25*'Advanced Outputs'!C$60^$I$25)*$J$25*EXP(-(($L$25*($B266-$M$25))^$K$25))+$G$26))</f>
        <v>0.81063852608321596</v>
      </c>
      <c r="E266" s="75">
        <f t="shared" si="3"/>
        <v>0.95818161526419587</v>
      </c>
      <c r="F266" s="74"/>
      <c r="G266" s="6"/>
      <c r="H266" s="6"/>
      <c r="I266" s="6"/>
      <c r="J266" s="6"/>
      <c r="K266" s="6"/>
      <c r="L266" s="6"/>
      <c r="M266" s="6"/>
    </row>
    <row r="267" spans="1:13" hidden="1" x14ac:dyDescent="0.2">
      <c r="A267" s="60"/>
      <c r="B267" s="60">
        <v>626</v>
      </c>
      <c r="C267" s="75">
        <f>10^(-(($G$21+$H$21*'Advanced Outputs'!C$61^$I$21)*(($B267/$M$21)^-$K$21)+($G$22+$H$22*'Advanced Outputs'!C$61^$I$22)*$J$22*EXP(-(($L$22*($B267-$M$22))^$K$22))+($G$23+$H$23*'Advanced Outputs'!C$61^$I$23)*$J$23*EXP(-(($L$23*($B267-$M$23))^$K$23))+($G$24+$H$24*'Advanced Outputs'!C$61^$I$24)*$J$24*EXP(-(($L$24*($B267-$M$24))^$K$24))+($G$25+$H$25*'Advanced Outputs'!C$61^$I$25)*$J$25*EXP(-(($L$25*($B267-$M$25))^$K$25))+$G$26))</f>
        <v>0.77745115365899253</v>
      </c>
      <c r="D267" s="75">
        <f>10^(-(($G$21+$H$21*'Advanced Outputs'!C$60^$I$21)*(($B267/$M$21)^-$K$21)+($G$22+$H$22*'Advanced Outputs'!C$60^$I$22)*$J$22*EXP(-(($L$22*($B267-$M$22))^$K$22))+($G$23+$H$23*'Advanced Outputs'!C$60^$I$23)*$J$23*EXP(-(($L$23*($B267-$M$23))^$K$23))+($G$24+$H$24*'Advanced Outputs'!C$60^$I$24)*$J$24*EXP(-(($L$24*($B267-$M$24))^$K$24))+($G$25+$H$25*'Advanced Outputs'!C$60^$I$25)*$J$25*EXP(-(($L$25*($B267-$M$25))^$K$25))+$G$26))</f>
        <v>0.81104940742391041</v>
      </c>
      <c r="E267" s="75">
        <f t="shared" si="3"/>
        <v>0.95857434398277408</v>
      </c>
      <c r="F267" s="74"/>
      <c r="G267" s="6"/>
      <c r="H267" s="6"/>
      <c r="I267" s="6"/>
      <c r="J267" s="6"/>
      <c r="K267" s="6"/>
      <c r="L267" s="6"/>
      <c r="M267" s="6"/>
    </row>
    <row r="268" spans="1:13" hidden="1" x14ac:dyDescent="0.2">
      <c r="A268" s="60"/>
      <c r="B268" s="60">
        <v>627</v>
      </c>
      <c r="C268" s="75">
        <f>10^(-(($G$21+$H$21*'Advanced Outputs'!C$61^$I$21)*(($B268/$M$21)^-$K$21)+($G$22+$H$22*'Advanced Outputs'!C$61^$I$22)*$J$22*EXP(-(($L$22*($B268-$M$22))^$K$22))+($G$23+$H$23*'Advanced Outputs'!C$61^$I$23)*$J$23*EXP(-(($L$23*($B268-$M$23))^$K$23))+($G$24+$H$24*'Advanced Outputs'!C$61^$I$24)*$J$24*EXP(-(($L$24*($B268-$M$24))^$K$24))+($G$25+$H$25*'Advanced Outputs'!C$61^$I$25)*$J$25*EXP(-(($L$25*($B268-$M$25))^$K$25))+$G$26))</f>
        <v>0.77815369853850525</v>
      </c>
      <c r="D268" s="75">
        <f>10^(-(($G$21+$H$21*'Advanced Outputs'!C$60^$I$21)*(($B268/$M$21)^-$K$21)+($G$22+$H$22*'Advanced Outputs'!C$60^$I$22)*$J$22*EXP(-(($L$22*($B268-$M$22))^$K$22))+($G$23+$H$23*'Advanced Outputs'!C$60^$I$23)*$J$23*EXP(-(($L$23*($B268-$M$23))^$K$23))+($G$24+$H$24*'Advanced Outputs'!C$60^$I$24)*$J$24*EXP(-(($L$24*($B268-$M$24))^$K$24))+($G$25+$H$25*'Advanced Outputs'!C$60^$I$25)*$J$25*EXP(-(($L$25*($B268-$M$25))^$K$25))+$G$26))</f>
        <v>0.81145594654438469</v>
      </c>
      <c r="E268" s="75">
        <f t="shared" si="3"/>
        <v>0.95895988174379854</v>
      </c>
      <c r="F268" s="74"/>
      <c r="G268" s="6"/>
      <c r="H268" s="6"/>
      <c r="I268" s="6"/>
      <c r="J268" s="6"/>
      <c r="K268" s="6"/>
      <c r="L268" s="6"/>
      <c r="M268" s="6"/>
    </row>
    <row r="269" spans="1:13" hidden="1" x14ac:dyDescent="0.2">
      <c r="A269" s="60"/>
      <c r="B269" s="60">
        <v>628</v>
      </c>
      <c r="C269" s="75">
        <f>10^(-(($G$21+$H$21*'Advanced Outputs'!C$61^$I$21)*(($B269/$M$21)^-$K$21)+($G$22+$H$22*'Advanced Outputs'!C$61^$I$22)*$J$22*EXP(-(($L$22*($B269-$M$22))^$K$22))+($G$23+$H$23*'Advanced Outputs'!C$61^$I$23)*$J$23*EXP(-(($L$23*($B269-$M$23))^$K$23))+($G$24+$H$24*'Advanced Outputs'!C$61^$I$24)*$J$24*EXP(-(($L$24*($B269-$M$24))^$K$24))+($G$25+$H$25*'Advanced Outputs'!C$61^$I$25)*$J$25*EXP(-(($L$25*($B269-$M$25))^$K$25))+$G$26))</f>
        <v>0.77884676709322143</v>
      </c>
      <c r="D269" s="75">
        <f>10^(-(($G$21+$H$21*'Advanced Outputs'!C$60^$I$21)*(($B269/$M$21)^-$K$21)+($G$22+$H$22*'Advanced Outputs'!C$60^$I$22)*$J$22*EXP(-(($L$22*($B269-$M$22))^$K$22))+($G$23+$H$23*'Advanced Outputs'!C$60^$I$23)*$J$23*EXP(-(($L$23*($B269-$M$23))^$K$23))+($G$24+$H$24*'Advanced Outputs'!C$60^$I$24)*$J$24*EXP(-(($L$24*($B269-$M$24))^$K$24))+($G$25+$H$25*'Advanced Outputs'!C$60^$I$25)*$J$25*EXP(-(($L$25*($B269-$M$25))^$K$25))+$G$26))</f>
        <v>0.81185821553263515</v>
      </c>
      <c r="E269" s="75">
        <f t="shared" si="3"/>
        <v>0.95933840686978089</v>
      </c>
      <c r="F269" s="74"/>
      <c r="G269" s="6"/>
      <c r="H269" s="6"/>
      <c r="I269" s="6"/>
      <c r="J269" s="6"/>
      <c r="K269" s="6"/>
      <c r="L269" s="6"/>
      <c r="M269" s="6"/>
    </row>
    <row r="270" spans="1:13" hidden="1" x14ac:dyDescent="0.2">
      <c r="A270" s="60"/>
      <c r="B270" s="60">
        <v>629</v>
      </c>
      <c r="C270" s="75">
        <f>10^(-(($G$21+$H$21*'Advanced Outputs'!C$61^$I$21)*(($B270/$M$21)^-$K$21)+($G$22+$H$22*'Advanced Outputs'!C$61^$I$22)*$J$22*EXP(-(($L$22*($B270-$M$22))^$K$22))+($G$23+$H$23*'Advanced Outputs'!C$61^$I$23)*$J$23*EXP(-(($L$23*($B270-$M$23))^$K$23))+($G$24+$H$24*'Advanced Outputs'!C$61^$I$24)*$J$24*EXP(-(($L$24*($B270-$M$24))^$K$24))+($G$25+$H$25*'Advanced Outputs'!C$61^$I$25)*$J$25*EXP(-(($L$25*($B270-$M$25))^$K$25))+$G$26))</f>
        <v>0.77953055529302451</v>
      </c>
      <c r="D270" s="75">
        <f>10^(-(($G$21+$H$21*'Advanced Outputs'!C$60^$I$21)*(($B270/$M$21)^-$K$21)+($G$22+$H$22*'Advanced Outputs'!C$60^$I$22)*$J$22*EXP(-(($L$22*($B270-$M$22))^$K$22))+($G$23+$H$23*'Advanced Outputs'!C$60^$I$23)*$J$23*EXP(-(($L$23*($B270-$M$23))^$K$23))+($G$24+$H$24*'Advanced Outputs'!C$60^$I$24)*$J$24*EXP(-(($L$24*($B270-$M$24))^$K$24))+($G$25+$H$25*'Advanced Outputs'!C$60^$I$25)*$J$25*EXP(-(($L$25*($B270-$M$25))^$K$25))+$G$26))</f>
        <v>0.81225628505690439</v>
      </c>
      <c r="E270" s="75">
        <f t="shared" si="3"/>
        <v>0.95971009351859038</v>
      </c>
      <c r="F270" s="74"/>
      <c r="G270" s="6"/>
      <c r="H270" s="6"/>
      <c r="I270" s="6"/>
      <c r="J270" s="6"/>
      <c r="K270" s="6"/>
      <c r="L270" s="6"/>
      <c r="M270" s="6"/>
    </row>
    <row r="271" spans="1:13" hidden="1" x14ac:dyDescent="0.2">
      <c r="A271" s="60"/>
      <c r="B271" s="60">
        <v>630</v>
      </c>
      <c r="C271" s="75">
        <f>10^(-(($G$21+$H$21*'Advanced Outputs'!C$61^$I$21)*(($B271/$M$21)^-$K$21)+($G$22+$H$22*'Advanced Outputs'!C$61^$I$22)*$J$22*EXP(-(($L$22*($B271-$M$22))^$K$22))+($G$23+$H$23*'Advanced Outputs'!C$61^$I$23)*$J$23*EXP(-(($L$23*($B271-$M$23))^$K$23))+($G$24+$H$24*'Advanced Outputs'!C$61^$I$24)*$J$24*EXP(-(($L$24*($B271-$M$24))^$K$24))+($G$25+$H$25*'Advanced Outputs'!C$61^$I$25)*$J$25*EXP(-(($L$25*($B271-$M$25))^$K$25))+$G$26))</f>
        <v>0.78020525499154925</v>
      </c>
      <c r="D271" s="75">
        <f>10^(-(($G$21+$H$21*'Advanced Outputs'!C$60^$I$21)*(($B271/$M$21)^-$K$21)+($G$22+$H$22*'Advanced Outputs'!C$60^$I$22)*$J$22*EXP(-(($L$22*($B271-$M$22))^$K$22))+($G$23+$H$23*'Advanced Outputs'!C$60^$I$23)*$J$23*EXP(-(($L$23*($B271-$M$23))^$K$23))+($G$24+$H$24*'Advanced Outputs'!C$60^$I$24)*$J$24*EXP(-(($L$24*($B271-$M$24))^$K$24))+($G$25+$H$25*'Advanced Outputs'!C$60^$I$25)*$J$25*EXP(-(($L$25*($B271-$M$25))^$K$25))+$G$26))</f>
        <v>0.81265022438737933</v>
      </c>
      <c r="E271" s="75">
        <f t="shared" si="3"/>
        <v>0.96007511174898286</v>
      </c>
      <c r="F271" s="74"/>
      <c r="G271" s="6"/>
      <c r="H271" s="6"/>
      <c r="I271" s="6"/>
      <c r="J271" s="6"/>
      <c r="K271" s="6"/>
      <c r="L271" s="6"/>
      <c r="M271" s="6"/>
    </row>
    <row r="272" spans="1:13" hidden="1" x14ac:dyDescent="0.2">
      <c r="A272" s="60"/>
      <c r="B272" s="60">
        <v>631</v>
      </c>
      <c r="C272" s="75">
        <f>10^(-(($G$21+$H$21*'Advanced Outputs'!C$61^$I$21)*(($B272/$M$21)^-$K$21)+($G$22+$H$22*'Advanced Outputs'!C$61^$I$22)*$J$22*EXP(-(($L$22*($B272-$M$22))^$K$22))+($G$23+$H$23*'Advanced Outputs'!C$61^$I$23)*$J$23*EXP(-(($L$23*($B272-$M$23))^$K$23))+($G$24+$H$24*'Advanced Outputs'!C$61^$I$24)*$J$24*EXP(-(($L$24*($B272-$M$24))^$K$24))+($G$25+$H$25*'Advanced Outputs'!C$61^$I$25)*$J$25*EXP(-(($L$25*($B272-$M$25))^$K$25))+$G$26))</f>
        <v>0.78087105397819856</v>
      </c>
      <c r="D272" s="75">
        <f>10^(-(($G$21+$H$21*'Advanced Outputs'!C$60^$I$21)*(($B272/$M$21)^-$K$21)+($G$22+$H$22*'Advanced Outputs'!C$60^$I$22)*$J$22*EXP(-(($L$22*($B272-$M$22))^$K$22))+($G$23+$H$23*'Advanced Outputs'!C$60^$I$23)*$J$23*EXP(-(($L$23*($B272-$M$23))^$K$23))+($G$24+$H$24*'Advanced Outputs'!C$60^$I$24)*$J$24*EXP(-(($L$24*($B272-$M$24))^$K$24))+($G$25+$H$25*'Advanced Outputs'!C$60^$I$25)*$J$25*EXP(-(($L$25*($B272-$M$25))^$K$25))+$G$26))</f>
        <v>0.8130401014179488</v>
      </c>
      <c r="E272" s="75">
        <f t="shared" si="3"/>
        <v>0.96043362758657647</v>
      </c>
      <c r="F272" s="74"/>
      <c r="G272" s="6"/>
      <c r="H272" s="6"/>
      <c r="I272" s="6"/>
      <c r="J272" s="6"/>
      <c r="K272" s="6"/>
      <c r="L272" s="6"/>
      <c r="M272" s="6"/>
    </row>
    <row r="273" spans="1:13" hidden="1" x14ac:dyDescent="0.2">
      <c r="A273" s="60"/>
      <c r="B273" s="60">
        <v>632</v>
      </c>
      <c r="C273" s="75">
        <f>10^(-(($G$21+$H$21*'Advanced Outputs'!C$61^$I$21)*(($B273/$M$21)^-$K$21)+($G$22+$H$22*'Advanced Outputs'!C$61^$I$22)*$J$22*EXP(-(($L$22*($B273-$M$22))^$K$22))+($G$23+$H$23*'Advanced Outputs'!C$61^$I$23)*$J$23*EXP(-(($L$23*($B273-$M$23))^$K$23))+($G$24+$H$24*'Advanced Outputs'!C$61^$I$24)*$J$24*EXP(-(($L$24*($B273-$M$24))^$K$24))+($G$25+$H$25*'Advanced Outputs'!C$61^$I$25)*$J$25*EXP(-(($L$25*($B273-$M$25))^$K$25))+$G$26))</f>
        <v>0.78152813603131421</v>
      </c>
      <c r="D273" s="75">
        <f>10^(-(($G$21+$H$21*'Advanced Outputs'!C$60^$I$21)*(($B273/$M$21)^-$K$21)+($G$22+$H$22*'Advanced Outputs'!C$60^$I$22)*$J$22*EXP(-(($L$22*($B273-$M$22))^$K$22))+($G$23+$H$23*'Advanced Outputs'!C$60^$I$23)*$J$23*EXP(-(($L$23*($B273-$M$23))^$K$23))+($G$24+$H$24*'Advanced Outputs'!C$60^$I$24)*$J$24*EXP(-(($L$24*($B273-$M$24))^$K$24))+($G$25+$H$25*'Advanced Outputs'!C$60^$I$25)*$J$25*EXP(-(($L$25*($B273-$M$25))^$K$25))+$G$26))</f>
        <v>0.81342598268800348</v>
      </c>
      <c r="E273" s="75">
        <f t="shared" si="3"/>
        <v>0.96078580309018236</v>
      </c>
      <c r="F273" s="74"/>
      <c r="G273" s="6"/>
      <c r="H273" s="6"/>
      <c r="I273" s="6"/>
      <c r="J273" s="6"/>
      <c r="K273" s="6"/>
      <c r="L273" s="6"/>
      <c r="M273" s="6"/>
    </row>
    <row r="274" spans="1:13" hidden="1" x14ac:dyDescent="0.2">
      <c r="A274" s="60"/>
      <c r="B274" s="60">
        <v>633</v>
      </c>
      <c r="C274" s="75">
        <f>10^(-(($G$21+$H$21*'Advanced Outputs'!C$61^$I$21)*(($B274/$M$21)^-$K$21)+($G$22+$H$22*'Advanced Outputs'!C$61^$I$22)*$J$22*EXP(-(($L$22*($B274-$M$22))^$K$22))+($G$23+$H$23*'Advanced Outputs'!C$61^$I$23)*$J$23*EXP(-(($L$23*($B274-$M$23))^$K$23))+($G$24+$H$24*'Advanced Outputs'!C$61^$I$24)*$J$24*EXP(-(($L$24*($B274-$M$24))^$K$24))+($G$25+$H$25*'Advanced Outputs'!C$61^$I$25)*$J$25*EXP(-(($L$25*($B274-$M$25))^$K$25))+$G$26))</f>
        <v>0.78217668097239312</v>
      </c>
      <c r="D274" s="75">
        <f>10^(-(($G$21+$H$21*'Advanced Outputs'!C$60^$I$21)*(($B274/$M$21)^-$K$21)+($G$22+$H$22*'Advanced Outputs'!C$60^$I$22)*$J$22*EXP(-(($L$22*($B274-$M$22))^$K$22))+($G$23+$H$23*'Advanced Outputs'!C$60^$I$23)*$J$23*EXP(-(($L$23*($B274-$M$23))^$K$23))+($G$24+$H$24*'Advanced Outputs'!C$60^$I$24)*$J$24*EXP(-(($L$24*($B274-$M$24))^$K$24))+($G$25+$H$25*'Advanced Outputs'!C$60^$I$25)*$J$25*EXP(-(($L$25*($B274-$M$25))^$K$25))+$G$26))</f>
        <v>0.81380793340425239</v>
      </c>
      <c r="E274" s="75">
        <f t="shared" si="3"/>
        <v>0.96113179641842261</v>
      </c>
      <c r="F274" s="74"/>
      <c r="G274" s="6"/>
      <c r="H274" s="6"/>
      <c r="I274" s="6"/>
      <c r="J274" s="6"/>
      <c r="K274" s="6"/>
      <c r="L274" s="6"/>
      <c r="M274" s="6"/>
    </row>
    <row r="275" spans="1:13" hidden="1" x14ac:dyDescent="0.2">
      <c r="A275" s="60"/>
      <c r="B275" s="60">
        <v>634</v>
      </c>
      <c r="C275" s="75">
        <f>10^(-(($G$21+$H$21*'Advanced Outputs'!C$61^$I$21)*(($B275/$M$21)^-$K$21)+($G$22+$H$22*'Advanced Outputs'!C$61^$I$22)*$J$22*EXP(-(($L$22*($B275-$M$22))^$K$22))+($G$23+$H$23*'Advanced Outputs'!C$61^$I$23)*$J$23*EXP(-(($L$23*($B275-$M$23))^$K$23))+($G$24+$H$24*'Advanced Outputs'!C$61^$I$24)*$J$24*EXP(-(($L$24*($B275-$M$24))^$K$24))+($G$25+$H$25*'Advanced Outputs'!C$61^$I$25)*$J$25*EXP(-(($L$25*($B275-$M$25))^$K$25))+$G$26))</f>
        <v>0.78281686472124301</v>
      </c>
      <c r="D275" s="75">
        <f>10^(-(($G$21+$H$21*'Advanced Outputs'!C$60^$I$21)*(($B275/$M$21)^-$K$21)+($G$22+$H$22*'Advanced Outputs'!C$60^$I$22)*$J$22*EXP(-(($L$22*($B275-$M$22))^$K$22))+($G$23+$H$23*'Advanced Outputs'!C$60^$I$23)*$J$23*EXP(-(($L$23*($B275-$M$23))^$K$23))+($G$24+$H$24*'Advanced Outputs'!C$60^$I$24)*$J$24*EXP(-(($L$24*($B275-$M$24))^$K$24))+($G$25+$H$25*'Advanced Outputs'!C$60^$I$25)*$J$25*EXP(-(($L$25*($B275-$M$25))^$K$25))+$G$26))</f>
        <v>0.81418601746254382</v>
      </c>
      <c r="E275" s="75">
        <f t="shared" si="3"/>
        <v>0.96147176189654482</v>
      </c>
      <c r="F275" s="74"/>
      <c r="G275" s="6"/>
      <c r="H275" s="6"/>
      <c r="I275" s="6"/>
      <c r="J275" s="6"/>
      <c r="K275" s="6"/>
      <c r="L275" s="6"/>
      <c r="M275" s="6"/>
    </row>
    <row r="276" spans="1:13" hidden="1" x14ac:dyDescent="0.2">
      <c r="A276" s="60"/>
      <c r="B276" s="60">
        <v>635</v>
      </c>
      <c r="C276" s="75">
        <f>10^(-(($G$21+$H$21*'Advanced Outputs'!C$61^$I$21)*(($B276/$M$21)^-$K$21)+($G$22+$H$22*'Advanced Outputs'!C$61^$I$22)*$J$22*EXP(-(($L$22*($B276-$M$22))^$K$22))+($G$23+$H$23*'Advanced Outputs'!C$61^$I$23)*$J$23*EXP(-(($L$23*($B276-$M$23))^$K$23))+($G$24+$H$24*'Advanced Outputs'!C$61^$I$24)*$J$24*EXP(-(($L$24*($B276-$M$24))^$K$24))+($G$25+$H$25*'Advanced Outputs'!C$61^$I$25)*$J$25*EXP(-(($L$25*($B276-$M$25))^$K$25))+$G$26))</f>
        <v>0.78344885935197428</v>
      </c>
      <c r="D276" s="75">
        <f>10^(-(($G$21+$H$21*'Advanced Outputs'!C$60^$I$21)*(($B276/$M$21)^-$K$21)+($G$22+$H$22*'Advanced Outputs'!C$60^$I$22)*$J$22*EXP(-(($L$22*($B276-$M$22))^$K$22))+($G$23+$H$23*'Advanced Outputs'!C$60^$I$23)*$J$23*EXP(-(($L$23*($B276-$M$23))^$K$23))+($G$24+$H$24*'Advanced Outputs'!C$60^$I$24)*$J$24*EXP(-(($L$24*($B276-$M$24))^$K$24))+($G$25+$H$25*'Advanced Outputs'!C$60^$I$25)*$J$25*EXP(-(($L$25*($B276-$M$25))^$K$25))+$G$26))</f>
        <v>0.81456029746966563</v>
      </c>
      <c r="E276" s="75">
        <f t="shared" si="3"/>
        <v>0.96180585008336972</v>
      </c>
      <c r="F276" s="74"/>
      <c r="G276" s="6"/>
      <c r="H276" s="6"/>
      <c r="I276" s="6"/>
      <c r="J276" s="6"/>
      <c r="K276" s="6"/>
      <c r="L276" s="6"/>
      <c r="M276" s="6"/>
    </row>
    <row r="277" spans="1:13" hidden="1" x14ac:dyDescent="0.2">
      <c r="A277" s="60"/>
      <c r="B277" s="60">
        <v>636</v>
      </c>
      <c r="C277" s="75">
        <f>10^(-(($G$21+$H$21*'Advanced Outputs'!C$61^$I$21)*(($B277/$M$21)^-$K$21)+($G$22+$H$22*'Advanced Outputs'!C$61^$I$22)*$J$22*EXP(-(($L$22*($B277-$M$22))^$K$22))+($G$23+$H$23*'Advanced Outputs'!C$61^$I$23)*$J$23*EXP(-(($L$23*($B277-$M$23))^$K$23))+($G$24+$H$24*'Advanced Outputs'!C$61^$I$24)*$J$24*EXP(-(($L$24*($B277-$M$24))^$K$24))+($G$25+$H$25*'Advanced Outputs'!C$61^$I$25)*$J$25*EXP(-(($L$25*($B277-$M$25))^$K$25))+$G$26))</f>
        <v>0.78407283314973408</v>
      </c>
      <c r="D277" s="75">
        <f>10^(-(($G$21+$H$21*'Advanced Outputs'!C$60^$I$21)*(($B277/$M$21)^-$K$21)+($G$22+$H$22*'Advanced Outputs'!C$60^$I$22)*$J$22*EXP(-(($L$22*($B277-$M$22))^$K$22))+($G$23+$H$23*'Advanced Outputs'!C$60^$I$23)*$J$23*EXP(-(($L$23*($B277-$M$23))^$K$23))+($G$24+$H$24*'Advanced Outputs'!C$60^$I$24)*$J$24*EXP(-(($L$24*($B277-$M$24))^$K$24))+($G$25+$H$25*'Advanced Outputs'!C$60^$I$25)*$J$25*EXP(-(($L$25*($B277-$M$25))^$K$25))+$G$26))</f>
        <v>0.81493083476511252</v>
      </c>
      <c r="E277" s="75">
        <f t="shared" ref="E277:E340" si="4">C277/D277</f>
        <v>0.96213420783829751</v>
      </c>
      <c r="F277" s="74"/>
      <c r="G277" s="6"/>
      <c r="H277" s="6"/>
      <c r="I277" s="6"/>
      <c r="J277" s="6"/>
      <c r="K277" s="6"/>
      <c r="L277" s="6"/>
      <c r="M277" s="6"/>
    </row>
    <row r="278" spans="1:13" hidden="1" x14ac:dyDescent="0.2">
      <c r="A278" s="60"/>
      <c r="B278" s="60">
        <v>637</v>
      </c>
      <c r="C278" s="75">
        <f>10^(-(($G$21+$H$21*'Advanced Outputs'!C$61^$I$21)*(($B278/$M$21)^-$K$21)+($G$22+$H$22*'Advanced Outputs'!C$61^$I$22)*$J$22*EXP(-(($L$22*($B278-$M$22))^$K$22))+($G$23+$H$23*'Advanced Outputs'!C$61^$I$23)*$J$23*EXP(-(($L$23*($B278-$M$23))^$K$23))+($G$24+$H$24*'Advanced Outputs'!C$61^$I$24)*$J$24*EXP(-(($L$24*($B278-$M$24))^$K$24))+($G$25+$H$25*'Advanced Outputs'!C$61^$I$25)*$J$25*EXP(-(($L$25*($B278-$M$25))^$K$25))+$G$26))</f>
        <v>0.78468895066808553</v>
      </c>
      <c r="D278" s="75">
        <f>10^(-(($G$21+$H$21*'Advanced Outputs'!C$60^$I$21)*(($B278/$M$21)^-$K$21)+($G$22+$H$22*'Advanced Outputs'!C$60^$I$22)*$J$22*EXP(-(($L$22*($B278-$M$22))^$K$22))+($G$23+$H$23*'Advanced Outputs'!C$60^$I$23)*$J$23*EXP(-(($L$23*($B278-$M$23))^$K$23))+($G$24+$H$24*'Advanced Outputs'!C$60^$I$24)*$J$24*EXP(-(($L$24*($B278-$M$24))^$K$24))+($G$25+$H$25*'Advanced Outputs'!C$60^$I$25)*$J$25*EXP(-(($L$25*($B278-$M$25))^$K$25))+$G$26))</f>
        <v>0.81529768944280134</v>
      </c>
      <c r="E278" s="75">
        <f t="shared" si="4"/>
        <v>0.96245697838830535</v>
      </c>
      <c r="F278" s="74"/>
      <c r="G278" s="6"/>
      <c r="H278" s="6"/>
      <c r="I278" s="6"/>
      <c r="J278" s="6"/>
      <c r="K278" s="6"/>
      <c r="L278" s="6"/>
      <c r="M278" s="6"/>
    </row>
    <row r="279" spans="1:13" hidden="1" x14ac:dyDescent="0.2">
      <c r="A279" s="60"/>
      <c r="B279" s="60">
        <v>638</v>
      </c>
      <c r="C279" s="75">
        <f>10^(-(($G$21+$H$21*'Advanced Outputs'!C$61^$I$21)*(($B279/$M$21)^-$K$21)+($G$22+$H$22*'Advanced Outputs'!C$61^$I$22)*$J$22*EXP(-(($L$22*($B279-$M$22))^$K$22))+($G$23+$H$23*'Advanced Outputs'!C$61^$I$23)*$J$23*EXP(-(($L$23*($B279-$M$23))^$K$23))+($G$24+$H$24*'Advanced Outputs'!C$61^$I$24)*$J$24*EXP(-(($L$24*($B279-$M$24))^$K$24))+($G$25+$H$25*'Advanced Outputs'!C$61^$I$25)*$J$25*EXP(-(($L$25*($B279-$M$25))^$K$25))+$G$26))</f>
        <v>0.785297372786944</v>
      </c>
      <c r="D279" s="75">
        <f>10^(-(($G$21+$H$21*'Advanced Outputs'!C$60^$I$21)*(($B279/$M$21)^-$K$21)+($G$22+$H$22*'Advanced Outputs'!C$60^$I$22)*$J$22*EXP(-(($L$22*($B279-$M$22))^$K$22))+($G$23+$H$23*'Advanced Outputs'!C$60^$I$23)*$J$23*EXP(-(($L$23*($B279-$M$23))^$K$23))+($G$24+$H$24*'Advanced Outputs'!C$60^$I$24)*$J$24*EXP(-(($L$24*($B279-$M$24))^$K$24))+($G$25+$H$25*'Advanced Outputs'!C$60^$I$25)*$J$25*EXP(-(($L$25*($B279-$M$25))^$K$25))+$G$26))</f>
        <v>0.81566092037271876</v>
      </c>
      <c r="E279" s="75">
        <f t="shared" si="4"/>
        <v>0.96277430139487374</v>
      </c>
      <c r="F279" s="74"/>
      <c r="G279" s="6"/>
      <c r="H279" s="6"/>
      <c r="I279" s="6"/>
      <c r="J279" s="6"/>
      <c r="K279" s="6"/>
      <c r="L279" s="6"/>
      <c r="M279" s="6"/>
    </row>
    <row r="280" spans="1:13" hidden="1" x14ac:dyDescent="0.2">
      <c r="A280" s="60"/>
      <c r="B280" s="60">
        <v>639</v>
      </c>
      <c r="C280" s="75">
        <f>10^(-(($G$21+$H$21*'Advanced Outputs'!C$61^$I$21)*(($B280/$M$21)^-$K$21)+($G$22+$H$22*'Advanced Outputs'!C$61^$I$22)*$J$22*EXP(-(($L$22*($B280-$M$22))^$K$22))+($G$23+$H$23*'Advanced Outputs'!C$61^$I$23)*$J$23*EXP(-(($L$23*($B280-$M$23))^$K$23))+($G$24+$H$24*'Advanced Outputs'!C$61^$I$24)*$J$24*EXP(-(($L$24*($B280-$M$24))^$K$24))+($G$25+$H$25*'Advanced Outputs'!C$61^$I$25)*$J$25*EXP(-(($L$25*($B280-$M$25))^$K$25))+$G$26))</f>
        <v>0.7858982567709849</v>
      </c>
      <c r="D280" s="75">
        <f>10^(-(($G$21+$H$21*'Advanced Outputs'!C$60^$I$21)*(($B280/$M$21)^-$K$21)+($G$22+$H$22*'Advanced Outputs'!C$60^$I$22)*$J$22*EXP(-(($L$22*($B280-$M$22))^$K$22))+($G$23+$H$23*'Advanced Outputs'!C$60^$I$23)*$J$23*EXP(-(($L$23*($B280-$M$23))^$K$23))+($G$24+$H$24*'Advanced Outputs'!C$60^$I$24)*$J$24*EXP(-(($L$24*($B280-$M$24))^$K$24))+($G$25+$H$25*'Advanced Outputs'!C$60^$I$25)*$J$25*EXP(-(($L$25*($B280-$M$25))^$K$25))+$G$26))</f>
        <v>0.81602058522248622</v>
      </c>
      <c r="E280" s="75">
        <f t="shared" si="4"/>
        <v>0.96308631302078174</v>
      </c>
      <c r="F280" s="74"/>
      <c r="G280" s="6"/>
      <c r="H280" s="6"/>
      <c r="I280" s="6"/>
      <c r="J280" s="6"/>
      <c r="K280" s="6"/>
      <c r="L280" s="6"/>
      <c r="M280" s="6"/>
    </row>
    <row r="281" spans="1:13" hidden="1" x14ac:dyDescent="0.2">
      <c r="A281" s="60"/>
      <c r="B281" s="60">
        <v>640</v>
      </c>
      <c r="C281" s="75">
        <f>10^(-(($G$21+$H$21*'Advanced Outputs'!C$61^$I$21)*(($B281/$M$21)^-$K$21)+($G$22+$H$22*'Advanced Outputs'!C$61^$I$22)*$J$22*EXP(-(($L$22*($B281-$M$22))^$K$22))+($G$23+$H$23*'Advanced Outputs'!C$61^$I$23)*$J$23*EXP(-(($L$23*($B281-$M$23))^$K$23))+($G$24+$H$24*'Advanced Outputs'!C$61^$I$24)*$J$24*EXP(-(($L$24*($B281-$M$24))^$K$24))+($G$25+$H$25*'Advanced Outputs'!C$61^$I$25)*$J$25*EXP(-(($L$25*($B281-$M$25))^$K$25))+$G$26))</f>
        <v>0.78649175632843771</v>
      </c>
      <c r="D281" s="75">
        <f>10^(-(($G$21+$H$21*'Advanced Outputs'!C$60^$I$21)*(($B281/$M$21)^-$K$21)+($G$22+$H$22*'Advanced Outputs'!C$60^$I$22)*$J$22*EXP(-(($L$22*($B281-$M$22))^$K$22))+($G$23+$H$23*'Advanced Outputs'!C$60^$I$23)*$J$23*EXP(-(($L$23*($B281-$M$23))^$K$23))+($G$24+$H$24*'Advanced Outputs'!C$60^$I$24)*$J$24*EXP(-(($L$24*($B281-$M$24))^$K$24))+($G$25+$H$25*'Advanced Outputs'!C$60^$I$25)*$J$25*EXP(-(($L$25*($B281-$M$25))^$K$25))+$G$26))</f>
        <v>0.81637674047882769</v>
      </c>
      <c r="E281" s="75">
        <f t="shared" si="4"/>
        <v>0.96339314599671033</v>
      </c>
      <c r="F281" s="74"/>
      <c r="G281" s="6"/>
      <c r="H281" s="6"/>
      <c r="I281" s="6"/>
      <c r="J281" s="6"/>
      <c r="K281" s="6"/>
      <c r="L281" s="6"/>
      <c r="M281" s="6"/>
    </row>
    <row r="282" spans="1:13" hidden="1" x14ac:dyDescent="0.2">
      <c r="A282" s="60"/>
      <c r="B282" s="60">
        <v>641</v>
      </c>
      <c r="C282" s="75">
        <f>10^(-(($G$21+$H$21*'Advanced Outputs'!C$61^$I$21)*(($B282/$M$21)^-$K$21)+($G$22+$H$22*'Advanced Outputs'!C$61^$I$22)*$J$22*EXP(-(($L$22*($B282-$M$22))^$K$22))+($G$23+$H$23*'Advanced Outputs'!C$61^$I$23)*$J$23*EXP(-(($L$23*($B282-$M$23))^$K$23))+($G$24+$H$24*'Advanced Outputs'!C$61^$I$24)*$J$24*EXP(-(($L$24*($B282-$M$24))^$K$24))+($G$25+$H$25*'Advanced Outputs'!C$61^$I$25)*$J$25*EXP(-(($L$25*($B282-$M$25))^$K$25))+$G$26))</f>
        <v>0.78707802167019125</v>
      </c>
      <c r="D282" s="75">
        <f>10^(-(($G$21+$H$21*'Advanced Outputs'!C$60^$I$21)*(($B282/$M$21)^-$K$21)+($G$22+$H$22*'Advanced Outputs'!C$60^$I$22)*$J$22*EXP(-(($L$22*($B282-$M$22))^$K$22))+($G$23+$H$23*'Advanced Outputs'!C$60^$I$23)*$J$23*EXP(-(($L$23*($B282-$M$23))^$K$23))+($G$24+$H$24*'Advanced Outputs'!C$60^$I$24)*$J$24*EXP(-(($L$24*($B282-$M$24))^$K$24))+($G$25+$H$25*'Advanced Outputs'!C$60^$I$25)*$J$25*EXP(-(($L$25*($B282-$M$25))^$K$25))+$G$26))</f>
        <v>0.81672944146892767</v>
      </c>
      <c r="E282" s="75">
        <f t="shared" si="4"/>
        <v>0.96369492968760018</v>
      </c>
      <c r="F282" s="74"/>
      <c r="G282" s="6"/>
      <c r="H282" s="6"/>
      <c r="I282" s="6"/>
      <c r="J282" s="6"/>
      <c r="K282" s="6"/>
      <c r="L282" s="6"/>
      <c r="M282" s="6"/>
    </row>
    <row r="283" spans="1:13" hidden="1" x14ac:dyDescent="0.2">
      <c r="A283" s="60"/>
      <c r="B283" s="60">
        <v>642</v>
      </c>
      <c r="C283" s="75">
        <f>10^(-(($G$21+$H$21*'Advanced Outputs'!C$61^$I$21)*(($B283/$M$21)^-$K$21)+($G$22+$H$22*'Advanced Outputs'!C$61^$I$22)*$J$22*EXP(-(($L$22*($B283-$M$22))^$K$22))+($G$23+$H$23*'Advanced Outputs'!C$61^$I$23)*$J$23*EXP(-(($L$23*($B283-$M$23))^$K$23))+($G$24+$H$24*'Advanced Outputs'!C$61^$I$24)*$J$24*EXP(-(($L$24*($B283-$M$24))^$K$24))+($G$25+$H$25*'Advanced Outputs'!C$61^$I$25)*$J$25*EXP(-(($L$25*($B283-$M$25))^$K$25))+$G$26))</f>
        <v>0.78765719956913316</v>
      </c>
      <c r="D283" s="75">
        <f>10^(-(($G$21+$H$21*'Advanced Outputs'!C$60^$I$21)*(($B283/$M$21)^-$K$21)+($G$22+$H$22*'Advanced Outputs'!C$60^$I$22)*$J$22*EXP(-(($L$22*($B283-$M$22))^$K$22))+($G$23+$H$23*'Advanced Outputs'!C$60^$I$23)*$J$23*EXP(-(($L$23*($B283-$M$23))^$K$23))+($G$24+$H$24*'Advanced Outputs'!C$60^$I$24)*$J$24*EXP(-(($L$24*($B283-$M$24))^$K$24))+($G$25+$H$25*'Advanced Outputs'!C$60^$I$25)*$J$25*EXP(-(($L$25*($B283-$M$25))^$K$25))+$G$26))</f>
        <v>0.81707874238166378</v>
      </c>
      <c r="E283" s="75">
        <f t="shared" si="4"/>
        <v>0.96399179015871694</v>
      </c>
      <c r="F283" s="74"/>
      <c r="G283" s="6"/>
      <c r="H283" s="6"/>
      <c r="I283" s="6"/>
      <c r="J283" s="6"/>
      <c r="K283" s="6"/>
      <c r="L283" s="6"/>
      <c r="M283" s="6"/>
    </row>
    <row r="284" spans="1:13" hidden="1" x14ac:dyDescent="0.2">
      <c r="A284" s="60"/>
      <c r="B284" s="60">
        <v>643</v>
      </c>
      <c r="C284" s="75">
        <f>10^(-(($G$21+$H$21*'Advanced Outputs'!C$61^$I$21)*(($B284/$M$21)^-$K$21)+($G$22+$H$22*'Advanced Outputs'!C$61^$I$22)*$J$22*EXP(-(($L$22*($B284-$M$22))^$K$22))+($G$23+$H$23*'Advanced Outputs'!C$61^$I$23)*$J$23*EXP(-(($L$23*($B284-$M$23))^$K$23))+($G$24+$H$24*'Advanced Outputs'!C$61^$I$24)*$J$24*EXP(-(($L$24*($B284-$M$24))^$K$24))+($G$25+$H$25*'Advanced Outputs'!C$61^$I$25)*$J$25*EXP(-(($L$25*($B284-$M$25))^$K$25))+$G$26))</f>
        <v>0.78822943341964979</v>
      </c>
      <c r="D284" s="75">
        <f>10^(-(($G$21+$H$21*'Advanced Outputs'!C$60^$I$21)*(($B284/$M$21)^-$K$21)+($G$22+$H$22*'Advanced Outputs'!C$60^$I$22)*$J$22*EXP(-(($L$22*($B284-$M$22))^$K$22))+($G$23+$H$23*'Advanced Outputs'!C$60^$I$23)*$J$23*EXP(-(($L$23*($B284-$M$23))^$K$23))+($G$24+$H$24*'Advanced Outputs'!C$60^$I$24)*$J$24*EXP(-(($L$24*($B284-$M$24))^$K$24))+($G$25+$H$25*'Advanced Outputs'!C$60^$I$25)*$J$25*EXP(-(($L$25*($B284-$M$25))^$K$25))+$G$26))</f>
        <v>0.81742469628870396</v>
      </c>
      <c r="E284" s="75">
        <f t="shared" si="4"/>
        <v>0.96428385024136487</v>
      </c>
      <c r="F284" s="74"/>
      <c r="G284" s="6"/>
      <c r="H284" s="6"/>
      <c r="I284" s="6"/>
      <c r="J284" s="6"/>
      <c r="K284" s="6"/>
      <c r="L284" s="6"/>
      <c r="M284" s="6"/>
    </row>
    <row r="285" spans="1:13" hidden="1" x14ac:dyDescent="0.2">
      <c r="A285" s="60"/>
      <c r="B285" s="60">
        <v>644</v>
      </c>
      <c r="C285" s="75">
        <f>10^(-(($G$21+$H$21*'Advanced Outputs'!C$61^$I$21)*(($B285/$M$21)^-$K$21)+($G$22+$H$22*'Advanced Outputs'!C$61^$I$22)*$J$22*EXP(-(($L$22*($B285-$M$22))^$K$22))+($G$23+$H$23*'Advanced Outputs'!C$61^$I$23)*$J$23*EXP(-(($L$23*($B285-$M$23))^$K$23))+($G$24+$H$24*'Advanced Outputs'!C$61^$I$24)*$J$24*EXP(-(($L$24*($B285-$M$24))^$K$24))+($G$25+$H$25*'Advanced Outputs'!C$61^$I$25)*$J$25*EXP(-(($L$25*($B285-$M$25))^$K$25))+$G$26))</f>
        <v>0.78879486329722259</v>
      </c>
      <c r="D285" s="75">
        <f>10^(-(($G$21+$H$21*'Advanced Outputs'!C$60^$I$21)*(($B285/$M$21)^-$K$21)+($G$22+$H$22*'Advanced Outputs'!C$60^$I$22)*$J$22*EXP(-(($L$22*($B285-$M$22))^$K$22))+($G$23+$H$23*'Advanced Outputs'!C$60^$I$23)*$J$23*EXP(-(($L$23*($B285-$M$23))^$K$23))+($G$24+$H$24*'Advanced Outputs'!C$60^$I$24)*$J$24*EXP(-(($L$24*($B285-$M$24))^$K$24))+($G$25+$H$25*'Advanced Outputs'!C$60^$I$25)*$J$25*EXP(-(($L$25*($B285-$M$25))^$K$25))+$G$26))</f>
        <v>0.8177673551654564</v>
      </c>
      <c r="E285" s="75">
        <f t="shared" si="4"/>
        <v>0.96457122959821273</v>
      </c>
      <c r="F285" s="74"/>
      <c r="G285" s="6"/>
      <c r="H285" s="6"/>
      <c r="I285" s="6"/>
      <c r="J285" s="6"/>
      <c r="K285" s="6"/>
      <c r="L285" s="6"/>
      <c r="M285" s="6"/>
    </row>
    <row r="286" spans="1:13" hidden="1" x14ac:dyDescent="0.2">
      <c r="A286" s="60"/>
      <c r="B286" s="60">
        <v>645</v>
      </c>
      <c r="C286" s="75">
        <f>10^(-(($G$21+$H$21*'Advanced Outputs'!C$61^$I$21)*(($B286/$M$21)^-$K$21)+($G$22+$H$22*'Advanced Outputs'!C$61^$I$22)*$J$22*EXP(-(($L$22*($B286-$M$22))^$K$22))+($G$23+$H$23*'Advanced Outputs'!C$61^$I$23)*$J$23*EXP(-(($L$23*($B286-$M$23))^$K$23))+($G$24+$H$24*'Advanced Outputs'!C$61^$I$24)*$J$24*EXP(-(($L$24*($B286-$M$24))^$K$24))+($G$25+$H$25*'Advanced Outputs'!C$61^$I$25)*$J$25*EXP(-(($L$25*($B286-$M$25))^$K$25))+$G$26))</f>
        <v>0.78935362601805181</v>
      </c>
      <c r="D286" s="75">
        <f>10^(-(($G$21+$H$21*'Advanced Outputs'!C$60^$I$21)*(($B286/$M$21)^-$K$21)+($G$22+$H$22*'Advanced Outputs'!C$60^$I$22)*$J$22*EXP(-(($L$22*($B286-$M$22))^$K$22))+($G$23+$H$23*'Advanced Outputs'!C$60^$I$23)*$J$23*EXP(-(($L$23*($B286-$M$23))^$K$23))+($G$24+$H$24*'Advanced Outputs'!C$60^$I$24)*$J$24*EXP(-(($L$24*($B286-$M$24))^$K$24))+($G$25+$H$25*'Advanced Outputs'!C$60^$I$25)*$J$25*EXP(-(($L$25*($B286-$M$25))^$K$25))+$G$26))</f>
        <v>0.81810676991185904</v>
      </c>
      <c r="E286" s="75">
        <f t="shared" si="4"/>
        <v>0.96485404478818204</v>
      </c>
      <c r="F286" s="74"/>
      <c r="G286" s="6"/>
      <c r="H286" s="6"/>
      <c r="I286" s="6"/>
      <c r="J286" s="6"/>
      <c r="K286" s="6"/>
      <c r="L286" s="6"/>
      <c r="M286" s="6"/>
    </row>
    <row r="287" spans="1:13" hidden="1" x14ac:dyDescent="0.2">
      <c r="A287" s="60"/>
      <c r="B287" s="60">
        <v>646</v>
      </c>
      <c r="C287" s="75">
        <f>10^(-(($G$21+$H$21*'Advanced Outputs'!C$61^$I$21)*(($B287/$M$21)^-$K$21)+($G$22+$H$22*'Advanced Outputs'!C$61^$I$22)*$J$22*EXP(-(($L$22*($B287-$M$22))^$K$22))+($G$23+$H$23*'Advanced Outputs'!C$61^$I$23)*$J$23*EXP(-(($L$23*($B287-$M$23))^$K$23))+($G$24+$H$24*'Advanced Outputs'!C$61^$I$24)*$J$24*EXP(-(($L$24*($B287-$M$24))^$K$24))+($G$25+$H$25*'Advanced Outputs'!C$61^$I$25)*$J$25*EXP(-(($L$25*($B287-$M$25))^$K$25))+$G$26))</f>
        <v>0.78990585519864687</v>
      </c>
      <c r="D287" s="75">
        <f>10^(-(($G$21+$H$21*'Advanced Outputs'!C$60^$I$21)*(($B287/$M$21)^-$K$21)+($G$22+$H$22*'Advanced Outputs'!C$60^$I$22)*$J$22*EXP(-(($L$22*($B287-$M$22))^$K$22))+($G$23+$H$23*'Advanced Outputs'!C$60^$I$23)*$J$23*EXP(-(($L$23*($B287-$M$23))^$K$23))+($G$24+$H$24*'Advanced Outputs'!C$60^$I$24)*$J$24*EXP(-(($L$24*($B287-$M$24))^$K$24))+($G$25+$H$25*'Advanced Outputs'!C$60^$I$25)*$J$25*EXP(-(($L$25*($B287-$M$25))^$K$25))+$G$26))</f>
        <v>0.81844299037300239</v>
      </c>
      <c r="E287" s="75">
        <f t="shared" si="4"/>
        <v>0.96513240933085664</v>
      </c>
      <c r="F287" s="74"/>
      <c r="G287" s="6"/>
      <c r="H287" s="6"/>
      <c r="I287" s="6"/>
      <c r="J287" s="6"/>
      <c r="K287" s="6"/>
      <c r="L287" s="6"/>
      <c r="M287" s="6"/>
    </row>
    <row r="288" spans="1:13" hidden="1" x14ac:dyDescent="0.2">
      <c r="A288" s="60"/>
      <c r="B288" s="60">
        <v>647</v>
      </c>
      <c r="C288" s="75">
        <f>10^(-(($G$21+$H$21*'Advanced Outputs'!C$61^$I$21)*(($B288/$M$21)^-$K$21)+($G$22+$H$22*'Advanced Outputs'!C$61^$I$22)*$J$22*EXP(-(($L$22*($B288-$M$22))^$K$22))+($G$23+$H$23*'Advanced Outputs'!C$61^$I$23)*$J$23*EXP(-(($L$23*($B288-$M$23))^$K$23))+($G$24+$H$24*'Advanced Outputs'!C$61^$I$24)*$J$24*EXP(-(($L$24*($B288-$M$24))^$K$24))+($G$25+$H$25*'Advanced Outputs'!C$61^$I$25)*$J$25*EXP(-(($L$25*($B288-$M$25))^$K$25))+$G$26))</f>
        <v>0.79045168131532595</v>
      </c>
      <c r="D288" s="75">
        <f>10^(-(($G$21+$H$21*'Advanced Outputs'!C$60^$I$21)*(($B288/$M$21)^-$K$21)+($G$22+$H$22*'Advanced Outputs'!C$60^$I$22)*$J$22*EXP(-(($L$22*($B288-$M$22))^$K$22))+($G$23+$H$23*'Advanced Outputs'!C$60^$I$23)*$J$23*EXP(-(($L$23*($B288-$M$23))^$K$23))+($G$24+$H$24*'Advanced Outputs'!C$60^$I$24)*$J$24*EXP(-(($L$24*($B288-$M$24))^$K$24))+($G$25+$H$25*'Advanced Outputs'!C$60^$I$25)*$J$25*EXP(-(($L$25*($B288-$M$25))^$K$25))+$G$26))</f>
        <v>0.81877606535957015</v>
      </c>
      <c r="E288" s="75">
        <f t="shared" si="4"/>
        <v>0.96540643377037971</v>
      </c>
      <c r="F288" s="74"/>
      <c r="G288" s="6"/>
      <c r="H288" s="6"/>
      <c r="I288" s="6"/>
      <c r="J288" s="6"/>
      <c r="K288" s="6"/>
      <c r="L288" s="6"/>
      <c r="M288" s="6"/>
    </row>
    <row r="289" spans="1:13" hidden="1" x14ac:dyDescent="0.2">
      <c r="A289" s="60"/>
      <c r="B289" s="60">
        <v>648</v>
      </c>
      <c r="C289" s="75">
        <f>10^(-(($G$21+$H$21*'Advanced Outputs'!C$61^$I$21)*(($B289/$M$21)^-$K$21)+($G$22+$H$22*'Advanced Outputs'!C$61^$I$22)*$J$22*EXP(-(($L$22*($B289-$M$22))^$K$22))+($G$23+$H$23*'Advanced Outputs'!C$61^$I$23)*$J$23*EXP(-(($L$23*($B289-$M$23))^$K$23))+($G$24+$H$24*'Advanced Outputs'!C$61^$I$24)*$J$24*EXP(-(($L$24*($B289-$M$24))^$K$24))+($G$25+$H$25*'Advanced Outputs'!C$61^$I$25)*$J$25*EXP(-(($L$25*($B289-$M$25))^$K$25))+$G$26))</f>
        <v>0.79099123176356667</v>
      </c>
      <c r="D289" s="75">
        <f>10^(-(($G$21+$H$21*'Advanced Outputs'!C$60^$I$21)*(($B289/$M$21)^-$K$21)+($G$22+$H$22*'Advanced Outputs'!C$60^$I$22)*$J$22*EXP(-(($L$22*($B289-$M$22))^$K$22))+($G$23+$H$23*'Advanced Outputs'!C$60^$I$23)*$J$23*EXP(-(($L$23*($B289-$M$23))^$K$23))+($G$24+$H$24*'Advanced Outputs'!C$60^$I$24)*$J$24*EXP(-(($L$24*($B289-$M$24))^$K$24))+($G$25+$H$25*'Advanced Outputs'!C$60^$I$25)*$J$25*EXP(-(($L$25*($B289-$M$25))^$K$25))+$G$26))</f>
        <v>0.81910604266809495</v>
      </c>
      <c r="E289" s="75">
        <f t="shared" si="4"/>
        <v>0.96567622573879541</v>
      </c>
      <c r="F289" s="74"/>
      <c r="G289" s="6"/>
      <c r="H289" s="6"/>
      <c r="I289" s="6"/>
      <c r="J289" s="6"/>
      <c r="K289" s="6"/>
      <c r="L289" s="6"/>
      <c r="M289" s="6"/>
    </row>
    <row r="290" spans="1:13" hidden="1" x14ac:dyDescent="0.2">
      <c r="A290" s="60"/>
      <c r="B290" s="60">
        <v>649</v>
      </c>
      <c r="C290" s="75">
        <f>10^(-(($G$21+$H$21*'Advanced Outputs'!C$61^$I$21)*(($B290/$M$21)^-$K$21)+($G$22+$H$22*'Advanced Outputs'!C$61^$I$22)*$J$22*EXP(-(($L$22*($B290-$M$22))^$K$22))+($G$23+$H$23*'Advanced Outputs'!C$61^$I$23)*$J$23*EXP(-(($L$23*($B290-$M$23))^$K$23))+($G$24+$H$24*'Advanced Outputs'!C$61^$I$24)*$J$24*EXP(-(($L$24*($B290-$M$24))^$K$24))+($G$25+$H$25*'Advanced Outputs'!C$61^$I$25)*$J$25*EXP(-(($L$25*($B290-$M$25))^$K$25))+$G$26))</f>
        <v>0.79152463091715697</v>
      </c>
      <c r="D290" s="75">
        <f>10^(-(($G$21+$H$21*'Advanced Outputs'!C$60^$I$21)*(($B290/$M$21)^-$K$21)+($G$22+$H$22*'Advanced Outputs'!C$60^$I$22)*$J$22*EXP(-(($L$22*($B290-$M$22))^$K$22))+($G$23+$H$23*'Advanced Outputs'!C$60^$I$23)*$J$23*EXP(-(($L$23*($B290-$M$23))^$K$23))+($G$24+$H$24*'Advanced Outputs'!C$60^$I$24)*$J$24*EXP(-(($L$24*($B290-$M$24))^$K$24))+($G$25+$H$25*'Advanced Outputs'!C$60^$I$25)*$J$25*EXP(-(($L$25*($B290-$M$25))^$K$25))+$G$26))</f>
        <v>0.81943296910101504</v>
      </c>
      <c r="E290" s="75">
        <f t="shared" si="4"/>
        <v>0.96594189001880681</v>
      </c>
      <c r="F290" s="74"/>
      <c r="G290" s="6"/>
      <c r="H290" s="6"/>
      <c r="I290" s="6"/>
      <c r="J290" s="6"/>
      <c r="K290" s="6"/>
      <c r="L290" s="6"/>
      <c r="M290" s="6"/>
    </row>
    <row r="291" spans="1:13" hidden="1" x14ac:dyDescent="0.2">
      <c r="A291" s="60"/>
      <c r="B291" s="60">
        <v>650</v>
      </c>
      <c r="C291" s="75">
        <f>10^(-(($G$21+$H$21*'Advanced Outputs'!C$61^$I$21)*(($B291/$M$21)^-$K$21)+($G$22+$H$22*'Advanced Outputs'!C$61^$I$22)*$J$22*EXP(-(($L$22*($B291-$M$22))^$K$22))+($G$23+$H$23*'Advanced Outputs'!C$61^$I$23)*$J$23*EXP(-(($L$23*($B291-$M$23))^$K$23))+($G$24+$H$24*'Advanced Outputs'!C$61^$I$24)*$J$24*EXP(-(($L$24*($B291-$M$24))^$K$24))+($G$25+$H$25*'Advanced Outputs'!C$61^$I$25)*$J$25*EXP(-(($L$25*($B291-$M$25))^$K$25))+$G$26))</f>
        <v>0.79205200018709521</v>
      </c>
      <c r="D291" s="75">
        <f>10^(-(($G$21+$H$21*'Advanced Outputs'!C$60^$I$21)*(($B291/$M$21)^-$K$21)+($G$22+$H$22*'Advanced Outputs'!C$60^$I$22)*$J$22*EXP(-(($L$22*($B291-$M$22))^$K$22))+($G$23+$H$23*'Advanced Outputs'!C$60^$I$23)*$J$23*EXP(-(($L$23*($B291-$M$23))^$K$23))+($G$24+$H$24*'Advanced Outputs'!C$60^$I$24)*$J$24*EXP(-(($L$24*($B291-$M$24))^$K$24))+($G$25+$H$25*'Advanced Outputs'!C$60^$I$25)*$J$25*EXP(-(($L$25*($B291-$M$25))^$K$25))+$G$26))</f>
        <v>0.81975689048652667</v>
      </c>
      <c r="E291" s="75">
        <f t="shared" si="4"/>
        <v>0.96620352860591563</v>
      </c>
      <c r="F291" s="74"/>
      <c r="G291" s="6"/>
      <c r="H291" s="6"/>
      <c r="I291" s="6"/>
      <c r="J291" s="6"/>
      <c r="K291" s="6"/>
      <c r="L291" s="6"/>
      <c r="M291" s="6"/>
    </row>
    <row r="292" spans="1:13" hidden="1" x14ac:dyDescent="0.2">
      <c r="A292" s="60"/>
      <c r="B292" s="60">
        <v>651</v>
      </c>
      <c r="C292" s="75">
        <f>10^(-(($G$21+$H$21*'Advanced Outputs'!C$61^$I$21)*(($B292/$M$21)^-$K$21)+($G$22+$H$22*'Advanced Outputs'!C$61^$I$22)*$J$22*EXP(-(($L$22*($B292-$M$22))^$K$22))+($G$23+$H$23*'Advanced Outputs'!C$61^$I$23)*$J$23*EXP(-(($L$23*($B292-$M$23))^$K$23))+($G$24+$H$24*'Advanced Outputs'!C$61^$I$24)*$J$24*EXP(-(($L$24*($B292-$M$24))^$K$24))+($G$25+$H$25*'Advanced Outputs'!C$61^$I$25)*$J$25*EXP(-(($L$25*($B292-$M$25))^$K$25))+$G$26))</f>
        <v>0.79257345808019231</v>
      </c>
      <c r="D292" s="75">
        <f>10^(-(($G$21+$H$21*'Advanced Outputs'!C$60^$I$21)*(($B292/$M$21)^-$K$21)+($G$22+$H$22*'Advanced Outputs'!C$60^$I$22)*$J$22*EXP(-(($L$22*($B292-$M$22))^$K$22))+($G$23+$H$23*'Advanced Outputs'!C$60^$I$23)*$J$23*EXP(-(($L$23*($B292-$M$23))^$K$23))+($G$24+$H$24*'Advanced Outputs'!C$60^$I$24)*$J$24*EXP(-(($L$24*($B292-$M$24))^$K$24))+($G$25+$H$25*'Advanced Outputs'!C$60^$I$25)*$J$25*EXP(-(($L$25*($B292-$M$25))^$K$25))+$G$26))</f>
        <v>0.82007785169822589</v>
      </c>
      <c r="E292" s="75">
        <f t="shared" si="4"/>
        <v>0.96646124076991324</v>
      </c>
      <c r="F292" s="74"/>
      <c r="G292" s="6"/>
      <c r="H292" s="6"/>
      <c r="I292" s="6"/>
      <c r="J292" s="6"/>
      <c r="K292" s="6"/>
      <c r="L292" s="6"/>
      <c r="M292" s="6"/>
    </row>
    <row r="293" spans="1:13" hidden="1" x14ac:dyDescent="0.2">
      <c r="A293" s="60"/>
      <c r="B293" s="60">
        <v>652</v>
      </c>
      <c r="C293" s="75">
        <f>10^(-(($G$21+$H$21*'Advanced Outputs'!C$61^$I$21)*(($B293/$M$21)^-$K$21)+($G$22+$H$22*'Advanced Outputs'!C$61^$I$22)*$J$22*EXP(-(($L$22*($B293-$M$22))^$K$22))+($G$23+$H$23*'Advanced Outputs'!C$61^$I$23)*$J$23*EXP(-(($L$23*($B293-$M$23))^$K$23))+($G$24+$H$24*'Advanced Outputs'!C$61^$I$24)*$J$24*EXP(-(($L$24*($B293-$M$24))^$K$24))+($G$25+$H$25*'Advanced Outputs'!C$61^$I$25)*$J$25*EXP(-(($L$25*($B293-$M$25))^$K$25))+$G$26))</f>
        <v>0.79308912025733247</v>
      </c>
      <c r="D293" s="75">
        <f>10^(-(($G$21+$H$21*'Advanced Outputs'!C$60^$I$21)*(($B293/$M$21)^-$K$21)+($G$22+$H$22*'Advanced Outputs'!C$60^$I$22)*$J$22*EXP(-(($L$22*($B293-$M$22))^$K$22))+($G$23+$H$23*'Advanced Outputs'!C$60^$I$23)*$J$23*EXP(-(($L$23*($B293-$M$23))^$K$23))+($G$24+$H$24*'Advanced Outputs'!C$60^$I$24)*$J$24*EXP(-(($L$24*($B293-$M$24))^$K$24))+($G$25+$H$25*'Advanced Outputs'!C$60^$I$25)*$J$25*EXP(-(($L$25*($B293-$M$25))^$K$25))+$G$26))</f>
        <v>0.82039589667452972</v>
      </c>
      <c r="E293" s="75">
        <f t="shared" si="4"/>
        <v>0.96671512311569918</v>
      </c>
      <c r="F293" s="74"/>
      <c r="G293" s="6"/>
      <c r="H293" s="6"/>
      <c r="I293" s="6"/>
      <c r="J293" s="6"/>
      <c r="K293" s="6"/>
      <c r="L293" s="6"/>
      <c r="M293" s="6"/>
    </row>
    <row r="294" spans="1:13" hidden="1" x14ac:dyDescent="0.2">
      <c r="A294" s="60"/>
      <c r="B294" s="60">
        <v>653</v>
      </c>
      <c r="C294" s="75">
        <f>10^(-(($G$21+$H$21*'Advanced Outputs'!C$61^$I$21)*(($B294/$M$21)^-$K$21)+($G$22+$H$22*'Advanced Outputs'!C$61^$I$22)*$J$22*EXP(-(($L$22*($B294-$M$22))^$K$22))+($G$23+$H$23*'Advanced Outputs'!C$61^$I$23)*$J$23*EXP(-(($L$23*($B294-$M$23))^$K$23))+($G$24+$H$24*'Advanced Outputs'!C$61^$I$24)*$J$24*EXP(-(($L$24*($B294-$M$24))^$K$24))+($G$25+$H$25*'Advanced Outputs'!C$61^$I$25)*$J$25*EXP(-(($L$25*($B294-$M$25))^$K$25))+$G$26))</f>
        <v>0.79359909959134922</v>
      </c>
      <c r="D294" s="75">
        <f>10^(-(($G$21+$H$21*'Advanced Outputs'!C$60^$I$21)*(($B294/$M$21)^-$K$21)+($G$22+$H$22*'Advanced Outputs'!C$60^$I$22)*$J$22*EXP(-(($L$22*($B294-$M$22))^$K$22))+($G$23+$H$23*'Advanced Outputs'!C$60^$I$23)*$J$23*EXP(-(($L$23*($B294-$M$23))^$K$23))+($G$24+$H$24*'Advanced Outputs'!C$60^$I$24)*$J$24*EXP(-(($L$24*($B294-$M$24))^$K$24))+($G$25+$H$25*'Advanced Outputs'!C$60^$I$25)*$J$25*EXP(-(($L$25*($B294-$M$25))^$K$25))+$G$26))</f>
        <v>0.82071106843787134</v>
      </c>
      <c r="E294" s="75">
        <f t="shared" si="4"/>
        <v>0.96696526964340002</v>
      </c>
      <c r="F294" s="74"/>
      <c r="G294" s="6"/>
      <c r="H294" s="6"/>
      <c r="I294" s="6"/>
      <c r="J294" s="6"/>
      <c r="K294" s="6"/>
      <c r="L294" s="6"/>
      <c r="M294" s="6"/>
    </row>
    <row r="295" spans="1:13" hidden="1" x14ac:dyDescent="0.2">
      <c r="A295" s="60"/>
      <c r="B295" s="60">
        <v>654</v>
      </c>
      <c r="C295" s="75">
        <f>10^(-(($G$21+$H$21*'Advanced Outputs'!C$61^$I$21)*(($B295/$M$21)^-$K$21)+($G$22+$H$22*'Advanced Outputs'!C$61^$I$22)*$J$22*EXP(-(($L$22*($B295-$M$22))^$K$22))+($G$23+$H$23*'Advanced Outputs'!C$61^$I$23)*$J$23*EXP(-(($L$23*($B295-$M$23))^$K$23))+($G$24+$H$24*'Advanced Outputs'!C$61^$I$24)*$J$24*EXP(-(($L$24*($B295-$M$24))^$K$24))+($G$25+$H$25*'Advanced Outputs'!C$61^$I$25)*$J$25*EXP(-(($L$25*($B295-$M$25))^$K$25))+$G$26))</f>
        <v>0.79410350622447878</v>
      </c>
      <c r="D295" s="75">
        <f>10^(-(($G$21+$H$21*'Advanced Outputs'!C$60^$I$21)*(($B295/$M$21)^-$K$21)+($G$22+$H$22*'Advanced Outputs'!C$60^$I$22)*$J$22*EXP(-(($L$22*($B295-$M$22))^$K$22))+($G$23+$H$23*'Advanced Outputs'!C$60^$I$23)*$J$23*EXP(-(($L$23*($B295-$M$23))^$K$23))+($G$24+$H$24*'Advanced Outputs'!C$60^$I$24)*$J$24*EXP(-(($L$24*($B295-$M$24))^$K$24))+($G$25+$H$25*'Advanced Outputs'!C$60^$I$25)*$J$25*EXP(-(($L$25*($B295-$M$25))^$K$25))+$G$26))</f>
        <v>0.82102340911366622</v>
      </c>
      <c r="E295" s="75">
        <f t="shared" si="4"/>
        <v>0.96721177180776274</v>
      </c>
      <c r="F295" s="74"/>
      <c r="G295" s="6"/>
      <c r="H295" s="6"/>
      <c r="I295" s="6"/>
      <c r="J295" s="6"/>
      <c r="K295" s="6"/>
      <c r="L295" s="6"/>
      <c r="M295" s="6"/>
    </row>
    <row r="296" spans="1:13" hidden="1" x14ac:dyDescent="0.2">
      <c r="A296" s="60"/>
      <c r="B296" s="60">
        <v>655</v>
      </c>
      <c r="C296" s="75">
        <f>10^(-(($G$21+$H$21*'Advanced Outputs'!C$61^$I$21)*(($B296/$M$21)^-$K$21)+($G$22+$H$22*'Advanced Outputs'!C$61^$I$22)*$J$22*EXP(-(($L$22*($B296-$M$22))^$K$22))+($G$23+$H$23*'Advanced Outputs'!C$61^$I$23)*$J$23*EXP(-(($L$23*($B296-$M$23))^$K$23))+($G$24+$H$24*'Advanced Outputs'!C$61^$I$24)*$J$24*EXP(-(($L$24*($B296-$M$24))^$K$24))+($G$25+$H$25*'Advanced Outputs'!C$61^$I$25)*$J$25*EXP(-(($L$25*($B296-$M$25))^$K$25))+$G$26))</f>
        <v>0.79460244762535337</v>
      </c>
      <c r="D296" s="75">
        <f>10^(-(($G$21+$H$21*'Advanced Outputs'!C$60^$I$21)*(($B296/$M$21)^-$K$21)+($G$22+$H$22*'Advanced Outputs'!C$60^$I$22)*$J$22*EXP(-(($L$22*($B296-$M$22))^$K$22))+($G$23+$H$23*'Advanced Outputs'!C$60^$I$23)*$J$23*EXP(-(($L$23*($B296-$M$23))^$K$23))+($G$24+$H$24*'Advanced Outputs'!C$60^$I$24)*$J$24*EXP(-(($L$24*($B296-$M$24))^$K$24))+($G$25+$H$25*'Advanced Outputs'!C$60^$I$25)*$J$25*EXP(-(($L$25*($B296-$M$25))^$K$25))+$G$26))</f>
        <v>0.82133295994903932</v>
      </c>
      <c r="E296" s="75">
        <f t="shared" si="4"/>
        <v>0.96745471857680654</v>
      </c>
      <c r="F296" s="74"/>
      <c r="G296" s="6"/>
      <c r="H296" s="6"/>
      <c r="I296" s="6"/>
      <c r="J296" s="6"/>
      <c r="K296" s="6"/>
      <c r="L296" s="6"/>
      <c r="M296" s="6"/>
    </row>
    <row r="297" spans="1:13" hidden="1" x14ac:dyDescent="0.2">
      <c r="A297" s="60"/>
      <c r="B297" s="60">
        <v>656</v>
      </c>
      <c r="C297" s="75">
        <f>10^(-(($G$21+$H$21*'Advanced Outputs'!C$61^$I$21)*(($B297/$M$21)^-$K$21)+($G$22+$H$22*'Advanced Outputs'!C$61^$I$22)*$J$22*EXP(-(($L$22*($B297-$M$22))^$K$22))+($G$23+$H$23*'Advanced Outputs'!C$61^$I$23)*$J$23*EXP(-(($L$23*($B297-$M$23))^$K$23))+($G$24+$H$24*'Advanced Outputs'!C$61^$I$24)*$J$24*EXP(-(($L$24*($B297-$M$24))^$K$24))+($G$25+$H$25*'Advanced Outputs'!C$61^$I$25)*$J$25*EXP(-(($L$25*($B297-$M$25))^$K$25))+$G$26))</f>
        <v>0.79509602864549977</v>
      </c>
      <c r="D297" s="75">
        <f>10^(-(($G$21+$H$21*'Advanced Outputs'!C$60^$I$21)*(($B297/$M$21)^-$K$21)+($G$22+$H$22*'Advanced Outputs'!C$60^$I$22)*$J$22*EXP(-(($L$22*($B297-$M$22))^$K$22))+($G$23+$H$23*'Advanced Outputs'!C$60^$I$23)*$J$23*EXP(-(($L$23*($B297-$M$23))^$K$23))+($G$24+$H$24*'Advanced Outputs'!C$60^$I$24)*$J$24*EXP(-(($L$24*($B297-$M$24))^$K$24))+($G$25+$H$25*'Advanced Outputs'!C$60^$I$25)*$J$25*EXP(-(($L$25*($B297-$M$25))^$K$25))+$G$26))</f>
        <v>0.82163976133131156</v>
      </c>
      <c r="E297" s="75">
        <f t="shared" si="4"/>
        <v>0.967694196489709</v>
      </c>
      <c r="F297" s="74"/>
      <c r="G297" s="6"/>
      <c r="H297" s="6"/>
      <c r="I297" s="6"/>
      <c r="J297" s="6"/>
      <c r="K297" s="6"/>
      <c r="L297" s="6"/>
      <c r="M297" s="6"/>
    </row>
    <row r="298" spans="1:13" hidden="1" x14ac:dyDescent="0.2">
      <c r="A298" s="60"/>
      <c r="B298" s="60">
        <v>657</v>
      </c>
      <c r="C298" s="75">
        <f>10^(-(($G$21+$H$21*'Advanced Outputs'!C$61^$I$21)*(($B298/$M$21)^-$K$21)+($G$22+$H$22*'Advanced Outputs'!C$61^$I$22)*$J$22*EXP(-(($L$22*($B298-$M$22))^$K$22))+($G$23+$H$23*'Advanced Outputs'!C$61^$I$23)*$J$23*EXP(-(($L$23*($B298-$M$23))^$K$23))+($G$24+$H$24*'Advanced Outputs'!C$61^$I$24)*$J$24*EXP(-(($L$24*($B298-$M$24))^$K$24))+($G$25+$H$25*'Advanced Outputs'!C$61^$I$25)*$J$25*EXP(-(($L$25*($B298-$M$25))^$K$25))+$G$26))</f>
        <v>0.79558435157531138</v>
      </c>
      <c r="D298" s="75">
        <f>10^(-(($G$21+$H$21*'Advanced Outputs'!C$60^$I$21)*(($B298/$M$21)^-$K$21)+($G$22+$H$22*'Advanced Outputs'!C$60^$I$22)*$J$22*EXP(-(($L$22*($B298-$M$22))^$K$22))+($G$23+$H$23*'Advanced Outputs'!C$60^$I$23)*$J$23*EXP(-(($L$23*($B298-$M$23))^$K$23))+($G$24+$H$24*'Advanced Outputs'!C$60^$I$24)*$J$24*EXP(-(($L$24*($B298-$M$24))^$K$24))+($G$25+$H$25*'Advanced Outputs'!C$60^$I$25)*$J$25*EXP(-(($L$25*($B298-$M$25))^$K$25))+$G$26))</f>
        <v>0.82194385280623972</v>
      </c>
      <c r="E298" s="75">
        <f t="shared" si="4"/>
        <v>0.96793028971391049</v>
      </c>
      <c r="F298" s="74"/>
      <c r="G298" s="6"/>
      <c r="H298" s="6"/>
      <c r="I298" s="6"/>
      <c r="J298" s="6"/>
      <c r="K298" s="6"/>
      <c r="L298" s="6"/>
      <c r="M298" s="6"/>
    </row>
    <row r="299" spans="1:13" hidden="1" x14ac:dyDescent="0.2">
      <c r="A299" s="60"/>
      <c r="B299" s="60">
        <v>658</v>
      </c>
      <c r="C299" s="75">
        <f>10^(-(($G$21+$H$21*'Advanced Outputs'!C$61^$I$21)*(($B299/$M$21)^-$K$21)+($G$22+$H$22*'Advanced Outputs'!C$61^$I$22)*$J$22*EXP(-(($L$22*($B299-$M$22))^$K$22))+($G$23+$H$23*'Advanced Outputs'!C$61^$I$23)*$J$23*EXP(-(($L$23*($B299-$M$23))^$K$23))+($G$24+$H$24*'Advanced Outputs'!C$61^$I$24)*$J$24*EXP(-(($L$24*($B299-$M$24))^$K$24))+($G$25+$H$25*'Advanced Outputs'!C$61^$I$25)*$J$25*EXP(-(($L$25*($B299-$M$25))^$K$25))+$G$26))</f>
        <v>0.79606751619946425</v>
      </c>
      <c r="D299" s="75">
        <f>10^(-(($G$21+$H$21*'Advanced Outputs'!C$60^$I$21)*(($B299/$M$21)^-$K$21)+($G$22+$H$22*'Advanced Outputs'!C$60^$I$22)*$J$22*EXP(-(($L$22*($B299-$M$22))^$K$22))+($G$23+$H$23*'Advanced Outputs'!C$60^$I$23)*$J$23*EXP(-(($L$23*($B299-$M$23))^$K$23))+($G$24+$H$24*'Advanced Outputs'!C$60^$I$24)*$J$24*EXP(-(($L$24*($B299-$M$24))^$K$24))+($G$25+$H$25*'Advanced Outputs'!C$60^$I$25)*$J$25*EXP(-(($L$25*($B299-$M$25))^$K$25))+$G$26))</f>
        <v>0.82224527309600648</v>
      </c>
      <c r="E299" s="75">
        <f t="shared" si="4"/>
        <v>0.96816308010142171</v>
      </c>
      <c r="F299" s="74"/>
      <c r="G299" s="6"/>
      <c r="H299" s="6"/>
      <c r="I299" s="6"/>
      <c r="J299" s="6"/>
      <c r="K299" s="6"/>
      <c r="L299" s="6"/>
      <c r="M299" s="6"/>
    </row>
    <row r="300" spans="1:13" hidden="1" x14ac:dyDescent="0.2">
      <c r="A300" s="60"/>
      <c r="B300" s="60">
        <v>659</v>
      </c>
      <c r="C300" s="75">
        <f>10^(-(($G$21+$H$21*'Advanced Outputs'!C$61^$I$21)*(($B300/$M$21)^-$K$21)+($G$22+$H$22*'Advanced Outputs'!C$61^$I$22)*$J$22*EXP(-(($L$22*($B300-$M$22))^$K$22))+($G$23+$H$23*'Advanced Outputs'!C$61^$I$23)*$J$23*EXP(-(($L$23*($B300-$M$23))^$K$23))+($G$24+$H$24*'Advanced Outputs'!C$61^$I$24)*$J$24*EXP(-(($L$24*($B300-$M$24))^$K$24))+($G$25+$H$25*'Advanced Outputs'!C$61^$I$25)*$J$25*EXP(-(($L$25*($B300-$M$25))^$K$25))+$G$26))</f>
        <v>0.79654561985174865</v>
      </c>
      <c r="D300" s="75">
        <f>10^(-(($G$21+$H$21*'Advanced Outputs'!C$60^$I$21)*(($B300/$M$21)^-$K$21)+($G$22+$H$22*'Advanced Outputs'!C$60^$I$22)*$J$22*EXP(-(($L$22*($B300-$M$22))^$K$22))+($G$23+$H$23*'Advanced Outputs'!C$60^$I$23)*$J$23*EXP(-(($L$23*($B300-$M$23))^$K$23))+($G$24+$H$24*'Advanced Outputs'!C$60^$I$24)*$J$24*EXP(-(($L$24*($B300-$M$24))^$K$24))+($G$25+$H$25*'Advanced Outputs'!C$60^$I$25)*$J$25*EXP(-(($L$25*($B300-$M$25))^$K$25))+$G$26))</f>
        <v>0.82254406011695635</v>
      </c>
      <c r="E300" s="75">
        <f t="shared" si="4"/>
        <v>0.96839264724431784</v>
      </c>
      <c r="F300" s="74"/>
      <c r="G300" s="6"/>
      <c r="H300" s="6"/>
      <c r="I300" s="6"/>
      <c r="J300" s="6"/>
      <c r="K300" s="6"/>
      <c r="L300" s="6"/>
      <c r="M300" s="6"/>
    </row>
    <row r="301" spans="1:13" hidden="1" x14ac:dyDescent="0.2">
      <c r="A301" s="60"/>
      <c r="B301" s="60">
        <v>660</v>
      </c>
      <c r="C301" s="75">
        <f>10^(-(($G$21+$H$21*'Advanced Outputs'!C$61^$I$21)*(($B301/$M$21)^-$K$21)+($G$22+$H$22*'Advanced Outputs'!C$61^$I$22)*$J$22*EXP(-(($L$22*($B301-$M$22))^$K$22))+($G$23+$H$23*'Advanced Outputs'!C$61^$I$23)*$J$23*EXP(-(($L$23*($B301-$M$23))^$K$23))+($G$24+$H$24*'Advanced Outputs'!C$61^$I$24)*$J$24*EXP(-(($L$24*($B301-$M$24))^$K$24))+($G$25+$H$25*'Advanced Outputs'!C$61^$I$25)*$J$25*EXP(-(($L$25*($B301-$M$25))^$K$25))+$G$26))</f>
        <v>0.79701875746928996</v>
      </c>
      <c r="D301" s="75">
        <f>10^(-(($G$21+$H$21*'Advanced Outputs'!C$60^$I$21)*(($B301/$M$21)^-$K$21)+($G$22+$H$22*'Advanced Outputs'!C$60^$I$22)*$J$22*EXP(-(($L$22*($B301-$M$22))^$K$22))+($G$23+$H$23*'Advanced Outputs'!C$60^$I$23)*$J$23*EXP(-(($L$23*($B301-$M$23))^$K$23))+($G$24+$H$24*'Advanced Outputs'!C$60^$I$24)*$J$24*EXP(-(($L$24*($B301-$M$24))^$K$24))+($G$25+$H$25*'Advanced Outputs'!C$60^$I$25)*$J$25*EXP(-(($L$25*($B301-$M$25))^$K$25))+$G$26))</f>
        <v>0.82284025099707514</v>
      </c>
      <c r="E301" s="75">
        <f t="shared" si="4"/>
        <v>0.96861906852940649</v>
      </c>
      <c r="F301" s="74"/>
      <c r="G301" s="6"/>
      <c r="H301" s="6"/>
      <c r="I301" s="6"/>
      <c r="J301" s="6"/>
      <c r="K301" s="6"/>
      <c r="L301" s="6"/>
      <c r="M301" s="6"/>
    </row>
    <row r="302" spans="1:13" hidden="1" x14ac:dyDescent="0.2">
      <c r="A302" s="60"/>
      <c r="B302" s="60">
        <v>661</v>
      </c>
      <c r="C302" s="75">
        <f>10^(-(($G$21+$H$21*'Advanced Outputs'!C$61^$I$21)*(($B302/$M$21)^-$K$21)+($G$22+$H$22*'Advanced Outputs'!C$61^$I$22)*$J$22*EXP(-(($L$22*($B302-$M$22))^$K$22))+($G$23+$H$23*'Advanced Outputs'!C$61^$I$23)*$J$23*EXP(-(($L$23*($B302-$M$23))^$K$23))+($G$24+$H$24*'Advanced Outputs'!C$61^$I$24)*$J$24*EXP(-(($L$24*($B302-$M$24))^$K$24))+($G$25+$H$25*'Advanced Outputs'!C$61^$I$25)*$J$25*EXP(-(($L$25*($B302-$M$25))^$K$25))+$G$26))</f>
        <v>0.79748702164613816</v>
      </c>
      <c r="D302" s="75">
        <f>10^(-(($G$21+$H$21*'Advanced Outputs'!C$60^$I$21)*(($B302/$M$21)^-$K$21)+($G$22+$H$22*'Advanced Outputs'!C$60^$I$22)*$J$22*EXP(-(($L$22*($B302-$M$22))^$K$22))+($G$23+$H$23*'Advanced Outputs'!C$60^$I$23)*$J$23*EXP(-(($L$23*($B302-$M$23))^$K$23))+($G$24+$H$24*'Advanced Outputs'!C$60^$I$24)*$J$24*EXP(-(($L$24*($B302-$M$24))^$K$24))+($G$25+$H$25*'Advanced Outputs'!C$60^$I$25)*$J$25*EXP(-(($L$25*($B302-$M$25))^$K$25))+$G$26))</f>
        <v>0.82313388209320804</v>
      </c>
      <c r="E302" s="75">
        <f t="shared" si="4"/>
        <v>0.96884241919206315</v>
      </c>
      <c r="F302" s="74"/>
      <c r="G302" s="6"/>
      <c r="H302" s="6"/>
      <c r="I302" s="6"/>
      <c r="J302" s="6"/>
      <c r="K302" s="6"/>
      <c r="L302" s="6"/>
      <c r="M302" s="6"/>
    </row>
    <row r="303" spans="1:13" hidden="1" x14ac:dyDescent="0.2">
      <c r="A303" s="60"/>
      <c r="B303" s="60">
        <v>662</v>
      </c>
      <c r="C303" s="75">
        <f>10^(-(($G$21+$H$21*'Advanced Outputs'!C$61^$I$21)*(($B303/$M$21)^-$K$21)+($G$22+$H$22*'Advanced Outputs'!C$61^$I$22)*$J$22*EXP(-(($L$22*($B303-$M$22))^$K$22))+($G$23+$H$23*'Advanced Outputs'!C$61^$I$23)*$J$23*EXP(-(($L$23*($B303-$M$23))^$K$23))+($G$24+$H$24*'Advanced Outputs'!C$61^$I$24)*$J$24*EXP(-(($L$24*($B303-$M$24))^$K$24))+($G$25+$H$25*'Advanced Outputs'!C$61^$I$25)*$J$25*EXP(-(($L$25*($B303-$M$25))^$K$25))+$G$26))</f>
        <v>0.79795050268619916</v>
      </c>
      <c r="D303" s="75">
        <f>10^(-(($G$21+$H$21*'Advanced Outputs'!C$60^$I$21)*(($B303/$M$21)^-$K$21)+($G$22+$H$22*'Advanced Outputs'!C$60^$I$22)*$J$22*EXP(-(($L$22*($B303-$M$22))^$K$22))+($G$23+$H$23*'Advanced Outputs'!C$60^$I$23)*$J$23*EXP(-(($L$23*($B303-$M$23))^$K$23))+($G$24+$H$24*'Advanced Outputs'!C$60^$I$24)*$J$24*EXP(-(($L$24*($B303-$M$24))^$K$24))+($G$25+$H$25*'Advanced Outputs'!C$60^$I$25)*$J$25*EXP(-(($L$25*($B303-$M$25))^$K$25))+$G$26))</f>
        <v>0.82342498900801686</v>
      </c>
      <c r="E303" s="75">
        <f t="shared" si="4"/>
        <v>0.9690627723692149</v>
      </c>
      <c r="F303" s="74"/>
      <c r="G303" s="6"/>
      <c r="H303" s="6"/>
      <c r="I303" s="6"/>
      <c r="J303" s="6"/>
      <c r="K303" s="6"/>
      <c r="L303" s="6"/>
      <c r="M303" s="6"/>
    </row>
    <row r="304" spans="1:13" hidden="1" x14ac:dyDescent="0.2">
      <c r="A304" s="60"/>
      <c r="B304" s="60">
        <v>663</v>
      </c>
      <c r="C304" s="75">
        <f>10^(-(($G$21+$H$21*'Advanced Outputs'!C$61^$I$21)*(($B304/$M$21)^-$K$21)+($G$22+$H$22*'Advanced Outputs'!C$61^$I$22)*$J$22*EXP(-(($L$22*($B304-$M$22))^$K$22))+($G$23+$H$23*'Advanced Outputs'!C$61^$I$23)*$J$23*EXP(-(($L$23*($B304-$M$23))^$K$23))+($G$24+$H$24*'Advanced Outputs'!C$61^$I$24)*$J$24*EXP(-(($L$24*($B304-$M$24))^$K$24))+($G$25+$H$25*'Advanced Outputs'!C$61^$I$25)*$J$25*EXP(-(($L$25*($B304-$M$25))^$K$25))+$G$26))</f>
        <v>0.79840928865549343</v>
      </c>
      <c r="D304" s="75">
        <f>10^(-(($G$21+$H$21*'Advanced Outputs'!C$60^$I$21)*(($B304/$M$21)^-$K$21)+($G$22+$H$22*'Advanced Outputs'!C$60^$I$22)*$J$22*EXP(-(($L$22*($B304-$M$22))^$K$22))+($G$23+$H$23*'Advanced Outputs'!C$60^$I$23)*$J$23*EXP(-(($L$23*($B304-$M$23))^$K$23))+($G$24+$H$24*'Advanced Outputs'!C$60^$I$24)*$J$24*EXP(-(($L$24*($B304-$M$24))^$K$24))+($G$25+$H$25*'Advanced Outputs'!C$60^$I$25)*$J$25*EXP(-(($L$25*($B304-$M$25))^$K$25))+$G$26))</f>
        <v>0.82371360660667248</v>
      </c>
      <c r="E304" s="75">
        <f t="shared" si="4"/>
        <v>0.96928019915147279</v>
      </c>
      <c r="F304" s="74"/>
      <c r="G304" s="6"/>
      <c r="H304" s="6"/>
      <c r="I304" s="6"/>
      <c r="J304" s="6"/>
      <c r="K304" s="6"/>
      <c r="L304" s="6"/>
      <c r="M304" s="6"/>
    </row>
    <row r="305" spans="1:13" hidden="1" x14ac:dyDescent="0.2">
      <c r="A305" s="60"/>
      <c r="B305" s="60">
        <v>664</v>
      </c>
      <c r="C305" s="75">
        <f>10^(-(($G$21+$H$21*'Advanced Outputs'!C$61^$I$21)*(($B305/$M$21)^-$K$21)+($G$22+$H$22*'Advanced Outputs'!C$61^$I$22)*$J$22*EXP(-(($L$22*($B305-$M$22))^$K$22))+($G$23+$H$23*'Advanced Outputs'!C$61^$I$23)*$J$23*EXP(-(($L$23*($B305-$M$23))^$K$23))+($G$24+$H$24*'Advanced Outputs'!C$61^$I$24)*$J$24*EXP(-(($L$24*($B305-$M$24))^$K$24))+($G$25+$H$25*'Advanced Outputs'!C$61^$I$25)*$J$25*EXP(-(($L$25*($B305-$M$25))^$K$25))+$G$26))</f>
        <v>0.79886346543371944</v>
      </c>
      <c r="D305" s="75">
        <f>10^(-(($G$21+$H$21*'Advanced Outputs'!C$60^$I$21)*(($B305/$M$21)^-$K$21)+($G$22+$H$22*'Advanced Outputs'!C$60^$I$22)*$J$22*EXP(-(($L$22*($B305-$M$22))^$K$22))+($G$23+$H$23*'Advanced Outputs'!C$60^$I$23)*$J$23*EXP(-(($L$23*($B305-$M$23))^$K$23))+($G$24+$H$24*'Advanced Outputs'!C$60^$I$24)*$J$24*EXP(-(($L$24*($B305-$M$24))^$K$24))+($G$25+$H$25*'Advanced Outputs'!C$60^$I$25)*$J$25*EXP(-(($L$25*($B305-$M$25))^$K$25))+$G$26))</f>
        <v>0.8239997690332812</v>
      </c>
      <c r="E305" s="75">
        <f t="shared" si="4"/>
        <v>0.96949476863439932</v>
      </c>
      <c r="F305" s="74"/>
      <c r="G305" s="6"/>
      <c r="H305" s="6"/>
      <c r="I305" s="6"/>
      <c r="J305" s="6"/>
      <c r="K305" s="6"/>
      <c r="L305" s="6"/>
      <c r="M305" s="6"/>
    </row>
    <row r="306" spans="1:13" hidden="1" x14ac:dyDescent="0.2">
      <c r="A306" s="60"/>
      <c r="B306" s="60">
        <v>665</v>
      </c>
      <c r="C306" s="75">
        <f>10^(-(($G$21+$H$21*'Advanced Outputs'!C$61^$I$21)*(($B306/$M$21)^-$K$21)+($G$22+$H$22*'Advanced Outputs'!C$61^$I$22)*$J$22*EXP(-(($L$22*($B306-$M$22))^$K$22))+($G$23+$H$23*'Advanced Outputs'!C$61^$I$23)*$J$23*EXP(-(($L$23*($B306-$M$23))^$K$23))+($G$24+$H$24*'Advanced Outputs'!C$61^$I$24)*$J$24*EXP(-(($L$24*($B306-$M$24))^$K$24))+($G$25+$H$25*'Advanced Outputs'!C$61^$I$25)*$J$25*EXP(-(($L$25*($B306-$M$25))^$K$25))+$G$26))</f>
        <v>0.79931311676510852</v>
      </c>
      <c r="D306" s="75">
        <f>10^(-(($G$21+$H$21*'Advanced Outputs'!C$60^$I$21)*(($B306/$M$21)^-$K$21)+($G$22+$H$22*'Advanced Outputs'!C$60^$I$22)*$J$22*EXP(-(($L$22*($B306-$M$22))^$K$22))+($G$23+$H$23*'Advanced Outputs'!C$60^$I$23)*$J$23*EXP(-(($L$23*($B306-$M$23))^$K$23))+($G$24+$H$24*'Advanced Outputs'!C$60^$I$24)*$J$24*EXP(-(($L$24*($B306-$M$24))^$K$24))+($G$25+$H$25*'Advanced Outputs'!C$60^$I$25)*$J$25*EXP(-(($L$25*($B306-$M$25))^$K$25))+$G$26))</f>
        <v>0.82428350972704256</v>
      </c>
      <c r="E306" s="75">
        <f t="shared" si="4"/>
        <v>0.96970654796891076</v>
      </c>
      <c r="F306" s="74"/>
      <c r="G306" s="6"/>
      <c r="H306" s="6"/>
      <c r="I306" s="6"/>
      <c r="J306" s="6"/>
      <c r="K306" s="6"/>
      <c r="L306" s="6"/>
      <c r="M306" s="6"/>
    </row>
    <row r="307" spans="1:13" hidden="1" x14ac:dyDescent="0.2">
      <c r="A307" s="60"/>
      <c r="B307" s="60">
        <v>666</v>
      </c>
      <c r="C307" s="75">
        <f>10^(-(($G$21+$H$21*'Advanced Outputs'!C$61^$I$21)*(($B307/$M$21)^-$K$21)+($G$22+$H$22*'Advanced Outputs'!C$61^$I$22)*$J$22*EXP(-(($L$22*($B307-$M$22))^$K$22))+($G$23+$H$23*'Advanced Outputs'!C$61^$I$23)*$J$23*EXP(-(($L$23*($B307-$M$23))^$K$23))+($G$24+$H$24*'Advanced Outputs'!C$61^$I$24)*$J$24*EXP(-(($L$24*($B307-$M$24))^$K$24))+($G$25+$H$25*'Advanced Outputs'!C$61^$I$25)*$J$25*EXP(-(($L$25*($B307-$M$25))^$K$25))+$G$26))</f>
        <v>0.79975832430855465</v>
      </c>
      <c r="D307" s="75">
        <f>10^(-(($G$21+$H$21*'Advanced Outputs'!C$60^$I$21)*(($B307/$M$21)^-$K$21)+($G$22+$H$22*'Advanced Outputs'!C$60^$I$22)*$J$22*EXP(-(($L$22*($B307-$M$22))^$K$22))+($G$23+$H$23*'Advanced Outputs'!C$60^$I$23)*$J$23*EXP(-(($L$23*($B307-$M$23))^$K$23))+($G$24+$H$24*'Advanced Outputs'!C$60^$I$24)*$J$24*EXP(-(($L$24*($B307-$M$24))^$K$24))+($G$25+$H$25*'Advanced Outputs'!C$60^$I$25)*$J$25*EXP(-(($L$25*($B307-$M$25))^$K$25))+$G$26))</f>
        <v>0.82456486143814034</v>
      </c>
      <c r="E307" s="75">
        <f t="shared" si="4"/>
        <v>0.96991560241080355</v>
      </c>
      <c r="F307" s="74"/>
      <c r="G307" s="6"/>
      <c r="H307" s="6"/>
      <c r="I307" s="6"/>
      <c r="J307" s="6"/>
      <c r="K307" s="6"/>
      <c r="L307" s="6"/>
      <c r="M307" s="6"/>
    </row>
    <row r="308" spans="1:13" hidden="1" x14ac:dyDescent="0.2">
      <c r="A308" s="60"/>
      <c r="B308" s="60">
        <v>667</v>
      </c>
      <c r="C308" s="75">
        <f>10^(-(($G$21+$H$21*'Advanced Outputs'!C$61^$I$21)*(($B308/$M$21)^-$K$21)+($G$22+$H$22*'Advanced Outputs'!C$61^$I$22)*$J$22*EXP(-(($L$22*($B308-$M$22))^$K$22))+($G$23+$H$23*'Advanced Outputs'!C$61^$I$23)*$J$23*EXP(-(($L$23*($B308-$M$23))^$K$23))+($G$24+$H$24*'Advanced Outputs'!C$61^$I$24)*$J$24*EXP(-(($L$24*($B308-$M$24))^$K$24))+($G$25+$H$25*'Advanced Outputs'!C$61^$I$25)*$J$25*EXP(-(($L$25*($B308-$M$25))^$K$25))+$G$26))</f>
        <v>0.80019916768700661</v>
      </c>
      <c r="D308" s="75">
        <f>10^(-(($G$21+$H$21*'Advanced Outputs'!C$60^$I$21)*(($B308/$M$21)^-$K$21)+($G$22+$H$22*'Advanced Outputs'!C$60^$I$22)*$J$22*EXP(-(($L$22*($B308-$M$22))^$K$22))+($G$23+$H$23*'Advanced Outputs'!C$60^$I$23)*$J$23*EXP(-(($L$23*($B308-$M$23))^$K$23))+($G$24+$H$24*'Advanced Outputs'!C$60^$I$24)*$J$24*EXP(-(($L$24*($B308-$M$24))^$K$24))+($G$25+$H$25*'Advanced Outputs'!C$60^$I$25)*$J$25*EXP(-(($L$25*($B308-$M$25))^$K$25))+$G$26))</f>
        <v>0.82484385624336265</v>
      </c>
      <c r="E308" s="75">
        <f t="shared" si="4"/>
        <v>0.97012199536940624</v>
      </c>
      <c r="F308" s="74"/>
      <c r="G308" s="6"/>
      <c r="H308" s="6"/>
      <c r="I308" s="6"/>
      <c r="J308" s="6"/>
      <c r="K308" s="6"/>
      <c r="L308" s="6"/>
      <c r="M308" s="6"/>
    </row>
    <row r="309" spans="1:13" hidden="1" x14ac:dyDescent="0.2">
      <c r="A309" s="60"/>
      <c r="B309" s="60">
        <v>668</v>
      </c>
      <c r="C309" s="75">
        <f>10^(-(($G$21+$H$21*'Advanced Outputs'!C$61^$I$21)*(($B309/$M$21)^-$K$21)+($G$22+$H$22*'Advanced Outputs'!C$61^$I$22)*$J$22*EXP(-(($L$22*($B309-$M$22))^$K$22))+($G$23+$H$23*'Advanced Outputs'!C$61^$I$23)*$J$23*EXP(-(($L$23*($B309-$M$23))^$K$23))+($G$24+$H$24*'Advanced Outputs'!C$61^$I$24)*$J$24*EXP(-(($L$24*($B309-$M$24))^$K$24))+($G$25+$H$25*'Advanced Outputs'!C$61^$I$25)*$J$25*EXP(-(($L$25*($B309-$M$25))^$K$25))+$G$26))</f>
        <v>0.80063572453611043</v>
      </c>
      <c r="D309" s="75">
        <f>10^(-(($G$21+$H$21*'Advanced Outputs'!C$60^$I$21)*(($B309/$M$21)^-$K$21)+($G$22+$H$22*'Advanced Outputs'!C$60^$I$22)*$J$22*EXP(-(($L$22*($B309-$M$22))^$K$22))+($G$23+$H$23*'Advanced Outputs'!C$60^$I$23)*$J$23*EXP(-(($L$23*($B309-$M$23))^$K$23))+($G$24+$H$24*'Advanced Outputs'!C$60^$I$24)*$J$24*EXP(-(($L$24*($B309-$M$24))^$K$24))+($G$25+$H$25*'Advanced Outputs'!C$60^$I$25)*$J$25*EXP(-(($L$25*($B309-$M$25))^$K$25))+$G$26))</f>
        <v>0.82512052556145321</v>
      </c>
      <c r="E309" s="75">
        <f t="shared" si="4"/>
        <v>0.97032578845535067</v>
      </c>
      <c r="F309" s="74"/>
      <c r="G309" s="6"/>
      <c r="H309" s="6"/>
      <c r="I309" s="6"/>
      <c r="J309" s="6"/>
      <c r="K309" s="6"/>
      <c r="L309" s="6"/>
      <c r="M309" s="6"/>
    </row>
    <row r="310" spans="1:13" hidden="1" x14ac:dyDescent="0.2">
      <c r="A310" s="60"/>
      <c r="B310" s="60">
        <v>669</v>
      </c>
      <c r="C310" s="75">
        <f>10^(-(($G$21+$H$21*'Advanced Outputs'!C$61^$I$21)*(($B310/$M$21)^-$K$21)+($G$22+$H$22*'Advanced Outputs'!C$61^$I$22)*$J$22*EXP(-(($L$22*($B310-$M$22))^$K$22))+($G$23+$H$23*'Advanced Outputs'!C$61^$I$23)*$J$23*EXP(-(($L$23*($B310-$M$23))^$K$23))+($G$24+$H$24*'Advanced Outputs'!C$61^$I$24)*$J$24*EXP(-(($L$24*($B310-$M$24))^$K$24))+($G$25+$H$25*'Advanced Outputs'!C$61^$I$25)*$J$25*EXP(-(($L$25*($B310-$M$25))^$K$25))+$G$26))</f>
        <v>0.80106807055209273</v>
      </c>
      <c r="D310" s="75">
        <f>10^(-(($G$21+$H$21*'Advanced Outputs'!C$60^$I$21)*(($B310/$M$21)^-$K$21)+($G$22+$H$22*'Advanced Outputs'!C$60^$I$22)*$J$22*EXP(-(($L$22*($B310-$M$22))^$K$22))+($G$23+$H$23*'Advanced Outputs'!C$60^$I$23)*$J$23*EXP(-(($L$23*($B310-$M$23))^$K$23))+($G$24+$H$24*'Advanced Outputs'!C$60^$I$24)*$J$24*EXP(-(($L$24*($B310-$M$24))^$K$24))+($G$25+$H$25*'Advanced Outputs'!C$60^$I$25)*$J$25*EXP(-(($L$25*($B310-$M$25))^$K$25))+$G$26))</f>
        <v>0.82539490016819206</v>
      </c>
      <c r="E310" s="75">
        <f t="shared" si="4"/>
        <v>0.97052704152746494</v>
      </c>
      <c r="F310" s="74"/>
      <c r="G310" s="6"/>
      <c r="H310" s="6"/>
      <c r="I310" s="6"/>
      <c r="J310" s="6"/>
      <c r="K310" s="6"/>
      <c r="L310" s="6"/>
      <c r="M310" s="6"/>
    </row>
    <row r="311" spans="1:13" hidden="1" x14ac:dyDescent="0.2">
      <c r="A311" s="60"/>
      <c r="B311" s="60">
        <v>670</v>
      </c>
      <c r="C311" s="75">
        <f>10^(-(($G$21+$H$21*'Advanced Outputs'!C$61^$I$21)*(($B311/$M$21)^-$K$21)+($G$22+$H$22*'Advanced Outputs'!C$61^$I$22)*$J$22*EXP(-(($L$22*($B311-$M$22))^$K$22))+($G$23+$H$23*'Advanced Outputs'!C$61^$I$23)*$J$23*EXP(-(($L$23*($B311-$M$23))^$K$23))+($G$24+$H$24*'Advanced Outputs'!C$61^$I$24)*$J$24*EXP(-(($L$24*($B311-$M$24))^$K$24))+($G$25+$H$25*'Advanced Outputs'!C$61^$I$25)*$J$25*EXP(-(($L$25*($B311-$M$25))^$K$25))+$G$26))</f>
        <v>0.80149627953887426</v>
      </c>
      <c r="D311" s="75">
        <f>10^(-(($G$21+$H$21*'Advanced Outputs'!C$60^$I$21)*(($B311/$M$21)^-$K$21)+($G$22+$H$22*'Advanced Outputs'!C$60^$I$22)*$J$22*EXP(-(($L$22*($B311-$M$22))^$K$22))+($G$23+$H$23*'Advanced Outputs'!C$60^$I$23)*$J$23*EXP(-(($L$23*($B311-$M$23))^$K$23))+($G$24+$H$24*'Advanced Outputs'!C$60^$I$24)*$J$24*EXP(-(($L$24*($B311-$M$24))^$K$24))+($G$25+$H$25*'Advanced Outputs'!C$60^$I$25)*$J$25*EXP(-(($L$25*($B311-$M$25))^$K$25))+$G$26))</f>
        <v>0.82566701021120581</v>
      </c>
      <c r="E311" s="75">
        <f t="shared" si="4"/>
        <v>0.97072581273878356</v>
      </c>
      <c r="F311" s="74"/>
      <c r="G311" s="6"/>
      <c r="H311" s="6"/>
      <c r="I311" s="6"/>
      <c r="J311" s="6"/>
      <c r="K311" s="6"/>
      <c r="L311" s="6"/>
      <c r="M311" s="6"/>
    </row>
    <row r="312" spans="1:13" hidden="1" x14ac:dyDescent="0.2">
      <c r="A312" s="60"/>
      <c r="B312" s="60">
        <v>671</v>
      </c>
      <c r="C312" s="75">
        <f>10^(-(($G$21+$H$21*'Advanced Outputs'!C$61^$I$21)*(($B312/$M$21)^-$K$21)+($G$22+$H$22*'Advanced Outputs'!C$61^$I$22)*$J$22*EXP(-(($L$22*($B312-$M$22))^$K$22))+($G$23+$H$23*'Advanced Outputs'!C$61^$I$23)*$J$23*EXP(-(($L$23*($B312-$M$23))^$K$23))+($G$24+$H$24*'Advanced Outputs'!C$61^$I$24)*$J$24*EXP(-(($L$24*($B312-$M$24))^$K$24))+($G$25+$H$25*'Advanced Outputs'!C$61^$I$25)*$J$25*EXP(-(($L$25*($B312-$M$25))^$K$25))+$G$26))</f>
        <v>0.80192042345440884</v>
      </c>
      <c r="D312" s="75">
        <f>10^(-(($G$21+$H$21*'Advanced Outputs'!C$60^$I$21)*(($B312/$M$21)^-$K$21)+($G$22+$H$22*'Advanced Outputs'!C$60^$I$22)*$J$22*EXP(-(($L$22*($B312-$M$22))^$K$22))+($G$23+$H$23*'Advanced Outputs'!C$60^$I$23)*$J$23*EXP(-(($L$23*($B312-$M$23))^$K$23))+($G$24+$H$24*'Advanced Outputs'!C$60^$I$24)*$J$24*EXP(-(($L$24*($B312-$M$24))^$K$24))+($G$25+$H$25*'Advanced Outputs'!C$60^$I$25)*$J$25*EXP(-(($L$25*($B312-$M$25))^$K$25))+$G$26))</f>
        <v>0.82593688522451003</v>
      </c>
      <c r="E312" s="75">
        <f t="shared" si="4"/>
        <v>0.97092215858167796</v>
      </c>
      <c r="F312" s="74"/>
      <c r="G312" s="6"/>
      <c r="H312" s="6"/>
      <c r="I312" s="6"/>
      <c r="J312" s="6"/>
      <c r="K312" s="6"/>
      <c r="L312" s="6"/>
      <c r="M312" s="6"/>
    </row>
    <row r="313" spans="1:13" hidden="1" x14ac:dyDescent="0.2">
      <c r="A313" s="60"/>
      <c r="B313" s="60">
        <v>672</v>
      </c>
      <c r="C313" s="75">
        <f>10^(-(($G$21+$H$21*'Advanced Outputs'!C$61^$I$21)*(($B313/$M$21)^-$K$21)+($G$22+$H$22*'Advanced Outputs'!C$61^$I$22)*$J$22*EXP(-(($L$22*($B313-$M$22))^$K$22))+($G$23+$H$23*'Advanced Outputs'!C$61^$I$23)*$J$23*EXP(-(($L$23*($B313-$M$23))^$K$23))+($G$24+$H$24*'Advanced Outputs'!C$61^$I$24)*$J$24*EXP(-(($L$24*($B313-$M$24))^$K$24))+($G$25+$H$25*'Advanced Outputs'!C$61^$I$25)*$J$25*EXP(-(($L$25*($B313-$M$25))^$K$25))+$G$26))</f>
        <v>0.80234057245623902</v>
      </c>
      <c r="D313" s="75">
        <f>10^(-(($G$21+$H$21*'Advanced Outputs'!C$60^$I$21)*(($B313/$M$21)^-$K$21)+($G$22+$H$22*'Advanced Outputs'!C$60^$I$22)*$J$22*EXP(-(($L$22*($B313-$M$22))^$K$22))+($G$23+$H$23*'Advanced Outputs'!C$60^$I$23)*$J$23*EXP(-(($L$23*($B313-$M$23))^$K$23))+($G$24+$H$24*'Advanced Outputs'!C$60^$I$24)*$J$24*EXP(-(($L$24*($B313-$M$24))^$K$24))+($G$25+$H$25*'Advanced Outputs'!C$60^$I$25)*$J$25*EXP(-(($L$25*($B313-$M$25))^$K$25))+$G$26))</f>
        <v>0.82620455414278049</v>
      </c>
      <c r="E313" s="75">
        <f t="shared" si="4"/>
        <v>0.97111613393210927</v>
      </c>
      <c r="F313" s="74"/>
      <c r="G313" s="6"/>
      <c r="H313" s="6"/>
      <c r="I313" s="6"/>
      <c r="J313" s="6"/>
      <c r="K313" s="6"/>
      <c r="L313" s="6"/>
      <c r="M313" s="6"/>
    </row>
    <row r="314" spans="1:13" hidden="1" x14ac:dyDescent="0.2">
      <c r="A314" s="60"/>
      <c r="B314" s="60">
        <v>673</v>
      </c>
      <c r="C314" s="75">
        <f>10^(-(($G$21+$H$21*'Advanced Outputs'!C$61^$I$21)*(($B314/$M$21)^-$K$21)+($G$22+$H$22*'Advanced Outputs'!C$61^$I$22)*$J$22*EXP(-(($L$22*($B314-$M$22))^$K$22))+($G$23+$H$23*'Advanced Outputs'!C$61^$I$23)*$J$23*EXP(-(($L$23*($B314-$M$23))^$K$23))+($G$24+$H$24*'Advanced Outputs'!C$61^$I$24)*$J$24*EXP(-(($L$24*($B314-$M$24))^$K$24))+($G$25+$H$25*'Advanced Outputs'!C$61^$I$25)*$J$25*EXP(-(($L$25*($B314-$M$25))^$K$25))+$G$26))</f>
        <v>0.80275679494626329</v>
      </c>
      <c r="D314" s="75">
        <f>10^(-(($G$21+$H$21*'Advanced Outputs'!C$60^$I$21)*(($B314/$M$21)^-$K$21)+($G$22+$H$22*'Advanced Outputs'!C$60^$I$22)*$J$22*EXP(-(($L$22*($B314-$M$22))^$K$22))+($G$23+$H$23*'Advanced Outputs'!C$60^$I$23)*$J$23*EXP(-(($L$23*($B314-$M$23))^$K$23))+($G$24+$H$24*'Advanced Outputs'!C$60^$I$24)*$J$24*EXP(-(($L$24*($B314-$M$24))^$K$24))+($G$25+$H$25*'Advanced Outputs'!C$60^$I$25)*$J$25*EXP(-(($L$25*($B314-$M$25))^$K$25))+$G$26))</f>
        <v>0.82647004531535717</v>
      </c>
      <c r="E314" s="75">
        <f t="shared" si="4"/>
        <v>0.97130779209300244</v>
      </c>
      <c r="F314" s="74"/>
      <c r="G314" s="6"/>
      <c r="H314" s="6"/>
      <c r="I314" s="6"/>
      <c r="J314" s="6"/>
      <c r="K314" s="6"/>
      <c r="L314" s="6"/>
      <c r="M314" s="6"/>
    </row>
    <row r="315" spans="1:13" hidden="1" x14ac:dyDescent="0.2">
      <c r="A315" s="60"/>
      <c r="B315" s="60">
        <v>674</v>
      </c>
      <c r="C315" s="75">
        <f>10^(-(($G$21+$H$21*'Advanced Outputs'!C$61^$I$21)*(($B315/$M$21)^-$K$21)+($G$22+$H$22*'Advanced Outputs'!C$61^$I$22)*$J$22*EXP(-(($L$22*($B315-$M$22))^$K$22))+($G$23+$H$23*'Advanced Outputs'!C$61^$I$23)*$J$23*EXP(-(($L$23*($B315-$M$23))^$K$23))+($G$24+$H$24*'Advanced Outputs'!C$61^$I$24)*$J$24*EXP(-(($L$24*($B315-$M$24))^$K$24))+($G$25+$H$25*'Advanced Outputs'!C$61^$I$25)*$J$25*EXP(-(($L$25*($B315-$M$25))^$K$25))+$G$26))</f>
        <v>0.80316915761471352</v>
      </c>
      <c r="D315" s="75">
        <f>10^(-(($G$21+$H$21*'Advanced Outputs'!C$60^$I$21)*(($B315/$M$21)^-$K$21)+($G$22+$H$22*'Advanced Outputs'!C$60^$I$22)*$J$22*EXP(-(($L$22*($B315-$M$22))^$K$22))+($G$23+$H$23*'Advanced Outputs'!C$60^$I$23)*$J$23*EXP(-(($L$23*($B315-$M$23))^$K$23))+($G$24+$H$24*'Advanced Outputs'!C$60^$I$24)*$J$24*EXP(-(($L$24*($B315-$M$24))^$K$24))+($G$25+$H$25*'Advanced Outputs'!C$60^$I$25)*$J$25*EXP(-(($L$25*($B315-$M$25))^$K$25))+$G$26))</f>
        <v>0.82673338651998152</v>
      </c>
      <c r="E315" s="75">
        <f t="shared" si="4"/>
        <v>0.97149718483674852</v>
      </c>
      <c r="F315" s="74"/>
      <c r="G315" s="6"/>
      <c r="H315" s="6"/>
      <c r="I315" s="6"/>
      <c r="J315" s="6"/>
      <c r="K315" s="6"/>
      <c r="L315" s="6"/>
      <c r="M315" s="6"/>
    </row>
    <row r="316" spans="1:13" hidden="1" x14ac:dyDescent="0.2">
      <c r="A316" s="60"/>
      <c r="B316" s="60">
        <v>675</v>
      </c>
      <c r="C316" s="75">
        <f>10^(-(($G$21+$H$21*'Advanced Outputs'!C$61^$I$21)*(($B316/$M$21)^-$K$21)+($G$22+$H$22*'Advanced Outputs'!C$61^$I$22)*$J$22*EXP(-(($L$22*($B316-$M$22))^$K$22))+($G$23+$H$23*'Advanced Outputs'!C$61^$I$23)*$J$23*EXP(-(($L$23*($B316-$M$23))^$K$23))+($G$24+$H$24*'Advanced Outputs'!C$61^$I$24)*$J$24*EXP(-(($L$24*($B316-$M$24))^$K$24))+($G$25+$H$25*'Advanced Outputs'!C$61^$I$25)*$J$25*EXP(-(($L$25*($B316-$M$25))^$K$25))+$G$26))</f>
        <v>0.80357772548333639</v>
      </c>
      <c r="D316" s="75">
        <f>10^(-(($G$21+$H$21*'Advanced Outputs'!C$60^$I$21)*(($B316/$M$21)^-$K$21)+($G$22+$H$22*'Advanced Outputs'!C$60^$I$22)*$J$22*EXP(-(($L$22*($B316-$M$22))^$K$22))+($G$23+$H$23*'Advanced Outputs'!C$60^$I$23)*$J$23*EXP(-(($L$23*($B316-$M$23))^$K$23))+($G$24+$H$24*'Advanced Outputs'!C$60^$I$24)*$J$24*EXP(-(($L$24*($B316-$M$24))^$K$24))+($G$25+$H$25*'Advanced Outputs'!C$60^$I$25)*$J$25*EXP(-(($L$25*($B316-$M$25))^$K$25))+$G$26))</f>
        <v>0.82699460497626687</v>
      </c>
      <c r="E316" s="75">
        <f t="shared" si="4"/>
        <v>0.97168436244683543</v>
      </c>
      <c r="F316" s="74"/>
      <c r="G316" s="6"/>
      <c r="H316" s="6"/>
      <c r="I316" s="6"/>
      <c r="J316" s="6"/>
      <c r="K316" s="6"/>
      <c r="L316" s="6"/>
      <c r="M316" s="6"/>
    </row>
    <row r="317" spans="1:13" hidden="1" x14ac:dyDescent="0.2">
      <c r="A317" s="60"/>
      <c r="B317" s="60">
        <v>676</v>
      </c>
      <c r="C317" s="75">
        <f>10^(-(($G$21+$H$21*'Advanced Outputs'!C$61^$I$21)*(($B317/$M$21)^-$K$21)+($G$22+$H$22*'Advanced Outputs'!C$61^$I$22)*$J$22*EXP(-(($L$22*($B317-$M$22))^$K$22))+($G$23+$H$23*'Advanced Outputs'!C$61^$I$23)*$J$23*EXP(-(($L$23*($B317-$M$23))^$K$23))+($G$24+$H$24*'Advanced Outputs'!C$61^$I$24)*$J$24*EXP(-(($L$24*($B317-$M$24))^$K$24))+($G$25+$H$25*'Advanced Outputs'!C$61^$I$25)*$J$25*EXP(-(($L$25*($B317-$M$25))^$K$25))+$G$26))</f>
        <v>0.80398256194777962</v>
      </c>
      <c r="D317" s="75">
        <f>10^(-(($G$21+$H$21*'Advanced Outputs'!C$60^$I$21)*(($B317/$M$21)^-$K$21)+($G$22+$H$22*'Advanced Outputs'!C$60^$I$22)*$J$22*EXP(-(($L$22*($B317-$M$22))^$K$22))+($G$23+$H$23*'Advanced Outputs'!C$60^$I$23)*$J$23*EXP(-(($L$23*($B317-$M$23))^$K$23))+($G$24+$H$24*'Advanced Outputs'!C$60^$I$24)*$J$24*EXP(-(($L$24*($B317-$M$24))^$K$24))+($G$25+$H$25*'Advanced Outputs'!C$60^$I$25)*$J$25*EXP(-(($L$25*($B317-$M$25))^$K$25))+$G$26))</f>
        <v>0.82725372735890412</v>
      </c>
      <c r="E317" s="75">
        <f t="shared" si="4"/>
        <v>0.97186937375861671</v>
      </c>
      <c r="F317" s="74"/>
      <c r="G317" s="6"/>
      <c r="H317" s="6"/>
      <c r="I317" s="6"/>
      <c r="J317" s="6"/>
      <c r="K317" s="6"/>
      <c r="L317" s="6"/>
      <c r="M317" s="6"/>
    </row>
    <row r="318" spans="1:13" hidden="1" x14ac:dyDescent="0.2">
      <c r="A318" s="60"/>
      <c r="B318" s="60">
        <v>677</v>
      </c>
      <c r="C318" s="75">
        <f>10^(-(($G$21+$H$21*'Advanced Outputs'!C$61^$I$21)*(($B318/$M$21)^-$K$21)+($G$22+$H$22*'Advanced Outputs'!C$61^$I$22)*$J$22*EXP(-(($L$22*($B318-$M$22))^$K$22))+($G$23+$H$23*'Advanced Outputs'!C$61^$I$23)*$J$23*EXP(-(($L$23*($B318-$M$23))^$K$23))+($G$24+$H$24*'Advanced Outputs'!C$61^$I$24)*$J$24*EXP(-(($L$24*($B318-$M$24))^$K$24))+($G$25+$H$25*'Advanced Outputs'!C$61^$I$25)*$J$25*EXP(-(($L$25*($B318-$M$25))^$K$25))+$G$26))</f>
        <v>0.80438372881918052</v>
      </c>
      <c r="D318" s="75">
        <f>10^(-(($G$21+$H$21*'Advanced Outputs'!C$60^$I$21)*(($B318/$M$21)^-$K$21)+($G$22+$H$22*'Advanced Outputs'!C$60^$I$22)*$J$22*EXP(-(($L$22*($B318-$M$22))^$K$22))+($G$23+$H$23*'Advanced Outputs'!C$60^$I$23)*$J$23*EXP(-(($L$23*($B318-$M$23))^$K$23))+($G$24+$H$24*'Advanced Outputs'!C$60^$I$24)*$J$24*EXP(-(($L$24*($B318-$M$24))^$K$24))+($G$25+$H$25*'Advanced Outputs'!C$60^$I$25)*$J$25*EXP(-(($L$25*($B318-$M$25))^$K$25))+$G$26))</f>
        <v>0.82751077981060572</v>
      </c>
      <c r="E318" s="75">
        <f t="shared" si="4"/>
        <v>0.97205226619921692</v>
      </c>
      <c r="F318" s="74"/>
      <c r="G318" s="6"/>
      <c r="H318" s="6"/>
      <c r="I318" s="6"/>
      <c r="J318" s="6"/>
      <c r="K318" s="6"/>
      <c r="L318" s="6"/>
      <c r="M318" s="6"/>
    </row>
    <row r="319" spans="1:13" hidden="1" x14ac:dyDescent="0.2">
      <c r="A319" s="60"/>
      <c r="B319" s="60">
        <v>678</v>
      </c>
      <c r="C319" s="75">
        <f>10^(-(($G$21+$H$21*'Advanced Outputs'!C$61^$I$21)*(($B319/$M$21)^-$K$21)+($G$22+$H$22*'Advanced Outputs'!C$61^$I$22)*$J$22*EXP(-(($L$22*($B319-$M$22))^$K$22))+($G$23+$H$23*'Advanced Outputs'!C$61^$I$23)*$J$23*EXP(-(($L$23*($B319-$M$23))^$K$23))+($G$24+$H$24*'Advanced Outputs'!C$61^$I$24)*$J$24*EXP(-(($L$24*($B319-$M$24))^$K$24))+($G$25+$H$25*'Advanced Outputs'!C$61^$I$25)*$J$25*EXP(-(($L$25*($B319-$M$25))^$K$25))+$G$26))</f>
        <v>0.8047812863649576</v>
      </c>
      <c r="D319" s="75">
        <f>10^(-(($G$21+$H$21*'Advanced Outputs'!C$60^$I$21)*(($B319/$M$21)^-$K$21)+($G$22+$H$22*'Advanced Outputs'!C$60^$I$22)*$J$22*EXP(-(($L$22*($B319-$M$22))^$K$22))+($G$23+$H$23*'Advanced Outputs'!C$60^$I$23)*$J$23*EXP(-(($L$23*($B319-$M$23))^$K$23))+($G$24+$H$24*'Advanced Outputs'!C$60^$I$24)*$J$24*EXP(-(($L$24*($B319-$M$24))^$K$24))+($G$25+$H$25*'Advanced Outputs'!C$60^$I$25)*$J$25*EXP(-(($L$25*($B319-$M$25))^$K$25))+$G$26))</f>
        <v>0.82776578795478706</v>
      </c>
      <c r="E319" s="75">
        <f t="shared" si="4"/>
        <v>0.97223308582658541</v>
      </c>
      <c r="F319" s="74"/>
      <c r="G319" s="6"/>
      <c r="H319" s="6"/>
      <c r="I319" s="6"/>
      <c r="J319" s="6"/>
      <c r="K319" s="6"/>
      <c r="L319" s="6"/>
      <c r="M319" s="6"/>
    </row>
    <row r="320" spans="1:13" hidden="1" x14ac:dyDescent="0.2">
      <c r="A320" s="60"/>
      <c r="B320" s="60">
        <v>679</v>
      </c>
      <c r="C320" s="75">
        <f>10^(-(($G$21+$H$21*'Advanced Outputs'!C$61^$I$21)*(($B320/$M$21)^-$K$21)+($G$22+$H$22*'Advanced Outputs'!C$61^$I$22)*$J$22*EXP(-(($L$22*($B320-$M$22))^$K$22))+($G$23+$H$23*'Advanced Outputs'!C$61^$I$23)*$J$23*EXP(-(($L$23*($B320-$M$23))^$K$23))+($G$24+$H$24*'Advanced Outputs'!C$61^$I$24)*$J$24*EXP(-(($L$24*($B320-$M$24))^$K$24))+($G$25+$H$25*'Advanced Outputs'!C$61^$I$25)*$J$25*EXP(-(($L$25*($B320-$M$25))^$K$25))+$G$26))</f>
        <v>0.80517529334880567</v>
      </c>
      <c r="D320" s="75">
        <f>10^(-(($G$21+$H$21*'Advanced Outputs'!C$60^$I$21)*(($B320/$M$21)^-$K$21)+($G$22+$H$22*'Advanced Outputs'!C$60^$I$22)*$J$22*EXP(-(($L$22*($B320-$M$22))^$K$22))+($G$23+$H$23*'Advanced Outputs'!C$60^$I$23)*$J$23*EXP(-(($L$23*($B320-$M$23))^$K$23))+($G$24+$H$24*'Advanced Outputs'!C$60^$I$24)*$J$24*EXP(-(($L$24*($B320-$M$24))^$K$24))+($G$25+$H$25*'Advanced Outputs'!C$60^$I$25)*$J$25*EXP(-(($L$25*($B320-$M$25))^$K$25))+$G$26))</f>
        <v>0.82801877690798942</v>
      </c>
      <c r="E320" s="75">
        <f t="shared" si="4"/>
        <v>0.97241187736770107</v>
      </c>
      <c r="F320" s="74"/>
      <c r="G320" s="6"/>
      <c r="H320" s="6"/>
      <c r="I320" s="6"/>
      <c r="J320" s="6"/>
      <c r="K320" s="6"/>
      <c r="L320" s="6"/>
      <c r="M320" s="6"/>
    </row>
    <row r="321" spans="1:13" hidden="1" x14ac:dyDescent="0.2">
      <c r="A321" s="60"/>
      <c r="B321" s="60">
        <v>680</v>
      </c>
      <c r="C321" s="75">
        <f>10^(-(($G$21+$H$21*'Advanced Outputs'!C$61^$I$21)*(($B321/$M$21)^-$K$21)+($G$22+$H$22*'Advanced Outputs'!C$61^$I$22)*$J$22*EXP(-(($L$22*($B321-$M$22))^$K$22))+($G$23+$H$23*'Advanced Outputs'!C$61^$I$23)*$J$23*EXP(-(($L$23*($B321-$M$23))^$K$23))+($G$24+$H$24*'Advanced Outputs'!C$61^$I$24)*$J$24*EXP(-(($L$24*($B321-$M$24))^$K$24))+($G$25+$H$25*'Advanced Outputs'!C$61^$I$25)*$J$25*EXP(-(($L$25*($B321-$M$25))^$K$25))+$G$26))</f>
        <v>0.80556580706989711</v>
      </c>
      <c r="D321" s="75">
        <f>10^(-(($G$21+$H$21*'Advanced Outputs'!C$60^$I$21)*(($B321/$M$21)^-$K$21)+($G$22+$H$22*'Advanced Outputs'!C$60^$I$22)*$J$22*EXP(-(($L$22*($B321-$M$22))^$K$22))+($G$23+$H$23*'Advanced Outputs'!C$60^$I$23)*$J$23*EXP(-(($L$23*($B321-$M$23))^$K$23))+($G$24+$H$24*'Advanced Outputs'!C$60^$I$24)*$J$24*EXP(-(($L$24*($B321-$M$24))^$K$24))+($G$25+$H$25*'Advanced Outputs'!C$60^$I$25)*$J$25*EXP(-(($L$25*($B321-$M$25))^$K$25))+$G$26))</f>
        <v>0.82826977129204615</v>
      </c>
      <c r="E321" s="75">
        <f t="shared" si="4"/>
        <v>0.97258868425593714</v>
      </c>
      <c r="F321" s="74"/>
      <c r="G321" s="6"/>
      <c r="H321" s="6"/>
      <c r="I321" s="6"/>
      <c r="J321" s="6"/>
      <c r="K321" s="6"/>
      <c r="L321" s="6"/>
      <c r="M321" s="6"/>
    </row>
    <row r="322" spans="1:13" hidden="1" x14ac:dyDescent="0.2">
      <c r="A322" s="60"/>
      <c r="B322" s="60">
        <v>681</v>
      </c>
      <c r="C322" s="75">
        <f>10^(-(($G$21+$H$21*'Advanced Outputs'!C$61^$I$21)*(($B322/$M$21)^-$K$21)+($G$22+$H$22*'Advanced Outputs'!C$61^$I$22)*$J$22*EXP(-(($L$22*($B322-$M$22))^$K$22))+($G$23+$H$23*'Advanced Outputs'!C$61^$I$23)*$J$23*EXP(-(($L$23*($B322-$M$23))^$K$23))+($G$24+$H$24*'Advanced Outputs'!C$61^$I$24)*$J$24*EXP(-(($L$24*($B322-$M$24))^$K$24))+($G$25+$H$25*'Advanced Outputs'!C$61^$I$25)*$J$25*EXP(-(($L$25*($B322-$M$25))^$K$25))+$G$26))</f>
        <v>0.80595288340129179</v>
      </c>
      <c r="D322" s="75">
        <f>10^(-(($G$21+$H$21*'Advanced Outputs'!C$60^$I$21)*(($B322/$M$21)^-$K$21)+($G$22+$H$22*'Advanced Outputs'!C$60^$I$22)*$J$22*EXP(-(($L$22*($B322-$M$22))^$K$22))+($G$23+$H$23*'Advanced Outputs'!C$60^$I$23)*$J$23*EXP(-(($L$23*($B322-$M$23))^$K$23))+($G$24+$H$24*'Advanced Outputs'!C$60^$I$24)*$J$24*EXP(-(($L$24*($B322-$M$24))^$K$24))+($G$25+$H$25*'Advanced Outputs'!C$60^$I$25)*$J$25*EXP(-(($L$25*($B322-$M$25))^$K$25))+$G$26))</f>
        <v>0.82851879524599292</v>
      </c>
      <c r="E322" s="75">
        <f t="shared" si="4"/>
        <v>0.97276354866759396</v>
      </c>
      <c r="F322" s="74"/>
      <c r="G322" s="6"/>
      <c r="H322" s="6"/>
      <c r="I322" s="6"/>
      <c r="J322" s="6"/>
      <c r="K322" s="6"/>
      <c r="L322" s="6"/>
      <c r="M322" s="6"/>
    </row>
    <row r="323" spans="1:13" hidden="1" x14ac:dyDescent="0.2">
      <c r="A323" s="60"/>
      <c r="B323" s="60">
        <v>682</v>
      </c>
      <c r="C323" s="75">
        <f>10^(-(($G$21+$H$21*'Advanced Outputs'!C$61^$I$21)*(($B323/$M$21)^-$K$21)+($G$22+$H$22*'Advanced Outputs'!C$61^$I$22)*$J$22*EXP(-(($L$22*($B323-$M$22))^$K$22))+($G$23+$H$23*'Advanced Outputs'!C$61^$I$23)*$J$23*EXP(-(($L$23*($B323-$M$23))^$K$23))+($G$24+$H$24*'Advanced Outputs'!C$61^$I$24)*$J$24*EXP(-(($L$24*($B323-$M$24))^$K$24))+($G$25+$H$25*'Advanced Outputs'!C$61^$I$25)*$J$25*EXP(-(($L$25*($B323-$M$25))^$K$25))+$G$26))</f>
        <v>0.80633657682755688</v>
      </c>
      <c r="D323" s="75">
        <f>10^(-(($G$21+$H$21*'Advanced Outputs'!C$60^$I$21)*(($B323/$M$21)^-$K$21)+($G$22+$H$22*'Advanced Outputs'!C$60^$I$22)*$J$22*EXP(-(($L$22*($B323-$M$22))^$K$22))+($G$23+$H$23*'Advanced Outputs'!C$60^$I$23)*$J$23*EXP(-(($L$23*($B323-$M$23))^$K$23))+($G$24+$H$24*'Advanced Outputs'!C$60^$I$24)*$J$24*EXP(-(($L$24*($B323-$M$24))^$K$24))+($G$25+$H$25*'Advanced Outputs'!C$60^$I$25)*$J$25*EXP(-(($L$25*($B323-$M$25))^$K$25))+$G$26))</f>
        <v>0.82876587243772648</v>
      </c>
      <c r="E323" s="75">
        <f t="shared" si="4"/>
        <v>0.9729365115576053</v>
      </c>
      <c r="F323" s="74"/>
      <c r="G323" s="6"/>
      <c r="H323" s="6"/>
      <c r="I323" s="6"/>
      <c r="J323" s="6"/>
      <c r="K323" s="6"/>
      <c r="L323" s="6"/>
      <c r="M323" s="6"/>
    </row>
    <row r="324" spans="1:13" hidden="1" x14ac:dyDescent="0.2">
      <c r="A324" s="60"/>
      <c r="B324" s="60">
        <v>683</v>
      </c>
      <c r="C324" s="75">
        <f>10^(-(($G$21+$H$21*'Advanced Outputs'!C$61^$I$21)*(($B324/$M$21)^-$K$21)+($G$22+$H$22*'Advanced Outputs'!C$61^$I$22)*$J$22*EXP(-(($L$22*($B324-$M$22))^$K$22))+($G$23+$H$23*'Advanced Outputs'!C$61^$I$23)*$J$23*EXP(-(($L$23*($B324-$M$23))^$K$23))+($G$24+$H$24*'Advanced Outputs'!C$61^$I$24)*$J$24*EXP(-(($L$24*($B324-$M$24))^$K$24))+($G$25+$H$25*'Advanced Outputs'!C$61^$I$25)*$J$25*EXP(-(($L$25*($B324-$M$25))^$K$25))+$G$26))</f>
        <v>0.80671694048160358</v>
      </c>
      <c r="D324" s="75">
        <f>10^(-(($G$21+$H$21*'Advanced Outputs'!C$60^$I$21)*(($B324/$M$21)^-$K$21)+($G$22+$H$22*'Advanced Outputs'!C$60^$I$22)*$J$22*EXP(-(($L$22*($B324-$M$22))^$K$22))+($G$23+$H$23*'Advanced Outputs'!C$60^$I$23)*$J$23*EXP(-(($L$23*($B324-$M$23))^$K$23))+($G$24+$H$24*'Advanced Outputs'!C$60^$I$24)*$J$24*EXP(-(($L$24*($B324-$M$24))^$K$24))+($G$25+$H$25*'Advanced Outputs'!C$60^$I$25)*$J$25*EXP(-(($L$25*($B324-$M$25))^$K$25))+$G$26))</f>
        <v>0.8290110260754131</v>
      </c>
      <c r="E324" s="75">
        <f t="shared" si="4"/>
        <v>0.97310761269442814</v>
      </c>
      <c r="F324" s="74"/>
      <c r="G324" s="6"/>
      <c r="H324" s="6"/>
      <c r="I324" s="6"/>
      <c r="J324" s="6"/>
      <c r="K324" s="6"/>
      <c r="L324" s="6"/>
      <c r="M324" s="6"/>
    </row>
    <row r="325" spans="1:13" hidden="1" x14ac:dyDescent="0.2">
      <c r="A325" s="60"/>
      <c r="B325" s="60">
        <v>684</v>
      </c>
      <c r="C325" s="75">
        <f>10^(-(($G$21+$H$21*'Advanced Outputs'!C$61^$I$21)*(($B325/$M$21)^-$K$21)+($G$22+$H$22*'Advanced Outputs'!C$61^$I$22)*$J$22*EXP(-(($L$22*($B325-$M$22))^$K$22))+($G$23+$H$23*'Advanced Outputs'!C$61^$I$23)*$J$23*EXP(-(($L$23*($B325-$M$23))^$K$23))+($G$24+$H$24*'Advanced Outputs'!C$61^$I$24)*$J$24*EXP(-(($L$24*($B325-$M$24))^$K$24))+($G$25+$H$25*'Advanced Outputs'!C$61^$I$25)*$J$25*EXP(-(($L$25*($B325-$M$25))^$K$25))+$G$26))</f>
        <v>0.80709402618074411</v>
      </c>
      <c r="D325" s="75">
        <f>10^(-(($G$21+$H$21*'Advanced Outputs'!C$60^$I$21)*(($B325/$M$21)^-$K$21)+($G$22+$H$22*'Advanced Outputs'!C$60^$I$22)*$J$22*EXP(-(($L$22*($B325-$M$22))^$K$22))+($G$23+$H$23*'Advanced Outputs'!C$60^$I$23)*$J$23*EXP(-(($L$23*($B325-$M$23))^$K$23))+($G$24+$H$24*'Advanced Outputs'!C$60^$I$24)*$J$24*EXP(-(($L$24*($B325-$M$24))^$K$24))+($G$25+$H$25*'Advanced Outputs'!C$60^$I$25)*$J$25*EXP(-(($L$25*($B325-$M$25))^$K$25))+$G$26))</f>
        <v>0.82925427891864922</v>
      </c>
      <c r="E325" s="75">
        <f t="shared" si="4"/>
        <v>0.97327689069412804</v>
      </c>
      <c r="F325" s="74"/>
      <c r="G325" s="6"/>
      <c r="H325" s="6"/>
      <c r="I325" s="6"/>
      <c r="J325" s="6"/>
      <c r="K325" s="6"/>
      <c r="L325" s="6"/>
      <c r="M325" s="6"/>
    </row>
    <row r="326" spans="1:13" hidden="1" x14ac:dyDescent="0.2">
      <c r="A326" s="60"/>
      <c r="B326" s="60">
        <v>685</v>
      </c>
      <c r="C326" s="75">
        <f>10^(-(($G$21+$H$21*'Advanced Outputs'!C$61^$I$21)*(($B326/$M$21)^-$K$21)+($G$22+$H$22*'Advanced Outputs'!C$61^$I$22)*$J$22*EXP(-(($L$22*($B326-$M$22))^$K$22))+($G$23+$H$23*'Advanced Outputs'!C$61^$I$23)*$J$23*EXP(-(($L$23*($B326-$M$23))^$K$23))+($G$24+$H$24*'Advanced Outputs'!C$61^$I$24)*$J$24*EXP(-(($L$24*($B326-$M$24))^$K$24))+($G$25+$H$25*'Advanced Outputs'!C$61^$I$25)*$J$25*EXP(-(($L$25*($B326-$M$25))^$K$25))+$G$26))</f>
        <v>0.80746788446197304</v>
      </c>
      <c r="D326" s="75">
        <f>10^(-(($G$21+$H$21*'Advanced Outputs'!C$60^$I$21)*(($B326/$M$21)^-$K$21)+($G$22+$H$22*'Advanced Outputs'!C$60^$I$22)*$J$22*EXP(-(($L$22*($B326-$M$22))^$K$22))+($G$23+$H$23*'Advanced Outputs'!C$60^$I$23)*$J$23*EXP(-(($L$23*($B326-$M$23))^$K$23))+($G$24+$H$24*'Advanced Outputs'!C$60^$I$24)*$J$24*EXP(-(($L$24*($B326-$M$24))^$K$24))+($G$25+$H$25*'Advanced Outputs'!C$60^$I$25)*$J$25*EXP(-(($L$25*($B326-$M$25))^$K$25))+$G$26))</f>
        <v>0.82949565328937924</v>
      </c>
      <c r="E326" s="75">
        <f t="shared" si="4"/>
        <v>0.97344438305366077</v>
      </c>
      <c r="F326" s="74"/>
      <c r="G326" s="6"/>
      <c r="H326" s="6"/>
      <c r="I326" s="6"/>
      <c r="J326" s="6"/>
      <c r="K326" s="6"/>
      <c r="L326" s="6"/>
      <c r="M326" s="6"/>
    </row>
    <row r="327" spans="1:13" hidden="1" x14ac:dyDescent="0.2">
      <c r="A327" s="60"/>
      <c r="B327" s="60">
        <v>686</v>
      </c>
      <c r="C327" s="75">
        <f>10^(-(($G$21+$H$21*'Advanced Outputs'!C$61^$I$21)*(($B327/$M$21)^-$K$21)+($G$22+$H$22*'Advanced Outputs'!C$61^$I$22)*$J$22*EXP(-(($L$22*($B327-$M$22))^$K$22))+($G$23+$H$23*'Advanced Outputs'!C$61^$I$23)*$J$23*EXP(-(($L$23*($B327-$M$23))^$K$23))+($G$24+$H$24*'Advanced Outputs'!C$61^$I$24)*$J$24*EXP(-(($L$24*($B327-$M$24))^$K$24))+($G$25+$H$25*'Advanced Outputs'!C$61^$I$25)*$J$25*EXP(-(($L$25*($B327-$M$25))^$K$25))+$G$26))</f>
        <v>0.80783856461648096</v>
      </c>
      <c r="D327" s="75">
        <f>10^(-(($G$21+$H$21*'Advanced Outputs'!C$60^$I$21)*(($B327/$M$21)^-$K$21)+($G$22+$H$22*'Advanced Outputs'!C$60^$I$22)*$J$22*EXP(-(($L$22*($B327-$M$22))^$K$22))+($G$23+$H$23*'Advanced Outputs'!C$60^$I$23)*$J$23*EXP(-(($L$23*($B327-$M$23))^$K$23))+($G$24+$H$24*'Advanced Outputs'!C$60^$I$24)*$J$24*EXP(-(($L$24*($B327-$M$24))^$K$24))+($G$25+$H$25*'Advanced Outputs'!C$60^$I$25)*$J$25*EXP(-(($L$25*($B327-$M$25))^$K$25))+$G$26))</f>
        <v>0.82973517108256933</v>
      </c>
      <c r="E327" s="75">
        <f t="shared" si="4"/>
        <v>0.97361012618337062</v>
      </c>
      <c r="F327" s="74"/>
      <c r="G327" s="6"/>
      <c r="H327" s="6"/>
      <c r="I327" s="6"/>
      <c r="J327" s="6"/>
      <c r="K327" s="6"/>
      <c r="L327" s="6"/>
      <c r="M327" s="6"/>
    </row>
    <row r="328" spans="1:13" hidden="1" x14ac:dyDescent="0.2">
      <c r="A328" s="60"/>
      <c r="B328" s="60">
        <v>687</v>
      </c>
      <c r="C328" s="75">
        <f>10^(-(($G$21+$H$21*'Advanced Outputs'!C$61^$I$21)*(($B328/$M$21)^-$K$21)+($G$22+$H$22*'Advanced Outputs'!C$61^$I$22)*$J$22*EXP(-(($L$22*($B328-$M$22))^$K$22))+($G$23+$H$23*'Advanced Outputs'!C$61^$I$23)*$J$23*EXP(-(($L$23*($B328-$M$23))^$K$23))+($G$24+$H$24*'Advanced Outputs'!C$61^$I$24)*$J$24*EXP(-(($L$24*($B328-$M$24))^$K$24))+($G$25+$H$25*'Advanced Outputs'!C$61^$I$25)*$J$25*EXP(-(($L$25*($B328-$M$25))^$K$25))+$G$26))</f>
        <v>0.80820611472340509</v>
      </c>
      <c r="D328" s="75">
        <f>10^(-(($G$21+$H$21*'Advanced Outputs'!C$60^$I$21)*(($B328/$M$21)^-$K$21)+($G$22+$H$22*'Advanced Outputs'!C$60^$I$22)*$J$22*EXP(-(($L$22*($B328-$M$22))^$K$22))+($G$23+$H$23*'Advanced Outputs'!C$60^$I$23)*$J$23*EXP(-(($L$23*($B328-$M$23))^$K$23))+($G$24+$H$24*'Advanced Outputs'!C$60^$I$24)*$J$24*EXP(-(($L$24*($B328-$M$24))^$K$24))+($G$25+$H$25*'Advanced Outputs'!C$60^$I$25)*$J$25*EXP(-(($L$25*($B328-$M$25))^$K$25))+$G$26))</f>
        <v>0.82997285377664431</v>
      </c>
      <c r="E328" s="75">
        <f t="shared" si="4"/>
        <v>0.97377415543870682</v>
      </c>
      <c r="F328" s="74"/>
      <c r="G328" s="6"/>
      <c r="H328" s="6"/>
      <c r="I328" s="6"/>
      <c r="J328" s="6"/>
      <c r="K328" s="6"/>
      <c r="L328" s="6"/>
      <c r="M328" s="6"/>
    </row>
    <row r="329" spans="1:13" hidden="1" x14ac:dyDescent="0.2">
      <c r="A329" s="60"/>
      <c r="B329" s="60">
        <v>688</v>
      </c>
      <c r="C329" s="75">
        <f>10^(-(($G$21+$H$21*'Advanced Outputs'!C$61^$I$21)*(($B329/$M$21)^-$K$21)+($G$22+$H$22*'Advanced Outputs'!C$61^$I$22)*$J$22*EXP(-(($L$22*($B329-$M$22))^$K$22))+($G$23+$H$23*'Advanced Outputs'!C$61^$I$23)*$J$23*EXP(-(($L$23*($B329-$M$23))^$K$23))+($G$24+$H$24*'Advanced Outputs'!C$61^$I$24)*$J$24*EXP(-(($L$24*($B329-$M$24))^$K$24))+($G$25+$H$25*'Advanced Outputs'!C$61^$I$25)*$J$25*EXP(-(($L$25*($B329-$M$25))^$K$25))+$G$26))</f>
        <v>0.80857058168282525</v>
      </c>
      <c r="D329" s="75">
        <f>10^(-(($G$21+$H$21*'Advanced Outputs'!C$60^$I$21)*(($B329/$M$21)^-$K$21)+($G$22+$H$22*'Advanced Outputs'!C$60^$I$22)*$J$22*EXP(-(($L$22*($B329-$M$22))^$K$22))+($G$23+$H$23*'Advanced Outputs'!C$60^$I$23)*$J$23*EXP(-(($L$23*($B329-$M$23))^$K$23))+($G$24+$H$24*'Advanced Outputs'!C$60^$I$24)*$J$24*EXP(-(($L$24*($B329-$M$24))^$K$24))+($G$25+$H$25*'Advanced Outputs'!C$60^$I$25)*$J$25*EXP(-(($L$25*($B329-$M$25))^$K$25))+$G$26))</f>
        <v>0.83020872244368726</v>
      </c>
      <c r="E329" s="75">
        <f t="shared" si="4"/>
        <v>0.97393650515117336</v>
      </c>
      <c r="F329" s="74"/>
      <c r="G329" s="6"/>
      <c r="H329" s="6"/>
      <c r="I329" s="6"/>
      <c r="J329" s="6"/>
      <c r="K329" s="6"/>
      <c r="L329" s="6"/>
      <c r="M329" s="6"/>
    </row>
    <row r="330" spans="1:13" hidden="1" x14ac:dyDescent="0.2">
      <c r="A330" s="60"/>
      <c r="B330" s="60">
        <v>689</v>
      </c>
      <c r="C330" s="75">
        <f>10^(-(($G$21+$H$21*'Advanced Outputs'!C$61^$I$21)*(($B330/$M$21)^-$K$21)+($G$22+$H$22*'Advanced Outputs'!C$61^$I$22)*$J$22*EXP(-(($L$22*($B330-$M$22))^$K$22))+($G$23+$H$23*'Advanced Outputs'!C$61^$I$23)*$J$23*EXP(-(($L$23*($B330-$M$23))^$K$23))+($G$24+$H$24*'Advanced Outputs'!C$61^$I$24)*$J$24*EXP(-(($L$24*($B330-$M$24))^$K$24))+($G$25+$H$25*'Advanced Outputs'!C$61^$I$25)*$J$25*EXP(-(($L$25*($B330-$M$25))^$K$25))+$G$26))</f>
        <v>0.80893201124801195</v>
      </c>
      <c r="D330" s="75">
        <f>10^(-(($G$21+$H$21*'Advanced Outputs'!C$60^$I$21)*(($B330/$M$21)^-$K$21)+($G$22+$H$22*'Advanced Outputs'!C$60^$I$22)*$J$22*EXP(-(($L$22*($B330-$M$22))^$K$22))+($G$23+$H$23*'Advanced Outputs'!C$60^$I$23)*$J$23*EXP(-(($L$23*($B330-$M$23))^$K$23))+($G$24+$H$24*'Advanced Outputs'!C$60^$I$24)*$J$24*EXP(-(($L$24*($B330-$M$24))^$K$24))+($G$25+$H$25*'Advanced Outputs'!C$60^$I$25)*$J$25*EXP(-(($L$25*($B330-$M$25))^$K$25))+$G$26))</f>
        <v>0.83044279775940877</v>
      </c>
      <c r="E330" s="75">
        <f t="shared" si="4"/>
        <v>0.97409720865852001</v>
      </c>
      <c r="F330" s="74"/>
      <c r="G330" s="6"/>
      <c r="H330" s="6"/>
      <c r="I330" s="6"/>
      <c r="J330" s="6"/>
      <c r="K330" s="6"/>
      <c r="L330" s="6"/>
      <c r="M330" s="6"/>
    </row>
    <row r="331" spans="1:13" hidden="1" x14ac:dyDescent="0.2">
      <c r="A331" s="60"/>
      <c r="B331" s="60">
        <v>690</v>
      </c>
      <c r="C331" s="75">
        <f>10^(-(($G$21+$H$21*'Advanced Outputs'!C$61^$I$21)*(($B331/$M$21)^-$K$21)+($G$22+$H$22*'Advanced Outputs'!C$61^$I$22)*$J$22*EXP(-(($L$22*($B331-$M$22))^$K$22))+($G$23+$H$23*'Advanced Outputs'!C$61^$I$23)*$J$23*EXP(-(($L$23*($B331-$M$23))^$K$23))+($G$24+$H$24*'Advanced Outputs'!C$61^$I$24)*$J$24*EXP(-(($L$24*($B331-$M$24))^$K$24))+($G$25+$H$25*'Advanced Outputs'!C$61^$I$25)*$J$25*EXP(-(($L$25*($B331-$M$25))^$K$25))+$G$26))</f>
        <v>0.80929044805693195</v>
      </c>
      <c r="D331" s="75">
        <f>10^(-(($G$21+$H$21*'Advanced Outputs'!C$60^$I$21)*(($B331/$M$21)^-$K$21)+($G$22+$H$22*'Advanced Outputs'!C$60^$I$22)*$J$22*EXP(-(($L$22*($B331-$M$22))^$K$22))+($G$23+$H$23*'Advanced Outputs'!C$60^$I$23)*$J$23*EXP(-(($L$23*($B331-$M$23))^$K$23))+($G$24+$H$24*'Advanced Outputs'!C$60^$I$24)*$J$24*EXP(-(($L$24*($B331-$M$24))^$K$24))+($G$25+$H$25*'Advanced Outputs'!C$60^$I$25)*$J$25*EXP(-(($L$25*($B331-$M$25))^$K$25))+$G$26))</f>
        <v>0.83067510001288325</v>
      </c>
      <c r="E331" s="75">
        <f t="shared" si="4"/>
        <v>0.9742562983341867</v>
      </c>
      <c r="F331" s="74"/>
      <c r="G331" s="6"/>
      <c r="H331" s="6"/>
      <c r="I331" s="6"/>
      <c r="J331" s="6"/>
      <c r="K331" s="6"/>
      <c r="L331" s="6"/>
      <c r="M331" s="6"/>
    </row>
    <row r="332" spans="1:13" hidden="1" x14ac:dyDescent="0.2">
      <c r="A332" s="60"/>
      <c r="B332" s="60">
        <v>691</v>
      </c>
      <c r="C332" s="75">
        <f>10^(-(($G$21+$H$21*'Advanced Outputs'!C$61^$I$21)*(($B332/$M$21)^-$K$21)+($G$22+$H$22*'Advanced Outputs'!C$61^$I$22)*$J$22*EXP(-(($L$22*($B332-$M$22))^$K$22))+($G$23+$H$23*'Advanced Outputs'!C$61^$I$23)*$J$23*EXP(-(($L$23*($B332-$M$23))^$K$23))+($G$24+$H$24*'Advanced Outputs'!C$61^$I$24)*$J$24*EXP(-(($L$24*($B332-$M$24))^$K$24))+($G$25+$H$25*'Advanced Outputs'!C$61^$I$25)*$J$25*EXP(-(($L$25*($B332-$M$25))^$K$25))+$G$26))</f>
        <v>0.80964593566302556</v>
      </c>
      <c r="D332" s="75">
        <f>10^(-(($G$21+$H$21*'Advanced Outputs'!C$60^$I$21)*(($B332/$M$21)^-$K$21)+($G$22+$H$22*'Advanced Outputs'!C$60^$I$22)*$J$22*EXP(-(($L$22*($B332-$M$22))^$K$22))+($G$23+$H$23*'Advanced Outputs'!C$60^$I$23)*$J$23*EXP(-(($L$23*($B332-$M$23))^$K$23))+($G$24+$H$24*'Advanced Outputs'!C$60^$I$24)*$J$24*EXP(-(($L$24*($B332-$M$24))^$K$24))+($G$25+$H$25*'Advanced Outputs'!C$60^$I$25)*$J$25*EXP(-(($L$25*($B332-$M$25))^$K$25))+$G$26))</f>
        <v>0.83090564911606324</v>
      </c>
      <c r="E332" s="75">
        <f t="shared" si="4"/>
        <v>0.97441380561601154</v>
      </c>
      <c r="F332" s="74"/>
      <c r="G332" s="6"/>
      <c r="H332" s="6"/>
      <c r="I332" s="6"/>
      <c r="J332" s="6"/>
      <c r="K332" s="6"/>
      <c r="L332" s="6"/>
      <c r="M332" s="6"/>
    </row>
    <row r="333" spans="1:13" hidden="1" x14ac:dyDescent="0.2">
      <c r="A333" s="60"/>
      <c r="B333" s="60">
        <v>692</v>
      </c>
      <c r="C333" s="75">
        <f>10^(-(($G$21+$H$21*'Advanced Outputs'!C$61^$I$21)*(($B333/$M$21)^-$K$21)+($G$22+$H$22*'Advanced Outputs'!C$61^$I$22)*$J$22*EXP(-(($L$22*($B333-$M$22))^$K$22))+($G$23+$H$23*'Advanced Outputs'!C$61^$I$23)*$J$23*EXP(-(($L$23*($B333-$M$23))^$K$23))+($G$24+$H$24*'Advanced Outputs'!C$61^$I$24)*$J$24*EXP(-(($L$24*($B333-$M$24))^$K$24))+($G$25+$H$25*'Advanced Outputs'!C$61^$I$25)*$J$25*EXP(-(($L$25*($B333-$M$25))^$K$25))+$G$26))</f>
        <v>0.80999851656525734</v>
      </c>
      <c r="D333" s="75">
        <f>10^(-(($G$21+$H$21*'Advanced Outputs'!C$60^$I$21)*(($B333/$M$21)^-$K$21)+($G$22+$H$22*'Advanced Outputs'!C$60^$I$22)*$J$22*EXP(-(($L$22*($B333-$M$22))^$K$22))+($G$23+$H$23*'Advanced Outputs'!C$60^$I$23)*$J$23*EXP(-(($L$23*($B333-$M$23))^$K$23))+($G$24+$H$24*'Advanced Outputs'!C$60^$I$24)*$J$24*EXP(-(($L$24*($B333-$M$24))^$K$24))+($G$25+$H$25*'Advanced Outputs'!C$60^$I$25)*$J$25*EXP(-(($L$25*($B333-$M$25))^$K$25))+$G$26))</f>
        <v>0.83113446461306673</v>
      </c>
      <c r="E333" s="75">
        <f t="shared" si="4"/>
        <v>0.97456976103421578</v>
      </c>
      <c r="F333" s="74"/>
      <c r="G333" s="6"/>
      <c r="H333" s="6"/>
      <c r="I333" s="6"/>
      <c r="J333" s="6"/>
      <c r="K333" s="6"/>
      <c r="L333" s="6"/>
      <c r="M333" s="6"/>
    </row>
    <row r="334" spans="1:13" hidden="1" x14ac:dyDescent="0.2">
      <c r="A334" s="60"/>
      <c r="B334" s="60">
        <v>693</v>
      </c>
      <c r="C334" s="75">
        <f>10^(-(($G$21+$H$21*'Advanced Outputs'!C$61^$I$21)*(($B334/$M$21)^-$K$21)+($G$22+$H$22*'Advanced Outputs'!C$61^$I$22)*$J$22*EXP(-(($L$22*($B334-$M$22))^$K$22))+($G$23+$H$23*'Advanced Outputs'!C$61^$I$23)*$J$23*EXP(-(($L$23*($B334-$M$23))^$K$23))+($G$24+$H$24*'Advanced Outputs'!C$61^$I$24)*$J$24*EXP(-(($L$24*($B334-$M$24))^$K$24))+($G$25+$H$25*'Advanced Outputs'!C$61^$I$25)*$J$25*EXP(-(($L$25*($B334-$M$25))^$K$25))+$G$26))</f>
        <v>0.81034823223745323</v>
      </c>
      <c r="D334" s="75">
        <f>10^(-(($G$21+$H$21*'Advanced Outputs'!C$60^$I$21)*(($B334/$M$21)^-$K$21)+($G$22+$H$22*'Advanced Outputs'!C$60^$I$22)*$J$22*EXP(-(($L$22*($B334-$M$22))^$K$22))+($G$23+$H$23*'Advanced Outputs'!C$60^$I$23)*$J$23*EXP(-(($L$23*($B334-$M$23))^$K$23))+($G$24+$H$24*'Advanced Outputs'!C$60^$I$24)*$J$24*EXP(-(($L$24*($B334-$M$24))^$K$24))+($G$25+$H$25*'Advanced Outputs'!C$60^$I$25)*$J$25*EXP(-(($L$25*($B334-$M$25))^$K$25))+$G$26))</f>
        <v>0.83136156568924813</v>
      </c>
      <c r="E334" s="75">
        <f t="shared" si="4"/>
        <v>0.97472419423867207</v>
      </c>
      <c r="F334" s="74"/>
      <c r="G334" s="6"/>
      <c r="H334" s="6"/>
      <c r="I334" s="6"/>
      <c r="J334" s="6"/>
      <c r="K334" s="6"/>
      <c r="L334" s="6"/>
      <c r="M334" s="6"/>
    </row>
    <row r="335" spans="1:13" hidden="1" x14ac:dyDescent="0.2">
      <c r="A335" s="60"/>
      <c r="B335" s="60">
        <v>694</v>
      </c>
      <c r="C335" s="75">
        <f>10^(-(($G$21+$H$21*'Advanced Outputs'!C$61^$I$21)*(($B335/$M$21)^-$K$21)+($G$22+$H$22*'Advanced Outputs'!C$61^$I$22)*$J$22*EXP(-(($L$22*($B335-$M$22))^$K$22))+($G$23+$H$23*'Advanced Outputs'!C$61^$I$23)*$J$23*EXP(-(($L$23*($B335-$M$23))^$K$23))+($G$24+$H$24*'Advanced Outputs'!C$61^$I$24)*$J$24*EXP(-(($L$24*($B335-$M$24))^$K$24))+($G$25+$H$25*'Advanced Outputs'!C$61^$I$25)*$J$25*EXP(-(($L$25*($B335-$M$25))^$K$25))+$G$26))</f>
        <v>0.81069512315693282</v>
      </c>
      <c r="D335" s="75">
        <f>10^(-(($G$21+$H$21*'Advanced Outputs'!C$60^$I$21)*(($B335/$M$21)^-$K$21)+($G$22+$H$22*'Advanced Outputs'!C$60^$I$22)*$J$22*EXP(-(($L$22*($B335-$M$22))^$K$22))+($G$23+$H$23*'Advanced Outputs'!C$60^$I$23)*$J$23*EXP(-(($L$23*($B335-$M$23))^$K$23))+($G$24+$H$24*'Advanced Outputs'!C$60^$I$24)*$J$24*EXP(-(($L$24*($B335-$M$24))^$K$24))+($G$25+$H$25*'Advanced Outputs'!C$60^$I$25)*$J$25*EXP(-(($L$25*($B335-$M$25))^$K$25))+$G$26))</f>
        <v>0.83158697118005098</v>
      </c>
      <c r="E335" s="75">
        <f t="shared" si="4"/>
        <v>0.97487713402547438</v>
      </c>
      <c r="F335" s="74"/>
      <c r="G335" s="6"/>
      <c r="H335" s="6"/>
      <c r="I335" s="6"/>
      <c r="J335" s="6"/>
      <c r="K335" s="6"/>
      <c r="L335" s="6"/>
      <c r="M335" s="6"/>
    </row>
    <row r="336" spans="1:13" hidden="1" x14ac:dyDescent="0.2">
      <c r="A336" s="60"/>
      <c r="B336" s="60">
        <v>695</v>
      </c>
      <c r="C336" s="75">
        <f>10^(-(($G$21+$H$21*'Advanced Outputs'!C$61^$I$21)*(($B336/$M$21)^-$K$21)+($G$22+$H$22*'Advanced Outputs'!C$61^$I$22)*$J$22*EXP(-(($L$22*($B336-$M$22))^$K$22))+($G$23+$H$23*'Advanced Outputs'!C$61^$I$23)*$J$23*EXP(-(($L$23*($B336-$M$23))^$K$23))+($G$24+$H$24*'Advanced Outputs'!C$61^$I$24)*$J$24*EXP(-(($L$24*($B336-$M$24))^$K$24))+($G$25+$H$25*'Advanced Outputs'!C$61^$I$25)*$J$25*EXP(-(($L$25*($B336-$M$25))^$K$25))+$G$26))</f>
        <v>0.81103922883244484</v>
      </c>
      <c r="D336" s="75">
        <f>10^(-(($G$21+$H$21*'Advanced Outputs'!C$60^$I$21)*(($B336/$M$21)^-$K$21)+($G$22+$H$22*'Advanced Outputs'!C$60^$I$22)*$J$22*EXP(-(($L$22*($B336-$M$22))^$K$22))+($G$23+$H$23*'Advanced Outputs'!C$60^$I$23)*$J$23*EXP(-(($L$23*($B336-$M$23))^$K$23))+($G$24+$H$24*'Advanced Outputs'!C$60^$I$24)*$J$24*EXP(-(($L$24*($B336-$M$24))^$K$24))+($G$25+$H$25*'Advanced Outputs'!C$60^$I$25)*$J$25*EXP(-(($L$25*($B336-$M$25))^$K$25))+$G$26))</f>
        <v>0.83181069957964915</v>
      </c>
      <c r="E336" s="75">
        <f t="shared" si="4"/>
        <v>0.97502860836281491</v>
      </c>
      <c r="F336" s="74"/>
      <c r="G336" s="6"/>
      <c r="H336" s="6"/>
      <c r="I336" s="6"/>
      <c r="J336" s="6"/>
      <c r="K336" s="6"/>
      <c r="L336" s="6"/>
      <c r="M336" s="6"/>
    </row>
    <row r="337" spans="1:13" hidden="1" x14ac:dyDescent="0.2">
      <c r="A337" s="60"/>
      <c r="B337" s="60">
        <v>696</v>
      </c>
      <c r="C337" s="75">
        <f>10^(-(($G$21+$H$21*'Advanced Outputs'!C$61^$I$21)*(($B337/$M$21)^-$K$21)+($G$22+$H$22*'Advanced Outputs'!C$61^$I$22)*$J$22*EXP(-(($L$22*($B337-$M$22))^$K$22))+($G$23+$H$23*'Advanced Outputs'!C$61^$I$23)*$J$23*EXP(-(($L$23*($B337-$M$23))^$K$23))+($G$24+$H$24*'Advanced Outputs'!C$61^$I$24)*$J$24*EXP(-(($L$24*($B337-$M$24))^$K$24))+($G$25+$H$25*'Advanced Outputs'!C$61^$I$25)*$J$25*EXP(-(($L$25*($B337-$M$25))^$K$25))+$G$26))</f>
        <v>0.81138058783141775</v>
      </c>
      <c r="D337" s="75">
        <f>10^(-(($G$21+$H$21*'Advanced Outputs'!C$60^$I$21)*(($B337/$M$21)^-$K$21)+($G$22+$H$22*'Advanced Outputs'!C$60^$I$22)*$J$22*EXP(-(($L$22*($B337-$M$22))^$K$22))+($G$23+$H$23*'Advanced Outputs'!C$60^$I$23)*$J$23*EXP(-(($L$23*($B337-$M$23))^$K$23))+($G$24+$H$24*'Advanced Outputs'!C$60^$I$24)*$J$24*EXP(-(($L$24*($B337-$M$24))^$K$24))+($G$25+$H$25*'Advanced Outputs'!C$60^$I$25)*$J$25*EXP(-(($L$25*($B337-$M$25))^$K$25))+$G$26))</f>
        <v>0.83203276904937795</v>
      </c>
      <c r="E337" s="75">
        <f t="shared" si="4"/>
        <v>0.97517864441618574</v>
      </c>
      <c r="F337" s="74"/>
      <c r="G337" s="6"/>
      <c r="H337" s="6"/>
      <c r="I337" s="6"/>
      <c r="J337" s="6"/>
      <c r="K337" s="6"/>
      <c r="L337" s="6"/>
      <c r="M337" s="6"/>
    </row>
    <row r="338" spans="1:13" hidden="1" x14ac:dyDescent="0.2">
      <c r="A338" s="60"/>
      <c r="B338" s="60">
        <v>697</v>
      </c>
      <c r="C338" s="75">
        <f>10^(-(($G$21+$H$21*'Advanced Outputs'!C$61^$I$21)*(($B338/$M$21)^-$K$21)+($G$22+$H$22*'Advanced Outputs'!C$61^$I$22)*$J$22*EXP(-(($L$22*($B338-$M$22))^$K$22))+($G$23+$H$23*'Advanced Outputs'!C$61^$I$23)*$J$23*EXP(-(($L$23*($B338-$M$23))^$K$23))+($G$24+$H$24*'Advanced Outputs'!C$61^$I$24)*$J$24*EXP(-(($L$24*($B338-$M$24))^$K$24))+($G$25+$H$25*'Advanced Outputs'!C$61^$I$25)*$J$25*EXP(-(($L$25*($B338-$M$25))^$K$25))+$G$26))</f>
        <v>0.8117192378065321</v>
      </c>
      <c r="D338" s="75">
        <f>10^(-(($G$21+$H$21*'Advanced Outputs'!C$60^$I$21)*(($B338/$M$21)^-$K$21)+($G$22+$H$22*'Advanced Outputs'!C$60^$I$22)*$J$22*EXP(-(($L$22*($B338-$M$22))^$K$22))+($G$23+$H$23*'Advanced Outputs'!C$60^$I$23)*$J$23*EXP(-(($L$23*($B338-$M$23))^$K$23))+($G$24+$H$24*'Advanced Outputs'!C$60^$I$24)*$J$24*EXP(-(($L$24*($B338-$M$24))^$K$24))+($G$25+$H$25*'Advanced Outputs'!C$60^$I$25)*$J$25*EXP(-(($L$25*($B338-$M$25))^$K$25))+$G$26))</f>
        <v>0.83225319742596049</v>
      </c>
      <c r="E338" s="75">
        <f t="shared" si="4"/>
        <v>0.97532726857290908</v>
      </c>
      <c r="F338" s="74"/>
      <c r="G338" s="6"/>
      <c r="H338" s="6"/>
      <c r="I338" s="6"/>
      <c r="J338" s="6"/>
      <c r="K338" s="6"/>
      <c r="L338" s="6"/>
      <c r="M338" s="6"/>
    </row>
    <row r="339" spans="1:13" hidden="1" x14ac:dyDescent="0.2">
      <c r="A339" s="60"/>
      <c r="B339" s="60">
        <v>698</v>
      </c>
      <c r="C339" s="75">
        <f>10^(-(($G$21+$H$21*'Advanced Outputs'!C$61^$I$21)*(($B339/$M$21)^-$K$21)+($G$22+$H$22*'Advanced Outputs'!C$61^$I$22)*$J$22*EXP(-(($L$22*($B339-$M$22))^$K$22))+($G$23+$H$23*'Advanced Outputs'!C$61^$I$23)*$J$23*EXP(-(($L$23*($B339-$M$23))^$K$23))+($G$24+$H$24*'Advanced Outputs'!C$61^$I$24)*$J$24*EXP(-(($L$24*($B339-$M$24))^$K$24))+($G$25+$H$25*'Advanced Outputs'!C$61^$I$25)*$J$25*EXP(-(($L$25*($B339-$M$25))^$K$25))+$G$26))</f>
        <v>0.81205521552162996</v>
      </c>
      <c r="D339" s="75">
        <f>10^(-(($G$21+$H$21*'Advanced Outputs'!C$60^$I$21)*(($B339/$M$21)^-$K$21)+($G$22+$H$22*'Advanced Outputs'!C$60^$I$22)*$J$22*EXP(-(($L$22*($B339-$M$22))^$K$22))+($G$23+$H$23*'Advanced Outputs'!C$60^$I$23)*$J$23*EXP(-(($L$23*($B339-$M$23))^$K$23))+($G$24+$H$24*'Advanced Outputs'!C$60^$I$24)*$J$24*EXP(-(($L$24*($B339-$M$24))^$K$24))+($G$25+$H$25*'Advanced Outputs'!C$60^$I$25)*$J$25*EXP(-(($L$25*($B339-$M$25))^$K$25))+$G$26))</f>
        <v>0.83247200222953022</v>
      </c>
      <c r="E339" s="75">
        <f t="shared" si="4"/>
        <v>0.97547450646601941</v>
      </c>
      <c r="F339" s="74"/>
      <c r="G339" s="6"/>
      <c r="H339" s="6"/>
      <c r="I339" s="6"/>
      <c r="J339" s="6"/>
      <c r="K339" s="6"/>
      <c r="L339" s="6"/>
      <c r="M339" s="6"/>
    </row>
    <row r="340" spans="1:13" hidden="1" x14ac:dyDescent="0.2">
      <c r="A340" s="60"/>
      <c r="B340" s="60">
        <v>699</v>
      </c>
      <c r="C340" s="75">
        <f>10^(-(($G$21+$H$21*'Advanced Outputs'!C$61^$I$21)*(($B340/$M$21)^-$K$21)+($G$22+$H$22*'Advanced Outputs'!C$61^$I$22)*$J$22*EXP(-(($L$22*($B340-$M$22))^$K$22))+($G$23+$H$23*'Advanced Outputs'!C$61^$I$23)*$J$23*EXP(-(($L$23*($B340-$M$23))^$K$23))+($G$24+$H$24*'Advanced Outputs'!C$61^$I$24)*$J$24*EXP(-(($L$24*($B340-$M$24))^$K$24))+($G$25+$H$25*'Advanced Outputs'!C$61^$I$25)*$J$25*EXP(-(($L$25*($B340-$M$25))^$K$25))+$G$26))</f>
        <v>0.81238855687696487</v>
      </c>
      <c r="D340" s="75">
        <f>10^(-(($G$21+$H$21*'Advanced Outputs'!C$60^$I$21)*(($B340/$M$21)^-$K$21)+($G$22+$H$22*'Advanced Outputs'!C$60^$I$22)*$J$22*EXP(-(($L$22*($B340-$M$22))^$K$22))+($G$23+$H$23*'Advanced Outputs'!C$60^$I$23)*$J$23*EXP(-(($L$23*($B340-$M$23))^$K$23))+($G$24+$H$24*'Advanced Outputs'!C$60^$I$24)*$J$24*EXP(-(($L$24*($B340-$M$24))^$K$24))+($G$25+$H$25*'Advanced Outputs'!C$60^$I$25)*$J$25*EXP(-(($L$25*($B340-$M$25))^$K$25))+$G$26))</f>
        <v>0.83268920067145635</v>
      </c>
      <c r="E340" s="75">
        <f t="shared" si="4"/>
        <v>0.97562038299749576</v>
      </c>
      <c r="F340" s="74"/>
      <c r="G340" s="6"/>
      <c r="H340" s="6"/>
      <c r="I340" s="6"/>
      <c r="J340" s="6"/>
      <c r="K340" s="6"/>
      <c r="L340" s="6"/>
      <c r="M340" s="6"/>
    </row>
    <row r="341" spans="1:13" hidden="1" x14ac:dyDescent="0.2">
      <c r="A341" s="60"/>
      <c r="B341" s="60">
        <v>700</v>
      </c>
      <c r="C341" s="75">
        <f>10^(-(($G$21+$H$21*'Advanced Outputs'!C$61^$I$21)*(($B341/$M$21)^-$K$21)+($G$22+$H$22*'Advanced Outputs'!C$61^$I$22)*$J$22*EXP(-(($L$22*($B341-$M$22))^$K$22))+($G$23+$H$23*'Advanced Outputs'!C$61^$I$23)*$J$23*EXP(-(($L$23*($B341-$M$23))^$K$23))+($G$24+$H$24*'Advanced Outputs'!C$61^$I$24)*$J$24*EXP(-(($L$24*($B341-$M$24))^$K$24))+($G$25+$H$25*'Advanced Outputs'!C$61^$I$25)*$J$25*EXP(-(($L$25*($B341-$M$25))^$K$25))+$G$26))</f>
        <v>0.81271929693381117</v>
      </c>
      <c r="D341" s="75">
        <f>10^(-(($G$21+$H$21*'Advanced Outputs'!C$60^$I$21)*(($B341/$M$21)^-$K$21)+($G$22+$H$22*'Advanced Outputs'!C$60^$I$22)*$J$22*EXP(-(($L$22*($B341-$M$22))^$K$22))+($G$23+$H$23*'Advanced Outputs'!C$60^$I$23)*$J$23*EXP(-(($L$23*($B341-$M$23))^$K$23))+($G$24+$H$24*'Advanced Outputs'!C$60^$I$24)*$J$24*EXP(-(($L$24*($B341-$M$24))^$K$24))+($G$25+$H$25*'Advanced Outputs'!C$60^$I$25)*$J$25*EXP(-(($L$25*($B341-$M$25))^$K$25))+$G$26))</f>
        <v>0.83290480966197356</v>
      </c>
      <c r="E341" s="75">
        <f t="shared" ref="E341:E404" si="5">C341/D341</f>
        <v>0.97576492236087042</v>
      </c>
      <c r="F341" s="74"/>
      <c r="G341" s="6"/>
      <c r="H341" s="6"/>
      <c r="I341" s="6"/>
      <c r="J341" s="6"/>
      <c r="K341" s="6"/>
      <c r="L341" s="6"/>
      <c r="M341" s="6"/>
    </row>
    <row r="342" spans="1:13" hidden="1" x14ac:dyDescent="0.2">
      <c r="A342" s="60"/>
      <c r="B342" s="60">
        <v>701</v>
      </c>
      <c r="C342" s="75">
        <f>10^(-(($G$21+$H$21*'Advanced Outputs'!C$61^$I$21)*(($B342/$M$21)^-$K$21)+($G$22+$H$22*'Advanced Outputs'!C$61^$I$22)*$J$22*EXP(-(($L$22*($B342-$M$22))^$K$22))+($G$23+$H$23*'Advanced Outputs'!C$61^$I$23)*$J$23*EXP(-(($L$23*($B342-$M$23))^$K$23))+($G$24+$H$24*'Advanced Outputs'!C$61^$I$24)*$J$24*EXP(-(($L$24*($B342-$M$24))^$K$24))+($G$25+$H$25*'Advanced Outputs'!C$61^$I$25)*$J$25*EXP(-(($L$25*($B342-$M$25))^$K$25))+$G$26))</f>
        <v>0.81304746993843502</v>
      </c>
      <c r="D342" s="75">
        <f>10^(-(($G$21+$H$21*'Advanced Outputs'!C$60^$I$21)*(($B342/$M$21)^-$K$21)+($G$22+$H$22*'Advanced Outputs'!C$60^$I$22)*$J$22*EXP(-(($L$22*($B342-$M$22))^$K$22))+($G$23+$H$23*'Advanced Outputs'!C$60^$I$23)*$J$23*EXP(-(($L$23*($B342-$M$23))^$K$23))+($G$24+$H$24*'Advanced Outputs'!C$60^$I$24)*$J$24*EXP(-(($L$24*($B342-$M$24))^$K$24))+($G$25+$H$25*'Advanced Outputs'!C$60^$I$25)*$J$25*EXP(-(($L$25*($B342-$M$25))^$K$25))+$G$26))</f>
        <v>0.8331188458176193</v>
      </c>
      <c r="E342" s="75">
        <f t="shared" si="5"/>
        <v>0.9759081480632138</v>
      </c>
      <c r="F342" s="74"/>
      <c r="G342" s="6"/>
      <c r="H342" s="6"/>
      <c r="I342" s="6"/>
      <c r="J342" s="6"/>
      <c r="K342" s="6"/>
      <c r="L342" s="6"/>
      <c r="M342" s="6"/>
    </row>
    <row r="343" spans="1:13" hidden="1" x14ac:dyDescent="0.2">
      <c r="A343" s="60"/>
      <c r="B343" s="60">
        <v>702</v>
      </c>
      <c r="C343" s="75">
        <f>10^(-(($G$21+$H$21*'Advanced Outputs'!C$61^$I$21)*(($B343/$M$21)^-$K$21)+($G$22+$H$22*'Advanced Outputs'!C$61^$I$22)*$J$22*EXP(-(($L$22*($B343-$M$22))^$K$22))+($G$23+$H$23*'Advanced Outputs'!C$61^$I$23)*$J$23*EXP(-(($L$23*($B343-$M$23))^$K$23))+($G$24+$H$24*'Advanced Outputs'!C$61^$I$24)*$J$24*EXP(-(($L$24*($B343-$M$24))^$K$24))+($G$25+$H$25*'Advanced Outputs'!C$61^$I$25)*$J$25*EXP(-(($L$25*($B343-$M$25))^$K$25))+$G$26))</f>
        <v>0.81337310934544371</v>
      </c>
      <c r="D343" s="75">
        <f>10^(-(($G$21+$H$21*'Advanced Outputs'!C$60^$I$21)*(($B343/$M$21)^-$K$21)+($G$22+$H$22*'Advanced Outputs'!C$60^$I$22)*$J$22*EXP(-(($L$22*($B343-$M$22))^$K$22))+($G$23+$H$23*'Advanced Outputs'!C$60^$I$23)*$J$23*EXP(-(($L$23*($B343-$M$23))^$K$23))+($G$24+$H$24*'Advanced Outputs'!C$60^$I$24)*$J$24*EXP(-(($L$24*($B343-$M$24))^$K$24))+($G$25+$H$25*'Advanced Outputs'!C$60^$I$25)*$J$25*EXP(-(($L$25*($B343-$M$25))^$K$25))+$G$26))</f>
        <v>0.83333132546848465</v>
      </c>
      <c r="E343" s="75">
        <f t="shared" si="5"/>
        <v>0.97605008294651496</v>
      </c>
      <c r="F343" s="74"/>
      <c r="G343" s="6"/>
      <c r="H343" s="6"/>
      <c r="I343" s="6"/>
      <c r="J343" s="6"/>
      <c r="K343" s="6"/>
      <c r="L343" s="6"/>
      <c r="M343" s="6"/>
    </row>
    <row r="344" spans="1:13" hidden="1" x14ac:dyDescent="0.2">
      <c r="A344" s="60"/>
      <c r="B344" s="60">
        <v>703</v>
      </c>
      <c r="C344" s="75">
        <f>10^(-(($G$21+$H$21*'Advanced Outputs'!C$61^$I$21)*(($B344/$M$21)^-$K$21)+($G$22+$H$22*'Advanced Outputs'!C$61^$I$22)*$J$22*EXP(-(($L$22*($B344-$M$22))^$K$22))+($G$23+$H$23*'Advanced Outputs'!C$61^$I$23)*$J$23*EXP(-(($L$23*($B344-$M$23))^$K$23))+($G$24+$H$24*'Advanced Outputs'!C$61^$I$24)*$J$24*EXP(-(($L$24*($B344-$M$24))^$K$24))+($G$25+$H$25*'Advanced Outputs'!C$61^$I$25)*$J$25*EXP(-(($L$25*($B344-$M$25))^$K$25))+$G$26))</f>
        <v>0.8136962478405223</v>
      </c>
      <c r="D344" s="75">
        <f>10^(-(($G$21+$H$21*'Advanced Outputs'!C$60^$I$21)*(($B344/$M$21)^-$K$21)+($G$22+$H$22*'Advanced Outputs'!C$60^$I$22)*$J$22*EXP(-(($L$22*($B344-$M$22))^$K$22))+($G$23+$H$23*'Advanced Outputs'!C$60^$I$23)*$J$23*EXP(-(($L$23*($B344-$M$23))^$K$23))+($G$24+$H$24*'Advanced Outputs'!C$60^$I$24)*$J$24*EXP(-(($L$24*($B344-$M$24))^$K$24))+($G$25+$H$25*'Advanced Outputs'!C$60^$I$25)*$J$25*EXP(-(($L$25*($B344-$M$25))^$K$25))+$G$26))</f>
        <v>0.83354226466527914</v>
      </c>
      <c r="E344" s="75">
        <f t="shared" si="5"/>
        <v>0.97619074920846838</v>
      </c>
      <c r="F344" s="74"/>
      <c r="G344" s="6"/>
      <c r="H344" s="6"/>
      <c r="I344" s="6"/>
      <c r="J344" s="6"/>
      <c r="K344" s="6"/>
      <c r="L344" s="6"/>
      <c r="M344" s="6"/>
    </row>
    <row r="345" spans="1:13" hidden="1" x14ac:dyDescent="0.2">
      <c r="A345" s="60"/>
      <c r="B345" s="60">
        <v>704</v>
      </c>
      <c r="C345" s="75">
        <f>10^(-(($G$21+$H$21*'Advanced Outputs'!C$61^$I$21)*(($B345/$M$21)^-$K$21)+($G$22+$H$22*'Advanced Outputs'!C$61^$I$22)*$J$22*EXP(-(($L$22*($B345-$M$22))^$K$22))+($G$23+$H$23*'Advanced Outputs'!C$61^$I$23)*$J$23*EXP(-(($L$23*($B345-$M$23))^$K$23))+($G$24+$H$24*'Advanced Outputs'!C$61^$I$24)*$J$24*EXP(-(($L$24*($B345-$M$24))^$K$24))+($G$25+$H$25*'Advanced Outputs'!C$61^$I$25)*$J$25*EXP(-(($L$25*($B345-$M$25))^$K$25))+$G$26))</f>
        <v>0.81401691736256843</v>
      </c>
      <c r="D345" s="75">
        <f>10^(-(($G$21+$H$21*'Advanced Outputs'!C$60^$I$21)*(($B345/$M$21)^-$K$21)+($G$22+$H$22*'Advanced Outputs'!C$60^$I$22)*$J$22*EXP(-(($L$22*($B345-$M$22))^$K$22))+($G$23+$H$23*'Advanced Outputs'!C$60^$I$23)*$J$23*EXP(-(($L$23*($B345-$M$23))^$K$23))+($G$24+$H$24*'Advanced Outputs'!C$60^$I$24)*$J$24*EXP(-(($L$24*($B345-$M$24))^$K$24))+($G$25+$H$25*'Advanced Outputs'!C$60^$I$25)*$J$25*EXP(-(($L$25*($B345-$M$25))^$K$25))+$G$26))</f>
        <v>0.83375167918621584</v>
      </c>
      <c r="E345" s="75">
        <f t="shared" si="5"/>
        <v>0.97633016842267761</v>
      </c>
      <c r="F345" s="74"/>
      <c r="G345" s="6"/>
      <c r="H345" s="6"/>
      <c r="I345" s="6"/>
      <c r="J345" s="6"/>
      <c r="K345" s="6"/>
      <c r="L345" s="6"/>
      <c r="M345" s="6"/>
    </row>
    <row r="346" spans="1:13" hidden="1" x14ac:dyDescent="0.2">
      <c r="A346" s="60"/>
      <c r="B346" s="60">
        <v>705</v>
      </c>
      <c r="C346" s="75">
        <f>10^(-(($G$21+$H$21*'Advanced Outputs'!C$61^$I$21)*(($B346/$M$21)^-$K$21)+($G$22+$H$22*'Advanced Outputs'!C$61^$I$22)*$J$22*EXP(-(($L$22*($B346-$M$22))^$K$22))+($G$23+$H$23*'Advanced Outputs'!C$61^$I$23)*$J$23*EXP(-(($L$23*($B346-$M$23))^$K$23))+($G$24+$H$24*'Advanced Outputs'!C$61^$I$24)*$J$24*EXP(-(($L$24*($B346-$M$24))^$K$24))+($G$25+$H$25*'Advanced Outputs'!C$61^$I$25)*$J$25*EXP(-(($L$25*($B346-$M$25))^$K$25))+$G$26))</f>
        <v>0.81433514912523497</v>
      </c>
      <c r="D346" s="75">
        <f>10^(-(($G$21+$H$21*'Advanced Outputs'!C$60^$I$21)*(($B346/$M$21)^-$K$21)+($G$22+$H$22*'Advanced Outputs'!C$60^$I$22)*$J$22*EXP(-(($L$22*($B346-$M$22))^$K$22))+($G$23+$H$23*'Advanced Outputs'!C$60^$I$23)*$J$23*EXP(-(($L$23*($B346-$M$23))^$K$23))+($G$24+$H$24*'Advanced Outputs'!C$60^$I$24)*$J$24*EXP(-(($L$24*($B346-$M$24))^$K$24))+($G$25+$H$25*'Advanced Outputs'!C$60^$I$25)*$J$25*EXP(-(($L$25*($B346-$M$25))^$K$25))+$G$26))</f>
        <v>0.83395958454371821</v>
      </c>
      <c r="E346" s="75">
        <f t="shared" si="5"/>
        <v>0.97646836155828787</v>
      </c>
      <c r="F346" s="74"/>
      <c r="G346" s="6"/>
      <c r="H346" s="6"/>
      <c r="I346" s="6"/>
      <c r="J346" s="6"/>
      <c r="K346" s="6"/>
      <c r="L346" s="6"/>
      <c r="M346" s="6"/>
    </row>
    <row r="347" spans="1:13" hidden="1" x14ac:dyDescent="0.2">
      <c r="A347" s="60"/>
      <c r="B347" s="60">
        <v>706</v>
      </c>
      <c r="C347" s="75">
        <f>10^(-(($G$21+$H$21*'Advanced Outputs'!C$61^$I$21)*(($B347/$M$21)^-$K$21)+($G$22+$H$22*'Advanced Outputs'!C$61^$I$22)*$J$22*EXP(-(($L$22*($B347-$M$22))^$K$22))+($G$23+$H$23*'Advanced Outputs'!C$61^$I$23)*$J$23*EXP(-(($L$23*($B347-$M$23))^$K$23))+($G$24+$H$24*'Advanced Outputs'!C$61^$I$24)*$J$24*EXP(-(($L$24*($B347-$M$24))^$K$24))+($G$25+$H$25*'Advanced Outputs'!C$61^$I$25)*$J$25*EXP(-(($L$25*($B347-$M$25))^$K$25))+$G$26))</f>
        <v>0.81465097363789496</v>
      </c>
      <c r="D347" s="75">
        <f>10^(-(($G$21+$H$21*'Advanced Outputs'!C$60^$I$21)*(($B347/$M$21)^-$K$21)+($G$22+$H$22*'Advanced Outputs'!C$60^$I$22)*$J$22*EXP(-(($L$22*($B347-$M$22))^$K$22))+($G$23+$H$23*'Advanced Outputs'!C$60^$I$23)*$J$23*EXP(-(($L$23*($B347-$M$23))^$K$23))+($G$24+$H$24*'Advanced Outputs'!C$60^$I$24)*$J$24*EXP(-(($L$24*($B347-$M$24))^$K$24))+($G$25+$H$25*'Advanced Outputs'!C$60^$I$25)*$J$25*EXP(-(($L$25*($B347-$M$25))^$K$25))+$G$26))</f>
        <v>0.83416599599095409</v>
      </c>
      <c r="E347" s="75">
        <f t="shared" si="5"/>
        <v>0.97660534899906093</v>
      </c>
      <c r="F347" s="74"/>
      <c r="G347" s="6"/>
      <c r="H347" s="6"/>
      <c r="I347" s="6"/>
      <c r="J347" s="6"/>
      <c r="K347" s="6"/>
      <c r="L347" s="6"/>
      <c r="M347" s="6"/>
    </row>
    <row r="348" spans="1:13" hidden="1" x14ac:dyDescent="0.2">
      <c r="A348" s="60"/>
      <c r="B348" s="60">
        <v>707</v>
      </c>
      <c r="C348" s="75">
        <f>10^(-(($G$21+$H$21*'Advanced Outputs'!C$61^$I$21)*(($B348/$M$21)^-$K$21)+($G$22+$H$22*'Advanced Outputs'!C$61^$I$22)*$J$22*EXP(-(($L$22*($B348-$M$22))^$K$22))+($G$23+$H$23*'Advanced Outputs'!C$61^$I$23)*$J$23*EXP(-(($L$23*($B348-$M$23))^$K$23))+($G$24+$H$24*'Advanced Outputs'!C$61^$I$24)*$J$24*EXP(-(($L$24*($B348-$M$24))^$K$24))+($G$25+$H$25*'Advanced Outputs'!C$61^$I$25)*$J$25*EXP(-(($L$25*($B348-$M$25))^$K$25))+$G$26))</f>
        <v>0.81496442072603725</v>
      </c>
      <c r="D348" s="75">
        <f>10^(-(($G$21+$H$21*'Advanced Outputs'!C$60^$I$21)*(($B348/$M$21)^-$K$21)+($G$22+$H$22*'Advanced Outputs'!C$60^$I$22)*$J$22*EXP(-(($L$22*($B348-$M$22))^$K$22))+($G$23+$H$23*'Advanced Outputs'!C$60^$I$23)*$J$23*EXP(-(($L$23*($B348-$M$23))^$K$23))+($G$24+$H$24*'Advanced Outputs'!C$60^$I$24)*$J$24*EXP(-(($L$24*($B348-$M$24))^$K$24))+($G$25+$H$25*'Advanced Outputs'!C$60^$I$25)*$J$25*EXP(-(($L$25*($B348-$M$25))^$K$25))+$G$26))</f>
        <v>0.83437092852819861</v>
      </c>
      <c r="E348" s="75">
        <f t="shared" si="5"/>
        <v>0.97674115056190447</v>
      </c>
      <c r="F348" s="74"/>
      <c r="G348" s="6"/>
      <c r="H348" s="6"/>
      <c r="I348" s="6"/>
      <c r="J348" s="6"/>
      <c r="K348" s="6"/>
      <c r="L348" s="6"/>
      <c r="M348" s="6"/>
    </row>
    <row r="349" spans="1:13" hidden="1" x14ac:dyDescent="0.2">
      <c r="A349" s="60"/>
      <c r="B349" s="60">
        <v>708</v>
      </c>
      <c r="C349" s="75">
        <f>10^(-(($G$21+$H$21*'Advanced Outputs'!C$61^$I$21)*(($B349/$M$21)^-$K$21)+($G$22+$H$22*'Advanced Outputs'!C$61^$I$22)*$J$22*EXP(-(($L$22*($B349-$M$22))^$K$22))+($G$23+$H$23*'Advanced Outputs'!C$61^$I$23)*$J$23*EXP(-(($L$23*($B349-$M$23))^$K$23))+($G$24+$H$24*'Advanced Outputs'!C$61^$I$24)*$J$24*EXP(-(($L$24*($B349-$M$24))^$K$24))+($G$25+$H$25*'Advanced Outputs'!C$61^$I$25)*$J$25*EXP(-(($L$25*($B349-$M$25))^$K$25))+$G$26))</f>
        <v>0.815275519551104</v>
      </c>
      <c r="D349" s="75">
        <f>10^(-(($G$21+$H$21*'Advanced Outputs'!C$60^$I$21)*(($B349/$M$21)^-$K$21)+($G$22+$H$22*'Advanced Outputs'!C$60^$I$22)*$J$22*EXP(-(($L$22*($B349-$M$22))^$K$22))+($G$23+$H$23*'Advanced Outputs'!C$60^$I$23)*$J$23*EXP(-(($L$23*($B349-$M$23))^$K$23))+($G$24+$H$24*'Advanced Outputs'!C$60^$I$24)*$J$24*EXP(-(($L$24*($B349-$M$24))^$K$24))+($G$25+$H$25*'Advanced Outputs'!C$60^$I$25)*$J$25*EXP(-(($L$25*($B349-$M$25))^$K$25))+$G$26))</f>
        <v>0.83457439690903057</v>
      </c>
      <c r="E349" s="75">
        <f t="shared" si="5"/>
        <v>0.97687578551486509</v>
      </c>
      <c r="F349" s="74"/>
      <c r="G349" s="6"/>
      <c r="H349" s="6"/>
      <c r="I349" s="6"/>
      <c r="J349" s="6"/>
      <c r="K349" s="6"/>
      <c r="L349" s="6"/>
      <c r="M349" s="6"/>
    </row>
    <row r="350" spans="1:13" hidden="1" x14ac:dyDescent="0.2">
      <c r="A350" s="60"/>
      <c r="B350" s="60">
        <v>709</v>
      </c>
      <c r="C350" s="75">
        <f>10^(-(($G$21+$H$21*'Advanced Outputs'!C$61^$I$21)*(($B350/$M$21)^-$K$21)+($G$22+$H$22*'Advanced Outputs'!C$61^$I$22)*$J$22*EXP(-(($L$22*($B350-$M$22))^$K$22))+($G$23+$H$23*'Advanced Outputs'!C$61^$I$23)*$J$23*EXP(-(($L$23*($B350-$M$23))^$K$23))+($G$24+$H$24*'Advanced Outputs'!C$61^$I$24)*$J$24*EXP(-(($L$24*($B350-$M$24))^$K$24))+($G$25+$H$25*'Advanced Outputs'!C$61^$I$25)*$J$25*EXP(-(($L$25*($B350-$M$25))^$K$25))+$G$26))</f>
        <v>0.8155842986297831</v>
      </c>
      <c r="D350" s="75">
        <f>10^(-(($G$21+$H$21*'Advanced Outputs'!C$60^$I$21)*(($B350/$M$21)^-$K$21)+($G$22+$H$22*'Advanced Outputs'!C$60^$I$22)*$J$22*EXP(-(($L$22*($B350-$M$22))^$K$22))+($G$23+$H$23*'Advanced Outputs'!C$60^$I$23)*$J$23*EXP(-(($L$23*($B350-$M$23))^$K$23))+($G$24+$H$24*'Advanced Outputs'!C$60^$I$24)*$J$24*EXP(-(($L$24*($B350-$M$24))^$K$24))+($G$25+$H$25*'Advanced Outputs'!C$60^$I$25)*$J$25*EXP(-(($L$25*($B350-$M$25))^$K$25))+$G$26))</f>
        <v>0.83477641564636595</v>
      </c>
      <c r="E350" s="75">
        <f t="shared" si="5"/>
        <v>0.97700927259459958</v>
      </c>
      <c r="F350" s="74"/>
      <c r="G350" s="6"/>
      <c r="H350" s="6"/>
      <c r="I350" s="6"/>
      <c r="J350" s="6"/>
      <c r="K350" s="6"/>
      <c r="L350" s="6"/>
      <c r="M350" s="6"/>
    </row>
    <row r="351" spans="1:13" hidden="1" x14ac:dyDescent="0.2">
      <c r="A351" s="60"/>
      <c r="B351" s="60">
        <v>710</v>
      </c>
      <c r="C351" s="75">
        <f>10^(-(($G$21+$H$21*'Advanced Outputs'!C$61^$I$21)*(($B351/$M$21)^-$K$21)+($G$22+$H$22*'Advanced Outputs'!C$61^$I$22)*$J$22*EXP(-(($L$22*($B351-$M$22))^$K$22))+($G$23+$H$23*'Advanced Outputs'!C$61^$I$23)*$J$23*EXP(-(($L$23*($B351-$M$23))^$K$23))+($G$24+$H$24*'Advanced Outputs'!C$61^$I$24)*$J$24*EXP(-(($L$24*($B351-$M$24))^$K$24))+($G$25+$H$25*'Advanced Outputs'!C$61^$I$25)*$J$25*EXP(-(($L$25*($B351-$M$25))^$K$25))+$G$26))</f>
        <v>0.81589078585276442</v>
      </c>
      <c r="D351" s="75">
        <f>10^(-(($G$21+$H$21*'Advanced Outputs'!C$60^$I$21)*(($B351/$M$21)^-$K$21)+($G$22+$H$22*'Advanced Outputs'!C$60^$I$22)*$J$22*EXP(-(($L$22*($B351-$M$22))^$K$22))+($G$23+$H$23*'Advanced Outputs'!C$60^$I$23)*$J$23*EXP(-(($L$23*($B351-$M$23))^$K$23))+($G$24+$H$24*'Advanced Outputs'!C$60^$I$24)*$J$24*EXP(-(($L$24*($B351-$M$24))^$K$24))+($G$25+$H$25*'Advanced Outputs'!C$60^$I$25)*$J$25*EXP(-(($L$25*($B351-$M$25))^$K$25))+$G$26))</f>
        <v>0.83497699901833144</v>
      </c>
      <c r="E351" s="75">
        <f t="shared" si="5"/>
        <v>0.97714163002333432</v>
      </c>
      <c r="F351" s="74"/>
      <c r="G351" s="6"/>
      <c r="H351" s="6"/>
      <c r="I351" s="6"/>
      <c r="J351" s="6"/>
      <c r="K351" s="6"/>
      <c r="L351" s="6"/>
      <c r="M351" s="6"/>
    </row>
    <row r="352" spans="1:13" hidden="1" x14ac:dyDescent="0.2">
      <c r="A352" s="60"/>
      <c r="B352" s="60">
        <v>711</v>
      </c>
      <c r="C352" s="75">
        <f>10^(-(($G$21+$H$21*'Advanced Outputs'!C$61^$I$21)*(($B352/$M$21)^-$K$21)+($G$22+$H$22*'Advanced Outputs'!C$61^$I$22)*$J$22*EXP(-(($L$22*($B352-$M$22))^$K$22))+($G$23+$H$23*'Advanced Outputs'!C$61^$I$23)*$J$23*EXP(-(($L$23*($B352-$M$23))^$K$23))+($G$24+$H$24*'Advanced Outputs'!C$61^$I$24)*$J$24*EXP(-(($L$24*($B352-$M$24))^$K$24))+($G$25+$H$25*'Advanced Outputs'!C$61^$I$25)*$J$25*EXP(-(($L$25*($B352-$M$25))^$K$25))+$G$26))</f>
        <v>0.81619500850297244</v>
      </c>
      <c r="D352" s="75">
        <f>10^(-(($G$21+$H$21*'Advanced Outputs'!C$60^$I$21)*(($B352/$M$21)^-$K$21)+($G$22+$H$22*'Advanced Outputs'!C$60^$I$22)*$J$22*EXP(-(($L$22*($B352-$M$22))^$K$22))+($G$23+$H$23*'Advanced Outputs'!C$60^$I$23)*$J$23*EXP(-(($L$23*($B352-$M$23))^$K$23))+($G$24+$H$24*'Advanced Outputs'!C$60^$I$24)*$J$24*EXP(-(($L$24*($B352-$M$24))^$K$24))+($G$25+$H$25*'Advanced Outputs'!C$60^$I$25)*$J$25*EXP(-(($L$25*($B352-$M$25))^$K$25))+$G$26))</f>
        <v>0.83517616107398118</v>
      </c>
      <c r="E352" s="75">
        <f t="shared" si="5"/>
        <v>0.97727287552532605</v>
      </c>
      <c r="F352" s="74"/>
      <c r="G352" s="6"/>
      <c r="H352" s="6"/>
      <c r="I352" s="6"/>
      <c r="J352" s="6"/>
      <c r="K352" s="6"/>
      <c r="L352" s="6"/>
      <c r="M352" s="6"/>
    </row>
    <row r="353" spans="1:13" hidden="1" x14ac:dyDescent="0.2">
      <c r="A353" s="60"/>
      <c r="B353" s="60">
        <v>712</v>
      </c>
      <c r="C353" s="75">
        <f>10^(-(($G$21+$H$21*'Advanced Outputs'!C$61^$I$21)*(($B353/$M$21)^-$K$21)+($G$22+$H$22*'Advanced Outputs'!C$61^$I$22)*$J$22*EXP(-(($L$22*($B353-$M$22))^$K$22))+($G$23+$H$23*'Advanced Outputs'!C$61^$I$23)*$J$23*EXP(-(($L$23*($B353-$M$23))^$K$23))+($G$24+$H$24*'Advanced Outputs'!C$61^$I$24)*$J$24*EXP(-(($L$24*($B353-$M$24))^$K$24))+($G$25+$H$25*'Advanced Outputs'!C$61^$I$25)*$J$25*EXP(-(($L$25*($B353-$M$25))^$K$25))+$G$26))</f>
        <v>0.81649699327328507</v>
      </c>
      <c r="D353" s="75">
        <f>10^(-(($G$21+$H$21*'Advanced Outputs'!C$60^$I$21)*(($B353/$M$21)^-$K$21)+($G$22+$H$22*'Advanced Outputs'!C$60^$I$22)*$J$22*EXP(-(($L$22*($B353-$M$22))^$K$22))+($G$23+$H$23*'Advanced Outputs'!C$60^$I$23)*$J$23*EXP(-(($L$23*($B353-$M$23))^$K$23))+($G$24+$H$24*'Advanced Outputs'!C$60^$I$24)*$J$24*EXP(-(($L$24*($B353-$M$24))^$K$24))+($G$25+$H$25*'Advanced Outputs'!C$60^$I$25)*$J$25*EXP(-(($L$25*($B353-$M$25))^$K$25))+$G$26))</f>
        <v>0.83537391563886121</v>
      </c>
      <c r="E353" s="75">
        <f t="shared" si="5"/>
        <v>0.9774030263428326</v>
      </c>
      <c r="F353" s="74"/>
      <c r="G353" s="6"/>
      <c r="H353" s="6"/>
      <c r="I353" s="6"/>
      <c r="J353" s="6"/>
      <c r="K353" s="6"/>
      <c r="L353" s="6"/>
      <c r="M353" s="6"/>
    </row>
    <row r="354" spans="1:13" hidden="1" x14ac:dyDescent="0.2">
      <c r="A354" s="60"/>
      <c r="B354" s="60">
        <v>713</v>
      </c>
      <c r="C354" s="75">
        <f>10^(-(($G$21+$H$21*'Advanced Outputs'!C$61^$I$21)*(($B354/$M$21)^-$K$21)+($G$22+$H$22*'Advanced Outputs'!C$61^$I$22)*$J$22*EXP(-(($L$22*($B354-$M$22))^$K$22))+($G$23+$H$23*'Advanced Outputs'!C$61^$I$23)*$J$23*EXP(-(($L$23*($B354-$M$23))^$K$23))+($G$24+$H$24*'Advanced Outputs'!C$61^$I$24)*$J$24*EXP(-(($L$24*($B354-$M$24))^$K$24))+($G$25+$H$25*'Advanced Outputs'!C$61^$I$25)*$J$25*EXP(-(($L$25*($B354-$M$25))^$K$25))+$G$26))</f>
        <v>0.81679676628375208</v>
      </c>
      <c r="D354" s="75">
        <f>10^(-(($G$21+$H$21*'Advanced Outputs'!C$60^$I$21)*(($B354/$M$21)^-$K$21)+($G$22+$H$22*'Advanced Outputs'!C$60^$I$22)*$J$22*EXP(-(($L$22*($B354-$M$22))^$K$22))+($G$23+$H$23*'Advanced Outputs'!C$60^$I$23)*$J$23*EXP(-(($L$23*($B354-$M$23))^$K$23))+($G$24+$H$24*'Advanced Outputs'!C$60^$I$24)*$J$24*EXP(-(($L$24*($B354-$M$24))^$K$24))+($G$25+$H$25*'Advanced Outputs'!C$60^$I$25)*$J$25*EXP(-(($L$25*($B354-$M$25))^$K$25))+$G$26))</f>
        <v>0.83557027632042435</v>
      </c>
      <c r="E354" s="75">
        <f t="shared" si="5"/>
        <v>0.97753209925160978</v>
      </c>
      <c r="F354" s="74"/>
      <c r="G354" s="6"/>
      <c r="H354" s="6"/>
      <c r="I354" s="6"/>
      <c r="J354" s="6"/>
      <c r="K354" s="6"/>
      <c r="L354" s="6"/>
      <c r="M354" s="6"/>
    </row>
    <row r="355" spans="1:13" hidden="1" x14ac:dyDescent="0.2">
      <c r="A355" s="60"/>
      <c r="B355" s="60">
        <v>714</v>
      </c>
      <c r="C355" s="75">
        <f>10^(-(($G$21+$H$21*'Advanced Outputs'!C$61^$I$21)*(($B355/$M$21)^-$K$21)+($G$22+$H$22*'Advanced Outputs'!C$61^$I$22)*$J$22*EXP(-(($L$22*($B355-$M$22))^$K$22))+($G$23+$H$23*'Advanced Outputs'!C$61^$I$23)*$J$23*EXP(-(($L$23*($B355-$M$23))^$K$23))+($G$24+$H$24*'Advanced Outputs'!C$61^$I$24)*$J$24*EXP(-(($L$24*($B355-$M$24))^$K$24))+($G$25+$H$25*'Advanced Outputs'!C$61^$I$25)*$J$25*EXP(-(($L$25*($B355-$M$25))^$K$25))+$G$26))</f>
        <v>0.81709435309832068</v>
      </c>
      <c r="D355" s="75">
        <f>10^(-(($G$21+$H$21*'Advanced Outputs'!C$60^$I$21)*(($B355/$M$21)^-$K$21)+($G$22+$H$22*'Advanced Outputs'!C$60^$I$22)*$J$22*EXP(-(($L$22*($B355-$M$22))^$K$22))+($G$23+$H$23*'Advanced Outputs'!C$60^$I$23)*$J$23*EXP(-(($L$23*($B355-$M$23))^$K$23))+($G$24+$H$24*'Advanced Outputs'!C$60^$I$24)*$J$24*EXP(-(($L$24*($B355-$M$24))^$K$24))+($G$25+$H$25*'Advanced Outputs'!C$60^$I$25)*$J$25*EXP(-(($L$25*($B355-$M$25))^$K$25))+$G$26))</f>
        <v>0.83576525651329847</v>
      </c>
      <c r="E355" s="75">
        <f t="shared" si="5"/>
        <v>0.97766011057594049</v>
      </c>
      <c r="F355" s="74"/>
      <c r="G355" s="6"/>
      <c r="H355" s="6"/>
      <c r="I355" s="6"/>
      <c r="J355" s="6"/>
      <c r="K355" s="6"/>
      <c r="L355" s="6"/>
      <c r="M355" s="6"/>
    </row>
    <row r="356" spans="1:13" hidden="1" x14ac:dyDescent="0.2">
      <c r="A356" s="60"/>
      <c r="B356" s="60">
        <v>715</v>
      </c>
      <c r="C356" s="75">
        <f>10^(-(($G$21+$H$21*'Advanced Outputs'!C$61^$I$21)*(($B356/$M$21)^-$K$21)+($G$22+$H$22*'Advanced Outputs'!C$61^$I$22)*$J$22*EXP(-(($L$22*($B356-$M$22))^$K$22))+($G$23+$H$23*'Advanced Outputs'!C$61^$I$23)*$J$23*EXP(-(($L$23*($B356-$M$23))^$K$23))+($G$24+$H$24*'Advanced Outputs'!C$61^$I$24)*$J$24*EXP(-(($L$24*($B356-$M$24))^$K$24))+($G$25+$H$25*'Advanced Outputs'!C$61^$I$25)*$J$25*EXP(-(($L$25*($B356-$M$25))^$K$25))+$G$26))</f>
        <v>0.8173897787410811</v>
      </c>
      <c r="D356" s="75">
        <f>10^(-(($G$21+$H$21*'Advanced Outputs'!C$60^$I$21)*(($B356/$M$21)^-$K$21)+($G$22+$H$22*'Advanced Outputs'!C$60^$I$22)*$J$22*EXP(-(($L$22*($B356-$M$22))^$K$22))+($G$23+$H$23*'Advanced Outputs'!C$60^$I$23)*$J$23*EXP(-(($L$23*($B356-$M$23))^$K$23))+($G$24+$H$24*'Advanced Outputs'!C$60^$I$24)*$J$24*EXP(-(($L$24*($B356-$M$24))^$K$24))+($G$25+$H$25*'Advanced Outputs'!C$60^$I$25)*$J$25*EXP(-(($L$25*($B356-$M$25))^$K$25))+$G$26))</f>
        <v>0.83595886940441255</v>
      </c>
      <c r="E356" s="75">
        <f t="shared" si="5"/>
        <v>0.97778707620320937</v>
      </c>
      <c r="F356" s="74"/>
      <c r="G356" s="6"/>
      <c r="H356" s="6"/>
      <c r="I356" s="6"/>
      <c r="J356" s="6"/>
      <c r="K356" s="6"/>
      <c r="L356" s="6"/>
      <c r="M356" s="6"/>
    </row>
    <row r="357" spans="1:13" hidden="1" x14ac:dyDescent="0.2">
      <c r="A357" s="60"/>
      <c r="B357" s="60">
        <v>716</v>
      </c>
      <c r="C357" s="75">
        <f>10^(-(($G$21+$H$21*'Advanced Outputs'!C$61^$I$21)*(($B357/$M$21)^-$K$21)+($G$22+$H$22*'Advanced Outputs'!C$61^$I$22)*$J$22*EXP(-(($L$22*($B357-$M$22))^$K$22))+($G$23+$H$23*'Advanced Outputs'!C$61^$I$23)*$J$23*EXP(-(($L$23*($B357-$M$23))^$K$23))+($G$24+$H$24*'Advanced Outputs'!C$61^$I$24)*$J$24*EXP(-(($L$24*($B357-$M$24))^$K$24))+($G$25+$H$25*'Advanced Outputs'!C$61^$I$25)*$J$25*EXP(-(($L$25*($B357-$M$25))^$K$25))+$G$26))</f>
        <v>0.81768306771204413</v>
      </c>
      <c r="D357" s="75">
        <f>10^(-(($G$21+$H$21*'Advanced Outputs'!C$60^$I$21)*(($B357/$M$21)^-$K$21)+($G$22+$H$22*'Advanced Outputs'!C$60^$I$22)*$J$22*EXP(-(($L$22*($B357-$M$22))^$K$22))+($G$23+$H$23*'Advanced Outputs'!C$60^$I$23)*$J$23*EXP(-(($L$23*($B357-$M$23))^$K$23))+($G$24+$H$24*'Advanced Outputs'!C$60^$I$24)*$J$24*EXP(-(($L$24*($B357-$M$24))^$K$24))+($G$25+$H$25*'Advanced Outputs'!C$60^$I$25)*$J$25*EXP(-(($L$25*($B357-$M$25))^$K$25))+$G$26))</f>
        <v>0.83615112797798252</v>
      </c>
      <c r="E357" s="75">
        <f t="shared" si="5"/>
        <v>0.97791301159803656</v>
      </c>
      <c r="F357" s="74"/>
      <c r="G357" s="6"/>
      <c r="H357" s="6"/>
      <c r="I357" s="6"/>
      <c r="J357" s="6"/>
      <c r="K357" s="6"/>
      <c r="L357" s="6"/>
      <c r="M357" s="6"/>
    </row>
    <row r="358" spans="1:13" hidden="1" x14ac:dyDescent="0.2">
      <c r="A358" s="60"/>
      <c r="B358" s="60">
        <v>717</v>
      </c>
      <c r="C358" s="75">
        <f>10^(-(($G$21+$H$21*'Advanced Outputs'!C$61^$I$21)*(($B358/$M$21)^-$K$21)+($G$22+$H$22*'Advanced Outputs'!C$61^$I$22)*$J$22*EXP(-(($L$22*($B358-$M$22))^$K$22))+($G$23+$H$23*'Advanced Outputs'!C$61^$I$23)*$J$23*EXP(-(($L$23*($B358-$M$23))^$K$23))+($G$24+$H$24*'Advanced Outputs'!C$61^$I$24)*$J$24*EXP(-(($L$24*($B358-$M$24))^$K$24))+($G$25+$H$25*'Advanced Outputs'!C$61^$I$25)*$J$25*EXP(-(($L$25*($B358-$M$25))^$K$25))+$G$26))</f>
        <v>0.81797424400245833</v>
      </c>
      <c r="D358" s="75">
        <f>10^(-(($G$21+$H$21*'Advanced Outputs'!C$60^$I$21)*(($B358/$M$21)^-$K$21)+($G$22+$H$22*'Advanced Outputs'!C$60^$I$22)*$J$22*EXP(-(($L$22*($B358-$M$22))^$K$22))+($G$23+$H$23*'Advanced Outputs'!C$60^$I$23)*$J$23*EXP(-(($L$23*($B358-$M$23))^$K$23))+($G$24+$H$24*'Advanced Outputs'!C$60^$I$24)*$J$24*EXP(-(($L$24*($B358-$M$24))^$K$24))+($G$25+$H$25*'Advanced Outputs'!C$60^$I$25)*$J$25*EXP(-(($L$25*($B358-$M$25))^$K$25))+$G$26))</f>
        <v>0.83634204502036169</v>
      </c>
      <c r="E358" s="75">
        <f t="shared" si="5"/>
        <v>0.97803793181597587</v>
      </c>
      <c r="F358" s="74"/>
      <c r="G358" s="6"/>
      <c r="H358" s="6"/>
      <c r="I358" s="6"/>
      <c r="J358" s="6"/>
      <c r="K358" s="6"/>
      <c r="L358" s="6"/>
      <c r="M358" s="6"/>
    </row>
    <row r="359" spans="1:13" hidden="1" x14ac:dyDescent="0.2">
      <c r="A359" s="60"/>
      <c r="B359" s="60">
        <v>718</v>
      </c>
      <c r="C359" s="75">
        <f>10^(-(($G$21+$H$21*'Advanced Outputs'!C$61^$I$21)*(($B359/$M$21)^-$K$21)+($G$22+$H$22*'Advanced Outputs'!C$61^$I$22)*$J$22*EXP(-(($L$22*($B359-$M$22))^$K$22))+($G$23+$H$23*'Advanced Outputs'!C$61^$I$23)*$J$23*EXP(-(($L$23*($B359-$M$23))^$K$23))+($G$24+$H$24*'Advanced Outputs'!C$61^$I$24)*$J$24*EXP(-(($L$24*($B359-$M$24))^$K$24))+($G$25+$H$25*'Advanced Outputs'!C$61^$I$25)*$J$25*EXP(-(($L$25*($B359-$M$25))^$K$25))+$G$26))</f>
        <v>0.81826333110967975</v>
      </c>
      <c r="D359" s="75">
        <f>10^(-(($G$21+$H$21*'Advanced Outputs'!C$60^$I$21)*(($B359/$M$21)^-$K$21)+($G$22+$H$22*'Advanced Outputs'!C$60^$I$22)*$J$22*EXP(-(($L$22*($B359-$M$22))^$K$22))+($G$23+$H$23*'Advanced Outputs'!C$60^$I$23)*$J$23*EXP(-(($L$23*($B359-$M$23))^$K$23))+($G$24+$H$24*'Advanced Outputs'!C$60^$I$24)*$J$24*EXP(-(($L$24*($B359-$M$24))^$K$24))+($G$25+$H$25*'Advanced Outputs'!C$60^$I$25)*$J$25*EXP(-(($L$25*($B359-$M$25))^$K$25))+$G$26))</f>
        <v>0.83653163312475731</v>
      </c>
      <c r="E359" s="75">
        <f t="shared" si="5"/>
        <v>0.97816185151679358</v>
      </c>
      <c r="F359" s="74"/>
      <c r="G359" s="6"/>
      <c r="H359" s="6"/>
      <c r="I359" s="6"/>
      <c r="J359" s="6"/>
      <c r="K359" s="6"/>
      <c r="L359" s="6"/>
      <c r="M359" s="6"/>
    </row>
    <row r="360" spans="1:13" hidden="1" x14ac:dyDescent="0.2">
      <c r="A360" s="60"/>
      <c r="B360" s="60">
        <v>719</v>
      </c>
      <c r="C360" s="75">
        <f>10^(-(($G$21+$H$21*'Advanced Outputs'!C$61^$I$21)*(($B360/$M$21)^-$K$21)+($G$22+$H$22*'Advanced Outputs'!C$61^$I$22)*$J$22*EXP(-(($L$22*($B360-$M$22))^$K$22))+($G$23+$H$23*'Advanced Outputs'!C$61^$I$23)*$J$23*EXP(-(($L$23*($B360-$M$23))^$K$23))+($G$24+$H$24*'Advanced Outputs'!C$61^$I$24)*$J$24*EXP(-(($L$24*($B360-$M$24))^$K$24))+($G$25+$H$25*'Advanced Outputs'!C$61^$I$25)*$J$25*EXP(-(($L$25*($B360-$M$25))^$K$25))+$G$26))</f>
        <v>0.81855035205160409</v>
      </c>
      <c r="D360" s="75">
        <f>10^(-(($G$21+$H$21*'Advanced Outputs'!C$60^$I$21)*(($B360/$M$21)^-$K$21)+($G$22+$H$22*'Advanced Outputs'!C$60^$I$22)*$J$22*EXP(-(($L$22*($B360-$M$22))^$K$22))+($G$23+$H$23*'Advanced Outputs'!C$60^$I$23)*$J$23*EXP(-(($L$23*($B360-$M$23))^$K$23))+($G$24+$H$24*'Advanced Outputs'!C$60^$I$24)*$J$24*EXP(-(($L$24*($B360-$M$24))^$K$24))+($G$25+$H$25*'Advanced Outputs'!C$60^$I$25)*$J$25*EXP(-(($L$25*($B360-$M$25))^$K$25))+$G$26))</f>
        <v>0.83671990469581736</v>
      </c>
      <c r="E360" s="75">
        <f t="shared" si="5"/>
        <v>0.97828478497733518</v>
      </c>
      <c r="F360" s="74"/>
      <c r="G360" s="6"/>
      <c r="H360" s="6"/>
      <c r="I360" s="6"/>
      <c r="J360" s="6"/>
      <c r="K360" s="6"/>
      <c r="L360" s="6"/>
      <c r="M360" s="6"/>
    </row>
    <row r="361" spans="1:13" hidden="1" x14ac:dyDescent="0.2">
      <c r="A361" s="60"/>
      <c r="B361" s="60">
        <v>720</v>
      </c>
      <c r="C361" s="75">
        <f>10^(-(($G$21+$H$21*'Advanced Outputs'!C$61^$I$21)*(($B361/$M$21)^-$K$21)+($G$22+$H$22*'Advanced Outputs'!C$61^$I$22)*$J$22*EXP(-(($L$22*($B361-$M$22))^$K$22))+($G$23+$H$23*'Advanced Outputs'!C$61^$I$23)*$J$23*EXP(-(($L$23*($B361-$M$23))^$K$23))+($G$24+$H$24*'Advanced Outputs'!C$61^$I$24)*$J$24*EXP(-(($L$24*($B361-$M$24))^$K$24))+($G$25+$H$25*'Advanced Outputs'!C$61^$I$25)*$J$25*EXP(-(($L$25*($B361-$M$25))^$K$25))+$G$26))</f>
        <v>0.81883532938067227</v>
      </c>
      <c r="D361" s="75">
        <f>10^(-(($G$21+$H$21*'Advanced Outputs'!C$60^$I$21)*(($B361/$M$21)^-$K$21)+($G$22+$H$22*'Advanced Outputs'!C$60^$I$22)*$J$22*EXP(-(($L$22*($B361-$M$22))^$K$22))+($G$23+$H$23*'Advanced Outputs'!C$60^$I$23)*$J$23*EXP(-(($L$23*($B361-$M$23))^$K$23))+($G$24+$H$24*'Advanced Outputs'!C$60^$I$24)*$J$24*EXP(-(($L$24*($B361-$M$24))^$K$24))+($G$25+$H$25*'Advanced Outputs'!C$60^$I$25)*$J$25*EXP(-(($L$25*($B361-$M$25))^$K$25))+$G$26))</f>
        <v>0.83690687195409152</v>
      </c>
      <c r="E361" s="75">
        <f t="shared" si="5"/>
        <v>0.97840674610399114</v>
      </c>
      <c r="F361" s="74"/>
      <c r="G361" s="6"/>
      <c r="H361" s="6"/>
      <c r="I361" s="6"/>
      <c r="J361" s="6"/>
      <c r="K361" s="6"/>
      <c r="L361" s="6"/>
      <c r="M361" s="6"/>
    </row>
    <row r="362" spans="1:13" hidden="1" x14ac:dyDescent="0.2">
      <c r="A362" s="60"/>
      <c r="B362" s="60">
        <v>721</v>
      </c>
      <c r="C362" s="75">
        <f>10^(-(($G$21+$H$21*'Advanced Outputs'!C$61^$I$21)*(($B362/$M$21)^-$K$21)+($G$22+$H$22*'Advanced Outputs'!C$61^$I$22)*$J$22*EXP(-(($L$22*($B362-$M$22))^$K$22))+($G$23+$H$23*'Advanced Outputs'!C$61^$I$23)*$J$23*EXP(-(($L$23*($B362-$M$23))^$K$23))+($G$24+$H$24*'Advanced Outputs'!C$61^$I$24)*$J$24*EXP(-(($L$24*($B362-$M$24))^$K$24))+($G$25+$H$25*'Advanced Outputs'!C$61^$I$25)*$J$25*EXP(-(($L$25*($B362-$M$25))^$K$25))+$G$26))</f>
        <v>0.81911828519745777</v>
      </c>
      <c r="D362" s="75">
        <f>10^(-(($G$21+$H$21*'Advanced Outputs'!C$60^$I$21)*(($B362/$M$21)^-$K$21)+($G$22+$H$22*'Advanced Outputs'!C$60^$I$22)*$J$22*EXP(-(($L$22*($B362-$M$22))^$K$22))+($G$23+$H$23*'Advanced Outputs'!C$60^$I$23)*$J$23*EXP(-(($L$23*($B362-$M$23))^$K$23))+($G$24+$H$24*'Advanced Outputs'!C$60^$I$24)*$J$24*EXP(-(($L$24*($B362-$M$24))^$K$24))+($G$25+$H$25*'Advanced Outputs'!C$60^$I$25)*$J$25*EXP(-(($L$25*($B362-$M$25))^$K$25))+$G$26))</f>
        <v>0.83709254694036683</v>
      </c>
      <c r="E362" s="75">
        <f t="shared" si="5"/>
        <v>0.97852774844477319</v>
      </c>
      <c r="F362" s="74"/>
      <c r="G362" s="6"/>
      <c r="H362" s="6"/>
      <c r="I362" s="6"/>
      <c r="J362" s="6"/>
      <c r="K362" s="6"/>
      <c r="L362" s="6"/>
      <c r="M362" s="6"/>
    </row>
    <row r="363" spans="1:13" hidden="1" x14ac:dyDescent="0.2">
      <c r="A363" s="60"/>
      <c r="B363" s="60">
        <v>722</v>
      </c>
      <c r="C363" s="75">
        <f>10^(-(($G$21+$H$21*'Advanced Outputs'!C$61^$I$21)*(($B363/$M$21)^-$K$21)+($G$22+$H$22*'Advanced Outputs'!C$61^$I$22)*$J$22*EXP(-(($L$22*($B363-$M$22))^$K$22))+($G$23+$H$23*'Advanced Outputs'!C$61^$I$23)*$J$23*EXP(-(($L$23*($B363-$M$23))^$K$23))+($G$24+$H$24*'Advanced Outputs'!C$61^$I$24)*$J$24*EXP(-(($L$24*($B363-$M$24))^$K$24))+($G$25+$H$25*'Advanced Outputs'!C$61^$I$25)*$J$25*EXP(-(($L$25*($B363-$M$25))^$K$25))+$G$26))</f>
        <v>0.81939924116384844</v>
      </c>
      <c r="D363" s="75">
        <f>10^(-(($G$21+$H$21*'Advanced Outputs'!C$60^$I$21)*(($B363/$M$21)^-$K$21)+($G$22+$H$22*'Advanced Outputs'!C$60^$I$22)*$J$22*EXP(-(($L$22*($B363-$M$22))^$K$22))+($G$23+$H$23*'Advanced Outputs'!C$60^$I$23)*$J$23*EXP(-(($L$23*($B363-$M$23))^$K$23))+($G$24+$H$24*'Advanced Outputs'!C$60^$I$24)*$J$24*EXP(-(($L$24*($B363-$M$24))^$K$24))+($G$25+$H$25*'Advanced Outputs'!C$60^$I$25)*$J$25*EXP(-(($L$25*($B363-$M$25))^$K$25))+$G$26))</f>
        <v>0.8372769415198843</v>
      </c>
      <c r="E363" s="75">
        <f t="shared" si="5"/>
        <v>0.97864780520100914</v>
      </c>
      <c r="F363" s="74"/>
      <c r="G363" s="6"/>
      <c r="H363" s="6"/>
      <c r="I363" s="6"/>
      <c r="J363" s="6"/>
      <c r="K363" s="6"/>
      <c r="L363" s="6"/>
      <c r="M363" s="6"/>
    </row>
    <row r="364" spans="1:13" hidden="1" x14ac:dyDescent="0.2">
      <c r="A364" s="60"/>
      <c r="B364" s="60">
        <v>723</v>
      </c>
      <c r="C364" s="75">
        <f>10^(-(($G$21+$H$21*'Advanced Outputs'!C$61^$I$21)*(($B364/$M$21)^-$K$21)+($G$22+$H$22*'Advanced Outputs'!C$61^$I$22)*$J$22*EXP(-(($L$22*($B364-$M$22))^$K$22))+($G$23+$H$23*'Advanced Outputs'!C$61^$I$23)*$J$23*EXP(-(($L$23*($B364-$M$23))^$K$23))+($G$24+$H$24*'Advanced Outputs'!C$61^$I$24)*$J$24*EXP(-(($L$24*($B364-$M$24))^$K$24))+($G$25+$H$25*'Advanced Outputs'!C$61^$I$25)*$J$25*EXP(-(($L$25*($B364-$M$25))^$K$25))+$G$26))</f>
        <v>0.81967821851583145</v>
      </c>
      <c r="D364" s="75">
        <f>10^(-(($G$21+$H$21*'Advanced Outputs'!C$60^$I$21)*(($B364/$M$21)^-$K$21)+($G$22+$H$22*'Advanced Outputs'!C$60^$I$22)*$J$22*EXP(-(($L$22*($B364-$M$22))^$K$22))+($G$23+$H$23*'Advanced Outputs'!C$60^$I$23)*$J$23*EXP(-(($L$23*($B364-$M$23))^$K$23))+($G$24+$H$24*'Advanced Outputs'!C$60^$I$24)*$J$24*EXP(-(($L$24*($B364-$M$24))^$K$24))+($G$25+$H$25*'Advanced Outputs'!C$60^$I$25)*$J$25*EXP(-(($L$25*($B364-$M$25))^$K$25))+$G$26))</f>
        <v>0.83746006738643686</v>
      </c>
      <c r="E364" s="75">
        <f t="shared" si="5"/>
        <v>0.97876692923866881</v>
      </c>
      <c r="F364" s="74"/>
      <c r="G364" s="6"/>
      <c r="H364" s="6"/>
      <c r="I364" s="6"/>
      <c r="J364" s="6"/>
      <c r="K364" s="6"/>
      <c r="L364" s="6"/>
      <c r="M364" s="6"/>
    </row>
    <row r="365" spans="1:13" hidden="1" x14ac:dyDescent="0.2">
      <c r="A365" s="60"/>
      <c r="B365" s="60">
        <v>724</v>
      </c>
      <c r="C365" s="75">
        <f>10^(-(($G$21+$H$21*'Advanced Outputs'!C$61^$I$21)*(($B365/$M$21)^-$K$21)+($G$22+$H$22*'Advanced Outputs'!C$61^$I$22)*$J$22*EXP(-(($L$22*($B365-$M$22))^$K$22))+($G$23+$H$23*'Advanced Outputs'!C$61^$I$23)*$J$23*EXP(-(($L$23*($B365-$M$23))^$K$23))+($G$24+$H$24*'Advanced Outputs'!C$61^$I$24)*$J$24*EXP(-(($L$24*($B365-$M$24))^$K$24))+($G$25+$H$25*'Advanced Outputs'!C$61^$I$25)*$J$25*EXP(-(($L$25*($B365-$M$25))^$K$25))+$G$26))</f>
        <v>0.81995523807589088</v>
      </c>
      <c r="D365" s="75">
        <f>10^(-(($G$21+$H$21*'Advanced Outputs'!C$60^$I$21)*(($B365/$M$21)^-$K$21)+($G$22+$H$22*'Advanced Outputs'!C$60^$I$22)*$J$22*EXP(-(($L$22*($B365-$M$22))^$K$22))+($G$23+$H$23*'Advanced Outputs'!C$60^$I$23)*$J$23*EXP(-(($L$23*($B365-$M$23))^$K$23))+($G$24+$H$24*'Advanced Outputs'!C$60^$I$24)*$J$24*EXP(-(($L$24*($B365-$M$24))^$K$24))+($G$25+$H$25*'Advanced Outputs'!C$60^$I$25)*$J$25*EXP(-(($L$25*($B365-$M$25))^$K$25))+$G$26))</f>
        <v>0.83764193606635329</v>
      </c>
      <c r="E365" s="75">
        <f t="shared" si="5"/>
        <v>0.97888513309932779</v>
      </c>
      <c r="F365" s="74"/>
      <c r="G365" s="6"/>
      <c r="H365" s="6"/>
      <c r="I365" s="6"/>
      <c r="J365" s="6"/>
      <c r="K365" s="6"/>
      <c r="L365" s="6"/>
      <c r="M365" s="6"/>
    </row>
    <row r="366" spans="1:13" hidden="1" x14ac:dyDescent="0.2">
      <c r="A366" s="60"/>
      <c r="B366" s="60">
        <v>725</v>
      </c>
      <c r="C366" s="75">
        <f>10^(-(($G$21+$H$21*'Advanced Outputs'!C$61^$I$21)*(($B366/$M$21)^-$K$21)+($G$22+$H$22*'Advanced Outputs'!C$61^$I$22)*$J$22*EXP(-(($L$22*($B366-$M$22))^$K$22))+($G$23+$H$23*'Advanced Outputs'!C$61^$I$23)*$J$23*EXP(-(($L$23*($B366-$M$23))^$K$23))+($G$24+$H$24*'Advanced Outputs'!C$61^$I$24)*$J$24*EXP(-(($L$24*($B366-$M$24))^$K$24))+($G$25+$H$25*'Advanced Outputs'!C$61^$I$25)*$J$25*EXP(-(($L$25*($B366-$M$25))^$K$25))+$G$26))</f>
        <v>0.8202303202650294</v>
      </c>
      <c r="D366" s="75">
        <f>10^(-(($G$21+$H$21*'Advanced Outputs'!C$60^$I$21)*(($B366/$M$21)^-$K$21)+($G$22+$H$22*'Advanced Outputs'!C$60^$I$22)*$J$22*EXP(-(($L$22*($B366-$M$22))^$K$22))+($G$23+$H$23*'Advanced Outputs'!C$60^$I$23)*$J$23*EXP(-(($L$23*($B366-$M$23))^$K$23))+($G$24+$H$24*'Advanced Outputs'!C$60^$I$24)*$J$24*EXP(-(($L$24*($B366-$M$24))^$K$24))+($G$25+$H$25*'Advanced Outputs'!C$60^$I$25)*$J$25*EXP(-(($L$25*($B366-$M$25))^$K$25))+$G$26))</f>
        <v>0.83782255892237001</v>
      </c>
      <c r="E366" s="75">
        <f t="shared" si="5"/>
        <v>0.97900242901078216</v>
      </c>
      <c r="F366" s="74"/>
      <c r="G366" s="6"/>
      <c r="H366" s="6"/>
      <c r="I366" s="6"/>
      <c r="J366" s="6"/>
      <c r="K366" s="6"/>
      <c r="L366" s="6"/>
      <c r="M366" s="6"/>
    </row>
    <row r="367" spans="1:13" hidden="1" x14ac:dyDescent="0.2">
      <c r="A367" s="60"/>
      <c r="B367" s="60">
        <v>726</v>
      </c>
      <c r="C367" s="75">
        <f>10^(-(($G$21+$H$21*'Advanced Outputs'!C$61^$I$21)*(($B367/$M$21)^-$K$21)+($G$22+$H$22*'Advanced Outputs'!C$61^$I$22)*$J$22*EXP(-(($L$22*($B367-$M$22))^$K$22))+($G$23+$H$23*'Advanced Outputs'!C$61^$I$23)*$J$23*EXP(-(($L$23*($B367-$M$23))^$K$23))+($G$24+$H$24*'Advanced Outputs'!C$61^$I$24)*$J$24*EXP(-(($L$24*($B367-$M$24))^$K$24))+($G$25+$H$25*'Advanced Outputs'!C$61^$I$25)*$J$25*EXP(-(($L$25*($B367-$M$25))^$K$25))+$G$26))</f>
        <v>0.82050348511442206</v>
      </c>
      <c r="D367" s="75">
        <f>10^(-(($G$21+$H$21*'Advanced Outputs'!C$60^$I$21)*(($B367/$M$21)^-$K$21)+($G$22+$H$22*'Advanced Outputs'!C$60^$I$22)*$J$22*EXP(-(($L$22*($B367-$M$22))^$K$22))+($G$23+$H$23*'Advanced Outputs'!C$60^$I$23)*$J$23*EXP(-(($L$23*($B367-$M$23))^$K$23))+($G$24+$H$24*'Advanced Outputs'!C$60^$I$24)*$J$24*EXP(-(($L$24*($B367-$M$24))^$K$24))+($G$25+$H$25*'Advanced Outputs'!C$60^$I$25)*$J$25*EXP(-(($L$25*($B367-$M$25))^$K$25))+$G$26))</f>
        <v>0.83800194715739418</v>
      </c>
      <c r="E367" s="75">
        <f t="shared" si="5"/>
        <v>0.97911882889732049</v>
      </c>
      <c r="F367" s="74"/>
      <c r="G367" s="6"/>
      <c r="H367" s="6"/>
      <c r="I367" s="6"/>
      <c r="J367" s="6"/>
      <c r="K367" s="6"/>
      <c r="L367" s="6"/>
      <c r="M367" s="6"/>
    </row>
    <row r="368" spans="1:13" hidden="1" x14ac:dyDescent="0.2">
      <c r="A368" s="60"/>
      <c r="B368" s="60">
        <v>727</v>
      </c>
      <c r="C368" s="75">
        <f>10^(-(($G$21+$H$21*'Advanced Outputs'!C$61^$I$21)*(($B368/$M$21)^-$K$21)+($G$22+$H$22*'Advanced Outputs'!C$61^$I$22)*$J$22*EXP(-(($L$22*($B368-$M$22))^$K$22))+($G$23+$H$23*'Advanced Outputs'!C$61^$I$23)*$J$23*EXP(-(($L$23*($B368-$M$23))^$K$23))+($G$24+$H$24*'Advanced Outputs'!C$61^$I$24)*$J$24*EXP(-(($L$24*($B368-$M$24))^$K$24))+($G$25+$H$25*'Advanced Outputs'!C$61^$I$25)*$J$25*EXP(-(($L$25*($B368-$M$25))^$K$25))+$G$26))</f>
        <v>0.82077475227671237</v>
      </c>
      <c r="D368" s="75">
        <f>10^(-(($G$21+$H$21*'Advanced Outputs'!C$60^$I$21)*(($B368/$M$21)^-$K$21)+($G$22+$H$22*'Advanced Outputs'!C$60^$I$22)*$J$22*EXP(-(($L$22*($B368-$M$22))^$K$22))+($G$23+$H$23*'Advanced Outputs'!C$60^$I$23)*$J$23*EXP(-(($L$23*($B368-$M$23))^$K$23))+($G$24+$H$24*'Advanced Outputs'!C$60^$I$24)*$J$24*EXP(-(($L$24*($B368-$M$24))^$K$24))+($G$25+$H$25*'Advanced Outputs'!C$60^$I$25)*$J$25*EXP(-(($L$25*($B368-$M$25))^$K$25))+$G$26))</f>
        <v>0.83818011181815999</v>
      </c>
      <c r="E368" s="75">
        <f t="shared" si="5"/>
        <v>0.9792343443896655</v>
      </c>
      <c r="F368" s="74"/>
      <c r="G368" s="6"/>
      <c r="H368" s="6"/>
      <c r="I368" s="6"/>
      <c r="J368" s="6"/>
      <c r="K368" s="6"/>
      <c r="L368" s="6"/>
      <c r="M368" s="6"/>
    </row>
    <row r="369" spans="1:13" hidden="1" x14ac:dyDescent="0.2">
      <c r="A369" s="60"/>
      <c r="B369" s="60">
        <v>728</v>
      </c>
      <c r="C369" s="75">
        <f>10^(-(($G$21+$H$21*'Advanced Outputs'!C$61^$I$21)*(($B369/$M$21)^-$K$21)+($G$22+$H$22*'Advanced Outputs'!C$61^$I$22)*$J$22*EXP(-(($L$22*($B369-$M$22))^$K$22))+($G$23+$H$23*'Advanced Outputs'!C$61^$I$23)*$J$23*EXP(-(($L$23*($B369-$M$23))^$K$23))+($G$24+$H$24*'Advanced Outputs'!C$61^$I$24)*$J$24*EXP(-(($L$24*($B369-$M$24))^$K$24))+($G$25+$H$25*'Advanced Outputs'!C$61^$I$25)*$J$25*EXP(-(($L$25*($B369-$M$25))^$K$25))+$G$26))</f>
        <v>0.82104414103695966</v>
      </c>
      <c r="D369" s="75">
        <f>10^(-(($G$21+$H$21*'Advanced Outputs'!C$60^$I$21)*(($B369/$M$21)^-$K$21)+($G$22+$H$22*'Advanced Outputs'!C$60^$I$22)*$J$22*EXP(-(($L$22*($B369-$M$22))^$K$22))+($G$23+$H$23*'Advanced Outputs'!C$60^$I$23)*$J$23*EXP(-(($L$23*($B369-$M$23))^$K$23))+($G$24+$H$24*'Advanced Outputs'!C$60^$I$24)*$J$24*EXP(-(($L$24*($B369-$M$24))^$K$24))+($G$25+$H$25*'Advanced Outputs'!C$60^$I$25)*$J$25*EXP(-(($L$25*($B369-$M$25))^$K$25))+$G$26))</f>
        <v>0.83835706379878383</v>
      </c>
      <c r="E369" s="75">
        <f t="shared" si="5"/>
        <v>0.97934898683458882</v>
      </c>
      <c r="F369" s="74"/>
      <c r="G369" s="6"/>
      <c r="H369" s="6"/>
      <c r="I369" s="6"/>
      <c r="J369" s="6"/>
      <c r="K369" s="6"/>
      <c r="L369" s="6"/>
      <c r="M369" s="6"/>
    </row>
    <row r="370" spans="1:13" hidden="1" x14ac:dyDescent="0.2">
      <c r="A370" s="60"/>
      <c r="B370" s="60">
        <v>729</v>
      </c>
      <c r="C370" s="75">
        <f>10^(-(($G$21+$H$21*'Advanced Outputs'!C$61^$I$21)*(($B370/$M$21)^-$K$21)+($G$22+$H$22*'Advanced Outputs'!C$61^$I$22)*$J$22*EXP(-(($L$22*($B370-$M$22))^$K$22))+($G$23+$H$23*'Advanced Outputs'!C$61^$I$23)*$J$23*EXP(-(($L$23*($B370-$M$23))^$K$23))+($G$24+$H$24*'Advanced Outputs'!C$61^$I$24)*$J$24*EXP(-(($L$24*($B370-$M$24))^$K$24))+($G$25+$H$25*'Advanced Outputs'!C$61^$I$25)*$J$25*EXP(-(($L$25*($B370-$M$25))^$K$25))+$G$26))</f>
        <v>0.82131167032324803</v>
      </c>
      <c r="D370" s="75">
        <f>10^(-(($G$21+$H$21*'Advanced Outputs'!C$60^$I$21)*(($B370/$M$21)^-$K$21)+($G$22+$H$22*'Advanced Outputs'!C$60^$I$22)*$J$22*EXP(-(($L$22*($B370-$M$22))^$K$22))+($G$23+$H$23*'Advanced Outputs'!C$60^$I$23)*$J$23*EXP(-(($L$23*($B370-$M$23))^$K$23))+($G$24+$H$24*'Advanced Outputs'!C$60^$I$24)*$J$24*EXP(-(($L$24*($B370-$M$24))^$K$24))+($G$25+$H$25*'Advanced Outputs'!C$60^$I$25)*$J$25*EXP(-(($L$25*($B370-$M$25))^$K$25))+$G$26))</f>
        <v>0.83853281384421519</v>
      </c>
      <c r="E370" s="75">
        <f t="shared" si="5"/>
        <v>0.97946276730421844</v>
      </c>
      <c r="F370" s="74"/>
      <c r="G370" s="6"/>
      <c r="H370" s="6"/>
      <c r="I370" s="6"/>
      <c r="J370" s="6"/>
      <c r="K370" s="6"/>
      <c r="L370" s="6"/>
      <c r="M370" s="6"/>
    </row>
    <row r="371" spans="1:13" hidden="1" x14ac:dyDescent="0.2">
      <c r="A371" s="60"/>
      <c r="B371" s="60">
        <v>730</v>
      </c>
      <c r="C371" s="75">
        <f>10^(-(($G$21+$H$21*'Advanced Outputs'!C$61^$I$21)*(($B371/$M$21)^-$K$21)+($G$22+$H$22*'Advanced Outputs'!C$61^$I$22)*$J$22*EXP(-(($L$22*($B371-$M$22))^$K$22))+($G$23+$H$23*'Advanced Outputs'!C$61^$I$23)*$J$23*EXP(-(($L$23*($B371-$M$23))^$K$23))+($G$24+$H$24*'Advanced Outputs'!C$61^$I$24)*$J$24*EXP(-(($L$24*($B371-$M$24))^$K$24))+($G$25+$H$25*'Advanced Outputs'!C$61^$I$25)*$J$25*EXP(-(($L$25*($B371-$M$25))^$K$25))+$G$26))</f>
        <v>0.82157735871696458</v>
      </c>
      <c r="D371" s="75">
        <f>10^(-(($G$21+$H$21*'Advanced Outputs'!C$60^$I$21)*(($B371/$M$21)^-$K$21)+($G$22+$H$22*'Advanced Outputs'!C$60^$I$22)*$J$22*EXP(-(($L$22*($B371-$M$22))^$K$22))+($G$23+$H$23*'Advanced Outputs'!C$60^$I$23)*$J$23*EXP(-(($L$23*($B371-$M$23))^$K$23))+($G$24+$H$24*'Advanced Outputs'!C$60^$I$24)*$J$24*EXP(-(($L$24*($B371-$M$24))^$K$24))+($G$25+$H$25*'Advanced Outputs'!C$60^$I$25)*$J$25*EXP(-(($L$25*($B371-$M$25))^$K$25))+$G$26))</f>
        <v>0.83870737255359384</v>
      </c>
      <c r="E371" s="75">
        <f t="shared" si="5"/>
        <v>0.97957569660503419</v>
      </c>
      <c r="F371" s="74"/>
      <c r="G371" s="6"/>
      <c r="H371" s="6"/>
      <c r="I371" s="6"/>
      <c r="J371" s="6"/>
      <c r="K371" s="6"/>
      <c r="L371" s="6"/>
      <c r="M371" s="6"/>
    </row>
    <row r="372" spans="1:13" hidden="1" x14ac:dyDescent="0.2">
      <c r="A372" s="60"/>
      <c r="B372" s="60">
        <v>731</v>
      </c>
      <c r="C372" s="75">
        <f>10^(-(($G$21+$H$21*'Advanced Outputs'!C$61^$I$21)*(($B372/$M$21)^-$K$21)+($G$22+$H$22*'Advanced Outputs'!C$61^$I$22)*$J$22*EXP(-(($L$22*($B372-$M$22))^$K$22))+($G$23+$H$23*'Advanced Outputs'!C$61^$I$23)*$J$23*EXP(-(($L$23*($B372-$M$23))^$K$23))+($G$24+$H$24*'Advanced Outputs'!C$61^$I$24)*$J$24*EXP(-(($L$24*($B372-$M$24))^$K$24))+($G$25+$H$25*'Advanced Outputs'!C$61^$I$25)*$J$25*EXP(-(($L$25*($B372-$M$25))^$K$25))+$G$26))</f>
        <v>0.8218412244627572</v>
      </c>
      <c r="D372" s="75">
        <f>10^(-(($G$21+$H$21*'Advanced Outputs'!C$60^$I$21)*(($B372/$M$21)^-$K$21)+($G$22+$H$22*'Advanced Outputs'!C$60^$I$22)*$J$22*EXP(-(($L$22*($B372-$M$22))^$K$22))+($G$23+$H$23*'Advanced Outputs'!C$60^$I$23)*$J$23*EXP(-(($L$23*($B372-$M$23))^$K$23))+($G$24+$H$24*'Advanced Outputs'!C$60^$I$24)*$J$24*EXP(-(($L$24*($B372-$M$24))^$K$24))+($G$25+$H$25*'Advanced Outputs'!C$60^$I$25)*$J$25*EXP(-(($L$25*($B372-$M$25))^$K$25))+$G$26))</f>
        <v>0.83888075038350807</v>
      </c>
      <c r="E372" s="75">
        <f t="shared" si="5"/>
        <v>0.97968778528657263</v>
      </c>
      <c r="F372" s="74"/>
      <c r="G372" s="6"/>
      <c r="H372" s="6"/>
      <c r="I372" s="6"/>
      <c r="J372" s="6"/>
      <c r="K372" s="6"/>
      <c r="L372" s="6"/>
      <c r="M372" s="6"/>
    </row>
    <row r="373" spans="1:13" hidden="1" x14ac:dyDescent="0.2">
      <c r="A373" s="60"/>
      <c r="B373" s="60">
        <v>732</v>
      </c>
      <c r="C373" s="75">
        <f>10^(-(($G$21+$H$21*'Advanced Outputs'!C$61^$I$21)*(($B373/$M$21)^-$K$21)+($G$22+$H$22*'Advanced Outputs'!C$61^$I$22)*$J$22*EXP(-(($L$22*($B373-$M$22))^$K$22))+($G$23+$H$23*'Advanced Outputs'!C$61^$I$23)*$J$23*EXP(-(($L$23*($B373-$M$23))^$K$23))+($G$24+$H$24*'Advanced Outputs'!C$61^$I$24)*$J$24*EXP(-(($L$24*($B373-$M$24))^$K$24))+($G$25+$H$25*'Advanced Outputs'!C$61^$I$25)*$J$25*EXP(-(($L$25*($B373-$M$25))^$K$25))+$G$26))</f>
        <v>0.82210328547817735</v>
      </c>
      <c r="D373" s="75">
        <f>10^(-(($G$21+$H$21*'Advanced Outputs'!C$60^$I$21)*(($B373/$M$21)^-$K$21)+($G$22+$H$22*'Advanced Outputs'!C$60^$I$22)*$J$22*EXP(-(($L$22*($B373-$M$22))^$K$22))+($G$23+$H$23*'Advanced Outputs'!C$60^$I$23)*$J$23*EXP(-(($L$23*($B373-$M$23))^$K$23))+($G$24+$H$24*'Advanced Outputs'!C$60^$I$24)*$J$24*EXP(-(($L$24*($B373-$M$24))^$K$24))+($G$25+$H$25*'Advanced Outputs'!C$60^$I$25)*$J$25*EXP(-(($L$25*($B373-$M$25))^$K$25))+$G$26))</f>
        <v>0.83905295765116239</v>
      </c>
      <c r="E373" s="75">
        <f t="shared" si="5"/>
        <v>0.9797990436498385</v>
      </c>
      <c r="F373" s="74"/>
      <c r="G373" s="6"/>
      <c r="H373" s="6"/>
      <c r="I373" s="6"/>
      <c r="J373" s="6"/>
      <c r="K373" s="6"/>
      <c r="L373" s="6"/>
      <c r="M373" s="6"/>
    </row>
    <row r="374" spans="1:13" hidden="1" x14ac:dyDescent="0.2">
      <c r="A374" s="60"/>
      <c r="B374" s="60">
        <v>733</v>
      </c>
      <c r="C374" s="75">
        <f>10^(-(($G$21+$H$21*'Advanced Outputs'!C$61^$I$21)*(($B374/$M$21)^-$K$21)+($G$22+$H$22*'Advanced Outputs'!C$61^$I$22)*$J$22*EXP(-(($L$22*($B374-$M$22))^$K$22))+($G$23+$H$23*'Advanced Outputs'!C$61^$I$23)*$J$23*EXP(-(($L$23*($B374-$M$23))^$K$23))+($G$24+$H$24*'Advanced Outputs'!C$61^$I$24)*$J$24*EXP(-(($L$24*($B374-$M$24))^$K$24))+($G$25+$H$25*'Advanced Outputs'!C$61^$I$25)*$J$25*EXP(-(($L$25*($B374-$M$25))^$K$25))+$G$26))</f>
        <v>0.82236355936302319</v>
      </c>
      <c r="D374" s="75">
        <f>10^(-(($G$21+$H$21*'Advanced Outputs'!C$60^$I$21)*(($B374/$M$21)^-$K$21)+($G$22+$H$22*'Advanced Outputs'!C$60^$I$22)*$J$22*EXP(-(($L$22*($B374-$M$22))^$K$22))+($G$23+$H$23*'Advanced Outputs'!C$60^$I$23)*$J$23*EXP(-(($L$23*($B374-$M$23))^$K$23))+($G$24+$H$24*'Advanced Outputs'!C$60^$I$24)*$J$24*EXP(-(($L$24*($B374-$M$24))^$K$24))+($G$25+$H$25*'Advanced Outputs'!C$60^$I$25)*$J$25*EXP(-(($L$25*($B374-$M$25))^$K$25))+$G$26))</f>
        <v>0.83922400453745405</v>
      </c>
      <c r="E374" s="75">
        <f t="shared" si="5"/>
        <v>0.9799094817554419</v>
      </c>
      <c r="F374" s="74"/>
      <c r="G374" s="6"/>
      <c r="H374" s="6"/>
      <c r="I374" s="6"/>
      <c r="J374" s="6"/>
      <c r="K374" s="6"/>
      <c r="L374" s="6"/>
      <c r="M374" s="6"/>
    </row>
    <row r="375" spans="1:13" hidden="1" x14ac:dyDescent="0.2">
      <c r="A375" s="60"/>
      <c r="B375" s="60">
        <v>734</v>
      </c>
      <c r="C375" s="75">
        <f>10^(-(($G$21+$H$21*'Advanced Outputs'!C$61^$I$21)*(($B375/$M$21)^-$K$21)+($G$22+$H$22*'Advanced Outputs'!C$61^$I$22)*$J$22*EXP(-(($L$22*($B375-$M$22))^$K$22))+($G$23+$H$23*'Advanced Outputs'!C$61^$I$23)*$J$23*EXP(-(($L$23*($B375-$M$23))^$K$23))+($G$24+$H$24*'Advanced Outputs'!C$61^$I$24)*$J$24*EXP(-(($L$24*($B375-$M$24))^$K$24))+($G$25+$H$25*'Advanced Outputs'!C$61^$I$25)*$J$25*EXP(-(($L$25*($B375-$M$25))^$K$25))+$G$26))</f>
        <v>0.82262206340838351</v>
      </c>
      <c r="D375" s="75">
        <f>10^(-(($G$21+$H$21*'Advanced Outputs'!C$60^$I$21)*(($B375/$M$21)^-$K$21)+($G$22+$H$22*'Advanced Outputs'!C$60^$I$22)*$J$22*EXP(-(($L$22*($B375-$M$22))^$K$22))+($G$23+$H$23*'Advanced Outputs'!C$60^$I$23)*$J$23*EXP(-(($L$23*($B375-$M$23))^$K$23))+($G$24+$H$24*'Advanced Outputs'!C$60^$I$24)*$J$24*EXP(-(($L$24*($B375-$M$24))^$K$24))+($G$25+$H$25*'Advanced Outputs'!C$60^$I$25)*$J$25*EXP(-(($L$25*($B375-$M$25))^$K$25))+$G$26))</f>
        <v>0.83939390108996226</v>
      </c>
      <c r="E375" s="75">
        <f t="shared" si="5"/>
        <v>0.98001910943145965</v>
      </c>
      <c r="F375" s="74"/>
      <c r="G375" s="6"/>
      <c r="H375" s="6"/>
      <c r="I375" s="6"/>
      <c r="J375" s="6"/>
      <c r="K375" s="6"/>
      <c r="L375" s="6"/>
      <c r="M375" s="6"/>
    </row>
    <row r="376" spans="1:13" hidden="1" x14ac:dyDescent="0.2">
      <c r="A376" s="60"/>
      <c r="B376" s="60">
        <v>735</v>
      </c>
      <c r="C376" s="75">
        <f>10^(-(($G$21+$H$21*'Advanced Outputs'!C$61^$I$21)*(($B376/$M$21)^-$K$21)+($G$22+$H$22*'Advanced Outputs'!C$61^$I$22)*$J$22*EXP(-(($L$22*($B376-$M$22))^$K$22))+($G$23+$H$23*'Advanced Outputs'!C$61^$I$23)*$J$23*EXP(-(($L$23*($B376-$M$23))^$K$23))+($G$24+$H$24*'Advanced Outputs'!C$61^$I$24)*$J$24*EXP(-(($L$24*($B376-$M$24))^$K$24))+($G$25+$H$25*'Advanced Outputs'!C$61^$I$25)*$J$25*EXP(-(($L$25*($B376-$M$25))^$K$25))+$G$26))</f>
        <v>0.82287881460539558</v>
      </c>
      <c r="D376" s="75">
        <f>10^(-(($G$21+$H$21*'Advanced Outputs'!C$60^$I$21)*(($B376/$M$21)^-$K$21)+($G$22+$H$22*'Advanced Outputs'!C$60^$I$22)*$J$22*EXP(-(($L$22*($B376-$M$22))^$K$22))+($G$23+$H$23*'Advanced Outputs'!C$60^$I$23)*$J$23*EXP(-(($L$23*($B376-$M$23))^$K$23))+($G$24+$H$24*'Advanced Outputs'!C$60^$I$24)*$J$24*EXP(-(($L$24*($B376-$M$24))^$K$24))+($G$25+$H$25*'Advanced Outputs'!C$60^$I$25)*$J$25*EXP(-(($L$25*($B376-$M$25))^$K$25))+$G$26))</f>
        <v>0.8395626572258521</v>
      </c>
      <c r="E376" s="75">
        <f t="shared" si="5"/>
        <v>0.98012793628103401</v>
      </c>
      <c r="F376" s="74"/>
      <c r="G376" s="6"/>
      <c r="H376" s="6"/>
      <c r="I376" s="6"/>
      <c r="J376" s="6"/>
      <c r="K376" s="6"/>
      <c r="L376" s="6"/>
      <c r="M376" s="6"/>
    </row>
    <row r="377" spans="1:13" hidden="1" x14ac:dyDescent="0.2">
      <c r="A377" s="60"/>
      <c r="B377" s="60">
        <v>736</v>
      </c>
      <c r="C377" s="75">
        <f>10^(-(($G$21+$H$21*'Advanced Outputs'!C$61^$I$21)*(($B377/$M$21)^-$K$21)+($G$22+$H$22*'Advanced Outputs'!C$61^$I$22)*$J$22*EXP(-(($L$22*($B377-$M$22))^$K$22))+($G$23+$H$23*'Advanced Outputs'!C$61^$I$23)*$J$23*EXP(-(($L$23*($B377-$M$23))^$K$23))+($G$24+$H$24*'Advanced Outputs'!C$61^$I$24)*$J$24*EXP(-(($L$24*($B377-$M$24))^$K$24))+($G$25+$H$25*'Advanced Outputs'!C$61^$I$25)*$J$25*EXP(-(($L$25*($B377-$M$25))^$K$25))+$G$26))</f>
        <v>0.82313382965372539</v>
      </c>
      <c r="D377" s="75">
        <f>10^(-(($G$21+$H$21*'Advanced Outputs'!C$60^$I$21)*(($B377/$M$21)^-$K$21)+($G$22+$H$22*'Advanced Outputs'!C$60^$I$22)*$J$22*EXP(-(($L$22*($B377-$M$22))^$K$22))+($G$23+$H$23*'Advanced Outputs'!C$60^$I$23)*$J$23*EXP(-(($L$23*($B377-$M$23))^$K$23))+($G$24+$H$24*'Advanced Outputs'!C$60^$I$24)*$J$24*EXP(-(($L$24*($B377-$M$24))^$K$24))+($G$25+$H$25*'Advanced Outputs'!C$60^$I$25)*$J$25*EXP(-(($L$25*($B377-$M$25))^$K$25))+$G$26))</f>
        <v>0.8397302827346943</v>
      </c>
      <c r="E377" s="75">
        <f t="shared" si="5"/>
        <v>0.98023597168971888</v>
      </c>
      <c r="F377" s="74"/>
      <c r="G377" s="6"/>
      <c r="H377" s="6"/>
      <c r="I377" s="6"/>
      <c r="J377" s="6"/>
      <c r="K377" s="6"/>
      <c r="L377" s="6"/>
      <c r="M377" s="6"/>
    </row>
    <row r="378" spans="1:13" hidden="1" x14ac:dyDescent="0.2">
      <c r="A378" s="60"/>
      <c r="B378" s="60">
        <v>737</v>
      </c>
      <c r="C378" s="75">
        <f>10^(-(($G$21+$H$21*'Advanced Outputs'!C$61^$I$21)*(($B378/$M$21)^-$K$21)+($G$22+$H$22*'Advanced Outputs'!C$61^$I$22)*$J$22*EXP(-(($L$22*($B378-$M$22))^$K$22))+($G$23+$H$23*'Advanced Outputs'!C$61^$I$23)*$J$23*EXP(-(($L$23*($B378-$M$23))^$K$23))+($G$24+$H$24*'Advanced Outputs'!C$61^$I$24)*$J$24*EXP(-(($L$24*($B378-$M$24))^$K$24))+($G$25+$H$25*'Advanced Outputs'!C$61^$I$25)*$J$25*EXP(-(($L$25*($B378-$M$25))^$K$25))+$G$26))</f>
        <v>0.82338712496977484</v>
      </c>
      <c r="D378" s="75">
        <f>10^(-(($G$21+$H$21*'Advanced Outputs'!C$60^$I$21)*(($B378/$M$21)^-$K$21)+($G$22+$H$22*'Advanced Outputs'!C$60^$I$22)*$J$22*EXP(-(($L$22*($B378-$M$22))^$K$22))+($G$23+$H$23*'Advanced Outputs'!C$60^$I$23)*$J$23*EXP(-(($L$23*($B378-$M$23))^$K$23))+($G$24+$H$24*'Advanced Outputs'!C$60^$I$24)*$J$24*EXP(-(($L$24*($B378-$M$24))^$K$24))+($G$25+$H$25*'Advanced Outputs'!C$60^$I$25)*$J$25*EXP(-(($L$25*($B378-$M$25))^$K$25))+$G$26))</f>
        <v>0.83989678728120687</v>
      </c>
      <c r="E378" s="75">
        <f t="shared" si="5"/>
        <v>0.98034322483257175</v>
      </c>
      <c r="F378" s="74"/>
      <c r="G378" s="6"/>
      <c r="H378" s="6"/>
      <c r="I378" s="6"/>
      <c r="J378" s="6"/>
      <c r="K378" s="6"/>
      <c r="L378" s="6"/>
      <c r="M378" s="6"/>
    </row>
    <row r="379" spans="1:13" hidden="1" x14ac:dyDescent="0.2">
      <c r="A379" s="60"/>
      <c r="B379" s="60">
        <v>738</v>
      </c>
      <c r="C379" s="75">
        <f>10^(-(($G$21+$H$21*'Advanced Outputs'!C$61^$I$21)*(($B379/$M$21)^-$K$21)+($G$22+$H$22*'Advanced Outputs'!C$61^$I$22)*$J$22*EXP(-(($L$22*($B379-$M$22))^$K$22))+($G$23+$H$23*'Advanced Outputs'!C$61^$I$23)*$J$23*EXP(-(($L$23*($B379-$M$23))^$K$23))+($G$24+$H$24*'Advanced Outputs'!C$61^$I$24)*$J$24*EXP(-(($L$24*($B379-$M$24))^$K$24))+($G$25+$H$25*'Advanced Outputs'!C$61^$I$25)*$J$25*EXP(-(($L$25*($B379-$M$25))^$K$25))+$G$26))</f>
        <v>0.82363871669462607</v>
      </c>
      <c r="D379" s="75">
        <f>10^(-(($G$21+$H$21*'Advanced Outputs'!C$60^$I$21)*(($B379/$M$21)^-$K$21)+($G$22+$H$22*'Advanced Outputs'!C$60^$I$22)*$J$22*EXP(-(($L$22*($B379-$M$22))^$K$22))+($G$23+$H$23*'Advanced Outputs'!C$60^$I$23)*$J$23*EXP(-(($L$23*($B379-$M$23))^$K$23))+($G$24+$H$24*'Advanced Outputs'!C$60^$I$24)*$J$24*EXP(-(($L$24*($B379-$M$24))^$K$24))+($G$25+$H$25*'Advanced Outputs'!C$60^$I$25)*$J$25*EXP(-(($L$25*($B379-$M$25))^$K$25))+$G$26))</f>
        <v>0.84006218040791514</v>
      </c>
      <c r="E379" s="75">
        <f t="shared" si="5"/>
        <v>0.98044970468101045</v>
      </c>
      <c r="F379" s="74"/>
      <c r="G379" s="6"/>
      <c r="H379" s="6"/>
      <c r="I379" s="6"/>
      <c r="J379" s="6"/>
      <c r="K379" s="6"/>
      <c r="L379" s="6"/>
      <c r="M379" s="6"/>
    </row>
    <row r="380" spans="1:13" hidden="1" x14ac:dyDescent="0.2">
      <c r="A380" s="60"/>
      <c r="B380" s="60">
        <v>739</v>
      </c>
      <c r="C380" s="75">
        <f>10^(-(($G$21+$H$21*'Advanced Outputs'!C$61^$I$21)*(($B380/$M$21)^-$K$21)+($G$22+$H$22*'Advanced Outputs'!C$61^$I$22)*$J$22*EXP(-(($L$22*($B380-$M$22))^$K$22))+($G$23+$H$23*'Advanced Outputs'!C$61^$I$23)*$J$23*EXP(-(($L$23*($B380-$M$23))^$K$23))+($G$24+$H$24*'Advanced Outputs'!C$61^$I$24)*$J$24*EXP(-(($L$24*($B380-$M$24))^$K$24))+($G$25+$H$25*'Advanced Outputs'!C$61^$I$25)*$J$25*EXP(-(($L$25*($B380-$M$25))^$K$25))+$G$26))</f>
        <v>0.8238886207017313</v>
      </c>
      <c r="D380" s="75">
        <f>10^(-(($G$21+$H$21*'Advanced Outputs'!C$60^$I$21)*(($B380/$M$21)^-$K$21)+($G$22+$H$22*'Advanced Outputs'!C$60^$I$22)*$J$22*EXP(-(($L$22*($B380-$M$22))^$K$22))+($G$23+$H$23*'Advanced Outputs'!C$60^$I$23)*$J$23*EXP(-(($L$23*($B380-$M$23))^$K$23))+($G$24+$H$24*'Advanced Outputs'!C$60^$I$24)*$J$24*EXP(-(($L$24*($B380-$M$24))^$K$24))+($G$25+$H$25*'Advanced Outputs'!C$60^$I$25)*$J$25*EXP(-(($L$25*($B380-$M$25))^$K$25))+$G$26))</f>
        <v>0.84022647153773822</v>
      </c>
      <c r="E380" s="75">
        <f t="shared" si="5"/>
        <v>0.98055542000943363</v>
      </c>
      <c r="F380" s="74"/>
      <c r="G380" s="6"/>
      <c r="H380" s="6"/>
      <c r="I380" s="6"/>
      <c r="J380" s="6"/>
      <c r="K380" s="6"/>
      <c r="L380" s="6"/>
      <c r="M380" s="6"/>
    </row>
    <row r="381" spans="1:13" hidden="1" x14ac:dyDescent="0.2">
      <c r="A381" s="60"/>
      <c r="B381" s="60">
        <v>740</v>
      </c>
      <c r="C381" s="75">
        <f>10^(-(($G$21+$H$21*'Advanced Outputs'!C$61^$I$21)*(($B381/$M$21)^-$K$21)+($G$22+$H$22*'Advanced Outputs'!C$61^$I$22)*$J$22*EXP(-(($L$22*($B381-$M$22))^$K$22))+($G$23+$H$23*'Advanced Outputs'!C$61^$I$23)*$J$23*EXP(-(($L$23*($B381-$M$23))^$K$23))+($G$24+$H$24*'Advanced Outputs'!C$61^$I$24)*$J$24*EXP(-(($L$24*($B381-$M$24))^$K$24))+($G$25+$H$25*'Advanced Outputs'!C$61^$I$25)*$J$25*EXP(-(($L$25*($B381-$M$25))^$K$25))+$G$26))</f>
        <v>0.82413685260435254</v>
      </c>
      <c r="D381" s="75">
        <f>10^(-(($G$21+$H$21*'Advanced Outputs'!C$60^$I$21)*(($B381/$M$21)^-$K$21)+($G$22+$H$22*'Advanced Outputs'!C$60^$I$22)*$J$22*EXP(-(($L$22*($B381-$M$22))^$K$22))+($G$23+$H$23*'Advanced Outputs'!C$60^$I$23)*$J$23*EXP(-(($L$23*($B381-$M$23))^$K$23))+($G$24+$H$24*'Advanced Outputs'!C$60^$I$24)*$J$24*EXP(-(($L$24*($B381-$M$24))^$K$24))+($G$25+$H$25*'Advanced Outputs'!C$60^$I$25)*$J$25*EXP(-(($L$25*($B381-$M$25))^$K$25))+$G$26))</f>
        <v>0.8403896699765</v>
      </c>
      <c r="E381" s="75">
        <f t="shared" si="5"/>
        <v>0.98066037940161499</v>
      </c>
      <c r="F381" s="74"/>
      <c r="G381" s="6"/>
      <c r="H381" s="6"/>
      <c r="I381" s="6"/>
      <c r="J381" s="6"/>
      <c r="K381" s="6"/>
      <c r="L381" s="6"/>
      <c r="M381" s="6"/>
    </row>
    <row r="382" spans="1:13" hidden="1" x14ac:dyDescent="0.2">
      <c r="A382" s="60"/>
      <c r="B382" s="60">
        <v>741</v>
      </c>
      <c r="C382" s="75">
        <f>10^(-(($G$21+$H$21*'Advanced Outputs'!C$61^$I$21)*(($B382/$M$21)^-$K$21)+($G$22+$H$22*'Advanced Outputs'!C$61^$I$22)*$J$22*EXP(-(($L$22*($B382-$M$22))^$K$22))+($G$23+$H$23*'Advanced Outputs'!C$61^$I$23)*$J$23*EXP(-(($L$23*($B382-$M$23))^$K$23))+($G$24+$H$24*'Advanced Outputs'!C$61^$I$24)*$J$24*EXP(-(($L$24*($B382-$M$24))^$K$24))+($G$25+$H$25*'Advanced Outputs'!C$61^$I$25)*$J$25*EXP(-(($L$25*($B382-$M$25))^$K$25))+$G$26))</f>
        <v>0.82438342776276241</v>
      </c>
      <c r="D382" s="75">
        <f>10^(-(($G$21+$H$21*'Advanced Outputs'!C$60^$I$21)*(($B382/$M$21)^-$K$21)+($G$22+$H$22*'Advanced Outputs'!C$60^$I$22)*$J$22*EXP(-(($L$22*($B382-$M$22))^$K$22))+($G$23+$H$23*'Advanced Outputs'!C$60^$I$23)*$J$23*EXP(-(($L$23*($B382-$M$23))^$K$23))+($G$24+$H$24*'Advanced Outputs'!C$60^$I$24)*$J$24*EXP(-(($L$24*($B382-$M$24))^$K$24))+($G$25+$H$25*'Advanced Outputs'!C$60^$I$25)*$J$25*EXP(-(($L$25*($B382-$M$25))^$K$25))+$G$26))</f>
        <v>0.84055178491536953</v>
      </c>
      <c r="E382" s="75">
        <f t="shared" si="5"/>
        <v>0.98076459125687898</v>
      </c>
      <c r="F382" s="74"/>
      <c r="G382" s="6"/>
      <c r="H382" s="6"/>
      <c r="I382" s="6"/>
      <c r="J382" s="6"/>
      <c r="K382" s="6"/>
      <c r="L382" s="6"/>
      <c r="M382" s="6"/>
    </row>
    <row r="383" spans="1:13" hidden="1" x14ac:dyDescent="0.2">
      <c r="A383" s="60"/>
      <c r="B383" s="60">
        <v>742</v>
      </c>
      <c r="C383" s="75">
        <f>10^(-(($G$21+$H$21*'Advanced Outputs'!C$61^$I$21)*(($B383/$M$21)^-$K$21)+($G$22+$H$22*'Advanced Outputs'!C$61^$I$22)*$J$22*EXP(-(($L$22*($B383-$M$22))^$K$22))+($G$23+$H$23*'Advanced Outputs'!C$61^$I$23)*$J$23*EXP(-(($L$23*($B383-$M$23))^$K$23))+($G$24+$H$24*'Advanced Outputs'!C$61^$I$24)*$J$24*EXP(-(($L$24*($B383-$M$24))^$K$24))+($G$25+$H$25*'Advanced Outputs'!C$61^$I$25)*$J$25*EXP(-(($L$25*($B383-$M$25))^$K$25))+$G$26))</f>
        <v>0.82462836129120887</v>
      </c>
      <c r="D383" s="75">
        <f>10^(-(($G$21+$H$21*'Advanced Outputs'!C$60^$I$21)*(($B383/$M$21)^-$K$21)+($G$22+$H$22*'Advanced Outputs'!C$60^$I$22)*$J$22*EXP(-(($L$22*($B383-$M$22))^$K$22))+($G$23+$H$23*'Advanced Outputs'!C$60^$I$23)*$J$23*EXP(-(($L$23*($B383-$M$23))^$K$23))+($G$24+$H$24*'Advanced Outputs'!C$60^$I$24)*$J$24*EXP(-(($L$24*($B383-$M$24))^$K$24))+($G$25+$H$25*'Advanced Outputs'!C$60^$I$25)*$J$25*EXP(-(($L$25*($B383-$M$25))^$K$25))+$G$26))</f>
        <v>0.84071282543323023</v>
      </c>
      <c r="E383" s="75">
        <f t="shared" si="5"/>
        <v>0.98086806379606162</v>
      </c>
      <c r="F383" s="74"/>
      <c r="G383" s="6"/>
      <c r="H383" s="6"/>
      <c r="I383" s="6"/>
      <c r="J383" s="6"/>
      <c r="K383" s="6"/>
      <c r="L383" s="6"/>
      <c r="M383" s="6"/>
    </row>
    <row r="384" spans="1:13" hidden="1" x14ac:dyDescent="0.2">
      <c r="A384" s="60"/>
      <c r="B384" s="60">
        <v>743</v>
      </c>
      <c r="C384" s="75">
        <f>10^(-(($G$21+$H$21*'Advanced Outputs'!C$61^$I$21)*(($B384/$M$21)^-$K$21)+($G$22+$H$22*'Advanced Outputs'!C$61^$I$22)*$J$22*EXP(-(($L$22*($B384-$M$22))^$K$22))+($G$23+$H$23*'Advanced Outputs'!C$61^$I$23)*$J$23*EXP(-(($L$23*($B384-$M$23))^$K$23))+($G$24+$H$24*'Advanced Outputs'!C$61^$I$24)*$J$24*EXP(-(($L$24*($B384-$M$24))^$K$24))+($G$25+$H$25*'Advanced Outputs'!C$61^$I$25)*$J$25*EXP(-(($L$25*($B384-$M$25))^$K$25))+$G$26))</f>
        <v>0.82487166806465595</v>
      </c>
      <c r="D384" s="75">
        <f>10^(-(($G$21+$H$21*'Advanced Outputs'!C$60^$I$21)*(($B384/$M$21)^-$K$21)+($G$22+$H$22*'Advanced Outputs'!C$60^$I$22)*$J$22*EXP(-(($L$22*($B384-$M$22))^$K$22))+($G$23+$H$23*'Advanced Outputs'!C$60^$I$23)*$J$23*EXP(-(($L$23*($B384-$M$23))^$K$23))+($G$24+$H$24*'Advanced Outputs'!C$60^$I$24)*$J$24*EXP(-(($L$24*($B384-$M$24))^$K$24))+($G$25+$H$25*'Advanced Outputs'!C$60^$I$25)*$J$25*EXP(-(($L$25*($B384-$M$25))^$K$25))+$G$26))</f>
        <v>0.84087280049898205</v>
      </c>
      <c r="E384" s="75">
        <f t="shared" si="5"/>
        <v>0.98097080506726952</v>
      </c>
      <c r="F384" s="74"/>
      <c r="G384" s="6"/>
      <c r="H384" s="6"/>
      <c r="I384" s="6"/>
      <c r="J384" s="6"/>
      <c r="K384" s="6"/>
      <c r="L384" s="6"/>
      <c r="M384" s="6"/>
    </row>
    <row r="385" spans="1:13" hidden="1" x14ac:dyDescent="0.2">
      <c r="A385" s="60"/>
      <c r="B385" s="60">
        <v>744</v>
      </c>
      <c r="C385" s="75">
        <f>10^(-(($G$21+$H$21*'Advanced Outputs'!C$61^$I$21)*(($B385/$M$21)^-$K$21)+($G$22+$H$22*'Advanced Outputs'!C$61^$I$22)*$J$22*EXP(-(($L$22*($B385-$M$22))^$K$22))+($G$23+$H$23*'Advanced Outputs'!C$61^$I$23)*$J$23*EXP(-(($L$23*($B385-$M$23))^$K$23))+($G$24+$H$24*'Advanced Outputs'!C$61^$I$24)*$J$24*EXP(-(($L$24*($B385-$M$24))^$K$24))+($G$25+$H$25*'Advanced Outputs'!C$61^$I$25)*$J$25*EXP(-(($L$25*($B385-$M$25))^$K$25))+$G$26))</f>
        <v>0.82511336272530211</v>
      </c>
      <c r="D385" s="75">
        <f>10^(-(($G$21+$H$21*'Advanced Outputs'!C$60^$I$21)*(($B385/$M$21)^-$K$21)+($G$22+$H$22*'Advanced Outputs'!C$60^$I$22)*$J$22*EXP(-(($L$22*($B385-$M$22))^$K$22))+($G$23+$H$23*'Advanced Outputs'!C$60^$I$23)*$J$23*EXP(-(($L$23*($B385-$M$23))^$K$23))+($G$24+$H$24*'Advanced Outputs'!C$60^$I$24)*$J$24*EXP(-(($L$24*($B385-$M$24))^$K$24))+($G$25+$H$25*'Advanced Outputs'!C$60^$I$25)*$J$25*EXP(-(($L$25*($B385-$M$25))^$K$25))+$G$26))</f>
        <v>0.84103171897377837</v>
      </c>
      <c r="E385" s="75">
        <f t="shared" si="5"/>
        <v>0.98107282295143428</v>
      </c>
      <c r="F385" s="74"/>
      <c r="G385" s="6"/>
      <c r="H385" s="6"/>
      <c r="I385" s="6"/>
      <c r="J385" s="6"/>
      <c r="K385" s="6"/>
      <c r="L385" s="6"/>
      <c r="M385" s="6"/>
    </row>
    <row r="386" spans="1:13" hidden="1" x14ac:dyDescent="0.2">
      <c r="A386" s="60"/>
      <c r="B386" s="60">
        <v>745</v>
      </c>
      <c r="C386" s="75">
        <f>10^(-(($G$21+$H$21*'Advanced Outputs'!C$61^$I$21)*(($B386/$M$21)^-$K$21)+($G$22+$H$22*'Advanced Outputs'!C$61^$I$22)*$J$22*EXP(-(($L$22*($B386-$M$22))^$K$22))+($G$23+$H$23*'Advanced Outputs'!C$61^$I$23)*$J$23*EXP(-(($L$23*($B386-$M$23))^$K$23))+($G$24+$H$24*'Advanced Outputs'!C$61^$I$24)*$J$24*EXP(-(($L$24*($B386-$M$24))^$K$24))+($G$25+$H$25*'Advanced Outputs'!C$61^$I$25)*$J$25*EXP(-(($L$25*($B386-$M$25))^$K$25))+$G$26))</f>
        <v>0.8253534596888864</v>
      </c>
      <c r="D386" s="75">
        <f>10^(-(($G$21+$H$21*'Advanced Outputs'!C$60^$I$21)*(($B386/$M$21)^-$K$21)+($G$22+$H$22*'Advanced Outputs'!C$60^$I$22)*$J$22*EXP(-(($L$22*($B386-$M$22))^$K$22))+($G$23+$H$23*'Advanced Outputs'!C$60^$I$23)*$J$23*EXP(-(($L$23*($B386-$M$23))^$K$23))+($G$24+$H$24*'Advanced Outputs'!C$60^$I$24)*$J$24*EXP(-(($L$24*($B386-$M$24))^$K$24))+($G$25+$H$25*'Advanced Outputs'!C$60^$I$25)*$J$25*EXP(-(($L$25*($B386-$M$25))^$K$25))+$G$26))</f>
        <v>0.84118958961319767</v>
      </c>
      <c r="E386" s="75">
        <f t="shared" si="5"/>
        <v>0.98117412516767688</v>
      </c>
      <c r="F386" s="74"/>
      <c r="G386" s="6"/>
      <c r="H386" s="6"/>
      <c r="I386" s="6"/>
      <c r="J386" s="6"/>
      <c r="K386" s="6"/>
      <c r="L386" s="6"/>
      <c r="M386" s="6"/>
    </row>
    <row r="387" spans="1:13" hidden="1" x14ac:dyDescent="0.2">
      <c r="A387" s="60"/>
      <c r="B387" s="60">
        <v>746</v>
      </c>
      <c r="C387" s="75">
        <f>10^(-(($G$21+$H$21*'Advanced Outputs'!C$61^$I$21)*(($B387/$M$21)^-$K$21)+($G$22+$H$22*'Advanced Outputs'!C$61^$I$22)*$J$22*EXP(-(($L$22*($B387-$M$22))^$K$22))+($G$23+$H$23*'Advanced Outputs'!C$61^$I$23)*$J$23*EXP(-(($L$23*($B387-$M$23))^$K$23))+($G$24+$H$24*'Advanced Outputs'!C$61^$I$24)*$J$24*EXP(-(($L$24*($B387-$M$24))^$K$24))+($G$25+$H$25*'Advanced Outputs'!C$61^$I$25)*$J$25*EXP(-(($L$25*($B387-$M$25))^$K$25))+$G$26))</f>
        <v>0.82559197315078769</v>
      </c>
      <c r="D387" s="75">
        <f>10^(-(($G$21+$H$21*'Advanced Outputs'!C$60^$I$21)*(($B387/$M$21)^-$K$21)+($G$22+$H$22*'Advanced Outputs'!C$60^$I$22)*$J$22*EXP(-(($L$22*($B387-$M$22))^$K$22))+($G$23+$H$23*'Advanced Outputs'!C$60^$I$23)*$J$23*EXP(-(($L$23*($B387-$M$23))^$K$23))+($G$24+$H$24*'Advanced Outputs'!C$60^$I$24)*$J$24*EXP(-(($L$24*($B387-$M$24))^$K$24))+($G$25+$H$25*'Advanced Outputs'!C$60^$I$25)*$J$25*EXP(-(($L$25*($B387-$M$25))^$K$25))+$G$26))</f>
        <v>0.84134642106935387</v>
      </c>
      <c r="E387" s="75">
        <f t="shared" si="5"/>
        <v>0.98127471927848431</v>
      </c>
      <c r="F387" s="74"/>
      <c r="G387" s="6"/>
      <c r="H387" s="6"/>
      <c r="I387" s="6"/>
      <c r="J387" s="6"/>
      <c r="K387" s="6"/>
      <c r="L387" s="6"/>
      <c r="M387" s="6"/>
    </row>
    <row r="388" spans="1:13" hidden="1" x14ac:dyDescent="0.2">
      <c r="A388" s="60"/>
      <c r="B388" s="60">
        <v>747</v>
      </c>
      <c r="C388" s="75">
        <f>10^(-(($G$21+$H$21*'Advanced Outputs'!C$61^$I$21)*(($B388/$M$21)^-$K$21)+($G$22+$H$22*'Advanced Outputs'!C$61^$I$22)*$J$22*EXP(-(($L$22*($B388-$M$22))^$K$22))+($G$23+$H$23*'Advanced Outputs'!C$61^$I$23)*$J$23*EXP(-(($L$23*($B388-$M$23))^$K$23))+($G$24+$H$24*'Advanced Outputs'!C$61^$I$24)*$J$24*EXP(-(($L$24*($B388-$M$24))^$K$24))+($G$25+$H$25*'Advanced Outputs'!C$61^$I$25)*$J$25*EXP(-(($L$25*($B388-$M$25))^$K$25))+$G$26))</f>
        <v>0.82582891709192452</v>
      </c>
      <c r="D388" s="75">
        <f>10^(-(($G$21+$H$21*'Advanced Outputs'!C$60^$I$21)*(($B388/$M$21)^-$K$21)+($G$22+$H$22*'Advanced Outputs'!C$60^$I$22)*$J$22*EXP(-(($L$22*($B388-$M$22))^$K$22))+($G$23+$H$23*'Advanced Outputs'!C$60^$I$23)*$J$23*EXP(-(($L$23*($B388-$M$23))^$K$23))+($G$24+$H$24*'Advanced Outputs'!C$60^$I$24)*$J$24*EXP(-(($L$24*($B388-$M$24))^$K$24))+($G$25+$H$25*'Advanced Outputs'!C$60^$I$25)*$J$25*EXP(-(($L$25*($B388-$M$25))^$K$25))+$G$26))</f>
        <v>0.84150222189294843</v>
      </c>
      <c r="E388" s="75">
        <f t="shared" si="5"/>
        <v>0.98137461269470327</v>
      </c>
      <c r="F388" s="74"/>
      <c r="G388" s="6"/>
      <c r="H388" s="6"/>
      <c r="I388" s="6"/>
      <c r="J388" s="6"/>
      <c r="K388" s="6"/>
      <c r="L388" s="6"/>
      <c r="M388" s="6"/>
    </row>
    <row r="389" spans="1:13" hidden="1" x14ac:dyDescent="0.2">
      <c r="A389" s="60"/>
      <c r="B389" s="60">
        <v>748</v>
      </c>
      <c r="C389" s="75">
        <f>10^(-(($G$21+$H$21*'Advanced Outputs'!C$61^$I$21)*(($B389/$M$21)^-$K$21)+($G$22+$H$22*'Advanced Outputs'!C$61^$I$22)*$J$22*EXP(-(($L$22*($B389-$M$22))^$K$22))+($G$23+$H$23*'Advanced Outputs'!C$61^$I$23)*$J$23*EXP(-(($L$23*($B389-$M$23))^$K$23))+($G$24+$H$24*'Advanced Outputs'!C$61^$I$24)*$J$24*EXP(-(($L$24*($B389-$M$24))^$K$24))+($G$25+$H$25*'Advanced Outputs'!C$61^$I$25)*$J$25*EXP(-(($L$25*($B389-$M$25))^$K$25))+$G$26))</f>
        <v>0.82606430528445829</v>
      </c>
      <c r="D389" s="75">
        <f>10^(-(($G$21+$H$21*'Advanced Outputs'!C$60^$I$21)*(($B389/$M$21)^-$K$21)+($G$22+$H$22*'Advanced Outputs'!C$60^$I$22)*$J$22*EXP(-(($L$22*($B389-$M$22))^$K$22))+($G$23+$H$23*'Advanced Outputs'!C$60^$I$23)*$J$23*EXP(-(($L$23*($B389-$M$23))^$K$23))+($G$24+$H$24*'Advanced Outputs'!C$60^$I$24)*$J$24*EXP(-(($L$24*($B389-$M$24))^$K$24))+($G$25+$H$25*'Advanced Outputs'!C$60^$I$25)*$J$25*EXP(-(($L$25*($B389-$M$25))^$K$25))+$G$26))</f>
        <v>0.84165700053526005</v>
      </c>
      <c r="E389" s="75">
        <f t="shared" si="5"/>
        <v>0.98147381268036094</v>
      </c>
      <c r="F389" s="74"/>
      <c r="G389" s="6"/>
      <c r="H389" s="6"/>
      <c r="I389" s="6"/>
      <c r="J389" s="6"/>
      <c r="K389" s="6"/>
      <c r="L389" s="6"/>
      <c r="M389" s="6"/>
    </row>
    <row r="390" spans="1:13" hidden="1" x14ac:dyDescent="0.2">
      <c r="A390" s="60"/>
      <c r="B390" s="60">
        <v>749</v>
      </c>
      <c r="C390" s="75">
        <f>10^(-(($G$21+$H$21*'Advanced Outputs'!C$61^$I$21)*(($B390/$M$21)^-$K$21)+($G$22+$H$22*'Advanced Outputs'!C$61^$I$22)*$J$22*EXP(-(($L$22*($B390-$M$22))^$K$22))+($G$23+$H$23*'Advanced Outputs'!C$61^$I$23)*$J$23*EXP(-(($L$23*($B390-$M$23))^$K$23))+($G$24+$H$24*'Advanced Outputs'!C$61^$I$24)*$J$24*EXP(-(($L$24*($B390-$M$24))^$K$24))+($G$25+$H$25*'Advanced Outputs'!C$61^$I$25)*$J$25*EXP(-(($L$25*($B390-$M$25))^$K$25))+$G$26))</f>
        <v>0.8262981512973111</v>
      </c>
      <c r="D390" s="75">
        <f>10^(-(($G$21+$H$21*'Advanced Outputs'!C$60^$I$21)*(($B390/$M$21)^-$K$21)+($G$22+$H$22*'Advanced Outputs'!C$60^$I$22)*$J$22*EXP(-(($L$22*($B390-$M$22))^$K$22))+($G$23+$H$23*'Advanced Outputs'!C$60^$I$23)*$J$23*EXP(-(($L$23*($B390-$M$23))^$K$23))+($G$24+$H$24*'Advanced Outputs'!C$60^$I$24)*$J$24*EXP(-(($L$24*($B390-$M$24))^$K$24))+($G$25+$H$25*'Advanced Outputs'!C$60^$I$25)*$J$25*EXP(-(($L$25*($B390-$M$25))^$K$25))+$G$26))</f>
        <v>0.8418107653500817</v>
      </c>
      <c r="E390" s="75">
        <f t="shared" si="5"/>
        <v>0.98157232635731451</v>
      </c>
      <c r="F390" s="74"/>
      <c r="G390" s="6"/>
      <c r="H390" s="6"/>
      <c r="I390" s="6"/>
      <c r="J390" s="6"/>
      <c r="K390" s="6"/>
      <c r="L390" s="6"/>
      <c r="M390" s="6"/>
    </row>
    <row r="391" spans="1:13" hidden="1" x14ac:dyDescent="0.2">
      <c r="A391" s="60"/>
      <c r="B391" s="60">
        <v>750</v>
      </c>
      <c r="C391" s="75">
        <f>10^(-(($G$21+$H$21*'Advanced Outputs'!C$61^$I$21)*(($B391/$M$21)^-$K$21)+($G$22+$H$22*'Advanced Outputs'!C$61^$I$22)*$J$22*EXP(-(($L$22*($B391-$M$22))^$K$22))+($G$23+$H$23*'Advanced Outputs'!C$61^$I$23)*$J$23*EXP(-(($L$23*($B391-$M$23))^$K$23))+($G$24+$H$24*'Advanced Outputs'!C$61^$I$24)*$J$24*EXP(-(($L$24*($B391-$M$24))^$K$24))+($G$25+$H$25*'Advanced Outputs'!C$61^$I$25)*$J$25*EXP(-(($L$25*($B391-$M$25))^$K$25))+$G$26))</f>
        <v>0.82653046850149969</v>
      </c>
      <c r="D391" s="75">
        <f>10^(-(($G$21+$H$21*'Advanced Outputs'!C$60^$I$21)*(($B391/$M$21)^-$K$21)+($G$22+$H$22*'Advanced Outputs'!C$60^$I$22)*$J$22*EXP(-(($L$22*($B391-$M$22))^$K$22))+($G$23+$H$23*'Advanced Outputs'!C$60^$I$23)*$J$23*EXP(-(($L$23*($B391-$M$23))^$K$23))+($G$24+$H$24*'Advanced Outputs'!C$60^$I$24)*$J$24*EXP(-(($L$24*($B391-$M$24))^$K$24))+($G$25+$H$25*'Advanced Outputs'!C$60^$I$25)*$J$25*EXP(-(($L$25*($B391-$M$25))^$K$25))+$G$26))</f>
        <v>0.84196352459560075</v>
      </c>
      <c r="E391" s="75">
        <f t="shared" si="5"/>
        <v>0.98167016070973667</v>
      </c>
      <c r="F391" s="74"/>
      <c r="G391" s="6"/>
      <c r="H391" s="6"/>
      <c r="I391" s="6"/>
      <c r="J391" s="6"/>
      <c r="K391" s="6"/>
      <c r="L391" s="6"/>
      <c r="M391" s="6"/>
    </row>
    <row r="392" spans="1:13" hidden="1" x14ac:dyDescent="0.2">
      <c r="A392" s="60"/>
      <c r="B392" s="60">
        <v>751</v>
      </c>
      <c r="C392" s="75">
        <f>10^(-(($G$21+$H$21*'Advanced Outputs'!C$61^$I$21)*(($B392/$M$21)^-$K$21)+($G$22+$H$22*'Advanced Outputs'!C$61^$I$22)*$J$22*EXP(-(($L$22*($B392-$M$22))^$K$22))+($G$23+$H$23*'Advanced Outputs'!C$61^$I$23)*$J$23*EXP(-(($L$23*($B392-$M$23))^$K$23))+($G$24+$H$24*'Advanced Outputs'!C$61^$I$24)*$J$24*EXP(-(($L$24*($B392-$M$24))^$K$24))+($G$25+$H$25*'Advanced Outputs'!C$61^$I$25)*$J$25*EXP(-(($L$25*($B392-$M$25))^$K$25))+$G$26))</f>
        <v>0.82676127007529321</v>
      </c>
      <c r="D392" s="75">
        <f>10^(-(($G$21+$H$21*'Advanced Outputs'!C$60^$I$21)*(($B392/$M$21)^-$K$21)+($G$22+$H$22*'Advanced Outputs'!C$60^$I$22)*$J$22*EXP(-(($L$22*($B392-$M$22))^$K$22))+($G$23+$H$23*'Advanced Outputs'!C$60^$I$23)*$J$23*EXP(-(($L$23*($B392-$M$23))^$K$23))+($G$24+$H$24*'Advanced Outputs'!C$60^$I$24)*$J$24*EXP(-(($L$24*($B392-$M$24))^$K$24))+($G$25+$H$25*'Advanced Outputs'!C$60^$I$25)*$J$25*EXP(-(($L$25*($B392-$M$25))^$K$25))+$G$26))</f>
        <v>0.84211528643622613</v>
      </c>
      <c r="E392" s="75">
        <f t="shared" si="5"/>
        <v>0.98176732258844268</v>
      </c>
      <c r="F392" s="74"/>
      <c r="G392" s="6"/>
      <c r="H392" s="6"/>
      <c r="I392" s="6"/>
      <c r="J392" s="6"/>
      <c r="K392" s="6"/>
      <c r="L392" s="6"/>
      <c r="M392" s="6"/>
    </row>
    <row r="393" spans="1:13" hidden="1" x14ac:dyDescent="0.2">
      <c r="A393" s="60"/>
      <c r="B393" s="60">
        <v>752</v>
      </c>
      <c r="C393" s="75">
        <f>10^(-(($G$21+$H$21*'Advanced Outputs'!C$61^$I$21)*(($B393/$M$21)^-$K$21)+($G$22+$H$22*'Advanced Outputs'!C$61^$I$22)*$J$22*EXP(-(($L$22*($B393-$M$22))^$K$22))+($G$23+$H$23*'Advanced Outputs'!C$61^$I$23)*$J$23*EXP(-(($L$23*($B393-$M$23))^$K$23))+($G$24+$H$24*'Advanced Outputs'!C$61^$I$24)*$J$24*EXP(-(($L$24*($B393-$M$24))^$K$24))+($G$25+$H$25*'Advanced Outputs'!C$61^$I$25)*$J$25*EXP(-(($L$25*($B393-$M$25))^$K$25))+$G$26))</f>
        <v>0.82699056900920076</v>
      </c>
      <c r="D393" s="75">
        <f>10^(-(($G$21+$H$21*'Advanced Outputs'!C$60^$I$21)*(($B393/$M$21)^-$K$21)+($G$22+$H$22*'Advanced Outputs'!C$60^$I$22)*$J$22*EXP(-(($L$22*($B393-$M$22))^$K$22))+($G$23+$H$23*'Advanced Outputs'!C$60^$I$23)*$J$23*EXP(-(($L$23*($B393-$M$23))^$K$23))+($G$24+$H$24*'Advanced Outputs'!C$60^$I$24)*$J$24*EXP(-(($L$24*($B393-$M$24))^$K$24))+($G$25+$H$25*'Advanced Outputs'!C$60^$I$25)*$J$25*EXP(-(($L$25*($B393-$M$25))^$K$25))+$G$26))</f>
        <v>0.84226605894436424</v>
      </c>
      <c r="E393" s="75">
        <f t="shared" si="5"/>
        <v>0.98186381871506412</v>
      </c>
      <c r="F393" s="74"/>
      <c r="G393" s="6"/>
      <c r="H393" s="6"/>
      <c r="I393" s="6"/>
      <c r="J393" s="6"/>
      <c r="K393" s="6"/>
      <c r="L393" s="6"/>
      <c r="M393" s="6"/>
    </row>
    <row r="394" spans="1:13" hidden="1" x14ac:dyDescent="0.2">
      <c r="A394" s="60"/>
      <c r="B394" s="60">
        <v>753</v>
      </c>
      <c r="C394" s="75">
        <f>10^(-(($G$21+$H$21*'Advanced Outputs'!C$61^$I$21)*(($B394/$M$21)^-$K$21)+($G$22+$H$22*'Advanced Outputs'!C$61^$I$22)*$J$22*EXP(-(($L$22*($B394-$M$22))^$K$22))+($G$23+$H$23*'Advanced Outputs'!C$61^$I$23)*$J$23*EXP(-(($L$23*($B394-$M$23))^$K$23))+($G$24+$H$24*'Advanced Outputs'!C$61^$I$24)*$J$24*EXP(-(($L$24*($B394-$M$24))^$K$24))+($G$25+$H$25*'Advanced Outputs'!C$61^$I$25)*$J$25*EXP(-(($L$25*($B394-$M$25))^$K$25))+$G$26))</f>
        <v>0.82721837811079291</v>
      </c>
      <c r="D394" s="75">
        <f>10^(-(($G$21+$H$21*'Advanced Outputs'!C$60^$I$21)*(($B394/$M$21)^-$K$21)+($G$22+$H$22*'Advanced Outputs'!C$60^$I$22)*$J$22*EXP(-(($L$22*($B394-$M$22))^$K$22))+($G$23+$H$23*'Advanced Outputs'!C$60^$I$23)*$J$23*EXP(-(($L$23*($B394-$M$23))^$K$23))+($G$24+$H$24*'Advanced Outputs'!C$60^$I$24)*$J$24*EXP(-(($L$24*($B394-$M$24))^$K$24))+($G$25+$H$25*'Advanced Outputs'!C$60^$I$25)*$J$25*EXP(-(($L$25*($B394-$M$25))^$K$25))+$G$26))</f>
        <v>0.84241585010214515</v>
      </c>
      <c r="E394" s="75">
        <f t="shared" si="5"/>
        <v>0.98195965568607302</v>
      </c>
      <c r="F394" s="74"/>
      <c r="G394" s="6"/>
      <c r="H394" s="6"/>
      <c r="I394" s="6"/>
      <c r="J394" s="6"/>
      <c r="K394" s="6"/>
      <c r="L394" s="6"/>
      <c r="M394" s="6"/>
    </row>
    <row r="395" spans="1:13" hidden="1" x14ac:dyDescent="0.2">
      <c r="A395" s="60"/>
      <c r="B395" s="60">
        <v>754</v>
      </c>
      <c r="C395" s="75">
        <f>10^(-(($G$21+$H$21*'Advanced Outputs'!C$61^$I$21)*(($B395/$M$21)^-$K$21)+($G$22+$H$22*'Advanced Outputs'!C$61^$I$22)*$J$22*EXP(-(($L$22*($B395-$M$22))^$K$22))+($G$23+$H$23*'Advanced Outputs'!C$61^$I$23)*$J$23*EXP(-(($L$23*($B395-$M$23))^$K$23))+($G$24+$H$24*'Advanced Outputs'!C$61^$I$24)*$J$24*EXP(-(($L$24*($B395-$M$24))^$K$24))+($G$25+$H$25*'Advanced Outputs'!C$61^$I$25)*$J$25*EXP(-(($L$25*($B395-$M$25))^$K$25))+$G$26))</f>
        <v>0.82744471000936304</v>
      </c>
      <c r="D395" s="75">
        <f>10^(-(($G$21+$H$21*'Advanced Outputs'!C$60^$I$21)*(($B395/$M$21)^-$K$21)+($G$22+$H$22*'Advanced Outputs'!C$60^$I$22)*$J$22*EXP(-(($L$22*($B395-$M$22))^$K$22))+($G$23+$H$23*'Advanced Outputs'!C$60^$I$23)*$J$23*EXP(-(($L$23*($B395-$M$23))^$K$23))+($G$24+$H$24*'Advanced Outputs'!C$60^$I$24)*$J$24*EXP(-(($L$24*($B395-$M$24))^$K$24))+($G$25+$H$25*'Advanced Outputs'!C$60^$I$25)*$J$25*EXP(-(($L$25*($B395-$M$25))^$K$25))+$G$26))</f>
        <v>0.84256466780309913</v>
      </c>
      <c r="E395" s="75">
        <f t="shared" si="5"/>
        <v>0.98205483997666332</v>
      </c>
      <c r="F395" s="74"/>
      <c r="G395" s="6"/>
      <c r="H395" s="6"/>
      <c r="I395" s="6"/>
      <c r="J395" s="6"/>
      <c r="K395" s="6"/>
      <c r="L395" s="6"/>
      <c r="M395" s="6"/>
    </row>
    <row r="396" spans="1:13" hidden="1" x14ac:dyDescent="0.2">
      <c r="A396" s="60"/>
      <c r="B396" s="60">
        <v>755</v>
      </c>
      <c r="C396" s="75">
        <f>10^(-(($G$21+$H$21*'Advanced Outputs'!C$61^$I$21)*(($B396/$M$21)^-$K$21)+($G$22+$H$22*'Advanced Outputs'!C$61^$I$22)*$J$22*EXP(-(($L$22*($B396-$M$22))^$K$22))+($G$23+$H$23*'Advanced Outputs'!C$61^$I$23)*$J$23*EXP(-(($L$23*($B396-$M$23))^$K$23))+($G$24+$H$24*'Advanced Outputs'!C$61^$I$24)*$J$24*EXP(-(($L$24*($B396-$M$24))^$K$24))+($G$25+$H$25*'Advanced Outputs'!C$61^$I$25)*$J$25*EXP(-(($L$25*($B396-$M$25))^$K$25))+$G$26))</f>
        <v>0.82766957716043477</v>
      </c>
      <c r="D396" s="75">
        <f>10^(-(($G$21+$H$21*'Advanced Outputs'!C$60^$I$21)*(($B396/$M$21)^-$K$21)+($G$22+$H$22*'Advanced Outputs'!C$60^$I$22)*$J$22*EXP(-(($L$22*($B396-$M$22))^$K$22))+($G$23+$H$23*'Advanced Outputs'!C$60^$I$23)*$J$23*EXP(-(($L$23*($B396-$M$23))^$K$23))+($G$24+$H$24*'Advanced Outputs'!C$60^$I$24)*$J$24*EXP(-(($L$24*($B396-$M$24))^$K$24))+($G$25+$H$25*'Advanced Outputs'!C$60^$I$25)*$J$25*EXP(-(($L$25*($B396-$M$25))^$K$25))+$G$26))</f>
        <v>0.84271251985378759</v>
      </c>
      <c r="E396" s="75">
        <f t="shared" si="5"/>
        <v>0.98214937794449431</v>
      </c>
      <c r="F396" s="74"/>
      <c r="G396" s="6"/>
      <c r="H396" s="6"/>
      <c r="I396" s="6"/>
      <c r="J396" s="6"/>
      <c r="K396" s="6"/>
      <c r="L396" s="6"/>
      <c r="M396" s="6"/>
    </row>
    <row r="397" spans="1:13" hidden="1" x14ac:dyDescent="0.2">
      <c r="A397" s="60"/>
      <c r="B397" s="60">
        <v>756</v>
      </c>
      <c r="C397" s="75">
        <f>10^(-(($G$21+$H$21*'Advanced Outputs'!C$61^$I$21)*(($B397/$M$21)^-$K$21)+($G$22+$H$22*'Advanced Outputs'!C$61^$I$22)*$J$22*EXP(-(($L$22*($B397-$M$22))^$K$22))+($G$23+$H$23*'Advanced Outputs'!C$61^$I$23)*$J$23*EXP(-(($L$23*($B397-$M$23))^$K$23))+($G$24+$H$24*'Advanced Outputs'!C$61^$I$24)*$J$24*EXP(-(($L$24*($B397-$M$24))^$K$24))+($G$25+$H$25*'Advanced Outputs'!C$61^$I$25)*$J$25*EXP(-(($L$25*($B397-$M$25))^$K$25))+$G$26))</f>
        <v>0.827892991850118</v>
      </c>
      <c r="D397" s="75">
        <f>10^(-(($G$21+$H$21*'Advanced Outputs'!C$60^$I$21)*(($B397/$M$21)^-$K$21)+($G$22+$H$22*'Advanced Outputs'!C$60^$I$22)*$J$22*EXP(-(($L$22*($B397-$M$22))^$K$22))+($G$23+$H$23*'Advanced Outputs'!C$60^$I$23)*$J$23*EXP(-(($L$23*($B397-$M$23))^$K$23))+($G$24+$H$24*'Advanced Outputs'!C$60^$I$24)*$J$24*EXP(-(($L$24*($B397-$M$24))^$K$24))+($G$25+$H$25*'Advanced Outputs'!C$60^$I$25)*$J$25*EXP(-(($L$25*($B397-$M$25))^$K$25))+$G$26))</f>
        <v>0.84285941397538744</v>
      </c>
      <c r="E397" s="75">
        <f t="shared" si="5"/>
        <v>0.98224327583329751</v>
      </c>
      <c r="F397" s="74"/>
      <c r="G397" s="6"/>
      <c r="H397" s="6"/>
      <c r="I397" s="6"/>
      <c r="J397" s="6"/>
      <c r="K397" s="6"/>
      <c r="L397" s="6"/>
      <c r="M397" s="6"/>
    </row>
    <row r="398" spans="1:13" hidden="1" x14ac:dyDescent="0.2">
      <c r="A398" s="60"/>
      <c r="B398" s="60">
        <v>757</v>
      </c>
      <c r="C398" s="75">
        <f>10^(-(($G$21+$H$21*'Advanced Outputs'!C$61^$I$21)*(($B398/$M$21)^-$K$21)+($G$22+$H$22*'Advanced Outputs'!C$61^$I$22)*$J$22*EXP(-(($L$22*($B398-$M$22))^$K$22))+($G$23+$H$23*'Advanced Outputs'!C$61^$I$23)*$J$23*EXP(-(($L$23*($B398-$M$23))^$K$23))+($G$24+$H$24*'Advanced Outputs'!C$61^$I$24)*$J$24*EXP(-(($L$24*($B398-$M$24))^$K$24))+($G$25+$H$25*'Advanced Outputs'!C$61^$I$25)*$J$25*EXP(-(($L$25*($B398-$M$25))^$K$25))+$G$26))</f>
        <v>0.82811496619932223</v>
      </c>
      <c r="D398" s="75">
        <f>10^(-(($G$21+$H$21*'Advanced Outputs'!C$60^$I$21)*(($B398/$M$21)^-$K$21)+($G$22+$H$22*'Advanced Outputs'!C$60^$I$22)*$J$22*EXP(-(($L$22*($B398-$M$22))^$K$22))+($G$23+$H$23*'Advanced Outputs'!C$60^$I$23)*$J$23*EXP(-(($L$23*($B398-$M$23))^$K$23))+($G$24+$H$24*'Advanced Outputs'!C$60^$I$24)*$J$24*EXP(-(($L$24*($B398-$M$24))^$K$24))+($G$25+$H$25*'Advanced Outputs'!C$60^$I$25)*$J$25*EXP(-(($L$25*($B398-$M$25))^$K$25))+$G$26))</f>
        <v>0.84300535780523189</v>
      </c>
      <c r="E398" s="75">
        <f t="shared" si="5"/>
        <v>0.98233653977635815</v>
      </c>
      <c r="F398" s="74"/>
      <c r="G398" s="6"/>
      <c r="H398" s="6"/>
      <c r="I398" s="6"/>
      <c r="J398" s="6"/>
      <c r="K398" s="6"/>
      <c r="L398" s="6"/>
      <c r="M398" s="6"/>
    </row>
    <row r="399" spans="1:13" hidden="1" x14ac:dyDescent="0.2">
      <c r="A399" s="60"/>
      <c r="B399" s="60">
        <v>758</v>
      </c>
      <c r="C399" s="75">
        <f>10^(-(($G$21+$H$21*'Advanced Outputs'!C$61^$I$21)*(($B399/$M$21)^-$K$21)+($G$22+$H$22*'Advanced Outputs'!C$61^$I$22)*$J$22*EXP(-(($L$22*($B399-$M$22))^$K$22))+($G$23+$H$23*'Advanced Outputs'!C$61^$I$23)*$J$23*EXP(-(($L$23*($B399-$M$23))^$K$23))+($G$24+$H$24*'Advanced Outputs'!C$61^$I$24)*$J$24*EXP(-(($L$24*($B399-$M$24))^$K$24))+($G$25+$H$25*'Advanced Outputs'!C$61^$I$25)*$J$25*EXP(-(($L$25*($B399-$M$25))^$K$25))+$G$26))</f>
        <v>0.82833551216782686</v>
      </c>
      <c r="D399" s="75">
        <f>10^(-(($G$21+$H$21*'Advanced Outputs'!C$60^$I$21)*(($B399/$M$21)^-$K$21)+($G$22+$H$22*'Advanced Outputs'!C$60^$I$22)*$J$22*EXP(-(($L$22*($B399-$M$22))^$K$22))+($G$23+$H$23*'Advanced Outputs'!C$60^$I$23)*$J$23*EXP(-(($L$23*($B399-$M$23))^$K$23))+($G$24+$H$24*'Advanced Outputs'!C$60^$I$24)*$J$24*EXP(-(($L$24*($B399-$M$24))^$K$24))+($G$25+$H$25*'Advanced Outputs'!C$60^$I$25)*$J$25*EXP(-(($L$25*($B399-$M$25))^$K$25))+$G$26))</f>
        <v>0.84315035889830814</v>
      </c>
      <c r="E399" s="75">
        <f t="shared" si="5"/>
        <v>0.98242917579986688</v>
      </c>
      <c r="F399" s="74"/>
      <c r="G399" s="6"/>
      <c r="H399" s="6"/>
      <c r="I399" s="6"/>
      <c r="J399" s="6"/>
      <c r="K399" s="6"/>
      <c r="L399" s="6"/>
      <c r="M399" s="6"/>
    </row>
    <row r="400" spans="1:13" hidden="1" x14ac:dyDescent="0.2">
      <c r="A400" s="60"/>
      <c r="B400" s="60">
        <v>759</v>
      </c>
      <c r="C400" s="75">
        <f>10^(-(($G$21+$H$21*'Advanced Outputs'!C$61^$I$21)*(($B400/$M$21)^-$K$21)+($G$22+$H$22*'Advanced Outputs'!C$61^$I$22)*$J$22*EXP(-(($L$22*($B400-$M$22))^$K$22))+($G$23+$H$23*'Advanced Outputs'!C$61^$I$23)*$J$23*EXP(-(($L$23*($B400-$M$23))^$K$23))+($G$24+$H$24*'Advanced Outputs'!C$61^$I$24)*$J$24*EXP(-(($L$24*($B400-$M$24))^$K$24))+($G$25+$H$25*'Advanced Outputs'!C$61^$I$25)*$J$25*EXP(-(($L$25*($B400-$M$25))^$K$25))+$G$26))</f>
        <v>0.8285546415582189</v>
      </c>
      <c r="D400" s="75">
        <f>10^(-(($G$21+$H$21*'Advanced Outputs'!C$60^$I$21)*(($B400/$M$21)^-$K$21)+($G$22+$H$22*'Advanced Outputs'!C$60^$I$22)*$J$22*EXP(-(($L$22*($B400-$M$22))^$K$22))+($G$23+$H$23*'Advanced Outputs'!C$60^$I$23)*$J$23*EXP(-(($L$23*($B400-$M$23))^$K$23))+($G$24+$H$24*'Advanced Outputs'!C$60^$I$24)*$J$24*EXP(-(($L$24*($B400-$M$24))^$K$24))+($G$25+$H$25*'Advanced Outputs'!C$60^$I$25)*$J$25*EXP(-(($L$25*($B400-$M$25))^$K$25))+$G$26))</f>
        <v>0.84329442472871463</v>
      </c>
      <c r="E400" s="75">
        <f t="shared" si="5"/>
        <v>0.98252118982615411</v>
      </c>
      <c r="F400" s="74"/>
      <c r="G400" s="6"/>
      <c r="H400" s="6"/>
      <c r="I400" s="6"/>
      <c r="J400" s="6"/>
      <c r="K400" s="6"/>
      <c r="L400" s="6"/>
      <c r="M400" s="6"/>
    </row>
    <row r="401" spans="1:13" hidden="1" x14ac:dyDescent="0.2">
      <c r="A401" s="60"/>
      <c r="B401" s="60">
        <v>760</v>
      </c>
      <c r="C401" s="75">
        <f>10^(-(($G$21+$H$21*'Advanced Outputs'!C$61^$I$21)*(($B401/$M$21)^-$K$21)+($G$22+$H$22*'Advanced Outputs'!C$61^$I$22)*$J$22*EXP(-(($L$22*($B401-$M$22))^$K$22))+($G$23+$H$23*'Advanced Outputs'!C$61^$I$23)*$J$23*EXP(-(($L$23*($B401-$M$23))^$K$23))+($G$24+$H$24*'Advanced Outputs'!C$61^$I$24)*$J$24*EXP(-(($L$24*($B401-$M$24))^$K$24))+($G$25+$H$25*'Advanced Outputs'!C$61^$I$25)*$J$25*EXP(-(($L$25*($B401-$M$25))^$K$25))+$G$26))</f>
        <v>0.8287723660196975</v>
      </c>
      <c r="D401" s="75">
        <f>10^(-(($G$21+$H$21*'Advanced Outputs'!C$60^$I$21)*(($B401/$M$21)^-$K$21)+($G$22+$H$22*'Advanced Outputs'!C$60^$I$22)*$J$22*EXP(-(($L$22*($B401-$M$22))^$K$22))+($G$23+$H$23*'Advanced Outputs'!C$60^$I$23)*$J$23*EXP(-(($L$23*($B401-$M$23))^$K$23))+($G$24+$H$24*'Advanced Outputs'!C$60^$I$24)*$J$24*EXP(-(($L$24*($B401-$M$24))^$K$24))+($G$25+$H$25*'Advanced Outputs'!C$60^$I$25)*$J$25*EXP(-(($L$25*($B401-$M$25))^$K$25))+$G$26))</f>
        <v>0.84343756269107661</v>
      </c>
      <c r="E401" s="75">
        <f t="shared" si="5"/>
        <v>0.98261258767680648</v>
      </c>
      <c r="F401" s="74"/>
      <c r="G401" s="6"/>
      <c r="H401" s="6"/>
      <c r="I401" s="6"/>
      <c r="J401" s="6"/>
      <c r="K401" s="6"/>
      <c r="L401" s="6"/>
      <c r="M401" s="6"/>
    </row>
    <row r="402" spans="1:13" hidden="1" x14ac:dyDescent="0.2">
      <c r="A402" s="60"/>
      <c r="B402" s="60">
        <v>761</v>
      </c>
      <c r="C402" s="75">
        <f>10^(-(($G$21+$H$21*'Advanced Outputs'!C$61^$I$21)*(($B402/$M$21)^-$K$21)+($G$22+$H$22*'Advanced Outputs'!C$61^$I$22)*$J$22*EXP(-(($L$22*($B402-$M$22))^$K$22))+($G$23+$H$23*'Advanced Outputs'!C$61^$I$23)*$J$23*EXP(-(($L$23*($B402-$M$23))^$K$23))+($G$24+$H$24*'Advanced Outputs'!C$61^$I$24)*$J$24*EXP(-(($L$24*($B402-$M$24))^$K$24))+($G$25+$H$25*'Advanced Outputs'!C$61^$I$25)*$J$25*EXP(-(($L$25*($B402-$M$25))^$K$25))+$G$26))</f>
        <v>0.82898869705175304</v>
      </c>
      <c r="D402" s="75">
        <f>10^(-(($G$21+$H$21*'Advanced Outputs'!C$60^$I$21)*(($B402/$M$21)^-$K$21)+($G$22+$H$22*'Advanced Outputs'!C$60^$I$22)*$J$22*EXP(-(($L$22*($B402-$M$22))^$K$22))+($G$23+$H$23*'Advanced Outputs'!C$60^$I$23)*$J$23*EXP(-(($L$23*($B402-$M$23))^$K$23))+($G$24+$H$24*'Advanced Outputs'!C$60^$I$24)*$J$24*EXP(-(($L$24*($B402-$M$24))^$K$24))+($G$25+$H$25*'Advanced Outputs'!C$60^$I$25)*$J$25*EXP(-(($L$25*($B402-$M$25))^$K$25))+$G$26))</f>
        <v>0.84357978010192392</v>
      </c>
      <c r="E402" s="75">
        <f t="shared" si="5"/>
        <v>0.98270337507567107</v>
      </c>
      <c r="F402" s="74"/>
      <c r="G402" s="6"/>
      <c r="H402" s="6"/>
      <c r="I402" s="6"/>
      <c r="J402" s="6"/>
      <c r="K402" s="6"/>
      <c r="L402" s="6"/>
      <c r="M402" s="6"/>
    </row>
    <row r="403" spans="1:13" hidden="1" x14ac:dyDescent="0.2">
      <c r="A403" s="60"/>
      <c r="B403" s="60">
        <v>762</v>
      </c>
      <c r="C403" s="75">
        <f>10^(-(($G$21+$H$21*'Advanced Outputs'!C$61^$I$21)*(($B403/$M$21)^-$K$21)+($G$22+$H$22*'Advanced Outputs'!C$61^$I$22)*$J$22*EXP(-(($L$22*($B403-$M$22))^$K$22))+($G$23+$H$23*'Advanced Outputs'!C$61^$I$23)*$J$23*EXP(-(($L$23*($B403-$M$23))^$K$23))+($G$24+$H$24*'Advanced Outputs'!C$61^$I$24)*$J$24*EXP(-(($L$24*($B403-$M$24))^$K$24))+($G$25+$H$25*'Advanced Outputs'!C$61^$I$25)*$J$25*EXP(-(($L$25*($B403-$M$25))^$K$25))+$G$26))</f>
        <v>0.82920364600772345</v>
      </c>
      <c r="D403" s="75">
        <f>10^(-(($G$21+$H$21*'Advanced Outputs'!C$60^$I$21)*(($B403/$M$21)^-$K$21)+($G$22+$H$22*'Advanced Outputs'!C$60^$I$22)*$J$22*EXP(-(($L$22*($B403-$M$22))^$K$22))+($G$23+$H$23*'Advanced Outputs'!C$60^$I$23)*$J$23*EXP(-(($L$23*($B403-$M$23))^$K$23))+($G$24+$H$24*'Advanced Outputs'!C$60^$I$24)*$J$24*EXP(-(($L$24*($B403-$M$24))^$K$24))+($G$25+$H$25*'Advanced Outputs'!C$60^$I$25)*$J$25*EXP(-(($L$25*($B403-$M$25))^$K$25))+$G$26))</f>
        <v>0.8437210842010312</v>
      </c>
      <c r="E403" s="75">
        <f t="shared" si="5"/>
        <v>0.98279355765175036</v>
      </c>
      <c r="F403" s="74"/>
      <c r="G403" s="6"/>
      <c r="H403" s="6"/>
      <c r="I403" s="6"/>
      <c r="J403" s="6"/>
      <c r="K403" s="6"/>
      <c r="L403" s="6"/>
      <c r="M403" s="6"/>
    </row>
    <row r="404" spans="1:13" hidden="1" x14ac:dyDescent="0.2">
      <c r="A404" s="60"/>
      <c r="B404" s="60">
        <v>763</v>
      </c>
      <c r="C404" s="75">
        <f>10^(-(($G$21+$H$21*'Advanced Outputs'!C$61^$I$21)*(($B404/$M$21)^-$K$21)+($G$22+$H$22*'Advanced Outputs'!C$61^$I$22)*$J$22*EXP(-(($L$22*($B404-$M$22))^$K$22))+($G$23+$H$23*'Advanced Outputs'!C$61^$I$23)*$J$23*EXP(-(($L$23*($B404-$M$23))^$K$23))+($G$24+$H$24*'Advanced Outputs'!C$61^$I$24)*$J$24*EXP(-(($L$24*($B404-$M$24))^$K$24))+($G$25+$H$25*'Advanced Outputs'!C$61^$I$25)*$J$25*EXP(-(($L$25*($B404-$M$25))^$K$25))+$G$26))</f>
        <v>0.82941722409823204</v>
      </c>
      <c r="D404" s="75">
        <f>10^(-(($G$21+$H$21*'Advanced Outputs'!C$60^$I$21)*(($B404/$M$21)^-$K$21)+($G$22+$H$22*'Advanced Outputs'!C$60^$I$22)*$J$22*EXP(-(($L$22*($B404-$M$22))^$K$22))+($G$23+$H$23*'Advanced Outputs'!C$60^$I$23)*$J$23*EXP(-(($L$23*($B404-$M$23))^$K$23))+($G$24+$H$24*'Advanced Outputs'!C$60^$I$24)*$J$24*EXP(-(($L$24*($B404-$M$24))^$K$24))+($G$25+$H$25*'Advanced Outputs'!C$60^$I$25)*$J$25*EXP(-(($L$25*($B404-$M$25))^$K$25))+$G$26))</f>
        <v>0.84386148215272105</v>
      </c>
      <c r="E404" s="75">
        <f t="shared" si="5"/>
        <v>0.98288314094199303</v>
      </c>
      <c r="F404" s="74"/>
      <c r="G404" s="6"/>
      <c r="H404" s="6"/>
      <c r="I404" s="6"/>
      <c r="J404" s="6"/>
      <c r="K404" s="6"/>
      <c r="L404" s="6"/>
      <c r="M404" s="6"/>
    </row>
    <row r="405" spans="1:13" hidden="1" x14ac:dyDescent="0.2">
      <c r="A405" s="60"/>
      <c r="B405" s="60">
        <v>764</v>
      </c>
      <c r="C405" s="75">
        <f>10^(-(($G$21+$H$21*'Advanced Outputs'!C$61^$I$21)*(($B405/$M$21)^-$K$21)+($G$22+$H$22*'Advanced Outputs'!C$61^$I$22)*$J$22*EXP(-(($L$22*($B405-$M$22))^$K$22))+($G$23+$H$23*'Advanced Outputs'!C$61^$I$23)*$J$23*EXP(-(($L$23*($B405-$M$23))^$K$23))+($G$24+$H$24*'Advanced Outputs'!C$61^$I$24)*$J$24*EXP(-(($L$24*($B405-$M$24))^$K$24))+($G$25+$H$25*'Advanced Outputs'!C$61^$I$25)*$J$25*EXP(-(($L$25*($B405-$M$25))^$K$25))+$G$26))</f>
        <v>0.82962944239451197</v>
      </c>
      <c r="D405" s="75">
        <f>10^(-(($G$21+$H$21*'Advanced Outputs'!C$60^$I$21)*(($B405/$M$21)^-$K$21)+($G$22+$H$22*'Advanced Outputs'!C$60^$I$22)*$J$22*EXP(-(($L$22*($B405-$M$22))^$K$22))+($G$23+$H$23*'Advanced Outputs'!C$60^$I$23)*$J$23*EXP(-(($L$23*($B405-$M$23))^$K$23))+($G$24+$H$24*'Advanced Outputs'!C$60^$I$24)*$J$24*EXP(-(($L$24*($B405-$M$24))^$K$24))+($G$25+$H$25*'Advanced Outputs'!C$60^$I$25)*$J$25*EXP(-(($L$25*($B405-$M$25))^$K$25))+$G$26))</f>
        <v>0.84400098104713295</v>
      </c>
      <c r="E405" s="75">
        <f t="shared" ref="E405:E421" si="6">C405/D405</f>
        <v>0.98297213039398301</v>
      </c>
      <c r="F405" s="74"/>
      <c r="G405" s="6"/>
      <c r="H405" s="6"/>
      <c r="I405" s="6"/>
      <c r="J405" s="6"/>
      <c r="K405" s="6"/>
      <c r="L405" s="6"/>
      <c r="M405" s="6"/>
    </row>
    <row r="406" spans="1:13" hidden="1" x14ac:dyDescent="0.2">
      <c r="A406" s="60"/>
      <c r="B406" s="60">
        <v>765</v>
      </c>
      <c r="C406" s="75">
        <f>10^(-(($G$21+$H$21*'Advanced Outputs'!C$61^$I$21)*(($B406/$M$21)^-$K$21)+($G$22+$H$22*'Advanced Outputs'!C$61^$I$22)*$J$22*EXP(-(($L$22*($B406-$M$22))^$K$22))+($G$23+$H$23*'Advanced Outputs'!C$61^$I$23)*$J$23*EXP(-(($L$23*($B406-$M$23))^$K$23))+($G$24+$H$24*'Advanced Outputs'!C$61^$I$24)*$J$24*EXP(-(($L$24*($B406-$M$24))^$K$24))+($G$25+$H$25*'Advanced Outputs'!C$61^$I$25)*$J$25*EXP(-(($L$25*($B406-$M$25))^$K$25))+$G$26))</f>
        <v>0.8298403118316191</v>
      </c>
      <c r="D406" s="75">
        <f>10^(-(($G$21+$H$21*'Advanced Outputs'!C$60^$I$21)*(($B406/$M$21)^-$K$21)+($G$22+$H$22*'Advanced Outputs'!C$60^$I$22)*$J$22*EXP(-(($L$22*($B406-$M$22))^$K$22))+($G$23+$H$23*'Advanced Outputs'!C$60^$I$23)*$J$23*EXP(-(($L$23*($B406-$M$23))^$K$23))+($G$24+$H$24*'Advanced Outputs'!C$60^$I$24)*$J$24*EXP(-(($L$24*($B406-$M$24))^$K$24))+($G$25+$H$25*'Advanced Outputs'!C$60^$I$25)*$J$25*EXP(-(($L$25*($B406-$M$25))^$K$25))+$G$26))</f>
        <v>0.84413958790145616</v>
      </c>
      <c r="E406" s="75">
        <f t="shared" si="6"/>
        <v>0.983060531368532</v>
      </c>
      <c r="F406" s="74"/>
      <c r="G406" s="6"/>
      <c r="H406" s="6"/>
      <c r="I406" s="6"/>
      <c r="J406" s="6"/>
      <c r="K406" s="6"/>
      <c r="L406" s="6"/>
      <c r="M406" s="6"/>
    </row>
    <row r="407" spans="1:13" hidden="1" x14ac:dyDescent="0.2">
      <c r="A407" s="60"/>
      <c r="B407" s="60">
        <v>766</v>
      </c>
      <c r="C407" s="75">
        <f>10^(-(($G$21+$H$21*'Advanced Outputs'!C$61^$I$21)*(($B407/$M$21)^-$K$21)+($G$22+$H$22*'Advanced Outputs'!C$61^$I$22)*$J$22*EXP(-(($L$22*($B407-$M$22))^$K$22))+($G$23+$H$23*'Advanced Outputs'!C$61^$I$23)*$J$23*EXP(-(($L$23*($B407-$M$23))^$K$23))+($G$24+$H$24*'Advanced Outputs'!C$61^$I$24)*$J$24*EXP(-(($L$24*($B407-$M$24))^$K$24))+($G$25+$H$25*'Advanced Outputs'!C$61^$I$25)*$J$25*EXP(-(($L$25*($B407-$M$25))^$K$25))+$G$26))</f>
        <v>0.83004984321153985</v>
      </c>
      <c r="D407" s="75">
        <f>10^(-(($G$21+$H$21*'Advanced Outputs'!C$60^$I$21)*(($B407/$M$21)^-$K$21)+($G$22+$H$22*'Advanced Outputs'!C$60^$I$22)*$J$22*EXP(-(($L$22*($B407-$M$22))^$K$22))+($G$23+$H$23*'Advanced Outputs'!C$60^$I$23)*$J$23*EXP(-(($L$23*($B407-$M$23))^$K$23))+($G$24+$H$24*'Advanced Outputs'!C$60^$I$24)*$J$24*EXP(-(($L$24*($B407-$M$24))^$K$24))+($G$25+$H$25*'Advanced Outputs'!C$60^$I$25)*$J$25*EXP(-(($L$25*($B407-$M$25))^$K$25))+$G$26))</f>
        <v>0.84427730966113235</v>
      </c>
      <c r="E407" s="75">
        <f t="shared" si="6"/>
        <v>0.98314834914217586</v>
      </c>
      <c r="F407" s="74"/>
      <c r="G407" s="6"/>
      <c r="H407" s="6"/>
      <c r="I407" s="6"/>
      <c r="J407" s="6"/>
      <c r="K407" s="6"/>
      <c r="L407" s="6"/>
      <c r="M407" s="6"/>
    </row>
    <row r="408" spans="1:13" hidden="1" x14ac:dyDescent="0.2">
      <c r="A408" s="60"/>
      <c r="B408" s="60">
        <v>767</v>
      </c>
      <c r="C408" s="75">
        <f>10^(-(($G$21+$H$21*'Advanced Outputs'!C$61^$I$21)*(($B408/$M$21)^-$K$21)+($G$22+$H$22*'Advanced Outputs'!C$61^$I$22)*$J$22*EXP(-(($L$22*($B408-$M$22))^$K$22))+($G$23+$H$23*'Advanced Outputs'!C$61^$I$23)*$J$23*EXP(-(($L$23*($B408-$M$23))^$K$23))+($G$24+$H$24*'Advanced Outputs'!C$61^$I$24)*$J$24*EXP(-(($L$24*($B408-$M$24))^$K$24))+($G$25+$H$25*'Advanced Outputs'!C$61^$I$25)*$J$25*EXP(-(($L$25*($B408-$M$25))^$K$25))+$G$26))</f>
        <v>0.83025804720619456</v>
      </c>
      <c r="D408" s="75">
        <f>10^(-(($G$21+$H$21*'Advanced Outputs'!C$60^$I$21)*(($B408/$M$21)^-$K$21)+($G$22+$H$22*'Advanced Outputs'!C$60^$I$22)*$J$22*EXP(-(($L$22*($B408-$M$22))^$K$22))+($G$23+$H$23*'Advanced Outputs'!C$60^$I$23)*$J$23*EXP(-(($L$23*($B408-$M$23))^$K$23))+($G$24+$H$24*'Advanced Outputs'!C$60^$I$24)*$J$24*EXP(-(($L$24*($B408-$M$24))^$K$24))+($G$25+$H$25*'Advanced Outputs'!C$60^$I$25)*$J$25*EXP(-(($L$25*($B408-$M$25))^$K$25))+$G$26))</f>
        <v>0.84441415320102342</v>
      </c>
      <c r="E408" s="75">
        <f t="shared" si="6"/>
        <v>0.9832355889095824</v>
      </c>
      <c r="F408" s="74"/>
      <c r="G408" s="6"/>
      <c r="H408" s="6"/>
      <c r="I408" s="6"/>
      <c r="J408" s="6"/>
      <c r="K408" s="6"/>
      <c r="L408" s="6"/>
      <c r="M408" s="6"/>
    </row>
    <row r="409" spans="1:13" hidden="1" x14ac:dyDescent="0.2">
      <c r="A409" s="60"/>
      <c r="B409" s="60">
        <v>768</v>
      </c>
      <c r="C409" s="75">
        <f>10^(-(($G$21+$H$21*'Advanced Outputs'!C$61^$I$21)*(($B409/$M$21)^-$K$21)+($G$22+$H$22*'Advanced Outputs'!C$61^$I$22)*$J$22*EXP(-(($L$22*($B409-$M$22))^$K$22))+($G$23+$H$23*'Advanced Outputs'!C$61^$I$23)*$J$23*EXP(-(($L$23*($B409-$M$23))^$K$23))+($G$24+$H$24*'Advanced Outputs'!C$61^$I$24)*$J$24*EXP(-(($L$24*($B409-$M$24))^$K$24))+($G$25+$H$25*'Advanced Outputs'!C$61^$I$25)*$J$25*EXP(-(($L$25*($B409-$M$25))^$K$25))+$G$26))</f>
        <v>0.83046493436034308</v>
      </c>
      <c r="D409" s="75">
        <f>10^(-(($G$21+$H$21*'Advanced Outputs'!C$60^$I$21)*(($B409/$M$21)^-$K$21)+($G$22+$H$22*'Advanced Outputs'!C$60^$I$22)*$J$22*EXP(-(($L$22*($B409-$M$22))^$K$22))+($G$23+$H$23*'Advanced Outputs'!C$60^$I$23)*$J$23*EXP(-(($L$23*($B409-$M$23))^$K$23))+($G$24+$H$24*'Advanced Outputs'!C$60^$I$24)*$J$24*EXP(-(($L$24*($B409-$M$24))^$K$24))+($G$25+$H$25*'Advanced Outputs'!C$60^$I$25)*$J$25*EXP(-(($L$25*($B409-$M$25))^$K$25))+$G$26))</f>
        <v>0.84455012532654994</v>
      </c>
      <c r="E409" s="75">
        <f t="shared" si="6"/>
        <v>0.98332225578587096</v>
      </c>
      <c r="F409" s="74"/>
      <c r="G409" s="6"/>
      <c r="H409" s="6"/>
      <c r="I409" s="6"/>
      <c r="J409" s="6"/>
      <c r="K409" s="6"/>
      <c r="L409" s="6"/>
      <c r="M409" s="6"/>
    </row>
    <row r="410" spans="1:13" hidden="1" x14ac:dyDescent="0.2">
      <c r="A410" s="60"/>
      <c r="B410" s="60">
        <v>769</v>
      </c>
      <c r="C410" s="75">
        <f>10^(-(($G$21+$H$21*'Advanced Outputs'!C$61^$I$21)*(($B410/$M$21)^-$K$21)+($G$22+$H$22*'Advanced Outputs'!C$61^$I$22)*$J$22*EXP(-(($L$22*($B410-$M$22))^$K$22))+($G$23+$H$23*'Advanced Outputs'!C$61^$I$23)*$J$23*EXP(-(($L$23*($B410-$M$23))^$K$23))+($G$24+$H$24*'Advanced Outputs'!C$61^$I$24)*$J$24*EXP(-(($L$24*($B410-$M$24))^$K$24))+($G$25+$H$25*'Advanced Outputs'!C$61^$I$25)*$J$25*EXP(-(($L$25*($B410-$M$25))^$K$25))+$G$26))</f>
        <v>0.83067051509439316</v>
      </c>
      <c r="D410" s="75">
        <f>10^(-(($G$21+$H$21*'Advanced Outputs'!C$60^$I$21)*(($B410/$M$21)^-$K$21)+($G$22+$H$22*'Advanced Outputs'!C$60^$I$22)*$J$22*EXP(-(($L$22*($B410-$M$22))^$K$22))+($G$23+$H$23*'Advanced Outputs'!C$60^$I$23)*$J$23*EXP(-(($L$23*($B410-$M$23))^$K$23))+($G$24+$H$24*'Advanced Outputs'!C$60^$I$24)*$J$24*EXP(-(($L$24*($B410-$M$24))^$K$24))+($G$25+$H$25*'Advanced Outputs'!C$60^$I$25)*$J$25*EXP(-(($L$25*($B410-$M$25))^$K$25))+$G$26))</f>
        <v>0.84468523277479968</v>
      </c>
      <c r="E410" s="75">
        <f t="shared" si="6"/>
        <v>0.98340835480884636</v>
      </c>
      <c r="F410" s="74"/>
      <c r="G410" s="6"/>
      <c r="H410" s="6"/>
      <c r="I410" s="6"/>
      <c r="J410" s="6"/>
      <c r="K410" s="6"/>
      <c r="L410" s="6"/>
      <c r="M410" s="6"/>
    </row>
    <row r="411" spans="1:13" hidden="1" x14ac:dyDescent="0.2">
      <c r="A411" s="60"/>
      <c r="B411" s="60">
        <v>770</v>
      </c>
      <c r="C411" s="75">
        <f>10^(-(($G$21+$H$21*'Advanced Outputs'!C$61^$I$21)*(($B411/$M$21)^-$K$21)+($G$22+$H$22*'Advanced Outputs'!C$61^$I$22)*$J$22*EXP(-(($L$22*($B411-$M$22))^$K$22))+($G$23+$H$23*'Advanced Outputs'!C$61^$I$23)*$J$23*EXP(-(($L$23*($B411-$M$23))^$K$23))+($G$24+$H$24*'Advanced Outputs'!C$61^$I$24)*$J$24*EXP(-(($L$24*($B411-$M$24))^$K$24))+($G$25+$H$25*'Advanced Outputs'!C$61^$I$25)*$J$25*EXP(-(($L$25*($B411-$M$25))^$K$25))+$G$26))</f>
        <v>0.83087479970711731</v>
      </c>
      <c r="D411" s="75">
        <f>10^(-(($G$21+$H$21*'Advanced Outputs'!C$60^$I$21)*(($B411/$M$21)^-$K$21)+($G$22+$H$22*'Advanced Outputs'!C$60^$I$22)*$J$22*EXP(-(($L$22*($B411-$M$22))^$K$22))+($G$23+$H$23*'Advanced Outputs'!C$60^$I$23)*$J$23*EXP(-(($L$23*($B411-$M$23))^$K$23))+($G$24+$H$24*'Advanced Outputs'!C$60^$I$24)*$J$24*EXP(-(($L$24*($B411-$M$24))^$K$24))+($G$25+$H$25*'Advanced Outputs'!C$60^$I$25)*$J$25*EXP(-(($L$25*($B411-$M$25))^$K$25))+$G$26))</f>
        <v>0.84481948221560654</v>
      </c>
      <c r="E411" s="75">
        <f t="shared" si="6"/>
        <v>0.98349389094115325</v>
      </c>
      <c r="F411" s="74"/>
      <c r="G411" s="6"/>
      <c r="H411" s="6"/>
      <c r="I411" s="6"/>
      <c r="J411" s="6"/>
      <c r="K411" s="6"/>
      <c r="L411" s="6"/>
      <c r="M411" s="6"/>
    </row>
    <row r="412" spans="1:13" hidden="1" x14ac:dyDescent="0.2">
      <c r="A412" s="60"/>
      <c r="B412" s="60">
        <v>771</v>
      </c>
      <c r="C412" s="75">
        <f>10^(-(($G$21+$H$21*'Advanced Outputs'!C$61^$I$21)*(($B412/$M$21)^-$K$21)+($G$22+$H$22*'Advanced Outputs'!C$61^$I$22)*$J$22*EXP(-(($L$22*($B412-$M$22))^$K$22))+($G$23+$H$23*'Advanced Outputs'!C$61^$I$23)*$J$23*EXP(-(($L$23*($B412-$M$23))^$K$23))+($G$24+$H$24*'Advanced Outputs'!C$61^$I$24)*$J$24*EXP(-(($L$24*($B412-$M$24))^$K$24))+($G$25+$H$25*'Advanced Outputs'!C$61^$I$25)*$J$25*EXP(-(($L$25*($B412-$M$25))^$K$25))+$G$26))</f>
        <v>0.83107779837827966</v>
      </c>
      <c r="D412" s="75">
        <f>10^(-(($G$21+$H$21*'Advanced Outputs'!C$60^$I$21)*(($B412/$M$21)^-$K$21)+($G$22+$H$22*'Advanced Outputs'!C$60^$I$22)*$J$22*EXP(-(($L$22*($B412-$M$22))^$K$22))+($G$23+$H$23*'Advanced Outputs'!C$60^$I$23)*$J$23*EXP(-(($L$23*($B412-$M$23))^$K$23))+($G$24+$H$24*'Advanced Outputs'!C$60^$I$24)*$J$24*EXP(-(($L$24*($B412-$M$24))^$K$24))+($G$25+$H$25*'Advanced Outputs'!C$60^$I$25)*$J$25*EXP(-(($L$25*($B412-$M$25))^$K$25))+$G$26))</f>
        <v>0.8449528802526014</v>
      </c>
      <c r="E412" s="75">
        <f t="shared" si="6"/>
        <v>0.98357886907235137</v>
      </c>
      <c r="F412" s="74"/>
      <c r="G412" s="6"/>
      <c r="H412" s="6"/>
      <c r="I412" s="6"/>
      <c r="J412" s="6"/>
      <c r="K412" s="6"/>
      <c r="L412" s="6"/>
      <c r="M412" s="6"/>
    </row>
    <row r="413" spans="1:13" hidden="1" x14ac:dyDescent="0.2">
      <c r="A413" s="60"/>
      <c r="B413" s="60">
        <v>772</v>
      </c>
      <c r="C413" s="75">
        <f>10^(-(($G$21+$H$21*'Advanced Outputs'!C$61^$I$21)*(($B413/$M$21)^-$K$21)+($G$22+$H$22*'Advanced Outputs'!C$61^$I$22)*$J$22*EXP(-(($L$22*($B413-$M$22))^$K$22))+($G$23+$H$23*'Advanced Outputs'!C$61^$I$23)*$J$23*EXP(-(($L$23*($B413-$M$23))^$K$23))+($G$24+$H$24*'Advanced Outputs'!C$61^$I$24)*$J$24*EXP(-(($L$24*($B413-$M$24))^$K$24))+($G$25+$H$25*'Advanced Outputs'!C$61^$I$25)*$J$25*EXP(-(($L$25*($B413-$M$25))^$K$25))+$G$26))</f>
        <v>0.83127952117117698</v>
      </c>
      <c r="D413" s="75">
        <f>10^(-(($G$21+$H$21*'Advanced Outputs'!C$60^$I$21)*(($B413/$M$21)^-$K$21)+($G$22+$H$22*'Advanced Outputs'!C$60^$I$22)*$J$22*EXP(-(($L$22*($B413-$M$22))^$K$22))+($G$23+$H$23*'Advanced Outputs'!C$60^$I$23)*$J$23*EXP(-(($L$23*($B413-$M$23))^$K$23))+($G$24+$H$24*'Advanced Outputs'!C$60^$I$24)*$J$24*EXP(-(($L$24*($B413-$M$24))^$K$24))+($G$25+$H$25*'Advanced Outputs'!C$60^$I$25)*$J$25*EXP(-(($L$25*($B413-$M$25))^$K$25))+$G$26))</f>
        <v>0.84508543342423592</v>
      </c>
      <c r="E413" s="75">
        <f t="shared" si="6"/>
        <v>0.98366329402091546</v>
      </c>
      <c r="F413" s="74"/>
      <c r="G413" s="6"/>
      <c r="H413" s="6"/>
      <c r="I413" s="6"/>
      <c r="J413" s="6"/>
      <c r="K413" s="6"/>
      <c r="L413" s="6"/>
      <c r="M413" s="6"/>
    </row>
    <row r="414" spans="1:13" hidden="1" x14ac:dyDescent="0.2">
      <c r="A414" s="60"/>
      <c r="B414" s="60">
        <v>773</v>
      </c>
      <c r="C414" s="75">
        <f>10^(-(($G$21+$H$21*'Advanced Outputs'!C$61^$I$21)*(($B414/$M$21)^-$K$21)+($G$22+$H$22*'Advanced Outputs'!C$61^$I$22)*$J$22*EXP(-(($L$22*($B414-$M$22))^$K$22))+($G$23+$H$23*'Advanced Outputs'!C$61^$I$23)*$J$23*EXP(-(($L$23*($B414-$M$23))^$K$23))+($G$24+$H$24*'Advanced Outputs'!C$61^$I$24)*$J$24*EXP(-(($L$24*($B414-$M$24))^$K$24))+($G$25+$H$25*'Advanced Outputs'!C$61^$I$25)*$J$25*EXP(-(($L$25*($B414-$M$25))^$K$25))+$G$26))</f>
        <v>0.8314799780350971</v>
      </c>
      <c r="D414" s="75">
        <f>10^(-(($G$21+$H$21*'Advanced Outputs'!C$60^$I$21)*(($B414/$M$21)^-$K$21)+($G$22+$H$22*'Advanced Outputs'!C$60^$I$22)*$J$22*EXP(-(($L$22*($B414-$M$22))^$K$22))+($G$23+$H$23*'Advanced Outputs'!C$60^$I$23)*$J$23*EXP(-(($L$23*($B414-$M$23))^$K$23))+($G$24+$H$24*'Advanced Outputs'!C$60^$I$24)*$J$24*EXP(-(($L$24*($B414-$M$24))^$K$24))+($G$25+$H$25*'Advanced Outputs'!C$60^$I$25)*$J$25*EXP(-(($L$25*($B414-$M$25))^$K$25))+$G$26))</f>
        <v>0.84521714820478089</v>
      </c>
      <c r="E414" s="75">
        <f t="shared" si="6"/>
        <v>0.98374717053616201</v>
      </c>
      <c r="F414" s="74"/>
      <c r="G414" s="6"/>
      <c r="H414" s="6"/>
      <c r="I414" s="6"/>
      <c r="J414" s="6"/>
      <c r="K414" s="6"/>
      <c r="L414" s="6"/>
      <c r="M414" s="6"/>
    </row>
    <row r="415" spans="1:13" hidden="1" x14ac:dyDescent="0.2">
      <c r="A415" s="60"/>
      <c r="B415" s="60">
        <v>774</v>
      </c>
      <c r="C415" s="75">
        <f>10^(-(($G$21+$H$21*'Advanced Outputs'!C$61^$I$21)*(($B415/$M$21)^-$K$21)+($G$22+$H$22*'Advanced Outputs'!C$61^$I$22)*$J$22*EXP(-(($L$22*($B415-$M$22))^$K$22))+($G$23+$H$23*'Advanced Outputs'!C$61^$I$23)*$J$23*EXP(-(($L$23*($B415-$M$23))^$K$23))+($G$24+$H$24*'Advanced Outputs'!C$61^$I$24)*$J$24*EXP(-(($L$24*($B415-$M$24))^$K$24))+($G$25+$H$25*'Advanced Outputs'!C$61^$I$25)*$J$25*EXP(-(($L$25*($B415-$M$25))^$K$25))+$G$26))</f>
        <v>0.83167917880769593</v>
      </c>
      <c r="D415" s="75">
        <f>10^(-(($G$21+$H$21*'Advanced Outputs'!C$60^$I$21)*(($B415/$M$21)^-$K$21)+($G$22+$H$22*'Advanced Outputs'!C$60^$I$22)*$J$22*EXP(-(($L$22*($B415-$M$22))^$K$22))+($G$23+$H$23*'Advanced Outputs'!C$60^$I$23)*$J$23*EXP(-(($L$23*($B415-$M$23))^$K$23))+($G$24+$H$24*'Advanced Outputs'!C$60^$I$24)*$J$24*EXP(-(($L$24*($B415-$M$24))^$K$24))+($G$25+$H$25*'Advanced Outputs'!C$60^$I$25)*$J$25*EXP(-(($L$25*($B415-$M$25))^$K$25))+$G$26))</f>
        <v>0.84534803100529732</v>
      </c>
      <c r="E415" s="75">
        <f t="shared" si="6"/>
        <v>0.9838305033001068</v>
      </c>
      <c r="F415" s="74"/>
      <c r="G415" s="6"/>
      <c r="H415" s="6"/>
      <c r="I415" s="6"/>
      <c r="J415" s="6"/>
      <c r="K415" s="6"/>
      <c r="L415" s="6"/>
      <c r="M415" s="6"/>
    </row>
    <row r="416" spans="1:13" hidden="1" x14ac:dyDescent="0.2">
      <c r="A416" s="60"/>
      <c r="B416" s="60">
        <v>775</v>
      </c>
      <c r="C416" s="75">
        <f>10^(-(($G$21+$H$21*'Advanced Outputs'!C$61^$I$21)*(($B416/$M$21)^-$K$21)+($G$22+$H$22*'Advanced Outputs'!C$61^$I$22)*$J$22*EXP(-(($L$22*($B416-$M$22))^$K$22))+($G$23+$H$23*'Advanced Outputs'!C$61^$I$23)*$J$23*EXP(-(($L$23*($B416-$M$23))^$K$23))+($G$24+$H$24*'Advanced Outputs'!C$61^$I$24)*$J$24*EXP(-(($L$24*($B416-$M$24))^$K$24))+($G$25+$H$25*'Advanced Outputs'!C$61^$I$25)*$J$25*EXP(-(($L$25*($B416-$M$25))^$K$25))+$G$26))</f>
        <v>0.83187713321729784</v>
      </c>
      <c r="D416" s="75">
        <f>10^(-(($G$21+$H$21*'Advanced Outputs'!C$60^$I$21)*(($B416/$M$21)^-$K$21)+($G$22+$H$22*'Advanced Outputs'!C$60^$I$22)*$J$22*EXP(-(($L$22*($B416-$M$22))^$K$22))+($G$23+$H$23*'Advanced Outputs'!C$60^$I$23)*$J$23*EXP(-(($L$23*($B416-$M$23))^$K$23))+($G$24+$H$24*'Advanced Outputs'!C$60^$I$24)*$J$24*EXP(-(($L$24*($B416-$M$24))^$K$24))+($G$25+$H$25*'Advanced Outputs'!C$60^$I$25)*$J$25*EXP(-(($L$25*($B416-$M$25))^$K$25))+$G$26))</f>
        <v>0.84547808817458492</v>
      </c>
      <c r="E416" s="75">
        <f t="shared" si="6"/>
        <v>0.98391329692925333</v>
      </c>
      <c r="F416" s="74"/>
      <c r="G416" s="6"/>
      <c r="H416" s="6"/>
      <c r="I416" s="6"/>
      <c r="J416" s="6"/>
      <c r="K416" s="6"/>
      <c r="L416" s="6"/>
      <c r="M416" s="6"/>
    </row>
    <row r="417" spans="1:13" hidden="1" x14ac:dyDescent="0.2">
      <c r="A417" s="60"/>
      <c r="B417" s="60">
        <v>776</v>
      </c>
      <c r="C417" s="75">
        <f>10^(-(($G$21+$H$21*'Advanced Outputs'!C$61^$I$21)*(($B417/$M$21)^-$K$21)+($G$22+$H$22*'Advanced Outputs'!C$61^$I$22)*$J$22*EXP(-(($L$22*($B417-$M$22))^$K$22))+($G$23+$H$23*'Advanced Outputs'!C$61^$I$23)*$J$23*EXP(-(($L$23*($B417-$M$23))^$K$23))+($G$24+$H$24*'Advanced Outputs'!C$61^$I$24)*$J$24*EXP(-(($L$24*($B417-$M$24))^$K$24))+($G$25+$H$25*'Advanced Outputs'!C$61^$I$25)*$J$25*EXP(-(($L$25*($B417-$M$25))^$K$25))+$G$26))</f>
        <v>0.8320738508851222</v>
      </c>
      <c r="D417" s="75">
        <f>10^(-(($G$21+$H$21*'Advanced Outputs'!C$60^$I$21)*(($B417/$M$21)^-$K$21)+($G$22+$H$22*'Advanced Outputs'!C$60^$I$22)*$J$22*EXP(-(($L$22*($B417-$M$22))^$K$22))+($G$23+$H$23*'Advanced Outputs'!C$60^$I$23)*$J$23*EXP(-(($L$23*($B417-$M$23))^$K$23))+($G$24+$H$24*'Advanced Outputs'!C$60^$I$24)*$J$24*EXP(-(($L$24*($B417-$M$24))^$K$24))+($G$25+$H$25*'Advanced Outputs'!C$60^$I$25)*$J$25*EXP(-(($L$25*($B417-$M$25))^$K$25))+$G$26))</f>
        <v>0.84560732600010546</v>
      </c>
      <c r="E417" s="75">
        <f t="shared" si="6"/>
        <v>0.98399555597631905</v>
      </c>
      <c r="F417" s="74"/>
      <c r="G417" s="6"/>
      <c r="H417" s="6"/>
      <c r="I417" s="6"/>
      <c r="J417" s="6"/>
      <c r="K417" s="6"/>
      <c r="L417" s="6"/>
      <c r="M417" s="6"/>
    </row>
    <row r="418" spans="1:13" hidden="1" x14ac:dyDescent="0.2">
      <c r="A418" s="60"/>
      <c r="B418" s="60">
        <v>777</v>
      </c>
      <c r="C418" s="75">
        <f>10^(-(($G$21+$H$21*'Advanced Outputs'!C$61^$I$21)*(($B418/$M$21)^-$K$21)+($G$22+$H$22*'Advanced Outputs'!C$61^$I$22)*$J$22*EXP(-(($L$22*($B418-$M$22))^$K$22))+($G$23+$H$23*'Advanced Outputs'!C$61^$I$23)*$J$23*EXP(-(($L$23*($B418-$M$23))^$K$23))+($G$24+$H$24*'Advanced Outputs'!C$61^$I$24)*$J$24*EXP(-(($L$24*($B418-$M$24))^$K$24))+($G$25+$H$25*'Advanced Outputs'!C$61^$I$25)*$J$25*EXP(-(($L$25*($B418-$M$25))^$K$25))+$G$26))</f>
        <v>0.83226934132743668</v>
      </c>
      <c r="D418" s="75">
        <f>10^(-(($G$21+$H$21*'Advanced Outputs'!C$60^$I$21)*(($B418/$M$21)^-$K$21)+($G$22+$H$22*'Advanced Outputs'!C$60^$I$22)*$J$22*EXP(-(($L$22*($B418-$M$22))^$K$22))+($G$23+$H$23*'Advanced Outputs'!C$60^$I$23)*$J$23*EXP(-(($L$23*($B418-$M$23))^$K$23))+($G$24+$H$24*'Advanced Outputs'!C$60^$I$24)*$J$24*EXP(-(($L$24*($B418-$M$24))^$K$24))+($G$25+$H$25*'Advanced Outputs'!C$60^$I$25)*$J$25*EXP(-(($L$25*($B418-$M$25))^$K$25))+$G$26))</f>
        <v>0.84573575070888329</v>
      </c>
      <c r="E418" s="75">
        <f t="shared" si="6"/>
        <v>0.98407728493189595</v>
      </c>
      <c r="F418" s="74"/>
      <c r="G418" s="6"/>
      <c r="H418" s="6"/>
      <c r="I418" s="6"/>
      <c r="J418" s="6"/>
      <c r="K418" s="6"/>
      <c r="L418" s="6"/>
      <c r="M418" s="6"/>
    </row>
    <row r="419" spans="1:13" hidden="1" x14ac:dyDescent="0.2">
      <c r="A419" s="60"/>
      <c r="B419" s="60">
        <v>778</v>
      </c>
      <c r="C419" s="75">
        <f>10^(-(($G$21+$H$21*'Advanced Outputs'!C$61^$I$21)*(($B419/$M$21)^-$K$21)+($G$22+$H$22*'Advanced Outputs'!C$61^$I$22)*$J$22*EXP(-(($L$22*($B419-$M$22))^$K$22))+($G$23+$H$23*'Advanced Outputs'!C$61^$I$23)*$J$23*EXP(-(($L$23*($B419-$M$23))^$K$23))+($G$24+$H$24*'Advanced Outputs'!C$61^$I$24)*$J$24*EXP(-(($L$24*($B419-$M$24))^$K$24))+($G$25+$H$25*'Advanced Outputs'!C$61^$I$25)*$J$25*EXP(-(($L$25*($B419-$M$25))^$K$25))+$G$26))</f>
        <v>0.83246361395764212</v>
      </c>
      <c r="D419" s="75">
        <f>10^(-(($G$21+$H$21*'Advanced Outputs'!C$60^$I$21)*(($B419/$M$21)^-$K$21)+($G$22+$H$22*'Advanced Outputs'!C$60^$I$22)*$J$22*EXP(-(($L$22*($B419-$M$22))^$K$22))+($G$23+$H$23*'Advanced Outputs'!C$60^$I$23)*$J$23*EXP(-(($L$23*($B419-$M$23))^$K$23))+($G$24+$H$24*'Advanced Outputs'!C$60^$I$24)*$J$24*EXP(-(($L$24*($B419-$M$24))^$K$24))+($G$25+$H$25*'Advanced Outputs'!C$60^$I$25)*$J$25*EXP(-(($L$25*($B419-$M$25))^$K$25))+$G$26))</f>
        <v>0.84586336846838406</v>
      </c>
      <c r="E419" s="75">
        <f t="shared" si="6"/>
        <v>0.98415848822605356</v>
      </c>
      <c r="F419" s="74"/>
      <c r="G419" s="6"/>
      <c r="H419" s="6"/>
      <c r="I419" s="6"/>
      <c r="J419" s="6"/>
      <c r="K419" s="6"/>
      <c r="L419" s="6"/>
      <c r="M419" s="6"/>
    </row>
    <row r="420" spans="1:13" hidden="1" x14ac:dyDescent="0.2">
      <c r="A420" s="60"/>
      <c r="B420" s="60">
        <v>779</v>
      </c>
      <c r="C420" s="75">
        <f>10^(-(($G$21+$H$21*'Advanced Outputs'!C$61^$I$21)*(($B420/$M$21)^-$K$21)+($G$22+$H$22*'Advanced Outputs'!C$61^$I$22)*$J$22*EXP(-(($L$22*($B420-$M$22))^$K$22))+($G$23+$H$23*'Advanced Outputs'!C$61^$I$23)*$J$23*EXP(-(($L$23*($B420-$M$23))^$K$23))+($G$24+$H$24*'Advanced Outputs'!C$61^$I$24)*$J$24*EXP(-(($L$24*($B420-$M$24))^$K$24))+($G$25+$H$25*'Advanced Outputs'!C$61^$I$25)*$J$25*EXP(-(($L$25*($B420-$M$25))^$K$25))+$G$26))</f>
        <v>0.8326566780882898</v>
      </c>
      <c r="D420" s="75">
        <f>10^(-(($G$21+$H$21*'Advanced Outputs'!C$60^$I$21)*(($B420/$M$21)^-$K$21)+($G$22+$H$22*'Advanced Outputs'!C$60^$I$22)*$J$22*EXP(-(($L$22*($B420-$M$22))^$K$22))+($G$23+$H$23*'Advanced Outputs'!C$60^$I$23)*$J$23*EXP(-(($L$23*($B420-$M$23))^$K$23))+($G$24+$H$24*'Advanced Outputs'!C$60^$I$24)*$J$24*EXP(-(($L$24*($B420-$M$24))^$K$24))+($G$25+$H$25*'Advanced Outputs'!C$60^$I$25)*$J$25*EXP(-(($L$25*($B420-$M$25))^$K$25))+$G$26))</f>
        <v>0.84599018538737158</v>
      </c>
      <c r="E420" s="75">
        <f t="shared" si="6"/>
        <v>0.98423917022988094</v>
      </c>
      <c r="F420" s="74"/>
      <c r="G420" s="6"/>
      <c r="H420" s="6"/>
      <c r="I420" s="6"/>
      <c r="J420" s="6"/>
      <c r="K420" s="6"/>
      <c r="L420" s="6"/>
      <c r="M420" s="6"/>
    </row>
    <row r="421" spans="1:13" hidden="1" x14ac:dyDescent="0.2">
      <c r="A421" s="60"/>
      <c r="B421" s="60">
        <v>780</v>
      </c>
      <c r="C421" s="75">
        <f>10^(-(($G$21+$H$21*'Advanced Outputs'!C$61^$I$21)*(($B421/$M$21)^-$K$21)+($G$22+$H$22*'Advanced Outputs'!C$61^$I$22)*$J$22*EXP(-(($L$22*($B421-$M$22))^$K$22))+($G$23+$H$23*'Advanced Outputs'!C$61^$I$23)*$J$23*EXP(-(($L$23*($B421-$M$23))^$K$23))+($G$24+$H$24*'Advanced Outputs'!C$61^$I$24)*$J$24*EXP(-(($L$24*($B421-$M$24))^$K$24))+($G$25+$H$25*'Advanced Outputs'!C$61^$I$25)*$J$25*EXP(-(($L$25*($B421-$M$25))^$K$25))+$G$26))</f>
        <v>0.83284854293303545</v>
      </c>
      <c r="D421" s="75">
        <f>10^(-(($G$21+$H$21*'Advanced Outputs'!C$60^$I$21)*(($B421/$M$21)^-$K$21)+($G$22+$H$22*'Advanced Outputs'!C$60^$I$22)*$J$22*EXP(-(($L$22*($B421-$M$22))^$K$22))+($G$23+$H$23*'Advanced Outputs'!C$60^$I$23)*$J$23*EXP(-(($L$23*($B421-$M$23))^$K$23))+($G$24+$H$24*'Advanced Outputs'!C$60^$I$24)*$J$24*EXP(-(($L$24*($B421-$M$24))^$K$24))+($G$25+$H$25*'Advanced Outputs'!C$60^$I$25)*$J$25*EXP(-(($L$25*($B421-$M$25))^$K$25))+$G$26))</f>
        <v>0.84611620751674355</v>
      </c>
      <c r="E421" s="75">
        <f t="shared" si="6"/>
        <v>0.98431933525697701</v>
      </c>
      <c r="F421" s="74"/>
      <c r="G421" s="6"/>
      <c r="H421" s="6"/>
      <c r="I421" s="6"/>
      <c r="J421" s="6"/>
      <c r="K421" s="6"/>
      <c r="L421" s="6"/>
      <c r="M421" s="6"/>
    </row>
    <row r="422" spans="1:13" hidden="1" x14ac:dyDescent="0.2">
      <c r="A422" s="60"/>
      <c r="B422" s="60"/>
      <c r="C422" s="56"/>
      <c r="D422" s="56"/>
      <c r="E422" s="56"/>
      <c r="F422" s="56"/>
    </row>
    <row r="423" spans="1:13" hidden="1" x14ac:dyDescent="0.2">
      <c r="A423" s="60"/>
      <c r="B423" s="60"/>
      <c r="C423" s="56"/>
      <c r="D423" s="56"/>
      <c r="E423" s="56"/>
      <c r="F423" s="56"/>
    </row>
  </sheetData>
  <sheetProtection password="CAB0" sheet="1" objects="1" scenarios="1"/>
  <dataValidations count="1">
    <dataValidation allowBlank="1" showErrorMessage="1" promptTitle="Ages" prompt="_x000a_Enter observer age a in cell D6 (for non-standard calculations only)._x000a__x000a_" sqref="B3" xr:uid="{00000000-0002-0000-0D00-000000000000}"/>
  </dataValidations>
  <pageMargins left="0.7" right="0.7" top="0.75" bottom="0.75" header="0.3" footer="0.3"/>
  <pageSetup paperSize="9" scale="11"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14</vt:i4>
      </vt:variant>
      <vt:variant>
        <vt:lpstr>Benannte Bereiche</vt:lpstr>
      </vt:variant>
      <vt:variant>
        <vt:i4>1</vt:i4>
      </vt:variant>
    </vt:vector>
  </HeadingPairs>
  <TitlesOfParts>
    <vt:vector size="15" baseType="lpstr">
      <vt:lpstr>Maintenance</vt:lpstr>
      <vt:lpstr>Disclaimer</vt:lpstr>
      <vt:lpstr>Inputs</vt:lpstr>
      <vt:lpstr>Outputs</vt:lpstr>
      <vt:lpstr>Spectra</vt:lpstr>
      <vt:lpstr>Physics</vt:lpstr>
      <vt:lpstr>Photobiology</vt:lpstr>
      <vt:lpstr>Calculations</vt:lpstr>
      <vt:lpstr>Charts</vt:lpstr>
      <vt:lpstr>Action spectra</vt:lpstr>
      <vt:lpstr>Glossary</vt:lpstr>
      <vt:lpstr>Advanced Inputs</vt:lpstr>
      <vt:lpstr>Advanced Outputs</vt:lpstr>
      <vt:lpstr>Transmittance</vt:lpstr>
      <vt:lpstr>'Action spectra'!Drucktitel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LP</dc:creator>
  <cp:lastModifiedBy>Microsoft Office User</cp:lastModifiedBy>
  <cp:lastPrinted>2020-03-26T12:09:32Z</cp:lastPrinted>
  <dcterms:created xsi:type="dcterms:W3CDTF">2018-11-06T15:53:08Z</dcterms:created>
  <dcterms:modified xsi:type="dcterms:W3CDTF">2022-10-21T12:19:17Z</dcterms:modified>
</cp:coreProperties>
</file>