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sh\Documents\files\NEC\Python\Made\3.5\PNE\tests\dummy_data\"/>
    </mc:Choice>
  </mc:AlternateContent>
  <xr:revisionPtr revIDLastSave="0" documentId="13_ncr:1_{6F8BC149-4375-4A82-8DA7-3185A1CD4D4C}" xr6:coauthVersionLast="43" xr6:coauthVersionMax="43" xr10:uidLastSave="{00000000-0000-0000-0000-000000000000}"/>
  <bookViews>
    <workbookView xWindow="0" yWindow="720" windowWidth="14400" windowHeight="11916" activeTab="2" xr2:uid="{4E7DBB28-E234-4D08-A546-0A46F49F34C9}"/>
  </bookViews>
  <sheets>
    <sheet name="Sheet1" sheetId="1" r:id="rId1"/>
    <sheet name="CombiningDataNoPhaseMargine" sheetId="5" r:id="rId2"/>
    <sheet name="CombiningData1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8" i="6" l="1"/>
  <c r="S19" i="6"/>
  <c r="S20" i="6"/>
  <c r="S21" i="6"/>
  <c r="S22" i="6"/>
  <c r="S23" i="6"/>
  <c r="S17" i="6"/>
  <c r="C5" i="6"/>
  <c r="C10" i="6" s="1"/>
  <c r="B57" i="6"/>
  <c r="B58" i="6" s="1"/>
  <c r="B59" i="6" s="1"/>
  <c r="B56" i="6"/>
  <c r="B55" i="6"/>
  <c r="B54" i="6"/>
  <c r="B44" i="6"/>
  <c r="C40" i="6" s="1"/>
  <c r="C43" i="6"/>
  <c r="B43" i="6"/>
  <c r="B42" i="6"/>
  <c r="C41" i="6"/>
  <c r="B41" i="6"/>
  <c r="D34" i="6"/>
  <c r="D33" i="6"/>
  <c r="D32" i="6"/>
  <c r="D31" i="6"/>
  <c r="D30" i="6"/>
  <c r="B30" i="6"/>
  <c r="B31" i="6" s="1"/>
  <c r="B32" i="6" s="1"/>
  <c r="B33" i="6" s="1"/>
  <c r="B34" i="6" s="1"/>
  <c r="D29" i="6"/>
  <c r="B29" i="6"/>
  <c r="D28" i="6"/>
  <c r="B19" i="6"/>
  <c r="B20" i="6" s="1"/>
  <c r="C18" i="6"/>
  <c r="D18" i="6" s="1"/>
  <c r="B18" i="6"/>
  <c r="D17" i="6"/>
  <c r="C17" i="6"/>
  <c r="C11" i="6"/>
  <c r="C9" i="6"/>
  <c r="N17" i="5"/>
  <c r="C5" i="5"/>
  <c r="C12" i="5" s="1"/>
  <c r="E21" i="5" s="1"/>
  <c r="C8" i="5"/>
  <c r="C9" i="5"/>
  <c r="M23" i="5"/>
  <c r="M22" i="5"/>
  <c r="M21" i="5"/>
  <c r="M20" i="5"/>
  <c r="M19" i="5"/>
  <c r="M18" i="5"/>
  <c r="M17" i="5"/>
  <c r="J23" i="5"/>
  <c r="J22" i="5"/>
  <c r="J21" i="5"/>
  <c r="J20" i="5"/>
  <c r="J19" i="5"/>
  <c r="J18" i="5"/>
  <c r="J17" i="5"/>
  <c r="G18" i="5"/>
  <c r="G19" i="5"/>
  <c r="G20" i="5"/>
  <c r="G21" i="5"/>
  <c r="G22" i="5"/>
  <c r="G23" i="5"/>
  <c r="G17" i="5"/>
  <c r="C11" i="5"/>
  <c r="B55" i="5"/>
  <c r="B56" i="5" s="1"/>
  <c r="B57" i="5" s="1"/>
  <c r="B58" i="5" s="1"/>
  <c r="B59" i="5" s="1"/>
  <c r="B54" i="5"/>
  <c r="B44" i="5"/>
  <c r="B45" i="5" s="1"/>
  <c r="B43" i="5"/>
  <c r="B42" i="5"/>
  <c r="C41" i="5"/>
  <c r="B41" i="5"/>
  <c r="D34" i="5"/>
  <c r="D33" i="5"/>
  <c r="D32" i="5"/>
  <c r="B32" i="5"/>
  <c r="B33" i="5" s="1"/>
  <c r="B34" i="5" s="1"/>
  <c r="D31" i="5"/>
  <c r="B31" i="5"/>
  <c r="D30" i="5"/>
  <c r="B30" i="5"/>
  <c r="D29" i="5"/>
  <c r="B29" i="5"/>
  <c r="D28" i="5"/>
  <c r="B19" i="5"/>
  <c r="B20" i="5" s="1"/>
  <c r="B18" i="5"/>
  <c r="C18" i="5" s="1"/>
  <c r="D18" i="5" s="1"/>
  <c r="C17" i="5"/>
  <c r="D17" i="5" s="1"/>
  <c r="C12" i="6" l="1"/>
  <c r="E19" i="6" s="1"/>
  <c r="C8" i="6"/>
  <c r="G18" i="6"/>
  <c r="F18" i="6"/>
  <c r="C20" i="6"/>
  <c r="D20" i="6" s="1"/>
  <c r="B21" i="6"/>
  <c r="N18" i="6"/>
  <c r="E17" i="6"/>
  <c r="C19" i="6"/>
  <c r="D19" i="6" s="1"/>
  <c r="G19" i="6" s="1"/>
  <c r="C44" i="6"/>
  <c r="F17" i="6"/>
  <c r="N17" i="6"/>
  <c r="Q17" i="6" s="1"/>
  <c r="G17" i="6"/>
  <c r="C42" i="6"/>
  <c r="B45" i="6"/>
  <c r="B46" i="6" s="1"/>
  <c r="C46" i="6" s="1"/>
  <c r="E18" i="6"/>
  <c r="E20" i="5"/>
  <c r="H20" i="5" s="1"/>
  <c r="E22" i="5"/>
  <c r="H22" i="5" s="1"/>
  <c r="H21" i="5"/>
  <c r="K21" i="5"/>
  <c r="E19" i="5"/>
  <c r="E18" i="5"/>
  <c r="E17" i="5"/>
  <c r="E23" i="5"/>
  <c r="C10" i="5"/>
  <c r="C20" i="5"/>
  <c r="D20" i="5" s="1"/>
  <c r="B21" i="5"/>
  <c r="B46" i="5"/>
  <c r="C45" i="5"/>
  <c r="C40" i="5"/>
  <c r="C19" i="5"/>
  <c r="D19" i="5" s="1"/>
  <c r="C43" i="5"/>
  <c r="C46" i="5"/>
  <c r="C44" i="5"/>
  <c r="C42" i="5"/>
  <c r="I26" i="1"/>
  <c r="I25" i="1"/>
  <c r="I24" i="1"/>
  <c r="I23" i="1"/>
  <c r="I22" i="1"/>
  <c r="H23" i="1"/>
  <c r="H24" i="1"/>
  <c r="H25" i="1"/>
  <c r="H26" i="1"/>
  <c r="H22" i="1"/>
  <c r="C24" i="1"/>
  <c r="C23" i="1" s="1"/>
  <c r="C22" i="1" s="1"/>
  <c r="C25" i="1"/>
  <c r="H16" i="1"/>
  <c r="I16" i="1" s="1"/>
  <c r="H17" i="1"/>
  <c r="I17" i="1" s="1"/>
  <c r="H18" i="1"/>
  <c r="I18" i="1" s="1"/>
  <c r="H19" i="1"/>
  <c r="I19" i="1" s="1"/>
  <c r="H15" i="1"/>
  <c r="E19" i="1"/>
  <c r="D19" i="1"/>
  <c r="F19" i="1" s="1"/>
  <c r="E18" i="1"/>
  <c r="G18" i="1" s="1"/>
  <c r="D18" i="1"/>
  <c r="E17" i="1"/>
  <c r="D17" i="1"/>
  <c r="E16" i="1"/>
  <c r="D16" i="1"/>
  <c r="F16" i="1" s="1"/>
  <c r="E15" i="1"/>
  <c r="D15" i="1"/>
  <c r="F15" i="1" s="1"/>
  <c r="G26" i="1"/>
  <c r="F26" i="1"/>
  <c r="G25" i="1"/>
  <c r="F25" i="1"/>
  <c r="G24" i="1"/>
  <c r="F24" i="1"/>
  <c r="G23" i="1"/>
  <c r="F23" i="1"/>
  <c r="G22" i="1"/>
  <c r="F22" i="1"/>
  <c r="K9" i="1"/>
  <c r="K10" i="1"/>
  <c r="K11" i="1"/>
  <c r="K12" i="1"/>
  <c r="G16" i="1"/>
  <c r="F17" i="1"/>
  <c r="G17" i="1"/>
  <c r="F18" i="1"/>
  <c r="G19" i="1"/>
  <c r="N7" i="1"/>
  <c r="M7" i="1"/>
  <c r="G8" i="1"/>
  <c r="F8" i="1"/>
  <c r="G11" i="1"/>
  <c r="H11" i="1" s="1"/>
  <c r="I11" i="1" s="1"/>
  <c r="G9" i="1"/>
  <c r="H9" i="1" s="1"/>
  <c r="I9" i="1" s="1"/>
  <c r="F11" i="1"/>
  <c r="F9" i="1"/>
  <c r="G15" i="1"/>
  <c r="M19" i="6" l="1"/>
  <c r="J19" i="6"/>
  <c r="R17" i="6"/>
  <c r="V17" i="6"/>
  <c r="W17" i="6" s="1"/>
  <c r="N28" i="6" s="1"/>
  <c r="T17" i="6"/>
  <c r="U17" i="6" s="1"/>
  <c r="N40" i="6" s="1"/>
  <c r="I17" i="6"/>
  <c r="L17" i="6"/>
  <c r="O18" i="6"/>
  <c r="P18" i="6"/>
  <c r="F20" i="6"/>
  <c r="N20" i="6"/>
  <c r="C45" i="6"/>
  <c r="M17" i="6"/>
  <c r="J17" i="6"/>
  <c r="F19" i="6"/>
  <c r="K18" i="6"/>
  <c r="H18" i="6"/>
  <c r="H19" i="6"/>
  <c r="K19" i="6"/>
  <c r="H17" i="6"/>
  <c r="K17" i="6"/>
  <c r="L18" i="6"/>
  <c r="I18" i="6"/>
  <c r="E20" i="6"/>
  <c r="G20" i="6"/>
  <c r="N19" i="6"/>
  <c r="Q18" i="6"/>
  <c r="P17" i="6"/>
  <c r="O17" i="6"/>
  <c r="C21" i="6"/>
  <c r="D21" i="6" s="1"/>
  <c r="B22" i="6"/>
  <c r="J18" i="6"/>
  <c r="M18" i="6"/>
  <c r="K20" i="5"/>
  <c r="K22" i="5"/>
  <c r="H23" i="5"/>
  <c r="K23" i="5"/>
  <c r="K17" i="5"/>
  <c r="H17" i="5"/>
  <c r="N19" i="5"/>
  <c r="F17" i="5"/>
  <c r="F18" i="5"/>
  <c r="F19" i="5"/>
  <c r="F20" i="5"/>
  <c r="F21" i="5"/>
  <c r="F22" i="5"/>
  <c r="F23" i="5"/>
  <c r="H18" i="5"/>
  <c r="K18" i="5"/>
  <c r="K19" i="5"/>
  <c r="H19" i="5"/>
  <c r="N22" i="5"/>
  <c r="N20" i="5"/>
  <c r="Q20" i="5" s="1"/>
  <c r="N23" i="5"/>
  <c r="N21" i="5"/>
  <c r="N18" i="5"/>
  <c r="Q18" i="5" s="1"/>
  <c r="U18" i="5" s="1"/>
  <c r="V18" i="5" s="1"/>
  <c r="N29" i="5" s="1"/>
  <c r="B22" i="5"/>
  <c r="C21" i="5"/>
  <c r="D21" i="5" s="1"/>
  <c r="J24" i="1"/>
  <c r="K24" i="1" s="1"/>
  <c r="L24" i="1" s="1"/>
  <c r="J19" i="1"/>
  <c r="K19" i="1" s="1"/>
  <c r="L19" i="1" s="1"/>
  <c r="J26" i="1"/>
  <c r="K26" i="1" s="1"/>
  <c r="L26" i="1" s="1"/>
  <c r="J18" i="1"/>
  <c r="K18" i="1" s="1"/>
  <c r="L18" i="1" s="1"/>
  <c r="J25" i="1"/>
  <c r="K25" i="1" s="1"/>
  <c r="L25" i="1" s="1"/>
  <c r="J16" i="1"/>
  <c r="J23" i="1"/>
  <c r="K23" i="1" s="1"/>
  <c r="L23" i="1" s="1"/>
  <c r="J17" i="1"/>
  <c r="K17" i="1" s="1"/>
  <c r="L17" i="1" s="1"/>
  <c r="K16" i="1"/>
  <c r="L16" i="1" s="1"/>
  <c r="L11" i="1"/>
  <c r="N11" i="1" s="1"/>
  <c r="J11" i="1"/>
  <c r="M11" i="1" s="1"/>
  <c r="J9" i="1"/>
  <c r="M9" i="1" s="1"/>
  <c r="G12" i="1"/>
  <c r="H12" i="1" s="1"/>
  <c r="I12" i="1" s="1"/>
  <c r="G10" i="1"/>
  <c r="H10" i="1" s="1"/>
  <c r="I10" i="1" s="1"/>
  <c r="H8" i="1"/>
  <c r="I8" i="1" s="1"/>
  <c r="I15" i="1" s="1"/>
  <c r="F12" i="1"/>
  <c r="F10" i="1"/>
  <c r="C53" i="6" l="1"/>
  <c r="P20" i="6"/>
  <c r="O20" i="6"/>
  <c r="J20" i="6"/>
  <c r="M20" i="6"/>
  <c r="T18" i="6"/>
  <c r="U18" i="6" s="1"/>
  <c r="N41" i="6" s="1"/>
  <c r="R18" i="6"/>
  <c r="V18" i="6"/>
  <c r="W18" i="6" s="1"/>
  <c r="N29" i="6" s="1"/>
  <c r="O19" i="6"/>
  <c r="P19" i="6"/>
  <c r="K20" i="6"/>
  <c r="H20" i="6"/>
  <c r="I20" i="6"/>
  <c r="L20" i="6"/>
  <c r="B23" i="6"/>
  <c r="C23" i="6" s="1"/>
  <c r="D23" i="6" s="1"/>
  <c r="C22" i="6"/>
  <c r="D22" i="6" s="1"/>
  <c r="L19" i="6"/>
  <c r="I19" i="6"/>
  <c r="Q20" i="6"/>
  <c r="N21" i="6"/>
  <c r="Q21" i="6" s="1"/>
  <c r="F21" i="6"/>
  <c r="E21" i="6"/>
  <c r="G21" i="6"/>
  <c r="Q19" i="6"/>
  <c r="I18" i="5"/>
  <c r="L18" i="5"/>
  <c r="P17" i="5"/>
  <c r="O17" i="5"/>
  <c r="L17" i="5"/>
  <c r="I17" i="5"/>
  <c r="L23" i="5"/>
  <c r="I23" i="5"/>
  <c r="L21" i="5"/>
  <c r="I21" i="5"/>
  <c r="I22" i="5"/>
  <c r="L22" i="5"/>
  <c r="I20" i="5"/>
  <c r="L20" i="5"/>
  <c r="I19" i="5"/>
  <c r="L19" i="5"/>
  <c r="Q17" i="5"/>
  <c r="R17" i="5" s="1"/>
  <c r="O18" i="5"/>
  <c r="R18" i="5"/>
  <c r="P18" i="5"/>
  <c r="S18" i="5"/>
  <c r="T18" i="5" s="1"/>
  <c r="N41" i="5" s="1"/>
  <c r="C54" i="5" s="1"/>
  <c r="U20" i="5"/>
  <c r="V20" i="5" s="1"/>
  <c r="N31" i="5" s="1"/>
  <c r="R20" i="5"/>
  <c r="S20" i="5"/>
  <c r="T20" i="5" s="1"/>
  <c r="N43" i="5" s="1"/>
  <c r="C22" i="5"/>
  <c r="D22" i="5" s="1"/>
  <c r="B23" i="5"/>
  <c r="C23" i="5" s="1"/>
  <c r="D23" i="5" s="1"/>
  <c r="P20" i="5"/>
  <c r="O20" i="5"/>
  <c r="P19" i="5"/>
  <c r="O19" i="5"/>
  <c r="Q19" i="5"/>
  <c r="J15" i="1"/>
  <c r="K15" i="1" s="1"/>
  <c r="L15" i="1" s="1"/>
  <c r="J22" i="1"/>
  <c r="K22" i="1" s="1"/>
  <c r="L22" i="1" s="1"/>
  <c r="J12" i="1"/>
  <c r="M12" i="1" s="1"/>
  <c r="J10" i="1"/>
  <c r="M10" i="1" s="1"/>
  <c r="K8" i="1"/>
  <c r="L9" i="1"/>
  <c r="N9" i="1" s="1"/>
  <c r="C54" i="6" l="1"/>
  <c r="V21" i="6"/>
  <c r="W21" i="6" s="1"/>
  <c r="N32" i="6" s="1"/>
  <c r="T21" i="6"/>
  <c r="U21" i="6" s="1"/>
  <c r="N44" i="6" s="1"/>
  <c r="R21" i="6"/>
  <c r="M21" i="6"/>
  <c r="J21" i="6"/>
  <c r="F22" i="6"/>
  <c r="E22" i="6"/>
  <c r="G22" i="6"/>
  <c r="N22" i="6"/>
  <c r="L21" i="6"/>
  <c r="I21" i="6"/>
  <c r="H21" i="6"/>
  <c r="K21" i="6"/>
  <c r="N23" i="6"/>
  <c r="F23" i="6"/>
  <c r="E23" i="6"/>
  <c r="G23" i="6"/>
  <c r="P21" i="6"/>
  <c r="O21" i="6"/>
  <c r="R20" i="6"/>
  <c r="T20" i="6"/>
  <c r="U20" i="6" s="1"/>
  <c r="N43" i="6" s="1"/>
  <c r="V20" i="6"/>
  <c r="W20" i="6" s="1"/>
  <c r="N31" i="6" s="1"/>
  <c r="C56" i="6" s="1"/>
  <c r="V19" i="6"/>
  <c r="W19" i="6" s="1"/>
  <c r="N30" i="6" s="1"/>
  <c r="C55" i="6" s="1"/>
  <c r="T19" i="6"/>
  <c r="U19" i="6" s="1"/>
  <c r="N42" i="6" s="1"/>
  <c r="R19" i="6"/>
  <c r="S17" i="5"/>
  <c r="T17" i="5" s="1"/>
  <c r="N40" i="5" s="1"/>
  <c r="U17" i="5"/>
  <c r="V17" i="5" s="1"/>
  <c r="N28" i="5" s="1"/>
  <c r="P21" i="5"/>
  <c r="O21" i="5"/>
  <c r="C56" i="5"/>
  <c r="R19" i="5"/>
  <c r="U19" i="5"/>
  <c r="V19" i="5" s="1"/>
  <c r="N30" i="5" s="1"/>
  <c r="S19" i="5"/>
  <c r="T19" i="5" s="1"/>
  <c r="N42" i="5" s="1"/>
  <c r="Q22" i="5"/>
  <c r="Q21" i="5"/>
  <c r="J8" i="1"/>
  <c r="M8" i="1" s="1"/>
  <c r="L8" i="1"/>
  <c r="N8" i="1" s="1"/>
  <c r="L10" i="1"/>
  <c r="N10" i="1" s="1"/>
  <c r="L12" i="1"/>
  <c r="N12" i="1" s="1"/>
  <c r="C57" i="6" l="1"/>
  <c r="P23" i="6"/>
  <c r="O23" i="6"/>
  <c r="H22" i="6"/>
  <c r="K22" i="6"/>
  <c r="P22" i="6"/>
  <c r="O22" i="6"/>
  <c r="M22" i="6"/>
  <c r="J22" i="6"/>
  <c r="Q23" i="6"/>
  <c r="Q22" i="6"/>
  <c r="K23" i="6"/>
  <c r="H23" i="6"/>
  <c r="I22" i="6"/>
  <c r="L22" i="6"/>
  <c r="I23" i="6"/>
  <c r="L23" i="6"/>
  <c r="J23" i="6"/>
  <c r="M23" i="6"/>
  <c r="C53" i="5"/>
  <c r="C55" i="5"/>
  <c r="U22" i="5"/>
  <c r="V22" i="5" s="1"/>
  <c r="N33" i="5" s="1"/>
  <c r="R22" i="5"/>
  <c r="S22" i="5"/>
  <c r="T22" i="5" s="1"/>
  <c r="N45" i="5" s="1"/>
  <c r="P23" i="5"/>
  <c r="O23" i="5"/>
  <c r="Q23" i="5"/>
  <c r="R21" i="5"/>
  <c r="U21" i="5"/>
  <c r="V21" i="5" s="1"/>
  <c r="N32" i="5" s="1"/>
  <c r="S21" i="5"/>
  <c r="T21" i="5" s="1"/>
  <c r="N44" i="5" s="1"/>
  <c r="P22" i="5"/>
  <c r="O22" i="5"/>
  <c r="T23" i="6" l="1"/>
  <c r="U23" i="6" s="1"/>
  <c r="N46" i="6" s="1"/>
  <c r="R23" i="6"/>
  <c r="V23" i="6"/>
  <c r="W23" i="6" s="1"/>
  <c r="N34" i="6" s="1"/>
  <c r="C59" i="6" s="1"/>
  <c r="T22" i="6"/>
  <c r="U22" i="6" s="1"/>
  <c r="N45" i="6" s="1"/>
  <c r="V22" i="6"/>
  <c r="W22" i="6" s="1"/>
  <c r="N33" i="6" s="1"/>
  <c r="R22" i="6"/>
  <c r="C57" i="5"/>
  <c r="C58" i="5"/>
  <c r="R23" i="5"/>
  <c r="U23" i="5"/>
  <c r="V23" i="5" s="1"/>
  <c r="N34" i="5" s="1"/>
  <c r="S23" i="5"/>
  <c r="T23" i="5" s="1"/>
  <c r="N46" i="5" s="1"/>
  <c r="C58" i="6" l="1"/>
  <c r="C59" i="5"/>
</calcChain>
</file>

<file path=xl/sharedStrings.xml><?xml version="1.0" encoding="utf-8"?>
<sst xmlns="http://schemas.openxmlformats.org/spreadsheetml/2006/main" count="133" uniqueCount="58">
  <si>
    <t>A</t>
    <phoneticPr fontId="1"/>
  </si>
  <si>
    <t>iθ</t>
    <phoneticPr fontId="1"/>
  </si>
  <si>
    <t>a</t>
    <phoneticPr fontId="1"/>
  </si>
  <si>
    <t>1/(1+A)</t>
    <phoneticPr fontId="1"/>
  </si>
  <si>
    <t>|1/(1+A)|</t>
    <phoneticPr fontId="1"/>
  </si>
  <si>
    <t>A/(1+A)</t>
    <phoneticPr fontId="1"/>
  </si>
  <si>
    <t>|A/(1+A)|</t>
    <phoneticPr fontId="1"/>
  </si>
  <si>
    <t>total</t>
    <phoneticPr fontId="1"/>
  </si>
  <si>
    <t>abs</t>
    <phoneticPr fontId="1"/>
  </si>
  <si>
    <t xml:space="preserve">noise </t>
    <phoneticPr fontId="1"/>
  </si>
  <si>
    <t>amp</t>
    <phoneticPr fontId="1"/>
  </si>
  <si>
    <t>deg</t>
    <phoneticPr fontId="1"/>
  </si>
  <si>
    <t>tf deg</t>
    <phoneticPr fontId="1"/>
  </si>
  <si>
    <t>tf amp[log]</t>
    <phoneticPr fontId="1"/>
  </si>
  <si>
    <t>a[mag]</t>
    <phoneticPr fontId="1"/>
  </si>
  <si>
    <t>iθ[rad]</t>
    <phoneticPr fontId="1"/>
  </si>
  <si>
    <t>tf[comp]</t>
    <phoneticPr fontId="1"/>
  </si>
  <si>
    <t>A</t>
    <phoneticPr fontId="1"/>
  </si>
  <si>
    <t>cl noise[dB]</t>
    <phoneticPr fontId="1"/>
  </si>
  <si>
    <t>cl tf [dB]</t>
    <phoneticPr fontId="1"/>
  </si>
  <si>
    <t>R1</t>
    <phoneticPr fontId="1"/>
  </si>
  <si>
    <t>R2</t>
    <phoneticPr fontId="1"/>
  </si>
  <si>
    <t>C1</t>
    <phoneticPr fontId="1"/>
  </si>
  <si>
    <t>C2</t>
    <phoneticPr fontId="1"/>
  </si>
  <si>
    <t>f1</t>
    <phoneticPr fontId="1"/>
  </si>
  <si>
    <t>f2</t>
    <phoneticPr fontId="1"/>
  </si>
  <si>
    <t>Ω</t>
    <phoneticPr fontId="1"/>
  </si>
  <si>
    <t>pF</t>
    <phoneticPr fontId="1"/>
  </si>
  <si>
    <t>Hz</t>
    <phoneticPr fontId="1"/>
  </si>
  <si>
    <t>係数</t>
    <rPh sb="0" eb="2">
      <t>ケイスウ</t>
    </rPh>
    <phoneticPr fontId="1"/>
  </si>
  <si>
    <t>ω</t>
    <phoneticPr fontId="1"/>
  </si>
  <si>
    <t>s</t>
    <phoneticPr fontId="1"/>
  </si>
  <si>
    <t>⊿f</t>
    <phoneticPr fontId="1"/>
  </si>
  <si>
    <t>T(s)</t>
    <phoneticPr fontId="1"/>
  </si>
  <si>
    <t>|T|[dB]</t>
    <phoneticPr fontId="1"/>
  </si>
  <si>
    <t>Kp</t>
    <phoneticPr fontId="1"/>
  </si>
  <si>
    <t>ref</t>
    <phoneticPr fontId="1"/>
  </si>
  <si>
    <t>PN</t>
    <phoneticPr fontId="1"/>
  </si>
  <si>
    <t>F(s)</t>
    <phoneticPr fontId="1"/>
  </si>
  <si>
    <t>|F|[dB]</t>
    <phoneticPr fontId="1"/>
  </si>
  <si>
    <t>Kv</t>
    <phoneticPr fontId="1"/>
  </si>
  <si>
    <t>Hz/V</t>
    <phoneticPr fontId="1"/>
  </si>
  <si>
    <t>V/rad</t>
    <phoneticPr fontId="1"/>
  </si>
  <si>
    <t>N</t>
    <phoneticPr fontId="1"/>
  </si>
  <si>
    <t>VCO</t>
    <phoneticPr fontId="1"/>
  </si>
  <si>
    <t>pn 100k</t>
    <phoneticPr fontId="1"/>
  </si>
  <si>
    <t>1/(1+T)</t>
    <phoneticPr fontId="1"/>
  </si>
  <si>
    <t>|1/(1+T)|[dB]</t>
    <phoneticPr fontId="1"/>
  </si>
  <si>
    <t>T/(1+T)</t>
    <phoneticPr fontId="1"/>
  </si>
  <si>
    <t>|T/(1+T)|[dB]</t>
    <phoneticPr fontId="1"/>
  </si>
  <si>
    <t>逓倍劣化</t>
    <rPh sb="0" eb="2">
      <t>テイバイ</t>
    </rPh>
    <rPh sb="2" eb="4">
      <t>レッカ</t>
    </rPh>
    <phoneticPr fontId="1"/>
  </si>
  <si>
    <t>出力</t>
    <rPh sb="0" eb="2">
      <t>シュツリョク</t>
    </rPh>
    <phoneticPr fontId="1"/>
  </si>
  <si>
    <t>Total</t>
    <phoneticPr fontId="1"/>
  </si>
  <si>
    <t>Ang[deg]</t>
    <phoneticPr fontId="1"/>
  </si>
  <si>
    <t>1/ω1</t>
    <phoneticPr fontId="1"/>
  </si>
  <si>
    <t>1/ω2</t>
    <phoneticPr fontId="1"/>
  </si>
  <si>
    <t>|T|</t>
    <phoneticPr fontId="1"/>
  </si>
  <si>
    <t>Tdeg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</si>
</sst>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_ "/>
    <numFmt numFmtId="177" formatCode="0.E+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グラフ タイトル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Sheet1!$M$7</c:f>
              <c:strCache>
                <c:ptCount val="1"/>
                <c:pt idx="0">
                  <c:v>dB |1/(1+A)|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Sheet1!$B$8:$B$12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Sheet1!$M$8:$M$12</c:f>
              <c:numCache>
                <c:formatCode>General</c:formatCode>
                <c:ptCount val="5"/>
                <c:pt idx="0">
                  <c:v>-39.912703891950997</c:v>
                </c:pt>
                <c:pt idx="1">
                  <c:v>-19.226190346310158</c:v>
                </c:pt>
                <c:pt idx="2">
                  <c:v>2.3226068750586779</c:v>
                </c:pt>
                <c:pt idx="3">
                  <c:v>0.77380965368986288</c:v>
                </c:pt>
                <c:pt idx="4">
                  <c:v>8.7296108049000343E-2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6-45CF-A9BF-13812327CF3E}"/>
            </c:ext>
          </c:extLst>
        </c:ser>
        <c:ser>
          <c:idx val="1"/>
          <c:order val="1"/>
          <c:tx>
            <c:strRef>
              <c:f>Sheet1!$N$7</c:f>
              <c:strCache>
                <c:ptCount val="1"/>
                <c:pt idx="0">
                  <c:v>dB |A/(1+A)|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Sheet1!$B$8:$B$12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Sheet1!$N$8:$N$12</c:f>
              <c:numCache>
                <c:formatCode>General</c:formatCode>
                <c:ptCount val="5"/>
                <c:pt idx="0">
                  <c:v>8.7296108049000343E-2</c:v>
                </c:pt>
                <c:pt idx="1">
                  <c:v>0.77380965368986288</c:v>
                </c:pt>
                <c:pt idx="2">
                  <c:v>2.322606875058681</c:v>
                </c:pt>
                <c:pt idx="3">
                  <c:v>-19.22619034631014</c:v>
                </c:pt>
                <c:pt idx="4">
                  <c:v>-39.912703891950997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08-40D6-9BD7-E508A85D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4224"/>
        <c:axId val="560871664"/>
      </c:scatterChart>
      <c:valAx>
        <c:axId val="560874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1664"/>
        <c:crossesAt val="-1000"/>
        <c:crossBetween val="midCat"/>
      </c:valAx>
      <c:valAx>
        <c:axId val="5608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4224"/>
        <c:crossesAt val="1.0000000000000004E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|T|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CombiningDataNoPhaseMargine!$K$16</c:f>
              <c:strCache>
                <c:ptCount val="1"/>
                <c:pt idx="0">
                  <c:v>Tdeg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CombiningDataNoPhaseMargine!$B$17:$B$23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CombiningDataNoPhaseMargine!$K$17:$K$23</c:f>
              <c:numCache>
                <c:formatCode>General</c:formatCode>
                <c:ptCount val="7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D-42AC-9A00-4F30BC95C42E}"/>
            </c:ext>
          </c:extLst>
        </c:ser>
        <c:ser>
          <c:idx val="1"/>
          <c:order val="1"/>
          <c:tx>
            <c:strRef>
              <c:f>CombiningDataNoPhaseMargine!$L$16</c:f>
              <c:strCache>
                <c:ptCount val="1"/>
                <c:pt idx="0">
                  <c:v>Tdeg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CombiningDataNoPhaseMargine!$B$17:$B$23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CombiningDataNoPhaseMargine!$L$17:$L$23</c:f>
              <c:numCache>
                <c:formatCode>General</c:formatCode>
                <c:ptCount val="7"/>
                <c:pt idx="0">
                  <c:v>0.17598184660054036</c:v>
                </c:pt>
                <c:pt idx="1">
                  <c:v>1.7592709104430175</c:v>
                </c:pt>
                <c:pt idx="2">
                  <c:v>17.074195006831392</c:v>
                </c:pt>
                <c:pt idx="3">
                  <c:v>71.965954592675288</c:v>
                </c:pt>
                <c:pt idx="4">
                  <c:v>88.135241274251058</c:v>
                </c:pt>
                <c:pt idx="5">
                  <c:v>89.813458916868299</c:v>
                </c:pt>
                <c:pt idx="6">
                  <c:v>89.981345826434804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D-42AC-9A00-4F30BC95C42E}"/>
            </c:ext>
          </c:extLst>
        </c:ser>
        <c:ser>
          <c:idx val="2"/>
          <c:order val="2"/>
          <c:tx>
            <c:strRef>
              <c:f>CombiningDataNoPhaseMargine!$M$16</c:f>
              <c:strCache>
                <c:ptCount val="1"/>
                <c:pt idx="0">
                  <c:v>Tdeg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CombiningDataNoPhaseMargine!$B$17:$B$23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CombiningDataNoPhaseMargine!$M$17:$M$23</c:f>
              <c:numCache>
                <c:formatCode>General</c:formatCode>
                <c:ptCount val="7"/>
                <c:pt idx="0">
                  <c:v>-1.7423999994628744E-3</c:v>
                </c:pt>
                <c:pt idx="1">
                  <c:v>-1.7423999462872909E-2</c:v>
                </c:pt>
                <c:pt idx="2">
                  <c:v>-0.17423946287587661</c:v>
                </c:pt>
                <c:pt idx="3">
                  <c:v>-1.7418631707423942</c:v>
                </c:pt>
                <c:pt idx="4">
                  <c:v>-16.914840063190532</c:v>
                </c:pt>
                <c:pt idx="5">
                  <c:v>-71.797453187209172</c:v>
                </c:pt>
                <c:pt idx="6">
                  <c:v>-88.116607050526966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8D-42AC-9A00-4F30BC95C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4224"/>
        <c:axId val="560871664"/>
      </c:scatterChart>
      <c:valAx>
        <c:axId val="560874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1664"/>
        <c:crossesAt val="-1000"/>
        <c:crossBetween val="midCat"/>
      </c:valAx>
      <c:valAx>
        <c:axId val="5608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4224"/>
        <c:crossesAt val="1.0000000000000004E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グラフ タイトル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CombiningData1!$O$16</c:f>
              <c:strCache>
                <c:ptCount val="1"/>
                <c:pt idx="0">
                  <c:v>|F|[dB]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CombiningData1!$B$17:$B$23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CombiningData1!$O$17:$O$23</c:f>
              <c:numCache>
                <c:formatCode>General</c:formatCode>
                <c:ptCount val="7"/>
                <c:pt idx="0">
                  <c:v>84.036411097100867</c:v>
                </c:pt>
                <c:pt idx="1">
                  <c:v>64.037248977491501</c:v>
                </c:pt>
                <c:pt idx="2">
                  <c:v>44.120230920546987</c:v>
                </c:pt>
                <c:pt idx="3">
                  <c:v>28.732558580155604</c:v>
                </c:pt>
                <c:pt idx="4">
                  <c:v>26.874905014890054</c:v>
                </c:pt>
                <c:pt idx="5">
                  <c:v>22.295046761011896</c:v>
                </c:pt>
                <c:pt idx="6">
                  <c:v>4.100162664610691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183-A20E-B8229C40DE52}"/>
            </c:ext>
          </c:extLst>
        </c:ser>
        <c:ser>
          <c:idx val="1"/>
          <c:order val="1"/>
          <c:tx>
            <c:strRef>
              <c:f>CombiningData1!$R$16</c:f>
              <c:strCache>
                <c:ptCount val="1"/>
                <c:pt idx="0">
                  <c:v>|T|[dB]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CombiningData1!$B$17:$B$23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CombiningData1!$R$17:$R$23</c:f>
              <c:numCache>
                <c:formatCode>General</c:formatCode>
                <c:ptCount val="7"/>
                <c:pt idx="0">
                  <c:v>146.53518582926685</c:v>
                </c:pt>
                <c:pt idx="1">
                  <c:v>106.53602370965748</c:v>
                </c:pt>
                <c:pt idx="2">
                  <c:v>66.619005652712985</c:v>
                </c:pt>
                <c:pt idx="3">
                  <c:v>31.231333312321592</c:v>
                </c:pt>
                <c:pt idx="4">
                  <c:v>9.3736797470560429</c:v>
                </c:pt>
                <c:pt idx="5">
                  <c:v>-15.206178506822125</c:v>
                </c:pt>
                <c:pt idx="6">
                  <c:v>-53.401062603223309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B-4183-A20E-B8229C40D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4224"/>
        <c:axId val="560871664"/>
      </c:scatterChart>
      <c:valAx>
        <c:axId val="560874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1664"/>
        <c:crossesAt val="-1000"/>
        <c:crossBetween val="midCat"/>
      </c:valAx>
      <c:valAx>
        <c:axId val="5608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4224"/>
        <c:crossesAt val="1.0000000000000004E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CombiningData1!$C$39</c:f>
              <c:strCache>
                <c:ptCount val="1"/>
                <c:pt idx="0">
                  <c:v>PN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CombiningData1!$B$40:$B$46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CombiningData1!$C$40:$C$46</c:f>
              <c:numCache>
                <c:formatCode>General</c:formatCode>
                <c:ptCount val="7"/>
                <c:pt idx="0">
                  <c:v>-30</c:v>
                </c:pt>
                <c:pt idx="1">
                  <c:v>-50</c:v>
                </c:pt>
                <c:pt idx="2">
                  <c:v>-70</c:v>
                </c:pt>
                <c:pt idx="3">
                  <c:v>-90</c:v>
                </c:pt>
                <c:pt idx="4">
                  <c:v>-110</c:v>
                </c:pt>
                <c:pt idx="5">
                  <c:v>-130</c:v>
                </c:pt>
                <c:pt idx="6">
                  <c:v>-150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0-4524-A5E2-24B26099530A}"/>
            </c:ext>
          </c:extLst>
        </c:ser>
        <c:ser>
          <c:idx val="1"/>
          <c:order val="1"/>
          <c:tx>
            <c:strRef>
              <c:f>CombiningData1!$D$27</c:f>
              <c:strCache>
                <c:ptCount val="1"/>
                <c:pt idx="0">
                  <c:v>逓倍劣化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CombiningData1!$B$28:$B$34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CombiningData1!$D$28:$D$34</c:f>
              <c:numCache>
                <c:formatCode>General</c:formatCode>
                <c:ptCount val="7"/>
                <c:pt idx="0">
                  <c:v>-48.457574905606748</c:v>
                </c:pt>
                <c:pt idx="1">
                  <c:v>-72.457574905606748</c:v>
                </c:pt>
                <c:pt idx="2">
                  <c:v>-95.457574905606748</c:v>
                </c:pt>
                <c:pt idx="3">
                  <c:v>-107.45757490560675</c:v>
                </c:pt>
                <c:pt idx="4">
                  <c:v>-110.45757490560675</c:v>
                </c:pt>
                <c:pt idx="5">
                  <c:v>-115.45757490560675</c:v>
                </c:pt>
                <c:pt idx="6">
                  <c:v>-120.45757490560675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0-4524-A5E2-24B260995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4224"/>
        <c:axId val="560871664"/>
      </c:scatterChart>
      <c:valAx>
        <c:axId val="560874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1664"/>
        <c:crossesAt val="-1000"/>
        <c:crossBetween val="midCat"/>
      </c:valAx>
      <c:valAx>
        <c:axId val="5608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4224"/>
        <c:crossesAt val="1.0000000000000004E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|T|[dB]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CombiningData1!$U$16</c:f>
              <c:strCache>
                <c:ptCount val="1"/>
                <c:pt idx="0">
                  <c:v>|1/(1+T)|[dB]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CombiningData1!$B$17:$B$23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CombiningData1!$U$17:$U$23</c:f>
              <c:numCache>
                <c:formatCode>General</c:formatCode>
                <c:ptCount val="7"/>
                <c:pt idx="0">
                  <c:v>-146.53518541995473</c:v>
                </c:pt>
                <c:pt idx="1">
                  <c:v>-106.53598278616812</c:v>
                </c:pt>
                <c:pt idx="2">
                  <c:v>-66.614989094398865</c:v>
                </c:pt>
                <c:pt idx="3">
                  <c:v>-31.090889476996402</c:v>
                </c:pt>
                <c:pt idx="4">
                  <c:v>-9.2618047619231962</c:v>
                </c:pt>
                <c:pt idx="5">
                  <c:v>1.2650044158577134</c:v>
                </c:pt>
                <c:pt idx="6">
                  <c:v>1.8540059513519003E-2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6-42F7-A8C7-AD784A81939C}"/>
            </c:ext>
          </c:extLst>
        </c:ser>
        <c:ser>
          <c:idx val="1"/>
          <c:order val="1"/>
          <c:tx>
            <c:strRef>
              <c:f>CombiningData1!$W$16</c:f>
              <c:strCache>
                <c:ptCount val="1"/>
                <c:pt idx="0">
                  <c:v>|T/(1+T)|[dB]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CombiningData1!$B$17:$B$23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CombiningData1!$W$17:$W$23</c:f>
              <c:numCache>
                <c:formatCode>General</c:formatCode>
                <c:ptCount val="7"/>
                <c:pt idx="0">
                  <c:v>4.0931211625009606E-7</c:v>
                </c:pt>
                <c:pt idx="1">
                  <c:v>4.0923489406737868E-5</c:v>
                </c:pt>
                <c:pt idx="2">
                  <c:v>4.0165583140900326E-3</c:v>
                </c:pt>
                <c:pt idx="3">
                  <c:v>0.14044383532518712</c:v>
                </c:pt>
                <c:pt idx="4">
                  <c:v>0.11187498513285241</c:v>
                </c:pt>
                <c:pt idx="5">
                  <c:v>-13.941174090964392</c:v>
                </c:pt>
                <c:pt idx="6">
                  <c:v>-53.382522543709783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6-42F7-A8C7-AD784A81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4224"/>
        <c:axId val="560871664"/>
      </c:scatterChart>
      <c:valAx>
        <c:axId val="560874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1664"/>
        <c:crossesAt val="-1000"/>
        <c:crossBetween val="midCat"/>
      </c:valAx>
      <c:valAx>
        <c:axId val="5608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4224"/>
        <c:crossesAt val="1.0000000000000004E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CombiningData1!$N$39</c:f>
              <c:strCache>
                <c:ptCount val="1"/>
                <c:pt idx="0">
                  <c:v>出力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CombiningData1!$B$40:$B$46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CombiningData1!$N$40:$N$46</c:f>
              <c:numCache>
                <c:formatCode>General</c:formatCode>
                <c:ptCount val="7"/>
                <c:pt idx="0">
                  <c:v>-176.53518541995473</c:v>
                </c:pt>
                <c:pt idx="1">
                  <c:v>-156.53598278616812</c:v>
                </c:pt>
                <c:pt idx="2">
                  <c:v>-136.61498909439888</c:v>
                </c:pt>
                <c:pt idx="3">
                  <c:v>-121.09088947699641</c:v>
                </c:pt>
                <c:pt idx="4">
                  <c:v>-119.2618047619232</c:v>
                </c:pt>
                <c:pt idx="5">
                  <c:v>-128.7349955841423</c:v>
                </c:pt>
                <c:pt idx="6">
                  <c:v>-149.98145994048647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D-43B7-BAE6-0E796B55AE34}"/>
            </c:ext>
          </c:extLst>
        </c:ser>
        <c:ser>
          <c:idx val="1"/>
          <c:order val="1"/>
          <c:tx>
            <c:strRef>
              <c:f>CombiningData1!$N$27</c:f>
              <c:strCache>
                <c:ptCount val="1"/>
                <c:pt idx="0">
                  <c:v>出力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CombiningData1!$B$28:$B$34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CombiningData1!$N$28:$N$34</c:f>
              <c:numCache>
                <c:formatCode>General</c:formatCode>
                <c:ptCount val="7"/>
                <c:pt idx="0">
                  <c:v>-48.457574496294633</c:v>
                </c:pt>
                <c:pt idx="1">
                  <c:v>-72.45753398211734</c:v>
                </c:pt>
                <c:pt idx="2">
                  <c:v>-95.453558347292656</c:v>
                </c:pt>
                <c:pt idx="3">
                  <c:v>-107.31713107028156</c:v>
                </c:pt>
                <c:pt idx="4">
                  <c:v>-110.34569992047389</c:v>
                </c:pt>
                <c:pt idx="5">
                  <c:v>-129.39874899657113</c:v>
                </c:pt>
                <c:pt idx="6">
                  <c:v>-173.84009744931654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D-43B7-BAE6-0E796B55AE34}"/>
            </c:ext>
          </c:extLst>
        </c:ser>
        <c:ser>
          <c:idx val="2"/>
          <c:order val="2"/>
          <c:tx>
            <c:strRef>
              <c:f>CombiningData1!$C$53</c:f>
              <c:strCache>
                <c:ptCount val="1"/>
                <c:pt idx="0">
                  <c:v>-48.4575745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CombiningData1!$B$53:$B$59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CombiningData1!$C$53:$C$59</c:f>
              <c:numCache>
                <c:formatCode>General</c:formatCode>
                <c:ptCount val="7"/>
                <c:pt idx="0">
                  <c:v>-48.457574496293958</c:v>
                </c:pt>
                <c:pt idx="1">
                  <c:v>-72.457533965137287</c:v>
                </c:pt>
                <c:pt idx="2">
                  <c:v>-95.453225975149181</c:v>
                </c:pt>
                <c:pt idx="3">
                  <c:v>-107.13870567890228</c:v>
                </c:pt>
                <c:pt idx="4">
                  <c:v>-109.82126881930756</c:v>
                </c:pt>
                <c:pt idx="5">
                  <c:v>-126.04390407275352</c:v>
                </c:pt>
                <c:pt idx="6">
                  <c:v>-149.96363496231541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D-43B7-BAE6-0E796B55A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4224"/>
        <c:axId val="560871664"/>
      </c:scatterChart>
      <c:valAx>
        <c:axId val="560874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1664"/>
        <c:crossesAt val="-1000"/>
        <c:crossBetween val="midCat"/>
      </c:valAx>
      <c:valAx>
        <c:axId val="5608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4224"/>
        <c:crossesAt val="1.0000000000000004E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グラフ タイトル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CombiningData1!$O$16</c:f>
              <c:strCache>
                <c:ptCount val="1"/>
                <c:pt idx="0">
                  <c:v>|F|[dB]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CombiningData1!$B$17:$B$23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CombiningData1!$O$17:$O$23</c:f>
              <c:numCache>
                <c:formatCode>General</c:formatCode>
                <c:ptCount val="7"/>
                <c:pt idx="0">
                  <c:v>84.036411097100867</c:v>
                </c:pt>
                <c:pt idx="1">
                  <c:v>64.037248977491501</c:v>
                </c:pt>
                <c:pt idx="2">
                  <c:v>44.120230920546987</c:v>
                </c:pt>
                <c:pt idx="3">
                  <c:v>28.732558580155604</c:v>
                </c:pt>
                <c:pt idx="4">
                  <c:v>26.874905014890054</c:v>
                </c:pt>
                <c:pt idx="5">
                  <c:v>22.295046761011896</c:v>
                </c:pt>
                <c:pt idx="6">
                  <c:v>4.100162664610691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5-4F89-A8A6-A3C21FDE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4224"/>
        <c:axId val="560871664"/>
      </c:scatterChart>
      <c:scatterChart>
        <c:scatterStyle val="lineMarker"/>
        <c:varyColors val="0"/>
        <c:ser>
          <c:idx val="1"/>
          <c:order val="1"/>
          <c:tx>
            <c:strRef>
              <c:f>CombiningData1!$P$16</c:f>
              <c:strCache>
                <c:ptCount val="1"/>
                <c:pt idx="0">
                  <c:v>Ang[deg]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CombiningData1!$B$17:$B$23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CombiningData1!$P$17:$P$23</c:f>
              <c:numCache>
                <c:formatCode>General</c:formatCode>
                <c:ptCount val="7"/>
                <c:pt idx="0">
                  <c:v>-89.920800051972336</c:v>
                </c:pt>
                <c:pt idx="1">
                  <c:v>-89.208051966317043</c:v>
                </c:pt>
                <c:pt idx="2">
                  <c:v>-82.131372914279694</c:v>
                </c:pt>
                <c:pt idx="3">
                  <c:v>-36.40479597190037</c:v>
                </c:pt>
                <c:pt idx="4">
                  <c:v>-11.967048187753649</c:v>
                </c:pt>
                <c:pt idx="5">
                  <c:v>-54.527220600622535</c:v>
                </c:pt>
                <c:pt idx="6">
                  <c:v>-85.903289965097528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5-4F89-A8A6-A3C21FDE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29712"/>
        <c:axId val="506325552"/>
      </c:scatterChart>
      <c:valAx>
        <c:axId val="560874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1664"/>
        <c:crossesAt val="-1000"/>
        <c:crossBetween val="midCat"/>
      </c:valAx>
      <c:valAx>
        <c:axId val="560871664"/>
        <c:scaling>
          <c:orientation val="minMax"/>
          <c:max val="1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4224"/>
        <c:crossesAt val="1.0000000000000004E-5"/>
        <c:crossBetween val="midCat"/>
      </c:valAx>
      <c:valAx>
        <c:axId val="506325552"/>
        <c:scaling>
          <c:orientation val="minMax"/>
          <c:max val="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6329712"/>
        <c:crosses val="max"/>
        <c:crossBetween val="midCat"/>
      </c:valAx>
      <c:valAx>
        <c:axId val="50632971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632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|T|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CombiningData1!$H$16</c:f>
              <c:strCache>
                <c:ptCount val="1"/>
                <c:pt idx="0">
                  <c:v>|T|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CombiningData1!$B$17:$B$23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CombiningData1!$H$17:$H$23</c:f>
              <c:numCache>
                <c:formatCode>General</c:formatCode>
                <c:ptCount val="7"/>
                <c:pt idx="0">
                  <c:v>84.036402632837678</c:v>
                </c:pt>
                <c:pt idx="1">
                  <c:v>64.036402632837678</c:v>
                </c:pt>
                <c:pt idx="2">
                  <c:v>44.036402632837685</c:v>
                </c:pt>
                <c:pt idx="3">
                  <c:v>24.036402632837678</c:v>
                </c:pt>
                <c:pt idx="4">
                  <c:v>4.0364026328376807</c:v>
                </c:pt>
                <c:pt idx="5">
                  <c:v>-15.963597367162318</c:v>
                </c:pt>
                <c:pt idx="6">
                  <c:v>-35.963597367162322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9-4D35-ACE8-F48BA786427F}"/>
            </c:ext>
          </c:extLst>
        </c:ser>
        <c:ser>
          <c:idx val="1"/>
          <c:order val="1"/>
          <c:tx>
            <c:strRef>
              <c:f>CombiningData1!$I$16</c:f>
              <c:strCache>
                <c:ptCount val="1"/>
                <c:pt idx="0">
                  <c:v>|T|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CombiningData1!$B$17:$B$23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CombiningData1!$I$17:$I$23</c:f>
              <c:numCache>
                <c:formatCode>General</c:formatCode>
                <c:ptCount val="7"/>
                <c:pt idx="0">
                  <c:v>8.4650930050057873E-6</c:v>
                </c:pt>
                <c:pt idx="1">
                  <c:v>8.4642763687472317E-4</c:v>
                </c:pt>
                <c:pt idx="2">
                  <c:v>8.3836586006671682E-2</c:v>
                </c:pt>
                <c:pt idx="3">
                  <c:v>4.6969856985795735</c:v>
                </c:pt>
                <c:pt idx="4">
                  <c:v>22.920702590086385</c:v>
                </c:pt>
                <c:pt idx="5">
                  <c:v>42.898701264460556</c:v>
                </c:pt>
                <c:pt idx="6">
                  <c:v>62.898480687367844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9-4D35-ACE8-F48BA786427F}"/>
            </c:ext>
          </c:extLst>
        </c:ser>
        <c:ser>
          <c:idx val="2"/>
          <c:order val="2"/>
          <c:tx>
            <c:strRef>
              <c:f>CombiningData1!$J$16</c:f>
              <c:strCache>
                <c:ptCount val="1"/>
                <c:pt idx="0">
                  <c:v>|T|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CombiningData1!$B$17:$B$23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CombiningData1!$J$17:$J$23</c:f>
              <c:numCache>
                <c:formatCode>General</c:formatCode>
                <c:ptCount val="7"/>
                <c:pt idx="0">
                  <c:v>-8.2983464348767368E-10</c:v>
                </c:pt>
                <c:pt idx="1">
                  <c:v>-8.298305393770338E-8</c:v>
                </c:pt>
                <c:pt idx="2">
                  <c:v>-8.2982973884342798E-6</c:v>
                </c:pt>
                <c:pt idx="3">
                  <c:v>-8.2975126166244214E-4</c:v>
                </c:pt>
                <c:pt idx="4">
                  <c:v>-8.2200208034019451E-2</c:v>
                </c:pt>
                <c:pt idx="5">
                  <c:v>-4.6400571362863445</c:v>
                </c:pt>
                <c:pt idx="6">
                  <c:v>-22.834720655594822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9-4D35-ACE8-F48BA7864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4224"/>
        <c:axId val="560871664"/>
      </c:scatterChart>
      <c:valAx>
        <c:axId val="560874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1664"/>
        <c:crossesAt val="-1000"/>
        <c:crossBetween val="midCat"/>
      </c:valAx>
      <c:valAx>
        <c:axId val="5608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4224"/>
        <c:crossesAt val="1.0000000000000004E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|T|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CombiningData1!$K$16</c:f>
              <c:strCache>
                <c:ptCount val="1"/>
                <c:pt idx="0">
                  <c:v>Tdeg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CombiningData1!$B$17:$B$23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CombiningData1!$K$17:$K$23</c:f>
              <c:numCache>
                <c:formatCode>General</c:formatCode>
                <c:ptCount val="7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F-47E4-976A-49D8E4C00DB2}"/>
            </c:ext>
          </c:extLst>
        </c:ser>
        <c:ser>
          <c:idx val="1"/>
          <c:order val="1"/>
          <c:tx>
            <c:strRef>
              <c:f>CombiningData1!$L$16</c:f>
              <c:strCache>
                <c:ptCount val="1"/>
                <c:pt idx="0">
                  <c:v>Tdeg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CombiningData1!$B$17:$B$23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CombiningData1!$L$17:$L$23</c:f>
              <c:numCache>
                <c:formatCode>General</c:formatCode>
                <c:ptCount val="7"/>
                <c:pt idx="0">
                  <c:v>7.9991948027615764E-2</c:v>
                </c:pt>
                <c:pt idx="1">
                  <c:v>0.7998680336325219</c:v>
                </c:pt>
                <c:pt idx="2">
                  <c:v>7.9478270352764326</c:v>
                </c:pt>
                <c:pt idx="3">
                  <c:v>54.387153589939224</c:v>
                </c:pt>
                <c:pt idx="4">
                  <c:v>85.90307840808002</c:v>
                </c:pt>
                <c:pt idx="5">
                  <c:v>89.589615185111725</c:v>
                </c:pt>
                <c:pt idx="6">
                  <c:v>89.95896082372478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2F-47E4-976A-49D8E4C00DB2}"/>
            </c:ext>
          </c:extLst>
        </c:ser>
        <c:ser>
          <c:idx val="2"/>
          <c:order val="2"/>
          <c:tx>
            <c:strRef>
              <c:f>CombiningData1!$M$16</c:f>
              <c:strCache>
                <c:ptCount val="1"/>
                <c:pt idx="0">
                  <c:v>Tdeg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CombiningData1!$B$17:$B$23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CombiningData1!$M$17:$M$23</c:f>
              <c:numCache>
                <c:formatCode>General</c:formatCode>
                <c:ptCount val="7"/>
                <c:pt idx="0">
                  <c:v>-7.9199999994955929E-4</c:v>
                </c:pt>
                <c:pt idx="1">
                  <c:v>-7.9199999495560437E-3</c:v>
                </c:pt>
                <c:pt idx="2">
                  <c:v>-7.9199949556114771E-2</c:v>
                </c:pt>
                <c:pt idx="3">
                  <c:v>-0.79194956183949805</c:v>
                </c:pt>
                <c:pt idx="4">
                  <c:v>-7.8701265958336757</c:v>
                </c:pt>
                <c:pt idx="5">
                  <c:v>-54.116835785734288</c:v>
                </c:pt>
                <c:pt idx="6">
                  <c:v>-85.862250788822308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2F-47E4-976A-49D8E4C00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4224"/>
        <c:axId val="560871664"/>
      </c:scatterChart>
      <c:valAx>
        <c:axId val="560874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1664"/>
        <c:crossesAt val="-1000"/>
        <c:crossBetween val="midCat"/>
      </c:valAx>
      <c:valAx>
        <c:axId val="5608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4224"/>
        <c:crossesAt val="1.0000000000000004E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グラフ タイトル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Sheet1!$L$14</c:f>
              <c:strCache>
                <c:ptCount val="1"/>
                <c:pt idx="0">
                  <c:v>cl noise[dB]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Sheet1!$L$15:$L$19</c:f>
              <c:numCache>
                <c:formatCode>0.00000000_ </c:formatCode>
                <c:ptCount val="5"/>
                <c:pt idx="0">
                  <c:v>-99.912703891950997</c:v>
                </c:pt>
                <c:pt idx="1">
                  <c:v>-99.226190346310133</c:v>
                </c:pt>
                <c:pt idx="2">
                  <c:v>-97.677393124941318</c:v>
                </c:pt>
                <c:pt idx="3">
                  <c:v>-119.22619034631015</c:v>
                </c:pt>
                <c:pt idx="4">
                  <c:v>-139.912703891951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9-4DA9-87D6-F96F4ABA4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4224"/>
        <c:axId val="560871664"/>
      </c:scatterChart>
      <c:valAx>
        <c:axId val="560874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1664"/>
        <c:crossesAt val="-1000"/>
        <c:crossBetween val="midCat"/>
      </c:valAx>
      <c:valAx>
        <c:axId val="5608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4224"/>
        <c:crossesAt val="1.0000000000000004E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グラフ タイトル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Sheet1!$L$14</c:f>
              <c:strCache>
                <c:ptCount val="1"/>
                <c:pt idx="0">
                  <c:v>cl noise[dB]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Sheet1!$B$22:$B$26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Sheet1!$L$22:$L$26</c:f>
              <c:numCache>
                <c:formatCode>0.00000000_ </c:formatCode>
                <c:ptCount val="5"/>
                <c:pt idx="0">
                  <c:v>-79.912703891950997</c:v>
                </c:pt>
                <c:pt idx="1">
                  <c:v>-89.226190346310162</c:v>
                </c:pt>
                <c:pt idx="2">
                  <c:v>-97.677393124941318</c:v>
                </c:pt>
                <c:pt idx="3">
                  <c:v>-119.22619034631013</c:v>
                </c:pt>
                <c:pt idx="4">
                  <c:v>-139.912703891951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B-43B5-AA11-C9F6393EB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4224"/>
        <c:axId val="560871664"/>
      </c:scatterChart>
      <c:valAx>
        <c:axId val="560874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1664"/>
        <c:crossesAt val="-1000"/>
        <c:crossBetween val="midCat"/>
      </c:valAx>
      <c:valAx>
        <c:axId val="5608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4224"/>
        <c:crossesAt val="1.0000000000000004E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グラフ タイトル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CombiningDataNoPhaseMargine!$O$16</c:f>
              <c:strCache>
                <c:ptCount val="1"/>
                <c:pt idx="0">
                  <c:v>|F|[dB]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CombiningDataNoPhaseMargine!$B$17:$B$23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CombiningDataNoPhaseMargine!$O$17:$O$23</c:f>
              <c:numCache>
                <c:formatCode>General</c:formatCode>
                <c:ptCount val="7"/>
                <c:pt idx="0">
                  <c:v>63.746032824559649</c:v>
                </c:pt>
                <c:pt idx="1">
                  <c:v>43.750086633668403</c:v>
                </c:pt>
                <c:pt idx="2">
                  <c:v>24.137472134409379</c:v>
                </c:pt>
                <c:pt idx="3">
                  <c:v>13.926461567940683</c:v>
                </c:pt>
                <c:pt idx="4">
                  <c:v>13.113387841681387</c:v>
                </c:pt>
                <c:pt idx="5">
                  <c:v>3.3865549868595739</c:v>
                </c:pt>
                <c:pt idx="6">
                  <c:v>-16.172273731513986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3-4F6D-9A34-E2ABFF22F980}"/>
            </c:ext>
          </c:extLst>
        </c:ser>
        <c:ser>
          <c:idx val="1"/>
          <c:order val="1"/>
          <c:tx>
            <c:strRef>
              <c:f>CombiningDataNoPhaseMargine!$R$16</c:f>
              <c:strCache>
                <c:ptCount val="1"/>
                <c:pt idx="0">
                  <c:v>|T|[dB]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CombiningDataNoPhaseMargine!$B$17:$B$23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CombiningDataNoPhaseMargine!$R$17:$R$23</c:f>
              <c:numCache>
                <c:formatCode>General</c:formatCode>
                <c:ptCount val="7"/>
                <c:pt idx="0">
                  <c:v>126.24480755672563</c:v>
                </c:pt>
                <c:pt idx="1">
                  <c:v>86.248861365834387</c:v>
                </c:pt>
                <c:pt idx="2">
                  <c:v>46.636246866575362</c:v>
                </c:pt>
                <c:pt idx="3">
                  <c:v>16.425236300106665</c:v>
                </c:pt>
                <c:pt idx="4">
                  <c:v>-4.3878374261526245</c:v>
                </c:pt>
                <c:pt idx="5">
                  <c:v>-34.114670280974458</c:v>
                </c:pt>
                <c:pt idx="6">
                  <c:v>-73.673498999347999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93-4F6D-9A34-E2ABFF22F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4224"/>
        <c:axId val="560871664"/>
      </c:scatterChart>
      <c:valAx>
        <c:axId val="560874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1664"/>
        <c:crossesAt val="-1000"/>
        <c:crossBetween val="midCat"/>
      </c:valAx>
      <c:valAx>
        <c:axId val="5608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4224"/>
        <c:crossesAt val="1.0000000000000004E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CombiningDataNoPhaseMargine!$C$39</c:f>
              <c:strCache>
                <c:ptCount val="1"/>
                <c:pt idx="0">
                  <c:v>PN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CombiningDataNoPhaseMargine!$B$40:$B$46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CombiningDataNoPhaseMargine!$C$40:$C$46</c:f>
              <c:numCache>
                <c:formatCode>General</c:formatCode>
                <c:ptCount val="7"/>
                <c:pt idx="0">
                  <c:v>-30</c:v>
                </c:pt>
                <c:pt idx="1">
                  <c:v>-50</c:v>
                </c:pt>
                <c:pt idx="2">
                  <c:v>-70</c:v>
                </c:pt>
                <c:pt idx="3">
                  <c:v>-90</c:v>
                </c:pt>
                <c:pt idx="4">
                  <c:v>-110</c:v>
                </c:pt>
                <c:pt idx="5">
                  <c:v>-130</c:v>
                </c:pt>
                <c:pt idx="6">
                  <c:v>-150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F-4DC9-9196-B3D2CE702E22}"/>
            </c:ext>
          </c:extLst>
        </c:ser>
        <c:ser>
          <c:idx val="1"/>
          <c:order val="1"/>
          <c:tx>
            <c:strRef>
              <c:f>CombiningDataNoPhaseMargine!$D$27</c:f>
              <c:strCache>
                <c:ptCount val="1"/>
                <c:pt idx="0">
                  <c:v>逓倍劣化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CombiningDataNoPhaseMargine!$B$28:$B$34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CombiningDataNoPhaseMargine!$D$28:$D$34</c:f>
              <c:numCache>
                <c:formatCode>General</c:formatCode>
                <c:ptCount val="7"/>
                <c:pt idx="0">
                  <c:v>-48.457574905606748</c:v>
                </c:pt>
                <c:pt idx="1">
                  <c:v>-72.457574905606748</c:v>
                </c:pt>
                <c:pt idx="2">
                  <c:v>-95.457574905606748</c:v>
                </c:pt>
                <c:pt idx="3">
                  <c:v>-107.45757490560675</c:v>
                </c:pt>
                <c:pt idx="4">
                  <c:v>-110.45757490560675</c:v>
                </c:pt>
                <c:pt idx="5">
                  <c:v>-115.45757490560675</c:v>
                </c:pt>
                <c:pt idx="6">
                  <c:v>-120.45757490560675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F-4DC9-9196-B3D2CE70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4224"/>
        <c:axId val="560871664"/>
      </c:scatterChart>
      <c:valAx>
        <c:axId val="560874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1664"/>
        <c:crossesAt val="-1000"/>
        <c:crossBetween val="midCat"/>
      </c:valAx>
      <c:valAx>
        <c:axId val="5608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4224"/>
        <c:crossesAt val="1.0000000000000004E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|T|[dB]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CombiningDataNoPhaseMargine!$T$16</c:f>
              <c:strCache>
                <c:ptCount val="1"/>
                <c:pt idx="0">
                  <c:v>|1/(1+T)|[dB]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CombiningDataNoPhaseMargine!$B$17:$B$23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CombiningDataNoPhaseMargine!$T$17:$T$23</c:f>
              <c:numCache>
                <c:formatCode>General</c:formatCode>
                <c:ptCount val="7"/>
                <c:pt idx="0">
                  <c:v>-126.24480332446868</c:v>
                </c:pt>
                <c:pt idx="1">
                  <c:v>-86.248438520953215</c:v>
                </c:pt>
                <c:pt idx="2">
                  <c:v>-46.597457827400021</c:v>
                </c:pt>
                <c:pt idx="3">
                  <c:v>-16.066194782473165</c:v>
                </c:pt>
                <c:pt idx="4">
                  <c:v>0.10732513139557265</c:v>
                </c:pt>
                <c:pt idx="5">
                  <c:v>0.16402243993424925</c:v>
                </c:pt>
                <c:pt idx="6">
                  <c:v>1.7986813261271E-3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D-4A70-A5CD-2BD5B8DBF021}"/>
            </c:ext>
          </c:extLst>
        </c:ser>
        <c:ser>
          <c:idx val="1"/>
          <c:order val="1"/>
          <c:tx>
            <c:strRef>
              <c:f>CombiningDataNoPhaseMargine!$V$16</c:f>
              <c:strCache>
                <c:ptCount val="1"/>
                <c:pt idx="0">
                  <c:v>|T/(1+T)|[dB]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CombiningDataNoPhaseMargine!$B$17:$B$23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CombiningDataNoPhaseMargine!$V$17:$V$23</c:f>
              <c:numCache>
                <c:formatCode>General</c:formatCode>
                <c:ptCount val="7"/>
                <c:pt idx="0">
                  <c:v>4.2322569781601237E-6</c:v>
                </c:pt>
                <c:pt idx="1">
                  <c:v>4.2284488121916721E-4</c:v>
                </c:pt>
                <c:pt idx="2">
                  <c:v>3.8789039175320228E-2</c:v>
                </c:pt>
                <c:pt idx="3">
                  <c:v>0.35904151763351183</c:v>
                </c:pt>
                <c:pt idx="4">
                  <c:v>-4.280512294757056</c:v>
                </c:pt>
                <c:pt idx="5">
                  <c:v>-33.950647841040222</c:v>
                </c:pt>
                <c:pt idx="6">
                  <c:v>-73.671700318021877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D-4A70-A5CD-2BD5B8DB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4224"/>
        <c:axId val="560871664"/>
      </c:scatterChart>
      <c:valAx>
        <c:axId val="560874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1664"/>
        <c:crossesAt val="-1000"/>
        <c:crossBetween val="midCat"/>
      </c:valAx>
      <c:valAx>
        <c:axId val="5608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4224"/>
        <c:crossesAt val="1.0000000000000004E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CombiningDataNoPhaseMargine!$N$39</c:f>
              <c:strCache>
                <c:ptCount val="1"/>
                <c:pt idx="0">
                  <c:v>出力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CombiningDataNoPhaseMargine!$B$40:$B$46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CombiningDataNoPhaseMargine!$N$40:$N$46</c:f>
              <c:numCache>
                <c:formatCode>General</c:formatCode>
                <c:ptCount val="7"/>
                <c:pt idx="0">
                  <c:v>-156.24480332446868</c:v>
                </c:pt>
                <c:pt idx="1">
                  <c:v>-136.24843852095321</c:v>
                </c:pt>
                <c:pt idx="2">
                  <c:v>-116.59745782740002</c:v>
                </c:pt>
                <c:pt idx="3">
                  <c:v>-106.06619478247316</c:v>
                </c:pt>
                <c:pt idx="4">
                  <c:v>-109.89267486860443</c:v>
                </c:pt>
                <c:pt idx="5">
                  <c:v>-129.83597756006574</c:v>
                </c:pt>
                <c:pt idx="6">
                  <c:v>-149.99820131867386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0-4A09-A72F-5283F886039D}"/>
            </c:ext>
          </c:extLst>
        </c:ser>
        <c:ser>
          <c:idx val="1"/>
          <c:order val="1"/>
          <c:tx>
            <c:strRef>
              <c:f>CombiningDataNoPhaseMargine!$N$27</c:f>
              <c:strCache>
                <c:ptCount val="1"/>
                <c:pt idx="0">
                  <c:v>出力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CombiningDataNoPhaseMargine!$B$28:$B$34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CombiningDataNoPhaseMargine!$N$28:$N$34</c:f>
              <c:numCache>
                <c:formatCode>General</c:formatCode>
                <c:ptCount val="7"/>
                <c:pt idx="0">
                  <c:v>-48.457570673349771</c:v>
                </c:pt>
                <c:pt idx="1">
                  <c:v>-72.457152060725534</c:v>
                </c:pt>
                <c:pt idx="2">
                  <c:v>-95.418785866431435</c:v>
                </c:pt>
                <c:pt idx="3">
                  <c:v>-107.09853338797323</c:v>
                </c:pt>
                <c:pt idx="4">
                  <c:v>-114.73808720036381</c:v>
                </c:pt>
                <c:pt idx="5">
                  <c:v>-149.40822274664697</c:v>
                </c:pt>
                <c:pt idx="6">
                  <c:v>-194.12927522362861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0-4A09-A72F-5283F886039D}"/>
            </c:ext>
          </c:extLst>
        </c:ser>
        <c:ser>
          <c:idx val="2"/>
          <c:order val="2"/>
          <c:tx>
            <c:strRef>
              <c:f>CombiningDataNoPhaseMargine!$C$53</c:f>
              <c:strCache>
                <c:ptCount val="1"/>
                <c:pt idx="0">
                  <c:v>-48.45757067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CombiningDataNoPhaseMargine!$B$53:$B$59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CombiningDataNoPhaseMargine!$C$53:$C$59</c:f>
              <c:numCache>
                <c:formatCode>General</c:formatCode>
                <c:ptCount val="7"/>
                <c:pt idx="0">
                  <c:v>-48.457570673277488</c:v>
                </c:pt>
                <c:pt idx="1">
                  <c:v>-72.457150246649149</c:v>
                </c:pt>
                <c:pt idx="2">
                  <c:v>-95.385804624180594</c:v>
                </c:pt>
                <c:pt idx="3">
                  <c:v>-103.5414621003334</c:v>
                </c:pt>
                <c:pt idx="4">
                  <c:v>-108.66171893933704</c:v>
                </c:pt>
                <c:pt idx="5">
                  <c:v>-129.78831531439309</c:v>
                </c:pt>
                <c:pt idx="6">
                  <c:v>-149.99803356635462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0-4A09-A72F-5283F8860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4224"/>
        <c:axId val="560871664"/>
      </c:scatterChart>
      <c:valAx>
        <c:axId val="560874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1664"/>
        <c:crossesAt val="-1000"/>
        <c:crossBetween val="midCat"/>
      </c:valAx>
      <c:valAx>
        <c:axId val="5608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4224"/>
        <c:crossesAt val="1.0000000000000004E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グラフ タイトル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CombiningDataNoPhaseMargine!$O$16</c:f>
              <c:strCache>
                <c:ptCount val="1"/>
                <c:pt idx="0">
                  <c:v>|F|[dB]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CombiningDataNoPhaseMargine!$B$17:$B$23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CombiningDataNoPhaseMargine!$O$17:$O$23</c:f>
              <c:numCache>
                <c:formatCode>General</c:formatCode>
                <c:ptCount val="7"/>
                <c:pt idx="0">
                  <c:v>63.746032824559649</c:v>
                </c:pt>
                <c:pt idx="1">
                  <c:v>43.750086633668403</c:v>
                </c:pt>
                <c:pt idx="2">
                  <c:v>24.137472134409379</c:v>
                </c:pt>
                <c:pt idx="3">
                  <c:v>13.926461567940683</c:v>
                </c:pt>
                <c:pt idx="4">
                  <c:v>13.113387841681387</c:v>
                </c:pt>
                <c:pt idx="5">
                  <c:v>3.3865549868595739</c:v>
                </c:pt>
                <c:pt idx="6">
                  <c:v>-16.172273731513986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C-467C-928F-A97D97894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4224"/>
        <c:axId val="560871664"/>
      </c:scatterChart>
      <c:scatterChart>
        <c:scatterStyle val="lineMarker"/>
        <c:varyColors val="0"/>
        <c:ser>
          <c:idx val="1"/>
          <c:order val="1"/>
          <c:tx>
            <c:strRef>
              <c:f>CombiningDataNoPhaseMargine!$P$16</c:f>
              <c:strCache>
                <c:ptCount val="1"/>
                <c:pt idx="0">
                  <c:v>Ang[deg]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CombiningDataNoPhaseMargine!$B$17:$B$23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CombiningDataNoPhaseMargine!$P$17:$P$23</c:f>
              <c:numCache>
                <c:formatCode>General</c:formatCode>
                <c:ptCount val="7"/>
                <c:pt idx="0">
                  <c:v>-89.825760553398922</c:v>
                </c:pt>
                <c:pt idx="1">
                  <c:v>-88.258153089019856</c:v>
                </c:pt>
                <c:pt idx="2">
                  <c:v>-73.100044456044486</c:v>
                </c:pt>
                <c:pt idx="3">
                  <c:v>-19.775908578067163</c:v>
                </c:pt>
                <c:pt idx="4">
                  <c:v>-18.779598788939502</c:v>
                </c:pt>
                <c:pt idx="5">
                  <c:v>-71.983994270340872</c:v>
                </c:pt>
                <c:pt idx="6">
                  <c:v>-88.135261224092147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AC-467C-928F-A97D97894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29712"/>
        <c:axId val="506325552"/>
      </c:scatterChart>
      <c:valAx>
        <c:axId val="560874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1664"/>
        <c:crossesAt val="-1000"/>
        <c:crossBetween val="midCat"/>
      </c:valAx>
      <c:valAx>
        <c:axId val="560871664"/>
        <c:scaling>
          <c:orientation val="minMax"/>
          <c:max val="1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4224"/>
        <c:crossesAt val="1.0000000000000004E-5"/>
        <c:crossBetween val="midCat"/>
      </c:valAx>
      <c:valAx>
        <c:axId val="506325552"/>
        <c:scaling>
          <c:orientation val="minMax"/>
          <c:max val="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6329712"/>
        <c:crosses val="max"/>
        <c:crossBetween val="midCat"/>
      </c:valAx>
      <c:valAx>
        <c:axId val="50632971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632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|T|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CombiningDataNoPhaseMargine!$H$16</c:f>
              <c:strCache>
                <c:ptCount val="1"/>
                <c:pt idx="0">
                  <c:v>|T|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CombiningDataNoPhaseMargine!$B$17:$B$23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CombiningDataNoPhaseMargine!$H$17:$H$23</c:f>
              <c:numCache>
                <c:formatCode>General</c:formatCode>
                <c:ptCount val="7"/>
                <c:pt idx="0">
                  <c:v>63.745991857679208</c:v>
                </c:pt>
                <c:pt idx="1">
                  <c:v>43.745991857679208</c:v>
                </c:pt>
                <c:pt idx="2">
                  <c:v>23.745991857679204</c:v>
                </c:pt>
                <c:pt idx="3">
                  <c:v>3.7459918576792059</c:v>
                </c:pt>
                <c:pt idx="4">
                  <c:v>-16.254008142320792</c:v>
                </c:pt>
                <c:pt idx="5">
                  <c:v>-36.254008142320792</c:v>
                </c:pt>
                <c:pt idx="6">
                  <c:v>-56.254008142320792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6-45CF-A9BF-13812327CF3E}"/>
            </c:ext>
          </c:extLst>
        </c:ser>
        <c:ser>
          <c:idx val="1"/>
          <c:order val="1"/>
          <c:tx>
            <c:strRef>
              <c:f>CombiningDataNoPhaseMargine!$I$16</c:f>
              <c:strCache>
                <c:ptCount val="1"/>
                <c:pt idx="0">
                  <c:v>|T|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CombiningDataNoPhaseMargine!$B$17:$B$23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CombiningDataNoPhaseMargine!$I$17:$I$23</c:f>
              <c:numCache>
                <c:formatCode>General</c:formatCode>
                <c:ptCount val="7"/>
                <c:pt idx="0">
                  <c:v>4.0970896811774327E-5</c:v>
                </c:pt>
                <c:pt idx="1">
                  <c:v>4.0951776271186723E-3</c:v>
                </c:pt>
                <c:pt idx="2">
                  <c:v>0.39152044034218492</c:v>
                </c:pt>
                <c:pt idx="3">
                  <c:v>10.184484233993933</c:v>
                </c:pt>
                <c:pt idx="4">
                  <c:v>29.751533168885533</c:v>
                </c:pt>
                <c:pt idx="5">
                  <c:v>49.74697811077278</c:v>
                </c:pt>
                <c:pt idx="6">
                  <c:v>69.746932536056519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0B-4A64-862D-CFC92806D5B4}"/>
            </c:ext>
          </c:extLst>
        </c:ser>
        <c:ser>
          <c:idx val="2"/>
          <c:order val="2"/>
          <c:tx>
            <c:strRef>
              <c:f>CombiningDataNoPhaseMargine!$J$16</c:f>
              <c:strCache>
                <c:ptCount val="1"/>
                <c:pt idx="0">
                  <c:v>|T|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CombiningDataNoPhaseMargine!$B$17:$B$23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CombiningDataNoPhaseMargine!$J$17:$J$23</c:f>
              <c:numCache>
                <c:formatCode>General</c:formatCode>
                <c:ptCount val="7"/>
                <c:pt idx="0">
                  <c:v>-4.0163833973694399E-9</c:v>
                </c:pt>
                <c:pt idx="1">
                  <c:v>-4.0163795644873099E-7</c:v>
                </c:pt>
                <c:pt idx="2">
                  <c:v>-4.0163612020862715E-5</c:v>
                </c:pt>
                <c:pt idx="3">
                  <c:v>-4.0145237324603501E-3</c:v>
                </c:pt>
                <c:pt idx="4">
                  <c:v>-0.38413718488335435</c:v>
                </c:pt>
                <c:pt idx="5">
                  <c:v>-10.106414981592437</c:v>
                </c:pt>
                <c:pt idx="6">
                  <c:v>-29.665198125249717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0B-4A64-862D-CFC92806D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4224"/>
        <c:axId val="560871664"/>
      </c:scatterChart>
      <c:valAx>
        <c:axId val="560874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1664"/>
        <c:crossesAt val="-1000"/>
        <c:crossBetween val="midCat"/>
      </c:valAx>
      <c:valAx>
        <c:axId val="5608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74224"/>
        <c:crossesAt val="1.0000000000000004E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1</xdr:row>
      <xdr:rowOff>11430</xdr:rowOff>
    </xdr:from>
    <xdr:to>
      <xdr:col>22</xdr:col>
      <xdr:colOff>125730</xdr:colOff>
      <xdr:row>13</xdr:row>
      <xdr:rowOff>11430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690EE3-71ED-4296-AA71-B55844623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624840</xdr:colOff>
      <xdr:row>13</xdr:row>
      <xdr:rowOff>121920</xdr:rowOff>
    </xdr:from>
    <xdr:to>
      <xdr:col>25</xdr:col>
      <xdr:colOff>502920</xdr:colOff>
      <xdr:row>25</xdr:row>
      <xdr:rowOff>121920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7A0271-B187-44DF-847E-E1B6F5B75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403860</xdr:colOff>
      <xdr:row>17</xdr:row>
      <xdr:rowOff>38100</xdr:rowOff>
    </xdr:from>
    <xdr:to>
      <xdr:col>19</xdr:col>
      <xdr:colOff>281940</xdr:colOff>
      <xdr:row>29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D29ABAD-DF97-4062-A74E-5C35BE665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628650</xdr:colOff>
      <xdr:row>0</xdr:row>
      <xdr:rowOff>182880</xdr:rowOff>
    </xdr:from>
    <xdr:to>
      <xdr:col>21</xdr:col>
      <xdr:colOff>468630</xdr:colOff>
      <xdr:row>12</xdr:row>
      <xdr:rowOff>182880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9C97141-285F-4553-9C85-09E710008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560070</xdr:colOff>
      <xdr:row>24</xdr:row>
      <xdr:rowOff>45720</xdr:rowOff>
    </xdr:from>
    <xdr:to>
      <xdr:col>22</xdr:col>
      <xdr:colOff>400050</xdr:colOff>
      <xdr:row>36</xdr:row>
      <xdr:rowOff>45720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233CF5F-F66C-4688-9CD0-7150D1AEC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72390</xdr:colOff>
      <xdr:row>13</xdr:row>
      <xdr:rowOff>76200</xdr:rowOff>
    </xdr:from>
    <xdr:to>
      <xdr:col>28</xdr:col>
      <xdr:colOff>621030</xdr:colOff>
      <xdr:row>25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EA31C43-D793-42B0-B593-1561A72C2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678180</xdr:colOff>
      <xdr:row>46</xdr:row>
      <xdr:rowOff>198120</xdr:rowOff>
    </xdr:from>
    <xdr:to>
      <xdr:col>20</xdr:col>
      <xdr:colOff>312420</xdr:colOff>
      <xdr:row>58</xdr:row>
      <xdr:rowOff>198120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06F99F1-6CA9-459D-A6AB-ED91585ED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525780</xdr:colOff>
      <xdr:row>2</xdr:row>
      <xdr:rowOff>83820</xdr:rowOff>
    </xdr:from>
    <xdr:to>
      <xdr:col>16</xdr:col>
      <xdr:colOff>160020</xdr:colOff>
      <xdr:row>14</xdr:row>
      <xdr:rowOff>83820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E5DD4A2-CC4E-46AC-8EC0-7F36EB97B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53340</xdr:rowOff>
    </xdr:from>
    <xdr:to>
      <xdr:col>6</xdr:col>
      <xdr:colOff>259080</xdr:colOff>
      <xdr:row>34</xdr:row>
      <xdr:rowOff>53340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B2AD9B4-FBFD-4F4D-8BC8-C67D283D5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274320</xdr:colOff>
      <xdr:row>18</xdr:row>
      <xdr:rowOff>198120</xdr:rowOff>
    </xdr:from>
    <xdr:to>
      <xdr:col>18</xdr:col>
      <xdr:colOff>579120</xdr:colOff>
      <xdr:row>30</xdr:row>
      <xdr:rowOff>198120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74B6F2C-38ED-4792-95CE-687DCE49E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194310</xdr:colOff>
      <xdr:row>1</xdr:row>
      <xdr:rowOff>198120</xdr:rowOff>
    </xdr:from>
    <xdr:to>
      <xdr:col>31</xdr:col>
      <xdr:colOff>72390</xdr:colOff>
      <xdr:row>13</xdr:row>
      <xdr:rowOff>198120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9054333-ABEC-4391-8E89-B1B677870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560070</xdr:colOff>
      <xdr:row>24</xdr:row>
      <xdr:rowOff>45720</xdr:rowOff>
    </xdr:from>
    <xdr:to>
      <xdr:col>23</xdr:col>
      <xdr:colOff>400050</xdr:colOff>
      <xdr:row>36</xdr:row>
      <xdr:rowOff>45720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FA3C0A-20EE-401B-9875-0EAF745BB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560070</xdr:colOff>
      <xdr:row>22</xdr:row>
      <xdr:rowOff>167640</xdr:rowOff>
    </xdr:from>
    <xdr:to>
      <xdr:col>31</xdr:col>
      <xdr:colOff>438150</xdr:colOff>
      <xdr:row>34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3A19D82-2CCA-4949-9157-ACF546EFD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678180</xdr:colOff>
      <xdr:row>46</xdr:row>
      <xdr:rowOff>198120</xdr:rowOff>
    </xdr:from>
    <xdr:to>
      <xdr:col>21</xdr:col>
      <xdr:colOff>312420</xdr:colOff>
      <xdr:row>58</xdr:row>
      <xdr:rowOff>198120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D06EEC4-F273-4C92-A7BF-E13876F31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586740</xdr:colOff>
      <xdr:row>16</xdr:row>
      <xdr:rowOff>152400</xdr:rowOff>
    </xdr:from>
    <xdr:to>
      <xdr:col>15</xdr:col>
      <xdr:colOff>259080</xdr:colOff>
      <xdr:row>28</xdr:row>
      <xdr:rowOff>152400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99984C7-FBC4-4BC8-902E-E4FE3DF6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</xdr:row>
      <xdr:rowOff>144780</xdr:rowOff>
    </xdr:from>
    <xdr:to>
      <xdr:col>6</xdr:col>
      <xdr:colOff>259080</xdr:colOff>
      <xdr:row>36</xdr:row>
      <xdr:rowOff>144780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BAEEEFB-8887-44B3-9149-FBEBA9F99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213360</xdr:colOff>
      <xdr:row>25</xdr:row>
      <xdr:rowOff>53340</xdr:rowOff>
    </xdr:from>
    <xdr:to>
      <xdr:col>28</xdr:col>
      <xdr:colOff>91440</xdr:colOff>
      <xdr:row>37</xdr:row>
      <xdr:rowOff>53340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1CA599E-4FB4-4FD1-A6EA-1BA37F323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592A-BF71-4DBC-941B-342053C867DF}">
  <dimension ref="B6:N26"/>
  <sheetViews>
    <sheetView topLeftCell="A10" workbookViewId="0">
      <selection activeCell="L20" sqref="L20"/>
    </sheetView>
  </sheetViews>
  <sheetFormatPr defaultRowHeight="18" x14ac:dyDescent="0.45"/>
  <cols>
    <col min="12" max="12" width="14.59765625" bestFit="1" customWidth="1"/>
  </cols>
  <sheetData>
    <row r="6" spans="2:14" x14ac:dyDescent="0.45">
      <c r="D6" s="1" t="s">
        <v>17</v>
      </c>
    </row>
    <row r="7" spans="2:14" x14ac:dyDescent="0.45">
      <c r="D7" t="s">
        <v>10</v>
      </c>
      <c r="E7" t="s">
        <v>11</v>
      </c>
      <c r="F7" t="s">
        <v>2</v>
      </c>
      <c r="G7" t="s">
        <v>1</v>
      </c>
      <c r="H7" t="s">
        <v>0</v>
      </c>
      <c r="I7" t="s">
        <v>3</v>
      </c>
      <c r="J7" t="s">
        <v>4</v>
      </c>
      <c r="K7" t="s">
        <v>5</v>
      </c>
      <c r="L7" t="s">
        <v>6</v>
      </c>
      <c r="M7" s="1" t="str">
        <f>"dB "&amp;J7</f>
        <v>dB |1/(1+A)|</v>
      </c>
      <c r="N7" t="str">
        <f>"dB "&amp;L7</f>
        <v>dB |A/(1+A)|</v>
      </c>
    </row>
    <row r="8" spans="2:14" x14ac:dyDescent="0.45">
      <c r="B8">
        <v>1</v>
      </c>
      <c r="D8">
        <v>40</v>
      </c>
      <c r="E8">
        <v>-180</v>
      </c>
      <c r="F8">
        <f>10^(D8/20)</f>
        <v>100</v>
      </c>
      <c r="G8" t="str">
        <f>COMPLEX(0,RADIANS(E8))</f>
        <v>-3.14159265358979i</v>
      </c>
      <c r="H8" t="str">
        <f>IMPRODUCT(F8,IMEXP(G8))</f>
        <v>-100-3.2311393144413E-13i</v>
      </c>
      <c r="I8" t="str">
        <f>IMDIV(1,IMSUM(1,H8))</f>
        <v>-0.0101010101010101+3.29674453060024E-17i</v>
      </c>
      <c r="J8">
        <f>IMABS(I8)</f>
        <v>1.01010101010101E-2</v>
      </c>
      <c r="K8" t="str">
        <f>IMPRODUCT(H8,I8)</f>
        <v>1.01010101010101-3.29674453059979E-17i</v>
      </c>
      <c r="L8">
        <f>IMABS(K8)</f>
        <v>1.0101010101010099</v>
      </c>
      <c r="M8">
        <f>20*LOG10(J8)</f>
        <v>-39.912703891950997</v>
      </c>
      <c r="N8">
        <f>20*LOG10(L8)</f>
        <v>8.7296108049000343E-2</v>
      </c>
    </row>
    <row r="9" spans="2:14" x14ac:dyDescent="0.45">
      <c r="B9">
        <v>10</v>
      </c>
      <c r="D9">
        <v>20</v>
      </c>
      <c r="E9">
        <v>-150</v>
      </c>
      <c r="F9">
        <f>10^(D9/20)</f>
        <v>10</v>
      </c>
      <c r="G9" t="str">
        <f>COMPLEX(0,RADIANS(E9))</f>
        <v>-2.61799387799149i</v>
      </c>
      <c r="H9" t="str">
        <f>IMPRODUCT(F9,IMEXP(G9))</f>
        <v>-8.66025403784436-5.00000000000004i</v>
      </c>
      <c r="I9" t="str">
        <f>IMDIV(1,IMSUM(1,H9))</f>
        <v>-0.0915427885816171+0.0597517968264265i</v>
      </c>
      <c r="J9">
        <f>IMABS(I9)</f>
        <v>0.10931769923157549</v>
      </c>
      <c r="K9" t="str">
        <f t="shared" ref="K9:K12" si="0">IMPRODUCT(H9,I9)</f>
        <v>1.09154278858162-0.0597517968264268i</v>
      </c>
      <c r="L9">
        <f>IMABS(K9)</f>
        <v>1.0931769923157575</v>
      </c>
      <c r="M9">
        <f>20*LOG10(J9)</f>
        <v>-19.226190346310158</v>
      </c>
      <c r="N9">
        <f>20*LOG10(L9)</f>
        <v>0.77380965368986288</v>
      </c>
    </row>
    <row r="10" spans="2:14" x14ac:dyDescent="0.45">
      <c r="B10">
        <v>100</v>
      </c>
      <c r="D10">
        <v>0</v>
      </c>
      <c r="E10">
        <v>-135</v>
      </c>
      <c r="F10">
        <f>10^(D10/20)</f>
        <v>1</v>
      </c>
      <c r="G10" t="str">
        <f>COMPLEX(0,RADIANS(E10))</f>
        <v>-2.35619449019234i</v>
      </c>
      <c r="H10" t="str">
        <f>IMPRODUCT(F10,IMEXP(G10))</f>
        <v>-0.707106781186544-0.707106781186551i</v>
      </c>
      <c r="I10" t="str">
        <f>IMDIV(1,IMSUM(1,H10))</f>
        <v>0.5+1.20710678118654i</v>
      </c>
      <c r="J10">
        <f>IMABS(I10)</f>
        <v>1.3065629648763695</v>
      </c>
      <c r="K10" t="str">
        <f t="shared" si="0"/>
        <v>0.500000000000001-1.20710678118654i</v>
      </c>
      <c r="L10">
        <f>IMABS(K10)</f>
        <v>1.3065629648763699</v>
      </c>
      <c r="M10">
        <f>20*LOG10(J10)</f>
        <v>2.3226068750586779</v>
      </c>
      <c r="N10">
        <f>20*LOG10(L10)</f>
        <v>2.322606875058681</v>
      </c>
    </row>
    <row r="11" spans="2:14" x14ac:dyDescent="0.45">
      <c r="B11">
        <v>1000</v>
      </c>
      <c r="D11">
        <v>-20</v>
      </c>
      <c r="E11">
        <v>-150</v>
      </c>
      <c r="F11">
        <f>10^(D11/20)</f>
        <v>0.1</v>
      </c>
      <c r="G11" t="str">
        <f>COMPLEX(0,RADIANS(E11))</f>
        <v>-2.61799387799149i</v>
      </c>
      <c r="H11" t="str">
        <f>IMPRODUCT(F11,IMEXP(G11))</f>
        <v>-0.0866025403784436-0.0500000000000004i</v>
      </c>
      <c r="I11" t="str">
        <f>IMDIV(1,IMSUM(1,H11))</f>
        <v>1.09154278858162+0.0597517968264265i</v>
      </c>
      <c r="J11">
        <f>IMABS(I11)</f>
        <v>1.0931769923157575</v>
      </c>
      <c r="K11" t="str">
        <f t="shared" si="0"/>
        <v>-0.0915427885816173-0.0597517968264266i</v>
      </c>
      <c r="L11">
        <f>IMABS(K11)</f>
        <v>0.10931769923157569</v>
      </c>
      <c r="M11">
        <f>20*LOG10(J11)</f>
        <v>0.77380965368986288</v>
      </c>
      <c r="N11">
        <f>20*LOG10(L11)</f>
        <v>-19.22619034631014</v>
      </c>
    </row>
    <row r="12" spans="2:14" x14ac:dyDescent="0.45">
      <c r="B12">
        <v>10000</v>
      </c>
      <c r="D12">
        <v>-40</v>
      </c>
      <c r="E12">
        <v>-180</v>
      </c>
      <c r="F12">
        <f>10^(D12/20)</f>
        <v>0.01</v>
      </c>
      <c r="G12" t="str">
        <f>COMPLEX(0,RADIANS(E12))</f>
        <v>-3.14159265358979i</v>
      </c>
      <c r="H12" t="str">
        <f>IMPRODUCT(F12,IMEXP(G12))</f>
        <v>-0.01-3.2311393144413E-17i</v>
      </c>
      <c r="I12" t="str">
        <f>IMDIV(1,IMSUM(1,H12))</f>
        <v>1.01010101010101+3.29674453060024E-17i</v>
      </c>
      <c r="J12">
        <f>IMABS(I12)</f>
        <v>1.0101010101010099</v>
      </c>
      <c r="K12" t="str">
        <f t="shared" si="0"/>
        <v>-0.0101010101010101-3.29674453060024E-17i</v>
      </c>
      <c r="L12">
        <f>IMABS(K12)</f>
        <v>1.01010101010101E-2</v>
      </c>
      <c r="M12">
        <f>20*LOG10(J12)</f>
        <v>8.7296108049000343E-2</v>
      </c>
      <c r="N12">
        <f>20*LOG10(L12)</f>
        <v>-39.912703891950997</v>
      </c>
    </row>
    <row r="14" spans="2:14" x14ac:dyDescent="0.45">
      <c r="C14" t="s">
        <v>9</v>
      </c>
      <c r="D14" t="s">
        <v>13</v>
      </c>
      <c r="E14" t="s">
        <v>12</v>
      </c>
      <c r="F14" t="s">
        <v>14</v>
      </c>
      <c r="G14" t="s">
        <v>15</v>
      </c>
      <c r="H14" t="s">
        <v>16</v>
      </c>
      <c r="I14" t="s">
        <v>7</v>
      </c>
      <c r="J14" t="s">
        <v>8</v>
      </c>
      <c r="K14" t="s">
        <v>19</v>
      </c>
      <c r="L14" t="s">
        <v>18</v>
      </c>
    </row>
    <row r="15" spans="2:14" x14ac:dyDescent="0.45">
      <c r="B15">
        <v>1</v>
      </c>
      <c r="C15">
        <v>-100</v>
      </c>
      <c r="D15">
        <f>D8</f>
        <v>40</v>
      </c>
      <c r="E15">
        <f t="shared" ref="E15:E19" si="1">E8</f>
        <v>-180</v>
      </c>
      <c r="F15">
        <f>10^(D15/20)</f>
        <v>100</v>
      </c>
      <c r="G15" t="str">
        <f>COMPLEX(0,RADIANS(E15))</f>
        <v>-3.14159265358979i</v>
      </c>
      <c r="H15" t="str">
        <f>IMPRODUCT(F15,IMEXP(G15))</f>
        <v>-100-3.2311393144413E-13i</v>
      </c>
      <c r="I15" t="str">
        <f t="shared" ref="I15:I18" si="2">IMPRODUCT(H15,I8)</f>
        <v>1.01010101010101-3.29674453059979E-17i</v>
      </c>
      <c r="J15">
        <f>IMABS(I15)</f>
        <v>1.0101010101010099</v>
      </c>
      <c r="K15">
        <f>20*LOG10(J15)</f>
        <v>8.7296108049000343E-2</v>
      </c>
      <c r="L15" s="2">
        <f>K15+C15</f>
        <v>-99.912703891950997</v>
      </c>
    </row>
    <row r="16" spans="2:14" x14ac:dyDescent="0.45">
      <c r="B16">
        <v>10</v>
      </c>
      <c r="C16">
        <v>-100</v>
      </c>
      <c r="D16">
        <f t="shared" ref="D16" si="3">D9</f>
        <v>20</v>
      </c>
      <c r="E16">
        <f t="shared" si="1"/>
        <v>-150</v>
      </c>
      <c r="F16">
        <f t="shared" ref="F16:F19" si="4">10^(D16/20)</f>
        <v>10</v>
      </c>
      <c r="G16" t="str">
        <f t="shared" ref="G16:G19" si="5">COMPLEX(0,RADIANS(E16))</f>
        <v>-2.61799387799149i</v>
      </c>
      <c r="H16" t="str">
        <f t="shared" ref="H16:H19" si="6">IMPRODUCT(F16,IMEXP(G16))</f>
        <v>-8.66025403784436-5.00000000000004i</v>
      </c>
      <c r="I16" t="str">
        <f t="shared" si="2"/>
        <v>1.09154278858162-0.0597517968264268i</v>
      </c>
      <c r="J16">
        <f>IMABS(I16)</f>
        <v>1.0931769923157575</v>
      </c>
      <c r="K16">
        <f t="shared" ref="K16:K19" si="7">20*LOG10(J16)</f>
        <v>0.77380965368986288</v>
      </c>
      <c r="L16" s="2">
        <f>K16+C16</f>
        <v>-99.226190346310133</v>
      </c>
    </row>
    <row r="17" spans="2:12" x14ac:dyDescent="0.45">
      <c r="B17">
        <v>100</v>
      </c>
      <c r="C17">
        <v>-100</v>
      </c>
      <c r="D17">
        <f t="shared" ref="D17" si="8">D10</f>
        <v>0</v>
      </c>
      <c r="E17">
        <f t="shared" si="1"/>
        <v>-135</v>
      </c>
      <c r="F17">
        <f t="shared" si="4"/>
        <v>1</v>
      </c>
      <c r="G17" t="str">
        <f t="shared" si="5"/>
        <v>-2.35619449019234i</v>
      </c>
      <c r="H17" t="str">
        <f t="shared" si="6"/>
        <v>-0.707106781186544-0.707106781186551i</v>
      </c>
      <c r="I17" t="str">
        <f t="shared" si="2"/>
        <v>0.500000000000001-1.20710678118654i</v>
      </c>
      <c r="J17">
        <f t="shared" ref="J17:J19" si="9">IMABS(I17)</f>
        <v>1.3065629648763699</v>
      </c>
      <c r="K17">
        <f t="shared" si="7"/>
        <v>2.322606875058681</v>
      </c>
      <c r="L17" s="2">
        <f>K17+C17</f>
        <v>-97.677393124941318</v>
      </c>
    </row>
    <row r="18" spans="2:12" x14ac:dyDescent="0.45">
      <c r="B18">
        <v>1000</v>
      </c>
      <c r="C18">
        <v>-100</v>
      </c>
      <c r="D18">
        <f t="shared" ref="D18" si="10">D11</f>
        <v>-20</v>
      </c>
      <c r="E18">
        <f t="shared" si="1"/>
        <v>-150</v>
      </c>
      <c r="F18">
        <f t="shared" si="4"/>
        <v>0.1</v>
      </c>
      <c r="G18" t="str">
        <f t="shared" si="5"/>
        <v>-2.61799387799149i</v>
      </c>
      <c r="H18" t="str">
        <f t="shared" si="6"/>
        <v>-0.0866025403784436-0.0500000000000004i</v>
      </c>
      <c r="I18" t="str">
        <f t="shared" si="2"/>
        <v>-0.0915427885816173-0.0597517968264266i</v>
      </c>
      <c r="J18">
        <f t="shared" si="9"/>
        <v>0.10931769923157569</v>
      </c>
      <c r="K18">
        <f t="shared" si="7"/>
        <v>-19.22619034631014</v>
      </c>
      <c r="L18" s="2">
        <f>K18+C18</f>
        <v>-119.22619034631015</v>
      </c>
    </row>
    <row r="19" spans="2:12" x14ac:dyDescent="0.45">
      <c r="B19">
        <v>10000</v>
      </c>
      <c r="C19">
        <v>-100</v>
      </c>
      <c r="D19">
        <f t="shared" ref="D19" si="11">D12</f>
        <v>-40</v>
      </c>
      <c r="E19">
        <f t="shared" si="1"/>
        <v>-180</v>
      </c>
      <c r="F19">
        <f t="shared" si="4"/>
        <v>0.01</v>
      </c>
      <c r="G19" t="str">
        <f t="shared" si="5"/>
        <v>-3.14159265358979i</v>
      </c>
      <c r="H19" t="str">
        <f t="shared" si="6"/>
        <v>-0.01-3.2311393144413E-17i</v>
      </c>
      <c r="I19" t="str">
        <f>IMPRODUCT(H19,I12)</f>
        <v>-0.0101010101010101-3.29674453060024E-17i</v>
      </c>
      <c r="J19">
        <f t="shared" si="9"/>
        <v>1.01010101010101E-2</v>
      </c>
      <c r="K19">
        <f t="shared" si="7"/>
        <v>-39.912703891950997</v>
      </c>
      <c r="L19" s="2">
        <f>K19+C19</f>
        <v>-139.912703891951</v>
      </c>
    </row>
    <row r="21" spans="2:12" x14ac:dyDescent="0.45">
      <c r="C21" t="s">
        <v>9</v>
      </c>
      <c r="D21" t="s">
        <v>13</v>
      </c>
      <c r="E21" t="s">
        <v>12</v>
      </c>
      <c r="F21" t="s">
        <v>14</v>
      </c>
      <c r="G21" t="s">
        <v>15</v>
      </c>
      <c r="H21" t="s">
        <v>16</v>
      </c>
      <c r="I21" t="s">
        <v>7</v>
      </c>
      <c r="J21" t="s">
        <v>8</v>
      </c>
      <c r="K21" t="s">
        <v>19</v>
      </c>
      <c r="L21" t="s">
        <v>18</v>
      </c>
    </row>
    <row r="22" spans="2:12" x14ac:dyDescent="0.45">
      <c r="B22">
        <v>1</v>
      </c>
      <c r="C22">
        <f>C23+30</f>
        <v>-40</v>
      </c>
      <c r="D22">
        <v>0</v>
      </c>
      <c r="E22">
        <v>0</v>
      </c>
      <c r="F22">
        <f>10^(D22/20)</f>
        <v>1</v>
      </c>
      <c r="G22" t="str">
        <f>COMPLEX(0,RADIANS(E22))</f>
        <v>0</v>
      </c>
      <c r="H22" t="str">
        <f>IMPRODUCT(F22,IMEXP(G22))</f>
        <v>1</v>
      </c>
      <c r="I22" t="str">
        <f>IMPRODUCT(H22,I8)</f>
        <v>-0.0101010101010101+3.29674453060024E-17i</v>
      </c>
      <c r="J22">
        <f>IMABS(I22)</f>
        <v>1.01010101010101E-2</v>
      </c>
      <c r="K22">
        <f>20*LOG10(J22)</f>
        <v>-39.912703891950997</v>
      </c>
      <c r="L22" s="2">
        <f>K22+C22</f>
        <v>-79.912703891950997</v>
      </c>
    </row>
    <row r="23" spans="2:12" x14ac:dyDescent="0.45">
      <c r="B23">
        <v>10</v>
      </c>
      <c r="C23">
        <f>C24+30</f>
        <v>-70</v>
      </c>
      <c r="D23">
        <v>0</v>
      </c>
      <c r="E23">
        <v>0</v>
      </c>
      <c r="F23">
        <f t="shared" ref="F23:F26" si="12">10^(D23/20)</f>
        <v>1</v>
      </c>
      <c r="G23" t="str">
        <f t="shared" ref="G23:G26" si="13">COMPLEX(0,RADIANS(E23))</f>
        <v>0</v>
      </c>
      <c r="H23" t="str">
        <f t="shared" ref="H23:H26" si="14">IMPRODUCT(F23,IMEXP(G23))</f>
        <v>1</v>
      </c>
      <c r="I23" t="str">
        <f>IMPRODUCT(H23,I9)</f>
        <v>-0.0915427885816171+0.0597517968264265i</v>
      </c>
      <c r="J23">
        <f>IMABS(I23)</f>
        <v>0.10931769923157549</v>
      </c>
      <c r="K23">
        <f t="shared" ref="K23:K26" si="15">20*LOG10(J23)</f>
        <v>-19.226190346310158</v>
      </c>
      <c r="L23" s="2">
        <f>K23+C23</f>
        <v>-89.226190346310162</v>
      </c>
    </row>
    <row r="24" spans="2:12" x14ac:dyDescent="0.45">
      <c r="B24">
        <v>100</v>
      </c>
      <c r="C24">
        <f>C25+20</f>
        <v>-100</v>
      </c>
      <c r="D24">
        <v>0</v>
      </c>
      <c r="E24">
        <v>0</v>
      </c>
      <c r="F24">
        <f t="shared" si="12"/>
        <v>1</v>
      </c>
      <c r="G24" t="str">
        <f t="shared" si="13"/>
        <v>0</v>
      </c>
      <c r="H24" t="str">
        <f t="shared" si="14"/>
        <v>1</v>
      </c>
      <c r="I24" t="str">
        <f>IMPRODUCT(H24,I10)</f>
        <v>0.5+1.20710678118654i</v>
      </c>
      <c r="J24">
        <f t="shared" ref="J24:J26" si="16">IMABS(I24)</f>
        <v>1.3065629648763695</v>
      </c>
      <c r="K24">
        <f t="shared" si="15"/>
        <v>2.3226068750586779</v>
      </c>
      <c r="L24" s="2">
        <f>K24+C24</f>
        <v>-97.677393124941318</v>
      </c>
    </row>
    <row r="25" spans="2:12" x14ac:dyDescent="0.45">
      <c r="B25">
        <v>1000</v>
      </c>
      <c r="C25">
        <f>C26+20</f>
        <v>-120</v>
      </c>
      <c r="D25">
        <v>0</v>
      </c>
      <c r="E25">
        <v>0</v>
      </c>
      <c r="F25">
        <f t="shared" si="12"/>
        <v>1</v>
      </c>
      <c r="G25" t="str">
        <f t="shared" si="13"/>
        <v>0</v>
      </c>
      <c r="H25" t="str">
        <f t="shared" si="14"/>
        <v>1</v>
      </c>
      <c r="I25" t="str">
        <f>IMPRODUCT(H25,I11)</f>
        <v>1.09154278858162+0.0597517968264265i</v>
      </c>
      <c r="J25">
        <f t="shared" si="16"/>
        <v>1.0931769923157575</v>
      </c>
      <c r="K25">
        <f t="shared" si="15"/>
        <v>0.77380965368986288</v>
      </c>
      <c r="L25" s="2">
        <f>K25+C25</f>
        <v>-119.22619034631013</v>
      </c>
    </row>
    <row r="26" spans="2:12" x14ac:dyDescent="0.45">
      <c r="B26">
        <v>10000</v>
      </c>
      <c r="C26">
        <v>-140</v>
      </c>
      <c r="D26">
        <v>0</v>
      </c>
      <c r="E26">
        <v>0</v>
      </c>
      <c r="F26">
        <f t="shared" si="12"/>
        <v>1</v>
      </c>
      <c r="G26" t="str">
        <f t="shared" si="13"/>
        <v>0</v>
      </c>
      <c r="H26" t="str">
        <f t="shared" si="14"/>
        <v>1</v>
      </c>
      <c r="I26" t="str">
        <f>IMPRODUCT(H26,I12)</f>
        <v>1.01010101010101+3.29674453060024E-17i</v>
      </c>
      <c r="J26">
        <f t="shared" si="16"/>
        <v>1.0101010101010099</v>
      </c>
      <c r="K26">
        <f t="shared" si="15"/>
        <v>8.7296108049000343E-2</v>
      </c>
      <c r="L26" s="2">
        <f>K26+C26</f>
        <v>-139.912703891951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C67D-1942-4444-AA4C-43FB5176EEBC}">
  <dimension ref="B3:V59"/>
  <sheetViews>
    <sheetView workbookViewId="0">
      <selection activeCell="G27" sqref="G27"/>
    </sheetView>
  </sheetViews>
  <sheetFormatPr defaultRowHeight="18" x14ac:dyDescent="0.45"/>
  <cols>
    <col min="3" max="3" width="12.59765625" bestFit="1" customWidth="1"/>
    <col min="14" max="14" width="11.5" customWidth="1"/>
    <col min="16" max="16" width="9.296875" bestFit="1" customWidth="1"/>
  </cols>
  <sheetData>
    <row r="3" spans="2:22" x14ac:dyDescent="0.45">
      <c r="B3" t="s">
        <v>20</v>
      </c>
      <c r="C3">
        <v>470</v>
      </c>
      <c r="D3" t="s">
        <v>26</v>
      </c>
    </row>
    <row r="4" spans="2:22" x14ac:dyDescent="0.45">
      <c r="B4" t="s">
        <v>21</v>
      </c>
      <c r="C4">
        <v>2200</v>
      </c>
      <c r="D4" t="s">
        <v>26</v>
      </c>
      <c r="O4" t="s">
        <v>35</v>
      </c>
      <c r="P4">
        <v>0.4</v>
      </c>
      <c r="Q4" t="s">
        <v>42</v>
      </c>
    </row>
    <row r="5" spans="2:22" x14ac:dyDescent="0.45">
      <c r="B5" t="s">
        <v>22</v>
      </c>
      <c r="C5">
        <f>C6*100</f>
        <v>22000</v>
      </c>
      <c r="D5" t="s">
        <v>27</v>
      </c>
      <c r="O5" t="s">
        <v>40</v>
      </c>
      <c r="P5" s="3">
        <v>10000000</v>
      </c>
      <c r="Q5" t="s">
        <v>41</v>
      </c>
    </row>
    <row r="6" spans="2:22" x14ac:dyDescent="0.45">
      <c r="B6" t="s">
        <v>23</v>
      </c>
      <c r="C6">
        <v>220</v>
      </c>
      <c r="D6" t="s">
        <v>27</v>
      </c>
      <c r="O6" t="s">
        <v>43</v>
      </c>
      <c r="P6">
        <v>300</v>
      </c>
    </row>
    <row r="8" spans="2:22" x14ac:dyDescent="0.45">
      <c r="B8" t="s">
        <v>24</v>
      </c>
      <c r="C8">
        <f>1/(2*PI()*C4*(C5+C6)*10^-12)</f>
        <v>3255.7675945482233</v>
      </c>
      <c r="D8" t="s">
        <v>28</v>
      </c>
    </row>
    <row r="9" spans="2:22" x14ac:dyDescent="0.45">
      <c r="B9" t="s">
        <v>25</v>
      </c>
      <c r="C9">
        <f>1/(2*PI()*C4*C6*10^-12)</f>
        <v>328832.52704937058</v>
      </c>
      <c r="D9" t="s">
        <v>28</v>
      </c>
    </row>
    <row r="10" spans="2:22" x14ac:dyDescent="0.45">
      <c r="B10" t="s">
        <v>54</v>
      </c>
      <c r="C10">
        <f>C4*(C5+C6)*10^-12</f>
        <v>4.8884000000000002E-5</v>
      </c>
    </row>
    <row r="11" spans="2:22" x14ac:dyDescent="0.45">
      <c r="B11" t="s">
        <v>55</v>
      </c>
      <c r="C11">
        <f>C4*C6*10^-12</f>
        <v>4.8399999999999994E-7</v>
      </c>
    </row>
    <row r="12" spans="2:22" x14ac:dyDescent="0.45">
      <c r="B12" t="s">
        <v>29</v>
      </c>
      <c r="C12">
        <f>C3*C5*10^-12</f>
        <v>1.0339999999999999E-5</v>
      </c>
    </row>
    <row r="16" spans="2:22" x14ac:dyDescent="0.45">
      <c r="B16" t="s">
        <v>32</v>
      </c>
      <c r="C16" t="s">
        <v>30</v>
      </c>
      <c r="D16" t="s">
        <v>31</v>
      </c>
      <c r="H16" t="s">
        <v>56</v>
      </c>
      <c r="I16" t="s">
        <v>56</v>
      </c>
      <c r="J16" t="s">
        <v>56</v>
      </c>
      <c r="K16" t="s">
        <v>57</v>
      </c>
      <c r="L16" t="s">
        <v>57</v>
      </c>
      <c r="M16" t="s">
        <v>57</v>
      </c>
      <c r="N16" t="s">
        <v>38</v>
      </c>
      <c r="O16" t="s">
        <v>39</v>
      </c>
      <c r="P16" t="s">
        <v>53</v>
      </c>
      <c r="Q16" t="s">
        <v>33</v>
      </c>
      <c r="R16" t="s">
        <v>34</v>
      </c>
      <c r="S16" t="s">
        <v>46</v>
      </c>
      <c r="T16" t="s">
        <v>47</v>
      </c>
      <c r="U16" t="s">
        <v>48</v>
      </c>
      <c r="V16" t="s">
        <v>49</v>
      </c>
    </row>
    <row r="17" spans="2:22" x14ac:dyDescent="0.45">
      <c r="B17">
        <v>10</v>
      </c>
      <c r="C17">
        <f t="shared" ref="C17:C23" si="0">B17*2*PI()</f>
        <v>62.831853071795862</v>
      </c>
      <c r="D17" t="str">
        <f t="shared" ref="D17:D23" si="1">COMPLEX(0,C17)</f>
        <v>62.8318530717959i</v>
      </c>
      <c r="E17" t="str">
        <f>IMDIV(1/$C$12,D17)</f>
        <v>-1539.21608406088i</v>
      </c>
      <c r="F17" t="str">
        <f>IMSUM(1,IMPRODUCT(D17,$C$10))</f>
        <v>1+0.00307147230556167i</v>
      </c>
      <c r="G17" t="str">
        <f>IMDIV(1,IMSUM(1,IMPRODUCT($C$11,D17)))</f>
        <v>0.999999999075194-0.0000304106168586253i</v>
      </c>
      <c r="H17">
        <f>20*LOG10(IMABS(E17))</f>
        <v>63.745991857679208</v>
      </c>
      <c r="I17">
        <f>20*LOG10(IMABS(F17))</f>
        <v>4.0970896811774327E-5</v>
      </c>
      <c r="J17">
        <f>20*LOG10(IMABS(G17))</f>
        <v>-4.0163833973694399E-9</v>
      </c>
      <c r="K17">
        <f>DEGREES(IMARGUMENT(E17))</f>
        <v>-90</v>
      </c>
      <c r="L17">
        <f>DEGREES(IMARGUMENT(F17))</f>
        <v>0.17598184660054036</v>
      </c>
      <c r="M17">
        <f>DEGREES(IMARGUMENT(G17))</f>
        <v>-1.7423999994628744E-3</v>
      </c>
      <c r="N17" t="str">
        <f>IMDIV(IMSUM(1,IMPRODUCT($C$10,D17)),IMPRODUCT($C$12,D17,IMSUM(1,IMPRODUCT($C$11,D17))))</f>
        <v>4.68085105950091-1539.21622640845i</v>
      </c>
      <c r="O17">
        <f t="shared" ref="O17:O23" si="2">20*LOG10(IMABS(N17))</f>
        <v>63.746032824559649</v>
      </c>
      <c r="P17">
        <f t="shared" ref="P17:P23" si="3">DEGREES(IMARGUMENT(N17))</f>
        <v>-89.825760553398922</v>
      </c>
      <c r="Q17" t="str">
        <f t="shared" ref="Q17:Q23" si="4">IMPRODUCT(N17,$P$4*$P$5/$P$6*2*PI(),IMDIV(1,D17))</f>
        <v>-2052288.30187793-6241.1347460012i</v>
      </c>
      <c r="R17">
        <f t="shared" ref="R17:R23" si="5">20*LOG10(IMABS(Q17))</f>
        <v>126.24480755672563</v>
      </c>
      <c r="S17" t="str">
        <f t="shared" ref="S17:S23" si="6">IMDIV(1,IMSUM(1,Q17))</f>
        <v>-4.87256706752029E-07+1.48177828706026E-09i</v>
      </c>
      <c r="T17">
        <f t="shared" ref="T17:T23" si="7">20*LOG10(IMABS(S17))</f>
        <v>-126.24480332446868</v>
      </c>
      <c r="U17" t="str">
        <f t="shared" ref="U17:U23" si="8">IMDIV(Q17,IMSUM(1,Q17))</f>
        <v>1.00000048725671-1.4817782868781E-09i</v>
      </c>
      <c r="V17">
        <f t="shared" ref="V17:V23" si="9">20*LOG10(IMABS(U17))</f>
        <v>4.2322569781601237E-6</v>
      </c>
    </row>
    <row r="18" spans="2:22" x14ac:dyDescent="0.45">
      <c r="B18">
        <f t="shared" ref="B18:B23" si="10">B17*10</f>
        <v>100</v>
      </c>
      <c r="C18">
        <f t="shared" si="0"/>
        <v>628.31853071795865</v>
      </c>
      <c r="D18" t="str">
        <f t="shared" si="1"/>
        <v>628.318530717959i</v>
      </c>
      <c r="E18" t="str">
        <f t="shared" ref="E18:E23" si="11">IMDIV(1/$C$12,D18)</f>
        <v>-153.921608406088i</v>
      </c>
      <c r="F18" t="str">
        <f t="shared" ref="F18:F23" si="12">IMSUM(1,IMPRODUCT(D18,$C$10))</f>
        <v>1+0.0307147230556167i</v>
      </c>
      <c r="G18" t="str">
        <f t="shared" ref="G18:G23" si="13">IMDIV(1,IMSUM(1,IMPRODUCT($C$11,D18)))</f>
        <v>0.999999907519447-0.000304106140743585i</v>
      </c>
      <c r="H18">
        <f t="shared" ref="H18:J23" si="14">20*LOG10(IMABS(E18))</f>
        <v>43.745991857679208</v>
      </c>
      <c r="I18">
        <f t="shared" si="14"/>
        <v>4.0951776271186723E-3</v>
      </c>
      <c r="J18">
        <f t="shared" si="14"/>
        <v>-4.0163795644873099E-7</v>
      </c>
      <c r="K18">
        <f t="shared" ref="K18:M23" si="15">DEGREES(IMARGUMENT(E18))</f>
        <v>-90</v>
      </c>
      <c r="L18">
        <f t="shared" si="15"/>
        <v>1.7592709104430175</v>
      </c>
      <c r="M18">
        <f t="shared" si="15"/>
        <v>-1.7423999462872909E-2</v>
      </c>
      <c r="N18" t="str">
        <f t="shared" ref="N18:N23" si="16">IMDIV(IMSUM(1,IMPRODUCT($C$10,D18)),IMPRODUCT($C$12,D18,IMSUM(1,IMPRODUCT($C$11,D18))))</f>
        <v>4.68085063094209-153.923031881641i</v>
      </c>
      <c r="O18">
        <f t="shared" si="2"/>
        <v>43.750086633668403</v>
      </c>
      <c r="P18">
        <f t="shared" si="3"/>
        <v>-88.258153089019856</v>
      </c>
      <c r="Q18" t="str">
        <f t="shared" si="4"/>
        <v>-20523.0709175521-624.113417458944i</v>
      </c>
      <c r="R18">
        <f t="shared" si="5"/>
        <v>86.248861365834387</v>
      </c>
      <c r="S18" t="str">
        <f t="shared" si="6"/>
        <v>-0.0000486829998859208+1.48053837027572E-06i</v>
      </c>
      <c r="T18">
        <f t="shared" si="7"/>
        <v>-86.248438520953215</v>
      </c>
      <c r="U18" t="str">
        <f t="shared" si="8"/>
        <v>1.00004868299989-1.48053837027923E-06i</v>
      </c>
      <c r="V18">
        <f t="shared" si="9"/>
        <v>4.2284488121916721E-4</v>
      </c>
    </row>
    <row r="19" spans="2:22" x14ac:dyDescent="0.45">
      <c r="B19">
        <f t="shared" si="10"/>
        <v>1000</v>
      </c>
      <c r="C19">
        <f t="shared" si="0"/>
        <v>6283.1853071795858</v>
      </c>
      <c r="D19" t="str">
        <f t="shared" si="1"/>
        <v>6283.18530717959i</v>
      </c>
      <c r="E19" t="str">
        <f t="shared" si="11"/>
        <v>-15.3921608406088i</v>
      </c>
      <c r="F19" t="str">
        <f t="shared" si="12"/>
        <v>1+0.307147230556167i</v>
      </c>
      <c r="G19" t="str">
        <f t="shared" si="13"/>
        <v>0.999990752029331-0.00304103356502562i</v>
      </c>
      <c r="H19">
        <f t="shared" si="14"/>
        <v>23.745991857679204</v>
      </c>
      <c r="I19">
        <f t="shared" si="14"/>
        <v>0.39152044034218492</v>
      </c>
      <c r="J19">
        <f t="shared" si="14"/>
        <v>-4.0163612020862715E-5</v>
      </c>
      <c r="K19">
        <f t="shared" si="15"/>
        <v>-90</v>
      </c>
      <c r="L19">
        <f t="shared" si="15"/>
        <v>17.074195006831392</v>
      </c>
      <c r="M19">
        <f t="shared" si="15"/>
        <v>-0.17423946287587661</v>
      </c>
      <c r="N19" t="str">
        <f t="shared" si="16"/>
        <v>4.68080777545644-15.4063954658068i</v>
      </c>
      <c r="O19">
        <f t="shared" si="2"/>
        <v>24.137472134409379</v>
      </c>
      <c r="P19">
        <f t="shared" si="3"/>
        <v>-73.100044456044486</v>
      </c>
      <c r="Q19" t="str">
        <f t="shared" si="4"/>
        <v>-205.418606210757-62.4107703394191i</v>
      </c>
      <c r="R19">
        <f t="shared" si="5"/>
        <v>46.636246866575362</v>
      </c>
      <c r="S19" t="str">
        <f t="shared" si="6"/>
        <v>-0.00447481041344258+0.00136619836228543i</v>
      </c>
      <c r="T19">
        <f t="shared" si="7"/>
        <v>-46.597457827400021</v>
      </c>
      <c r="U19" t="str">
        <f t="shared" si="8"/>
        <v>1.00447481041344-0.00136619836228543i</v>
      </c>
      <c r="V19">
        <f t="shared" si="9"/>
        <v>3.8789039175320228E-2</v>
      </c>
    </row>
    <row r="20" spans="2:22" x14ac:dyDescent="0.45">
      <c r="B20">
        <f t="shared" si="10"/>
        <v>10000</v>
      </c>
      <c r="C20">
        <f t="shared" si="0"/>
        <v>62831.853071795864</v>
      </c>
      <c r="D20" t="str">
        <f t="shared" si="1"/>
        <v>62831.8530717959i</v>
      </c>
      <c r="E20" t="str">
        <f t="shared" si="11"/>
        <v>-1.53921608406088i</v>
      </c>
      <c r="F20" t="str">
        <f t="shared" si="12"/>
        <v>1+3.07147230556167i</v>
      </c>
      <c r="G20" t="str">
        <f t="shared" si="13"/>
        <v>0.999076048855778-0.0303825189624802i</v>
      </c>
      <c r="H20">
        <f t="shared" si="14"/>
        <v>3.7459918576792059</v>
      </c>
      <c r="I20">
        <f t="shared" si="14"/>
        <v>10.184484233993933</v>
      </c>
      <c r="J20">
        <f t="shared" si="14"/>
        <v>-4.0145237324603501E-3</v>
      </c>
      <c r="K20">
        <f t="shared" si="15"/>
        <v>-90</v>
      </c>
      <c r="L20">
        <f t="shared" si="15"/>
        <v>71.965954592675288</v>
      </c>
      <c r="M20">
        <f t="shared" si="15"/>
        <v>-1.7418631707423942</v>
      </c>
      <c r="N20" t="str">
        <f t="shared" si="16"/>
        <v>4.67652618613342-1.68143213026824i</v>
      </c>
      <c r="O20">
        <f t="shared" si="2"/>
        <v>13.926461567940683</v>
      </c>
      <c r="P20">
        <f t="shared" si="3"/>
        <v>-19.775908578067163</v>
      </c>
      <c r="Q20" t="str">
        <f t="shared" si="4"/>
        <v>-2.24190950702432-6.23536824817788i</v>
      </c>
      <c r="R20">
        <f t="shared" si="5"/>
        <v>16.425236300106665</v>
      </c>
      <c r="S20" t="str">
        <f t="shared" si="6"/>
        <v>-0.0307234847716711+0.154256200097599i</v>
      </c>
      <c r="T20">
        <f t="shared" si="7"/>
        <v>-16.066194782473165</v>
      </c>
      <c r="U20" t="str">
        <f t="shared" si="8"/>
        <v>1.03072348477167-0.154256200097599i</v>
      </c>
      <c r="V20">
        <f t="shared" si="9"/>
        <v>0.35904151763351183</v>
      </c>
    </row>
    <row r="21" spans="2:22" x14ac:dyDescent="0.45">
      <c r="B21">
        <f t="shared" si="10"/>
        <v>100000</v>
      </c>
      <c r="C21">
        <f t="shared" si="0"/>
        <v>628318.53071795858</v>
      </c>
      <c r="D21" t="str">
        <f t="shared" si="1"/>
        <v>628318.530717959i</v>
      </c>
      <c r="E21" t="str">
        <f t="shared" si="11"/>
        <v>-0.153921608406088i</v>
      </c>
      <c r="F21" t="str">
        <f t="shared" si="12"/>
        <v>1+30.7147230556167i</v>
      </c>
      <c r="G21" t="str">
        <f t="shared" si="13"/>
        <v>0.915348093902227-0.278363002016768i</v>
      </c>
      <c r="H21">
        <f t="shared" si="14"/>
        <v>-16.254008142320792</v>
      </c>
      <c r="I21">
        <f t="shared" si="14"/>
        <v>29.751533168885533</v>
      </c>
      <c r="J21">
        <f t="shared" si="14"/>
        <v>-0.38413718488335435</v>
      </c>
      <c r="K21">
        <f t="shared" si="15"/>
        <v>-90</v>
      </c>
      <c r="L21">
        <f t="shared" si="15"/>
        <v>88.135241274251058</v>
      </c>
      <c r="M21">
        <f t="shared" si="15"/>
        <v>-16.914840063190532</v>
      </c>
      <c r="N21" t="str">
        <f t="shared" si="16"/>
        <v>4.2846080991168-1.45689736252713i</v>
      </c>
      <c r="O21">
        <f t="shared" si="2"/>
        <v>13.113387841681387</v>
      </c>
      <c r="P21">
        <f t="shared" si="3"/>
        <v>-18.779598788939502</v>
      </c>
      <c r="Q21" t="str">
        <f t="shared" si="4"/>
        <v>-0.194252981670284-0.571281079882239i</v>
      </c>
      <c r="R21">
        <f t="shared" si="5"/>
        <v>-4.3878374261526245</v>
      </c>
      <c r="S21" t="str">
        <f t="shared" si="6"/>
        <v>0.825907139231828+0.585574766830519i</v>
      </c>
      <c r="T21">
        <f t="shared" si="7"/>
        <v>0.10732513139557265</v>
      </c>
      <c r="U21" t="str">
        <f t="shared" si="8"/>
        <v>0.174092860768172-0.585574766830519i</v>
      </c>
      <c r="V21">
        <f t="shared" si="9"/>
        <v>-4.280512294757056</v>
      </c>
    </row>
    <row r="22" spans="2:22" x14ac:dyDescent="0.45">
      <c r="B22">
        <f t="shared" si="10"/>
        <v>1000000</v>
      </c>
      <c r="C22">
        <f t="shared" si="0"/>
        <v>6283185.307179586</v>
      </c>
      <c r="D22" t="str">
        <f t="shared" si="1"/>
        <v>6283185.30717959i</v>
      </c>
      <c r="E22" t="str">
        <f t="shared" si="11"/>
        <v>-0.0153921608406088i</v>
      </c>
      <c r="F22" t="str">
        <f t="shared" si="12"/>
        <v>1+307.147230556167i</v>
      </c>
      <c r="G22" t="str">
        <f t="shared" si="13"/>
        <v>0.0975794805412592-0.296745219874823i</v>
      </c>
      <c r="H22">
        <f t="shared" si="14"/>
        <v>-36.254008142320792</v>
      </c>
      <c r="I22">
        <f t="shared" si="14"/>
        <v>49.74697811077278</v>
      </c>
      <c r="J22">
        <f t="shared" si="14"/>
        <v>-10.106414981592437</v>
      </c>
      <c r="K22">
        <f t="shared" si="15"/>
        <v>-90</v>
      </c>
      <c r="L22">
        <f t="shared" si="15"/>
        <v>89.813458916868299</v>
      </c>
      <c r="M22">
        <f t="shared" si="15"/>
        <v>-71.797453187209172</v>
      </c>
      <c r="N22" t="str">
        <f t="shared" si="16"/>
        <v>0.456755015299512-1.40441233897808i</v>
      </c>
      <c r="O22">
        <f t="shared" si="2"/>
        <v>3.3865549868595739</v>
      </c>
      <c r="P22">
        <f t="shared" si="3"/>
        <v>-71.983994270340872</v>
      </c>
      <c r="Q22" t="str">
        <f t="shared" si="4"/>
        <v>-0.018725497853041-0.00609006687066015i</v>
      </c>
      <c r="R22">
        <f t="shared" si="5"/>
        <v>-34.114670280974458</v>
      </c>
      <c r="S22" t="str">
        <f t="shared" si="6"/>
        <v>1.01904358194572+0.0063244724535164i</v>
      </c>
      <c r="T22">
        <f t="shared" si="7"/>
        <v>0.16402243993424925</v>
      </c>
      <c r="U22" t="str">
        <f t="shared" si="8"/>
        <v>-0.0190435819457162-0.0063244724535164i</v>
      </c>
      <c r="V22">
        <f t="shared" si="9"/>
        <v>-33.950647841040222</v>
      </c>
    </row>
    <row r="23" spans="2:22" x14ac:dyDescent="0.45">
      <c r="B23">
        <f t="shared" si="10"/>
        <v>10000000</v>
      </c>
      <c r="C23">
        <f t="shared" si="0"/>
        <v>62831853.071795866</v>
      </c>
      <c r="D23" t="str">
        <f t="shared" si="1"/>
        <v>62831853.0717959i</v>
      </c>
      <c r="E23" t="str">
        <f t="shared" si="11"/>
        <v>-0.00153921608406088i</v>
      </c>
      <c r="F23" t="str">
        <f t="shared" si="12"/>
        <v>1+3071.47230556167i</v>
      </c>
      <c r="G23" t="str">
        <f t="shared" si="13"/>
        <v>0.00108014034372878-0.0328477341770574i</v>
      </c>
      <c r="H23">
        <f t="shared" si="14"/>
        <v>-56.254008142320792</v>
      </c>
      <c r="I23">
        <f t="shared" si="14"/>
        <v>69.746932536056519</v>
      </c>
      <c r="J23">
        <f t="shared" si="14"/>
        <v>-29.665198125249717</v>
      </c>
      <c r="K23">
        <f t="shared" si="15"/>
        <v>-90</v>
      </c>
      <c r="L23">
        <f t="shared" si="15"/>
        <v>89.981345826434804</v>
      </c>
      <c r="M23">
        <f t="shared" si="15"/>
        <v>-88.116607050526966</v>
      </c>
      <c r="N23" t="str">
        <f t="shared" si="16"/>
        <v>0.00505597607702833-0.155294567551138i</v>
      </c>
      <c r="O23">
        <f t="shared" si="2"/>
        <v>-16.172273731513986</v>
      </c>
      <c r="P23">
        <f t="shared" si="3"/>
        <v>-88.135261224092147</v>
      </c>
      <c r="Q23" t="str">
        <f t="shared" si="4"/>
        <v>-0.000207059423401517-6.74130143603776E-06i</v>
      </c>
      <c r="R23">
        <f t="shared" si="5"/>
        <v>-73.673498999347999</v>
      </c>
      <c r="S23" t="str">
        <f t="shared" si="6"/>
        <v>1.00020710226041+6.74409400301891E-06i</v>
      </c>
      <c r="T23">
        <f t="shared" si="7"/>
        <v>1.7986813261271E-3</v>
      </c>
      <c r="U23" t="str">
        <f t="shared" si="8"/>
        <v>-0.000207102260412172-6.74409400301891E-06i</v>
      </c>
      <c r="V23">
        <f t="shared" si="9"/>
        <v>-73.671700318021877</v>
      </c>
    </row>
    <row r="26" spans="2:22" x14ac:dyDescent="0.45">
      <c r="B26" t="s">
        <v>36</v>
      </c>
    </row>
    <row r="27" spans="2:22" x14ac:dyDescent="0.45">
      <c r="B27" t="s">
        <v>32</v>
      </c>
      <c r="C27" t="s">
        <v>37</v>
      </c>
      <c r="D27" t="s">
        <v>50</v>
      </c>
      <c r="N27" t="s">
        <v>51</v>
      </c>
    </row>
    <row r="28" spans="2:22" x14ac:dyDescent="0.45">
      <c r="B28">
        <v>10</v>
      </c>
      <c r="C28">
        <v>-98</v>
      </c>
      <c r="D28">
        <f t="shared" ref="D28:D34" si="17">20*LOG10($P$6)+C28</f>
        <v>-48.457574905606748</v>
      </c>
      <c r="N28">
        <f>D28+V17</f>
        <v>-48.457570673349771</v>
      </c>
    </row>
    <row r="29" spans="2:22" x14ac:dyDescent="0.45">
      <c r="B29">
        <f t="shared" ref="B29:B34" si="18">B28*10</f>
        <v>100</v>
      </c>
      <c r="C29">
        <v>-122</v>
      </c>
      <c r="D29">
        <f t="shared" si="17"/>
        <v>-72.457574905606748</v>
      </c>
      <c r="N29">
        <f t="shared" ref="N29:N34" si="19">D29+V18</f>
        <v>-72.457152060725534</v>
      </c>
    </row>
    <row r="30" spans="2:22" x14ac:dyDescent="0.45">
      <c r="B30">
        <f t="shared" si="18"/>
        <v>1000</v>
      </c>
      <c r="C30">
        <v>-145</v>
      </c>
      <c r="D30">
        <f t="shared" si="17"/>
        <v>-95.457574905606748</v>
      </c>
      <c r="N30">
        <f t="shared" si="19"/>
        <v>-95.418785866431435</v>
      </c>
    </row>
    <row r="31" spans="2:22" x14ac:dyDescent="0.45">
      <c r="B31">
        <f t="shared" si="18"/>
        <v>10000</v>
      </c>
      <c r="C31">
        <v>-157</v>
      </c>
      <c r="D31">
        <f t="shared" si="17"/>
        <v>-107.45757490560675</v>
      </c>
      <c r="N31">
        <f t="shared" si="19"/>
        <v>-107.09853338797323</v>
      </c>
    </row>
    <row r="32" spans="2:22" x14ac:dyDescent="0.45">
      <c r="B32">
        <f t="shared" si="18"/>
        <v>100000</v>
      </c>
      <c r="C32">
        <v>-160</v>
      </c>
      <c r="D32">
        <f t="shared" si="17"/>
        <v>-110.45757490560675</v>
      </c>
      <c r="N32">
        <f t="shared" si="19"/>
        <v>-114.73808720036381</v>
      </c>
    </row>
    <row r="33" spans="2:14" x14ac:dyDescent="0.45">
      <c r="B33">
        <f t="shared" si="18"/>
        <v>1000000</v>
      </c>
      <c r="C33">
        <v>-165</v>
      </c>
      <c r="D33">
        <f t="shared" si="17"/>
        <v>-115.45757490560675</v>
      </c>
      <c r="N33">
        <f t="shared" si="19"/>
        <v>-149.40822274664697</v>
      </c>
    </row>
    <row r="34" spans="2:14" x14ac:dyDescent="0.45">
      <c r="B34">
        <f t="shared" si="18"/>
        <v>10000000</v>
      </c>
      <c r="C34">
        <v>-170</v>
      </c>
      <c r="D34">
        <f t="shared" si="17"/>
        <v>-120.45757490560675</v>
      </c>
      <c r="N34">
        <f t="shared" si="19"/>
        <v>-194.12927522362861</v>
      </c>
    </row>
    <row r="37" spans="2:14" x14ac:dyDescent="0.45">
      <c r="B37" t="s">
        <v>44</v>
      </c>
    </row>
    <row r="38" spans="2:14" x14ac:dyDescent="0.45">
      <c r="B38" t="s">
        <v>45</v>
      </c>
      <c r="C38">
        <v>-110</v>
      </c>
    </row>
    <row r="39" spans="2:14" x14ac:dyDescent="0.45">
      <c r="B39" t="s">
        <v>32</v>
      </c>
      <c r="C39" t="s">
        <v>37</v>
      </c>
      <c r="N39" t="s">
        <v>51</v>
      </c>
    </row>
    <row r="40" spans="2:14" x14ac:dyDescent="0.45">
      <c r="B40">
        <v>10</v>
      </c>
      <c r="C40">
        <f t="shared" ref="C40:C46" si="20">$C$38+20*LOG10($B$44/B40)</f>
        <v>-30</v>
      </c>
      <c r="N40">
        <f t="shared" ref="N40:N46" si="21">C40+T17</f>
        <v>-156.24480332446868</v>
      </c>
    </row>
    <row r="41" spans="2:14" x14ac:dyDescent="0.45">
      <c r="B41">
        <f t="shared" ref="B41:B46" si="22">B40*10</f>
        <v>100</v>
      </c>
      <c r="C41">
        <f t="shared" si="20"/>
        <v>-50</v>
      </c>
      <c r="N41">
        <f t="shared" si="21"/>
        <v>-136.24843852095321</v>
      </c>
    </row>
    <row r="42" spans="2:14" x14ac:dyDescent="0.45">
      <c r="B42">
        <f t="shared" si="22"/>
        <v>1000</v>
      </c>
      <c r="C42">
        <f t="shared" si="20"/>
        <v>-70</v>
      </c>
      <c r="N42">
        <f t="shared" si="21"/>
        <v>-116.59745782740002</v>
      </c>
    </row>
    <row r="43" spans="2:14" x14ac:dyDescent="0.45">
      <c r="B43">
        <f t="shared" si="22"/>
        <v>10000</v>
      </c>
      <c r="C43">
        <f t="shared" si="20"/>
        <v>-90</v>
      </c>
      <c r="N43">
        <f t="shared" si="21"/>
        <v>-106.06619478247316</v>
      </c>
    </row>
    <row r="44" spans="2:14" x14ac:dyDescent="0.45">
      <c r="B44">
        <f t="shared" si="22"/>
        <v>100000</v>
      </c>
      <c r="C44">
        <f t="shared" si="20"/>
        <v>-110</v>
      </c>
      <c r="N44">
        <f t="shared" si="21"/>
        <v>-109.89267486860443</v>
      </c>
    </row>
    <row r="45" spans="2:14" x14ac:dyDescent="0.45">
      <c r="B45">
        <f t="shared" si="22"/>
        <v>1000000</v>
      </c>
      <c r="C45">
        <f t="shared" si="20"/>
        <v>-130</v>
      </c>
      <c r="N45">
        <f t="shared" si="21"/>
        <v>-129.83597756006574</v>
      </c>
    </row>
    <row r="46" spans="2:14" x14ac:dyDescent="0.45">
      <c r="B46">
        <f t="shared" si="22"/>
        <v>10000000</v>
      </c>
      <c r="C46">
        <f t="shared" si="20"/>
        <v>-150</v>
      </c>
      <c r="N46">
        <f t="shared" si="21"/>
        <v>-149.99820131867386</v>
      </c>
    </row>
    <row r="50" spans="2:3" x14ac:dyDescent="0.45">
      <c r="B50" t="s">
        <v>52</v>
      </c>
    </row>
    <row r="52" spans="2:3" x14ac:dyDescent="0.45">
      <c r="B52" t="s">
        <v>32</v>
      </c>
      <c r="C52" t="s">
        <v>37</v>
      </c>
    </row>
    <row r="53" spans="2:3" x14ac:dyDescent="0.45">
      <c r="B53">
        <v>10</v>
      </c>
      <c r="C53">
        <f t="shared" ref="C53:C59" si="23">10*LOG10(10^(N28/10)+10^(N40/10))</f>
        <v>-48.457570673277488</v>
      </c>
    </row>
    <row r="54" spans="2:3" x14ac:dyDescent="0.45">
      <c r="B54">
        <f t="shared" ref="B54:B59" si="24">B53*10</f>
        <v>100</v>
      </c>
      <c r="C54">
        <f t="shared" si="23"/>
        <v>-72.457150246649149</v>
      </c>
    </row>
    <row r="55" spans="2:3" x14ac:dyDescent="0.45">
      <c r="B55">
        <f t="shared" si="24"/>
        <v>1000</v>
      </c>
      <c r="C55">
        <f t="shared" si="23"/>
        <v>-95.385804624180594</v>
      </c>
    </row>
    <row r="56" spans="2:3" x14ac:dyDescent="0.45">
      <c r="B56">
        <f t="shared" si="24"/>
        <v>10000</v>
      </c>
      <c r="C56">
        <f t="shared" si="23"/>
        <v>-103.5414621003334</v>
      </c>
    </row>
    <row r="57" spans="2:3" x14ac:dyDescent="0.45">
      <c r="B57">
        <f t="shared" si="24"/>
        <v>100000</v>
      </c>
      <c r="C57">
        <f t="shared" si="23"/>
        <v>-108.66171893933704</v>
      </c>
    </row>
    <row r="58" spans="2:3" x14ac:dyDescent="0.45">
      <c r="B58">
        <f t="shared" si="24"/>
        <v>1000000</v>
      </c>
      <c r="C58">
        <f t="shared" si="23"/>
        <v>-129.78831531439309</v>
      </c>
    </row>
    <row r="59" spans="2:3" x14ac:dyDescent="0.45">
      <c r="B59">
        <f t="shared" si="24"/>
        <v>10000000</v>
      </c>
      <c r="C59">
        <f t="shared" si="23"/>
        <v>-149.99803356635462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BC04-99E0-467D-B586-7CEA45180853}">
  <dimension ref="B3:W59"/>
  <sheetViews>
    <sheetView tabSelected="1" topLeftCell="J16" workbookViewId="0">
      <selection activeCell="T13" sqref="T13"/>
    </sheetView>
  </sheetViews>
  <sheetFormatPr defaultRowHeight="18" x14ac:dyDescent="0.45"/>
  <cols>
    <col min="3" max="3" width="12.59765625" bestFit="1" customWidth="1"/>
    <col min="14" max="14" width="11.5" customWidth="1"/>
    <col min="16" max="16" width="9.296875" bestFit="1" customWidth="1"/>
  </cols>
  <sheetData>
    <row r="3" spans="2:23" x14ac:dyDescent="0.45">
      <c r="B3" t="s">
        <v>20</v>
      </c>
      <c r="C3">
        <v>100</v>
      </c>
      <c r="D3" t="s">
        <v>26</v>
      </c>
      <c r="E3" t="s">
        <v>35</v>
      </c>
      <c r="F3">
        <v>0.4</v>
      </c>
      <c r="G3" t="s">
        <v>42</v>
      </c>
    </row>
    <row r="4" spans="2:23" x14ac:dyDescent="0.45">
      <c r="B4" t="s">
        <v>21</v>
      </c>
      <c r="C4">
        <v>2200</v>
      </c>
      <c r="D4" t="s">
        <v>26</v>
      </c>
      <c r="E4" t="s">
        <v>40</v>
      </c>
      <c r="F4" s="3">
        <v>10000000</v>
      </c>
      <c r="G4" t="s">
        <v>41</v>
      </c>
    </row>
    <row r="5" spans="2:23" x14ac:dyDescent="0.45">
      <c r="B5" t="s">
        <v>22</v>
      </c>
      <c r="C5">
        <f>C6*100</f>
        <v>10000</v>
      </c>
      <c r="D5" t="s">
        <v>27</v>
      </c>
      <c r="E5" t="s">
        <v>43</v>
      </c>
      <c r="F5">
        <v>300</v>
      </c>
    </row>
    <row r="6" spans="2:23" x14ac:dyDescent="0.45">
      <c r="B6" t="s">
        <v>23</v>
      </c>
      <c r="C6">
        <v>100</v>
      </c>
      <c r="D6" t="s">
        <v>27</v>
      </c>
      <c r="F6" s="4"/>
    </row>
    <row r="7" spans="2:23" x14ac:dyDescent="0.45">
      <c r="F7" s="4"/>
    </row>
    <row r="8" spans="2:23" x14ac:dyDescent="0.45">
      <c r="B8" t="s">
        <v>24</v>
      </c>
      <c r="C8">
        <f>1/(2*PI()*C4*(C5+C6)*10^-12)</f>
        <v>7162.6887080060915</v>
      </c>
      <c r="D8" t="s">
        <v>28</v>
      </c>
      <c r="F8" s="4"/>
    </row>
    <row r="9" spans="2:23" x14ac:dyDescent="0.45">
      <c r="B9" t="s">
        <v>25</v>
      </c>
      <c r="C9">
        <f>1/(2*PI()*C4*C6*10^-12)</f>
        <v>723431.55950861529</v>
      </c>
      <c r="D9" t="s">
        <v>28</v>
      </c>
      <c r="F9" s="4"/>
    </row>
    <row r="10" spans="2:23" x14ac:dyDescent="0.45">
      <c r="B10" t="s">
        <v>54</v>
      </c>
      <c r="C10">
        <f>C4*(C5+C6)*10^-12</f>
        <v>2.2220000000000001E-5</v>
      </c>
      <c r="F10" s="4"/>
    </row>
    <row r="11" spans="2:23" x14ac:dyDescent="0.45">
      <c r="B11" t="s">
        <v>55</v>
      </c>
      <c r="C11">
        <f>C4*C6*10^-12</f>
        <v>2.1999999999999998E-7</v>
      </c>
      <c r="F11" s="4"/>
    </row>
    <row r="12" spans="2:23" x14ac:dyDescent="0.45">
      <c r="B12" t="s">
        <v>29</v>
      </c>
      <c r="C12">
        <f>C3*C5*10^-12</f>
        <v>9.9999999999999995E-7</v>
      </c>
    </row>
    <row r="16" spans="2:23" x14ac:dyDescent="0.45">
      <c r="B16" t="s">
        <v>32</v>
      </c>
      <c r="C16" t="s">
        <v>30</v>
      </c>
      <c r="D16" t="s">
        <v>31</v>
      </c>
      <c r="H16" t="s">
        <v>56</v>
      </c>
      <c r="I16" t="s">
        <v>56</v>
      </c>
      <c r="J16" t="s">
        <v>56</v>
      </c>
      <c r="K16" t="s">
        <v>57</v>
      </c>
      <c r="L16" t="s">
        <v>57</v>
      </c>
      <c r="M16" t="s">
        <v>57</v>
      </c>
      <c r="N16" t="s">
        <v>38</v>
      </c>
      <c r="O16" t="s">
        <v>39</v>
      </c>
      <c r="P16" t="s">
        <v>53</v>
      </c>
      <c r="Q16" t="s">
        <v>33</v>
      </c>
      <c r="R16" t="s">
        <v>34</v>
      </c>
      <c r="S16" t="s">
        <v>53</v>
      </c>
      <c r="T16" t="s">
        <v>46</v>
      </c>
      <c r="U16" t="s">
        <v>47</v>
      </c>
      <c r="V16" t="s">
        <v>48</v>
      </c>
      <c r="W16" t="s">
        <v>49</v>
      </c>
    </row>
    <row r="17" spans="2:23" x14ac:dyDescent="0.45">
      <c r="B17">
        <v>10</v>
      </c>
      <c r="C17">
        <f t="shared" ref="C17:C23" si="0">B17*2*PI()</f>
        <v>62.831853071795862</v>
      </c>
      <c r="D17" t="str">
        <f t="shared" ref="D17:D23" si="1">COMPLEX(0,C17)</f>
        <v>62.8318530717959i</v>
      </c>
      <c r="E17" t="str">
        <f>IMDIV(1/$C$12,D17)</f>
        <v>-15915.4943091895i</v>
      </c>
      <c r="F17" t="str">
        <f>IMSUM(1,IMPRODUCT(D17,$C$10))</f>
        <v>1+0.0013961237752553i</v>
      </c>
      <c r="G17" t="str">
        <f>IMDIV(1,IMSUM(1,IMPRODUCT($C$11,D17)))</f>
        <v>0.999999999808924-0.0000138230076731539i</v>
      </c>
      <c r="H17">
        <f>20*LOG10(IMABS(E17))</f>
        <v>84.036402632837678</v>
      </c>
      <c r="I17">
        <f>20*LOG10(IMABS(F17))</f>
        <v>8.4650930050057873E-6</v>
      </c>
      <c r="J17">
        <f>20*LOG10(IMABS(G17))</f>
        <v>-8.2983464348767368E-10</v>
      </c>
      <c r="K17">
        <f>DEGREES(IMARGUMENT(E17))</f>
        <v>-90</v>
      </c>
      <c r="L17">
        <f>DEGREES(IMARGUMENT(F17))</f>
        <v>7.9991948027615764E-2</v>
      </c>
      <c r="M17">
        <f>DEGREES(IMARGUMENT(G17))</f>
        <v>-7.9199999994955929E-4</v>
      </c>
      <c r="N17" t="str">
        <f>IMDIV(IMSUM(1,IMPRODUCT($C$10,D17)),IMPRODUCT($C$12,D17,IMSUM(1,IMPRODUCT($C$11,D17))))</f>
        <v>21.9999999957963-15915.4946132957i</v>
      </c>
      <c r="O17">
        <f t="shared" ref="O17:O23" si="2">20*LOG10(IMABS(N17))</f>
        <v>84.036411097100867</v>
      </c>
      <c r="P17">
        <f t="shared" ref="P17:P23" si="3">DEGREES(IMARGUMENT(N17))</f>
        <v>-89.920800051972336</v>
      </c>
      <c r="Q17" t="str">
        <f t="shared" ref="Q17:Q23" si="4">IMPRODUCT(N17,$F$3*$F$4/$F$5*2*PI(),IMDIV(1,D17))</f>
        <v>-21220659.4843942-29333.3333277283i</v>
      </c>
      <c r="R17">
        <f t="shared" ref="R17:R23" si="5">20*LOG10(IMABS(Q17))</f>
        <v>146.53518582926685</v>
      </c>
      <c r="S17">
        <f>DEGREES(IMARGUMENT(Q17))</f>
        <v>-179.92080005197235</v>
      </c>
      <c r="T17" t="str">
        <f t="shared" ref="T17:T23" si="6">IMDIV(1,IMSUM(1,Q17))</f>
        <v>-4.71238010820228E-08+6.51392682194612E-11i</v>
      </c>
      <c r="U17">
        <f t="shared" ref="U17:U23" si="7">20*LOG10(IMABS(T17))</f>
        <v>-146.53518541995473</v>
      </c>
      <c r="V17" t="str">
        <f t="shared" ref="V17:V23" si="8">IMDIV(Q17,IMSUM(1,Q17))</f>
        <v>1.0000000471238-6.51392681625558E-11i</v>
      </c>
      <c r="W17">
        <f t="shared" ref="W17:W23" si="9">20*LOG10(IMABS(V17))</f>
        <v>4.0931211625009606E-7</v>
      </c>
    </row>
    <row r="18" spans="2:23" x14ac:dyDescent="0.45">
      <c r="B18">
        <f t="shared" ref="B18:B23" si="10">B17*10</f>
        <v>100</v>
      </c>
      <c r="C18">
        <f t="shared" si="0"/>
        <v>628.31853071795865</v>
      </c>
      <c r="D18" t="str">
        <f t="shared" si="1"/>
        <v>628.318530717959i</v>
      </c>
      <c r="E18" t="str">
        <f t="shared" ref="E18:E23" si="11">IMDIV(1/$C$12,D18)</f>
        <v>-1591.54943091895i</v>
      </c>
      <c r="F18" t="str">
        <f t="shared" ref="F18:F23" si="12">IMSUM(1,IMPRODUCT(D18,$C$10))</f>
        <v>1+0.013961237752553i</v>
      </c>
      <c r="G18" t="str">
        <f t="shared" ref="G18:G23" si="13">IMDIV(1,IMSUM(1,IMPRODUCT($C$11,D18)))</f>
        <v>0.999999980892446-0.000138230074116712i</v>
      </c>
      <c r="H18">
        <f t="shared" ref="H18:J23" si="14">20*LOG10(IMABS(E18))</f>
        <v>64.036402632837678</v>
      </c>
      <c r="I18">
        <f t="shared" si="14"/>
        <v>8.4642763687472317E-4</v>
      </c>
      <c r="J18">
        <f t="shared" si="14"/>
        <v>-8.298305393770338E-8</v>
      </c>
      <c r="K18">
        <f t="shared" ref="K18:M23" si="15">DEGREES(IMARGUMENT(E18))</f>
        <v>-90</v>
      </c>
      <c r="L18">
        <f t="shared" si="15"/>
        <v>0.7998680336325219</v>
      </c>
      <c r="M18">
        <f t="shared" si="15"/>
        <v>-7.9199999495560437E-3</v>
      </c>
      <c r="N18" t="str">
        <f t="shared" ref="N18:N23" si="16">IMDIV(IMSUM(1,IMPRODUCT($C$10,D18)),IMPRODUCT($C$12,D18,IMSUM(1,IMPRODUCT($C$11,D18))))</f>
        <v>21.9999995796337-1591.55247198058i</v>
      </c>
      <c r="O18">
        <f t="shared" si="2"/>
        <v>64.037248977491501</v>
      </c>
      <c r="P18">
        <f t="shared" si="3"/>
        <v>-89.208051966317043</v>
      </c>
      <c r="Q18" t="str">
        <f t="shared" si="4"/>
        <v>-212206.996264077-2933.33327728449i</v>
      </c>
      <c r="R18">
        <f t="shared" si="5"/>
        <v>106.53602370965748</v>
      </c>
      <c r="S18">
        <f t="shared" ref="S18:S23" si="17">DEGREES(IMARGUMENT(Q18))</f>
        <v>-179.20805196631704</v>
      </c>
      <c r="T18" t="str">
        <f t="shared" si="6"/>
        <v>-4.71150192501884E-06+6.51273084924946E-08i</v>
      </c>
      <c r="U18">
        <f t="shared" si="7"/>
        <v>-106.53598278616812</v>
      </c>
      <c r="V18" t="str">
        <f t="shared" si="8"/>
        <v>1.00000471150193-6.51273084930315E-08i</v>
      </c>
      <c r="W18">
        <f t="shared" si="9"/>
        <v>4.0923489406737868E-5</v>
      </c>
    </row>
    <row r="19" spans="2:23" x14ac:dyDescent="0.45">
      <c r="B19">
        <f t="shared" si="10"/>
        <v>1000</v>
      </c>
      <c r="C19">
        <f t="shared" si="0"/>
        <v>6283.1853071795858</v>
      </c>
      <c r="D19" t="str">
        <f t="shared" si="1"/>
        <v>6283.18530717959i</v>
      </c>
      <c r="E19" t="str">
        <f t="shared" si="11"/>
        <v>-159.154943091895i</v>
      </c>
      <c r="F19" t="str">
        <f t="shared" si="12"/>
        <v>1+0.13961237752553i</v>
      </c>
      <c r="G19" t="str">
        <f t="shared" si="13"/>
        <v>0.999998089248239-0.00138229812634588i</v>
      </c>
      <c r="H19">
        <f t="shared" si="14"/>
        <v>44.036402632837685</v>
      </c>
      <c r="I19">
        <f t="shared" si="14"/>
        <v>8.3836586006671682E-2</v>
      </c>
      <c r="J19">
        <f t="shared" si="14"/>
        <v>-8.2982973884342798E-6</v>
      </c>
      <c r="K19">
        <f t="shared" si="15"/>
        <v>-90</v>
      </c>
      <c r="L19">
        <f t="shared" si="15"/>
        <v>7.9478270352764326</v>
      </c>
      <c r="M19">
        <f t="shared" si="15"/>
        <v>-7.9199949556114771E-2</v>
      </c>
      <c r="N19" t="str">
        <f t="shared" si="16"/>
        <v>21.9999579634612-159.185353650675i</v>
      </c>
      <c r="O19">
        <f t="shared" si="2"/>
        <v>44.120230920546987</v>
      </c>
      <c r="P19">
        <f t="shared" si="3"/>
        <v>-82.131372914279694</v>
      </c>
      <c r="Q19" t="str">
        <f t="shared" si="4"/>
        <v>-2122.471382009-293.332772846149i</v>
      </c>
      <c r="R19">
        <f t="shared" si="5"/>
        <v>66.619005652712985</v>
      </c>
      <c r="S19">
        <f t="shared" si="17"/>
        <v>-172.13137291427969</v>
      </c>
      <c r="T19" t="str">
        <f t="shared" si="6"/>
        <v>-0.000462528255072645+0.0000639531113786074i</v>
      </c>
      <c r="U19">
        <f t="shared" si="7"/>
        <v>-66.614989094398865</v>
      </c>
      <c r="V19" t="str">
        <f t="shared" si="8"/>
        <v>1.00046252825507-0.000063953111378605i</v>
      </c>
      <c r="W19">
        <f t="shared" si="9"/>
        <v>4.0165583140900326E-3</v>
      </c>
    </row>
    <row r="20" spans="2:23" x14ac:dyDescent="0.45">
      <c r="B20">
        <f t="shared" si="10"/>
        <v>10000</v>
      </c>
      <c r="C20">
        <f t="shared" si="0"/>
        <v>62831.853071795864</v>
      </c>
      <c r="D20" t="str">
        <f t="shared" si="1"/>
        <v>62831.8530717959i</v>
      </c>
      <c r="E20" t="str">
        <f t="shared" si="11"/>
        <v>-15.9154943091895i</v>
      </c>
      <c r="F20" t="str">
        <f t="shared" si="12"/>
        <v>1+1.3961237752553i</v>
      </c>
      <c r="G20" t="str">
        <f t="shared" si="13"/>
        <v>0.999808960961682-0.0138203669417021i</v>
      </c>
      <c r="H20">
        <f t="shared" si="14"/>
        <v>24.036402632837678</v>
      </c>
      <c r="I20">
        <f t="shared" si="14"/>
        <v>4.6969856985795735</v>
      </c>
      <c r="J20">
        <f t="shared" si="14"/>
        <v>-8.2975126166244214E-4</v>
      </c>
      <c r="K20">
        <f t="shared" si="15"/>
        <v>-90</v>
      </c>
      <c r="L20">
        <f t="shared" si="15"/>
        <v>54.387153589939224</v>
      </c>
      <c r="M20">
        <f t="shared" si="15"/>
        <v>-0.79194956183949805</v>
      </c>
      <c r="N20" t="str">
        <f t="shared" si="16"/>
        <v>21.9957971411569-16.219542381907i</v>
      </c>
      <c r="O20">
        <f t="shared" si="2"/>
        <v>28.732558580155604</v>
      </c>
      <c r="P20">
        <f t="shared" si="3"/>
        <v>-36.40479597190037</v>
      </c>
      <c r="Q20" t="str">
        <f t="shared" si="4"/>
        <v>-21.6260565092093-29.3277295215425i</v>
      </c>
      <c r="R20">
        <f t="shared" si="5"/>
        <v>31.231333312321592</v>
      </c>
      <c r="S20">
        <f t="shared" si="17"/>
        <v>-126.40479597190034</v>
      </c>
      <c r="T20" t="str">
        <f t="shared" si="6"/>
        <v>-0.0160445394549782+0.0228133726494554i</v>
      </c>
      <c r="U20">
        <f t="shared" si="7"/>
        <v>-31.090889476996402</v>
      </c>
      <c r="V20" t="str">
        <f t="shared" si="8"/>
        <v>1.01604453945498-0.0228133726494554i</v>
      </c>
      <c r="W20">
        <f t="shared" si="9"/>
        <v>0.14044383532518712</v>
      </c>
    </row>
    <row r="21" spans="2:23" x14ac:dyDescent="0.45">
      <c r="B21">
        <f t="shared" si="10"/>
        <v>100000</v>
      </c>
      <c r="C21">
        <f t="shared" si="0"/>
        <v>628318.53071795858</v>
      </c>
      <c r="D21" t="str">
        <f t="shared" si="1"/>
        <v>628318.530717959i</v>
      </c>
      <c r="E21" t="str">
        <f t="shared" si="11"/>
        <v>-1.59154943091895i</v>
      </c>
      <c r="F21" t="str">
        <f t="shared" si="12"/>
        <v>1+13.961237752553i</v>
      </c>
      <c r="G21" t="str">
        <f t="shared" si="13"/>
        <v>0.981250699160013-0.135638359463682i</v>
      </c>
      <c r="H21">
        <f t="shared" si="14"/>
        <v>4.0364026328376807</v>
      </c>
      <c r="I21">
        <f t="shared" si="14"/>
        <v>22.920702590086385</v>
      </c>
      <c r="J21">
        <f t="shared" si="14"/>
        <v>-8.2200208034019451E-2</v>
      </c>
      <c r="K21">
        <f t="shared" si="15"/>
        <v>-90</v>
      </c>
      <c r="L21">
        <f t="shared" si="15"/>
        <v>85.90307840808002</v>
      </c>
      <c r="M21">
        <f t="shared" si="15"/>
        <v>-7.8701265958336757</v>
      </c>
      <c r="N21" t="str">
        <f t="shared" si="16"/>
        <v>21.5875153815202-4.57559333911994i</v>
      </c>
      <c r="O21">
        <f t="shared" si="2"/>
        <v>26.874905014890054</v>
      </c>
      <c r="P21">
        <f t="shared" si="3"/>
        <v>-11.967048187753649</v>
      </c>
      <c r="Q21" t="str">
        <f t="shared" si="4"/>
        <v>-0.610079111882657-2.87833538420269i</v>
      </c>
      <c r="R21">
        <f t="shared" si="5"/>
        <v>9.3736797470560429</v>
      </c>
      <c r="S21">
        <f t="shared" si="17"/>
        <v>-101.96704818775362</v>
      </c>
      <c r="T21" t="str">
        <f t="shared" si="6"/>
        <v>0.046216390581568+0.341162211091974i</v>
      </c>
      <c r="U21">
        <f t="shared" si="7"/>
        <v>-9.2618047619231962</v>
      </c>
      <c r="V21" t="str">
        <f t="shared" si="8"/>
        <v>0.953783609418432-0.341162211091974i</v>
      </c>
      <c r="W21">
        <f t="shared" si="9"/>
        <v>0.11187498513285241</v>
      </c>
    </row>
    <row r="22" spans="2:23" x14ac:dyDescent="0.45">
      <c r="B22">
        <f t="shared" si="10"/>
        <v>1000000</v>
      </c>
      <c r="C22">
        <f t="shared" si="0"/>
        <v>6283185.307179586</v>
      </c>
      <c r="D22" t="str">
        <f t="shared" si="1"/>
        <v>6283185.30717959i</v>
      </c>
      <c r="E22" t="str">
        <f t="shared" si="11"/>
        <v>-0.159154943091895i</v>
      </c>
      <c r="F22" t="str">
        <f t="shared" si="12"/>
        <v>1+139.61237752553i</v>
      </c>
      <c r="G22" t="str">
        <f t="shared" si="13"/>
        <v>0.34355342804135-0.47489416728613i</v>
      </c>
      <c r="H22">
        <f t="shared" si="14"/>
        <v>-15.963597367162318</v>
      </c>
      <c r="I22">
        <f t="shared" si="14"/>
        <v>42.898701264460556</v>
      </c>
      <c r="J22">
        <f t="shared" si="14"/>
        <v>-4.6400571362863445</v>
      </c>
      <c r="K22">
        <f t="shared" si="15"/>
        <v>-90</v>
      </c>
      <c r="L22">
        <f t="shared" si="15"/>
        <v>89.589615185111725</v>
      </c>
      <c r="M22">
        <f t="shared" si="15"/>
        <v>-54.116835785734288</v>
      </c>
      <c r="N22" t="str">
        <f t="shared" si="16"/>
        <v>7.55817541690967-10.6068266233867i</v>
      </c>
      <c r="O22">
        <f t="shared" si="2"/>
        <v>22.295046761011896</v>
      </c>
      <c r="P22">
        <f t="shared" si="3"/>
        <v>-54.527220600622535</v>
      </c>
      <c r="Q22" t="str">
        <f t="shared" si="4"/>
        <v>-0.141424354978489-0.100775672225462i</v>
      </c>
      <c r="R22">
        <f t="shared" si="5"/>
        <v>-15.206178506822125</v>
      </c>
      <c r="S22">
        <f t="shared" si="17"/>
        <v>-144.52722060062254</v>
      </c>
      <c r="T22" t="str">
        <f t="shared" si="6"/>
        <v>1.14889147365627+0.134851612951252i</v>
      </c>
      <c r="U22">
        <f t="shared" si="7"/>
        <v>1.2650044158577134</v>
      </c>
      <c r="V22" t="str">
        <f t="shared" si="8"/>
        <v>-0.148891473656274-0.134851612951252i</v>
      </c>
      <c r="W22">
        <f t="shared" si="9"/>
        <v>-13.941174090964392</v>
      </c>
    </row>
    <row r="23" spans="2:23" x14ac:dyDescent="0.45">
      <c r="B23">
        <f t="shared" si="10"/>
        <v>10000000</v>
      </c>
      <c r="C23">
        <f t="shared" si="0"/>
        <v>62831853.071795866</v>
      </c>
      <c r="D23" t="str">
        <f t="shared" si="1"/>
        <v>62831853.0717959i</v>
      </c>
      <c r="E23" t="str">
        <f t="shared" si="11"/>
        <v>-0.0159154943091895i</v>
      </c>
      <c r="F23" t="str">
        <f t="shared" si="12"/>
        <v>1+1396.1237752553i</v>
      </c>
      <c r="G23" t="str">
        <f t="shared" si="13"/>
        <v>0.00520628495291986-0.0719665168665878i</v>
      </c>
      <c r="H23">
        <f t="shared" si="14"/>
        <v>-35.963597367162322</v>
      </c>
      <c r="I23">
        <f t="shared" si="14"/>
        <v>62.898480687367844</v>
      </c>
      <c r="J23">
        <f t="shared" si="14"/>
        <v>-22.834720655594822</v>
      </c>
      <c r="K23">
        <f t="shared" si="15"/>
        <v>-90</v>
      </c>
      <c r="L23">
        <f t="shared" si="15"/>
        <v>89.95896082372478</v>
      </c>
      <c r="M23">
        <f t="shared" si="15"/>
        <v>-85.862250788822308</v>
      </c>
      <c r="N23" t="str">
        <f t="shared" si="16"/>
        <v>0.114538268964236-1.59917886537411i</v>
      </c>
      <c r="O23">
        <f t="shared" si="2"/>
        <v>4.100162664610691</v>
      </c>
      <c r="P23">
        <f t="shared" si="3"/>
        <v>-85.903289965097528</v>
      </c>
      <c r="Q23" t="str">
        <f t="shared" si="4"/>
        <v>-0.00213223848716548-0.000152717691952314i</v>
      </c>
      <c r="R23">
        <f t="shared" si="5"/>
        <v>-53.401062603223309</v>
      </c>
      <c r="S23">
        <f t="shared" si="17"/>
        <v>-175.90328996509754</v>
      </c>
      <c r="T23" t="str">
        <f t="shared" si="6"/>
        <v>1.00213677117042+0.000153371038344466i</v>
      </c>
      <c r="U23">
        <f t="shared" si="7"/>
        <v>1.8540059513519003E-2</v>
      </c>
      <c r="V23" t="str">
        <f t="shared" si="8"/>
        <v>-0.00213677117042233-0.000153371038344466i</v>
      </c>
      <c r="W23">
        <f t="shared" si="9"/>
        <v>-53.382522543709783</v>
      </c>
    </row>
    <row r="26" spans="2:23" x14ac:dyDescent="0.45">
      <c r="B26" t="s">
        <v>36</v>
      </c>
    </row>
    <row r="27" spans="2:23" x14ac:dyDescent="0.45">
      <c r="B27" t="s">
        <v>32</v>
      </c>
      <c r="C27" t="s">
        <v>37</v>
      </c>
      <c r="D27" t="s">
        <v>50</v>
      </c>
      <c r="N27" t="s">
        <v>51</v>
      </c>
    </row>
    <row r="28" spans="2:23" x14ac:dyDescent="0.45">
      <c r="B28">
        <v>10</v>
      </c>
      <c r="C28">
        <v>-98</v>
      </c>
      <c r="D28">
        <f t="shared" ref="D28:D34" si="18">20*LOG10($F$5)+C28</f>
        <v>-48.457574905606748</v>
      </c>
      <c r="N28">
        <f>D28+W17</f>
        <v>-48.457574496294633</v>
      </c>
    </row>
    <row r="29" spans="2:23" x14ac:dyDescent="0.45">
      <c r="B29">
        <f t="shared" ref="B29:B34" si="19">B28*10</f>
        <v>100</v>
      </c>
      <c r="C29">
        <v>-122</v>
      </c>
      <c r="D29">
        <f t="shared" si="18"/>
        <v>-72.457574905606748</v>
      </c>
      <c r="N29">
        <f t="shared" ref="N29:N34" si="20">D29+W18</f>
        <v>-72.45753398211734</v>
      </c>
    </row>
    <row r="30" spans="2:23" x14ac:dyDescent="0.45">
      <c r="B30">
        <f t="shared" si="19"/>
        <v>1000</v>
      </c>
      <c r="C30">
        <v>-145</v>
      </c>
      <c r="D30">
        <f t="shared" si="18"/>
        <v>-95.457574905606748</v>
      </c>
      <c r="N30">
        <f t="shared" si="20"/>
        <v>-95.453558347292656</v>
      </c>
    </row>
    <row r="31" spans="2:23" x14ac:dyDescent="0.45">
      <c r="B31">
        <f t="shared" si="19"/>
        <v>10000</v>
      </c>
      <c r="C31">
        <v>-157</v>
      </c>
      <c r="D31">
        <f t="shared" si="18"/>
        <v>-107.45757490560675</v>
      </c>
      <c r="N31">
        <f t="shared" si="20"/>
        <v>-107.31713107028156</v>
      </c>
    </row>
    <row r="32" spans="2:23" x14ac:dyDescent="0.45">
      <c r="B32">
        <f t="shared" si="19"/>
        <v>100000</v>
      </c>
      <c r="C32">
        <v>-160</v>
      </c>
      <c r="D32">
        <f t="shared" si="18"/>
        <v>-110.45757490560675</v>
      </c>
      <c r="N32">
        <f t="shared" si="20"/>
        <v>-110.34569992047389</v>
      </c>
    </row>
    <row r="33" spans="2:14" x14ac:dyDescent="0.45">
      <c r="B33">
        <f t="shared" si="19"/>
        <v>1000000</v>
      </c>
      <c r="C33">
        <v>-165</v>
      </c>
      <c r="D33">
        <f t="shared" si="18"/>
        <v>-115.45757490560675</v>
      </c>
      <c r="N33">
        <f t="shared" si="20"/>
        <v>-129.39874899657113</v>
      </c>
    </row>
    <row r="34" spans="2:14" x14ac:dyDescent="0.45">
      <c r="B34">
        <f t="shared" si="19"/>
        <v>10000000</v>
      </c>
      <c r="C34">
        <v>-170</v>
      </c>
      <c r="D34">
        <f t="shared" si="18"/>
        <v>-120.45757490560675</v>
      </c>
      <c r="N34">
        <f t="shared" si="20"/>
        <v>-173.84009744931654</v>
      </c>
    </row>
    <row r="37" spans="2:14" x14ac:dyDescent="0.45">
      <c r="B37" t="s">
        <v>44</v>
      </c>
    </row>
    <row r="38" spans="2:14" x14ac:dyDescent="0.45">
      <c r="B38" t="s">
        <v>45</v>
      </c>
      <c r="C38">
        <v>-110</v>
      </c>
    </row>
    <row r="39" spans="2:14" x14ac:dyDescent="0.45">
      <c r="B39" t="s">
        <v>32</v>
      </c>
      <c r="C39" t="s">
        <v>37</v>
      </c>
      <c r="N39" t="s">
        <v>51</v>
      </c>
    </row>
    <row r="40" spans="2:14" x14ac:dyDescent="0.45">
      <c r="B40">
        <v>10</v>
      </c>
      <c r="C40">
        <f t="shared" ref="C40:C46" si="21">$C$38+20*LOG10($B$44/B40)</f>
        <v>-30</v>
      </c>
      <c r="N40">
        <f t="shared" ref="N40:N46" si="22">C40+U17</f>
        <v>-176.53518541995473</v>
      </c>
    </row>
    <row r="41" spans="2:14" x14ac:dyDescent="0.45">
      <c r="B41">
        <f t="shared" ref="B41:B46" si="23">B40*10</f>
        <v>100</v>
      </c>
      <c r="C41">
        <f t="shared" si="21"/>
        <v>-50</v>
      </c>
      <c r="N41">
        <f t="shared" si="22"/>
        <v>-156.53598278616812</v>
      </c>
    </row>
    <row r="42" spans="2:14" x14ac:dyDescent="0.45">
      <c r="B42">
        <f t="shared" si="23"/>
        <v>1000</v>
      </c>
      <c r="C42">
        <f t="shared" si="21"/>
        <v>-70</v>
      </c>
      <c r="N42">
        <f t="shared" si="22"/>
        <v>-136.61498909439888</v>
      </c>
    </row>
    <row r="43" spans="2:14" x14ac:dyDescent="0.45">
      <c r="B43">
        <f t="shared" si="23"/>
        <v>10000</v>
      </c>
      <c r="C43">
        <f t="shared" si="21"/>
        <v>-90</v>
      </c>
      <c r="N43">
        <f t="shared" si="22"/>
        <v>-121.09088947699641</v>
      </c>
    </row>
    <row r="44" spans="2:14" x14ac:dyDescent="0.45">
      <c r="B44">
        <f t="shared" si="23"/>
        <v>100000</v>
      </c>
      <c r="C44">
        <f t="shared" si="21"/>
        <v>-110</v>
      </c>
      <c r="N44">
        <f t="shared" si="22"/>
        <v>-119.2618047619232</v>
      </c>
    </row>
    <row r="45" spans="2:14" x14ac:dyDescent="0.45">
      <c r="B45">
        <f t="shared" si="23"/>
        <v>1000000</v>
      </c>
      <c r="C45">
        <f t="shared" si="21"/>
        <v>-130</v>
      </c>
      <c r="N45">
        <f t="shared" si="22"/>
        <v>-128.7349955841423</v>
      </c>
    </row>
    <row r="46" spans="2:14" x14ac:dyDescent="0.45">
      <c r="B46">
        <f t="shared" si="23"/>
        <v>10000000</v>
      </c>
      <c r="C46">
        <f t="shared" si="21"/>
        <v>-150</v>
      </c>
      <c r="N46">
        <f t="shared" si="22"/>
        <v>-149.98145994048647</v>
      </c>
    </row>
    <row r="50" spans="2:3" x14ac:dyDescent="0.45">
      <c r="B50" t="s">
        <v>52</v>
      </c>
    </row>
    <row r="52" spans="2:3" x14ac:dyDescent="0.45">
      <c r="B52" t="s">
        <v>32</v>
      </c>
      <c r="C52" t="s">
        <v>37</v>
      </c>
    </row>
    <row r="53" spans="2:3" x14ac:dyDescent="0.45">
      <c r="B53">
        <v>10</v>
      </c>
      <c r="C53">
        <f t="shared" ref="C53:C59" si="24">10*LOG10(10^(N28/10)+10^(N40/10))</f>
        <v>-48.457574496293958</v>
      </c>
    </row>
    <row r="54" spans="2:3" x14ac:dyDescent="0.45">
      <c r="B54">
        <f t="shared" ref="B54:B59" si="25">B53*10</f>
        <v>100</v>
      </c>
      <c r="C54">
        <f t="shared" si="24"/>
        <v>-72.457533965137287</v>
      </c>
    </row>
    <row r="55" spans="2:3" x14ac:dyDescent="0.45">
      <c r="B55">
        <f t="shared" si="25"/>
        <v>1000</v>
      </c>
      <c r="C55">
        <f t="shared" si="24"/>
        <v>-95.453225975149181</v>
      </c>
    </row>
    <row r="56" spans="2:3" x14ac:dyDescent="0.45">
      <c r="B56">
        <f t="shared" si="25"/>
        <v>10000</v>
      </c>
      <c r="C56">
        <f t="shared" si="24"/>
        <v>-107.13870567890228</v>
      </c>
    </row>
    <row r="57" spans="2:3" x14ac:dyDescent="0.45">
      <c r="B57">
        <f t="shared" si="25"/>
        <v>100000</v>
      </c>
      <c r="C57">
        <f t="shared" si="24"/>
        <v>-109.82126881930756</v>
      </c>
    </row>
    <row r="58" spans="2:3" x14ac:dyDescent="0.45">
      <c r="B58">
        <f t="shared" si="25"/>
        <v>1000000</v>
      </c>
      <c r="C58">
        <f t="shared" si="24"/>
        <v>-126.04390407275352</v>
      </c>
    </row>
    <row r="59" spans="2:3" x14ac:dyDescent="0.45">
      <c r="B59">
        <f t="shared" si="25"/>
        <v>10000000</v>
      </c>
      <c r="C59">
        <f t="shared" si="24"/>
        <v>-149.96363496231541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CombiningDataNoPhaseMargine</vt:lpstr>
      <vt:lpstr>CombiningData1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Sasa</dc:creator>
  <cp:lastModifiedBy>Ken Sasa</cp:lastModifiedBy>
  <dcterms:created xsi:type="dcterms:W3CDTF">2019-04-30T08:55:14Z</dcterms:created>
  <dcterms:modified xsi:type="dcterms:W3CDTF">2019-05-19T22:04:32Z</dcterms:modified>
</cp:coreProperties>
</file>